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B38C9A9D-7F2E-47F0-9626-9D36D28AE874}" xr6:coauthVersionLast="47" xr6:coauthVersionMax="47" xr10:uidLastSave="{00000000-0000-0000-0000-000000000000}"/>
  <bookViews>
    <workbookView xWindow="-103" yWindow="-103" windowWidth="22149" windowHeight="1332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roster!$A$1:$P$793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48" i="1" l="1"/>
  <c r="AF949" i="1"/>
  <c r="AG948" i="1" a="1"/>
  <c r="AG949" i="1" a="1"/>
  <c r="AH948" i="1" a="1"/>
  <c r="AH949" i="1" a="1"/>
  <c r="AI948" i="1" a="1"/>
  <c r="AI949" i="1" a="1"/>
  <c r="AJ948" i="1"/>
  <c r="AJ949" i="1"/>
  <c r="AF949" i="17" a="1"/>
  <c r="AD949" i="17"/>
  <c r="AC949" i="17"/>
  <c r="AE949" i="17" s="1"/>
  <c r="AF948" i="17" a="1"/>
  <c r="AD948" i="17"/>
  <c r="AC948" i="17"/>
  <c r="AE948" i="17" s="1"/>
  <c r="E949" i="17"/>
  <c r="E948" i="17"/>
  <c r="C948" i="17" a="1"/>
  <c r="C949" i="17" a="1"/>
  <c r="F948" i="17" a="1"/>
  <c r="F949" i="17" a="1"/>
  <c r="K948" i="17" a="1"/>
  <c r="L948" i="17" s="1"/>
  <c r="K949" i="17" a="1"/>
  <c r="L949" i="17" s="1"/>
  <c r="M948" i="17" a="1"/>
  <c r="M949" i="17" a="1"/>
  <c r="N948" i="17"/>
  <c r="N949" i="17"/>
  <c r="S948" i="17"/>
  <c r="U948" i="17" s="1"/>
  <c r="S949" i="17"/>
  <c r="U949" i="17" s="1"/>
  <c r="V948" i="17" a="1"/>
  <c r="V949" i="17" a="1"/>
  <c r="B949" i="14"/>
  <c r="D949" i="14" a="1"/>
  <c r="I949" i="14"/>
  <c r="H949" i="14" s="1"/>
  <c r="J949" i="14"/>
  <c r="K949" i="14"/>
  <c r="L949" i="14"/>
  <c r="N949" i="14"/>
  <c r="O949" i="14"/>
  <c r="P949" i="14"/>
  <c r="Q949" i="14"/>
  <c r="B948" i="14"/>
  <c r="D948" i="14" a="1"/>
  <c r="I948" i="14"/>
  <c r="H948" i="14" s="1"/>
  <c r="J948" i="14"/>
  <c r="K948" i="14"/>
  <c r="L948" i="14"/>
  <c r="N948" i="14"/>
  <c r="O948" i="14"/>
  <c r="P948" i="14"/>
  <c r="Q948" i="14"/>
  <c r="AF947" i="1"/>
  <c r="AG947" i="1" a="1"/>
  <c r="AH947" i="1" a="1"/>
  <c r="AI947" i="1" a="1"/>
  <c r="AJ947" i="1"/>
  <c r="V947" i="17" a="1"/>
  <c r="S947" i="17"/>
  <c r="U947" i="17" s="1"/>
  <c r="N947" i="17"/>
  <c r="M947" i="17" a="1"/>
  <c r="K947" i="17" a="1"/>
  <c r="L947" i="17" s="1"/>
  <c r="F947" i="17" a="1"/>
  <c r="E947" i="17"/>
  <c r="C947" i="17" a="1"/>
  <c r="B947" i="14"/>
  <c r="D947" i="14" a="1"/>
  <c r="I947" i="14"/>
  <c r="H947" i="14" s="1"/>
  <c r="J947" i="14"/>
  <c r="K947" i="14"/>
  <c r="L947" i="14"/>
  <c r="N947" i="14"/>
  <c r="O947" i="14"/>
  <c r="P947" i="14"/>
  <c r="Q947" i="14"/>
  <c r="AF946" i="1"/>
  <c r="AG946" i="1" a="1"/>
  <c r="AH946" i="1" a="1"/>
  <c r="AI946" i="1" a="1"/>
  <c r="AJ946" i="1"/>
  <c r="V946" i="17" a="1"/>
  <c r="S946" i="17"/>
  <c r="U946" i="17" s="1"/>
  <c r="N946" i="17"/>
  <c r="M946" i="17" a="1"/>
  <c r="K946" i="17" a="1"/>
  <c r="L946" i="17" s="1"/>
  <c r="F946" i="17" a="1"/>
  <c r="E946" i="17"/>
  <c r="C946" i="17" a="1"/>
  <c r="B946" i="14"/>
  <c r="D946" i="14" a="1"/>
  <c r="I946" i="14"/>
  <c r="H946" i="14" s="1"/>
  <c r="J946" i="14"/>
  <c r="K946" i="14"/>
  <c r="L946" i="14"/>
  <c r="N946" i="14"/>
  <c r="O946" i="14"/>
  <c r="P946" i="14"/>
  <c r="Q946" i="14"/>
  <c r="AF945" i="1"/>
  <c r="AG945" i="1" a="1"/>
  <c r="AH945" i="1" a="1"/>
  <c r="AI945" i="1" a="1"/>
  <c r="AJ945" i="1"/>
  <c r="V945" i="17" a="1"/>
  <c r="S945" i="17"/>
  <c r="U945" i="17" s="1"/>
  <c r="N945" i="17"/>
  <c r="M945" i="17" a="1"/>
  <c r="K945" i="17" a="1"/>
  <c r="L945" i="17" s="1"/>
  <c r="F945" i="17" a="1"/>
  <c r="E945" i="17"/>
  <c r="C945" i="17" a="1"/>
  <c r="B945" i="14"/>
  <c r="D945" i="14" a="1"/>
  <c r="I945" i="14"/>
  <c r="H945" i="14" s="1"/>
  <c r="J945" i="14"/>
  <c r="K945" i="14"/>
  <c r="L945" i="14"/>
  <c r="N945" i="14"/>
  <c r="O945" i="14"/>
  <c r="P945" i="14"/>
  <c r="Q945" i="14"/>
  <c r="AF944" i="1"/>
  <c r="AG944" i="1" a="1"/>
  <c r="AH944" i="1" a="1"/>
  <c r="AI944" i="1" a="1"/>
  <c r="AJ944" i="1"/>
  <c r="C944" i="17" a="1"/>
  <c r="E944" i="17"/>
  <c r="F944" i="17" a="1"/>
  <c r="K944" i="17" a="1"/>
  <c r="L944" i="17" s="1"/>
  <c r="M944" i="17" a="1"/>
  <c r="N944" i="17"/>
  <c r="S944" i="17"/>
  <c r="U944" i="17"/>
  <c r="V944" i="17" a="1"/>
  <c r="B944" i="14"/>
  <c r="D944" i="14" a="1"/>
  <c r="I944" i="14"/>
  <c r="J944" i="14"/>
  <c r="K944" i="14"/>
  <c r="L944" i="14"/>
  <c r="N944" i="14"/>
  <c r="O944" i="14"/>
  <c r="P944" i="14"/>
  <c r="Q944" i="14"/>
  <c r="AF943" i="1"/>
  <c r="AG943" i="1" a="1"/>
  <c r="AH943" i="1" a="1"/>
  <c r="AI943" i="1" a="1"/>
  <c r="AJ943" i="1"/>
  <c r="C943" i="17" a="1"/>
  <c r="E943" i="17"/>
  <c r="F943" i="17" a="1"/>
  <c r="K943" i="17" a="1"/>
  <c r="L943" i="17" s="1"/>
  <c r="M943" i="17" a="1"/>
  <c r="N943" i="17"/>
  <c r="S943" i="17"/>
  <c r="U943" i="17" s="1"/>
  <c r="V943" i="17" a="1"/>
  <c r="B943" i="14"/>
  <c r="D943" i="14" a="1"/>
  <c r="I943" i="14"/>
  <c r="J943" i="14"/>
  <c r="K943" i="14"/>
  <c r="L943" i="14"/>
  <c r="N943" i="14"/>
  <c r="O943" i="14"/>
  <c r="P943" i="14"/>
  <c r="Q943" i="14"/>
  <c r="AF942" i="1"/>
  <c r="AG942" i="1" a="1"/>
  <c r="AJ942" i="1" s="1"/>
  <c r="AH942" i="1" a="1"/>
  <c r="AI942" i="1" a="1"/>
  <c r="C942" i="17" a="1"/>
  <c r="E942" i="17"/>
  <c r="F942" i="17" a="1"/>
  <c r="K942" i="17" a="1"/>
  <c r="L942" i="17" s="1"/>
  <c r="M942" i="17" a="1"/>
  <c r="N942" i="17"/>
  <c r="S942" i="17"/>
  <c r="U942" i="17" s="1"/>
  <c r="V942" i="17" a="1"/>
  <c r="B942" i="14"/>
  <c r="D942" i="14" a="1"/>
  <c r="I942" i="14"/>
  <c r="J942" i="14"/>
  <c r="K942" i="14"/>
  <c r="L942" i="14"/>
  <c r="N942" i="14"/>
  <c r="O942" i="14"/>
  <c r="P942" i="14"/>
  <c r="Q942" i="14"/>
  <c r="V941" i="17" a="1"/>
  <c r="S941" i="17"/>
  <c r="U941" i="17" s="1"/>
  <c r="N941" i="17"/>
  <c r="M941" i="17" a="1"/>
  <c r="K941" i="17" a="1"/>
  <c r="L941" i="17" s="1"/>
  <c r="AF941" i="1"/>
  <c r="AG941" i="1" a="1"/>
  <c r="AJ941" i="1" s="1"/>
  <c r="AH941" i="1" a="1"/>
  <c r="AI941" i="1" a="1"/>
  <c r="C941" i="17" a="1"/>
  <c r="E941" i="17"/>
  <c r="F941" i="17" a="1"/>
  <c r="B941" i="14"/>
  <c r="D941" i="14" a="1"/>
  <c r="I941" i="14"/>
  <c r="H941" i="14" s="1"/>
  <c r="J941" i="14"/>
  <c r="K941" i="14"/>
  <c r="L941" i="14"/>
  <c r="N941" i="14"/>
  <c r="O941" i="14"/>
  <c r="P941" i="14"/>
  <c r="Q941" i="14"/>
  <c r="AF940" i="1"/>
  <c r="AG940" i="1" a="1"/>
  <c r="AJ940" i="1" s="1"/>
  <c r="AH940" i="1" a="1"/>
  <c r="AI940" i="1" a="1"/>
  <c r="C940" i="17" a="1"/>
  <c r="E940" i="17"/>
  <c r="F940" i="17" a="1"/>
  <c r="K940" i="17" a="1"/>
  <c r="L940" i="17" s="1"/>
  <c r="M940" i="17" a="1"/>
  <c r="N940" i="17"/>
  <c r="S940" i="17"/>
  <c r="U940" i="17"/>
  <c r="V940" i="17" a="1"/>
  <c r="B940" i="14"/>
  <c r="D940" i="14" a="1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B960" i="24" a="1"/>
  <c r="B959" i="24" a="1"/>
  <c r="B958" i="24" a="1"/>
  <c r="B957" i="24" a="1"/>
  <c r="B956" i="24" a="1"/>
  <c r="B955" i="24" a="1"/>
  <c r="B954" i="24" a="1"/>
  <c r="B953" i="24" a="1"/>
  <c r="B952" i="24" a="1"/>
  <c r="B951" i="24" a="1"/>
  <c r="B950" i="24" a="1"/>
  <c r="B949" i="24" a="1"/>
  <c r="AF939" i="1"/>
  <c r="AG939" i="1" a="1"/>
  <c r="AH939" i="1" a="1"/>
  <c r="AJ939" i="1" s="1"/>
  <c r="AI939" i="1" a="1"/>
  <c r="S939" i="17"/>
  <c r="V939" i="17" a="1"/>
  <c r="N939" i="17"/>
  <c r="M939" i="17" a="1"/>
  <c r="K939" i="17" a="1"/>
  <c r="F939" i="17" a="1"/>
  <c r="C939" i="17" a="1"/>
  <c r="E939" i="17"/>
  <c r="B939" i="14"/>
  <c r="D939" i="14" a="1"/>
  <c r="I939" i="14"/>
  <c r="J939" i="14"/>
  <c r="K939" i="14"/>
  <c r="L939" i="14"/>
  <c r="N939" i="14"/>
  <c r="O939" i="14"/>
  <c r="P939" i="14"/>
  <c r="AF938" i="1"/>
  <c r="AG938" i="1" a="1"/>
  <c r="AJ938" i="1" s="1"/>
  <c r="AH938" i="1" a="1"/>
  <c r="AI938" i="1" a="1"/>
  <c r="P938" i="17"/>
  <c r="V938" i="17" a="1"/>
  <c r="S938" i="17"/>
  <c r="N938" i="17"/>
  <c r="M938" i="17" a="1"/>
  <c r="K938" i="17" a="1"/>
  <c r="C938" i="17" a="1"/>
  <c r="E938" i="17"/>
  <c r="F938" i="17" a="1"/>
  <c r="B938" i="14"/>
  <c r="D938" i="14" a="1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H937" i="17"/>
  <c r="E937" i="17"/>
  <c r="C937" i="17" a="1"/>
  <c r="F937" i="17" a="1"/>
  <c r="K937" i="17" a="1"/>
  <c r="M937" i="17" a="1"/>
  <c r="N937" i="17"/>
  <c r="S937" i="17"/>
  <c r="U937" i="17" s="1"/>
  <c r="V937" i="17" a="1"/>
  <c r="B937" i="14"/>
  <c r="D937" i="14" a="1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H936" i="17"/>
  <c r="C936" i="17" a="1"/>
  <c r="E936" i="17"/>
  <c r="F936" i="17" a="1"/>
  <c r="K936" i="17" a="1"/>
  <c r="M936" i="17" a="1"/>
  <c r="N936" i="17"/>
  <c r="S936" i="17"/>
  <c r="V936" i="17" a="1"/>
  <c r="B936" i="14"/>
  <c r="D936" i="14" a="1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S935" i="17"/>
  <c r="C935" i="17" a="1"/>
  <c r="E935" i="17"/>
  <c r="F935" i="17" a="1"/>
  <c r="K935" i="17" a="1"/>
  <c r="M935" i="17" a="1"/>
  <c r="N935" i="17"/>
  <c r="U935" i="17"/>
  <c r="V935" i="17" a="1"/>
  <c r="B935" i="14"/>
  <c r="D935" i="14" a="1"/>
  <c r="I935" i="14"/>
  <c r="J935" i="14"/>
  <c r="K935" i="14"/>
  <c r="L935" i="14"/>
  <c r="N935" i="14"/>
  <c r="O935" i="14"/>
  <c r="P935" i="14"/>
  <c r="AF934" i="1"/>
  <c r="AG934" i="1" a="1"/>
  <c r="AH934" i="1" a="1"/>
  <c r="AI934" i="1" a="1"/>
  <c r="AJ934" i="1"/>
  <c r="R934" i="17"/>
  <c r="C934" i="17" a="1"/>
  <c r="D934" i="14" s="1" a="1"/>
  <c r="E934" i="17"/>
  <c r="F934" i="17" a="1"/>
  <c r="K934" i="17" a="1"/>
  <c r="M934" i="17" a="1"/>
  <c r="N934" i="17"/>
  <c r="S934" i="17"/>
  <c r="V934" i="17" a="1"/>
  <c r="P934" i="14"/>
  <c r="O934" i="14"/>
  <c r="N934" i="14"/>
  <c r="L934" i="14"/>
  <c r="K934" i="14"/>
  <c r="J934" i="14"/>
  <c r="I934" i="14"/>
  <c r="B934" i="14"/>
  <c r="AF933" i="1"/>
  <c r="AG933" i="1" a="1"/>
  <c r="AJ933" i="1" s="1"/>
  <c r="AH933" i="1" a="1"/>
  <c r="AI933" i="1" a="1"/>
  <c r="V933" i="17" a="1"/>
  <c r="C933" i="17" a="1"/>
  <c r="E933" i="17"/>
  <c r="F933" i="17" a="1"/>
  <c r="K933" i="17" a="1"/>
  <c r="M933" i="17" a="1"/>
  <c r="N933" i="17"/>
  <c r="S933" i="17"/>
  <c r="B933" i="14"/>
  <c r="D933" i="14" a="1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V932" i="17" a="1"/>
  <c r="S932" i="17"/>
  <c r="N932" i="17"/>
  <c r="M932" i="17" a="1"/>
  <c r="K932" i="17" a="1"/>
  <c r="C932" i="17" a="1"/>
  <c r="E932" i="17"/>
  <c r="F932" i="17" a="1"/>
  <c r="AF932" i="1"/>
  <c r="AG932" i="1" a="1"/>
  <c r="AH932" i="1" a="1"/>
  <c r="AI932" i="1" a="1"/>
  <c r="AF931" i="1"/>
  <c r="AG931" i="1" a="1"/>
  <c r="AH931" i="1" a="1"/>
  <c r="AI931" i="1" a="1"/>
  <c r="C931" i="17" a="1"/>
  <c r="E931" i="17"/>
  <c r="F931" i="17" a="1"/>
  <c r="K931" i="17" a="1"/>
  <c r="M931" i="17" a="1"/>
  <c r="N931" i="17"/>
  <c r="S931" i="17"/>
  <c r="V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V930" i="17" a="1"/>
  <c r="S930" i="17"/>
  <c r="V929" i="17" a="1"/>
  <c r="S929" i="17"/>
  <c r="C929" i="17" a="1"/>
  <c r="C930" i="17" a="1"/>
  <c r="E929" i="17"/>
  <c r="E930" i="17"/>
  <c r="F929" i="17" a="1"/>
  <c r="F930" i="17" a="1"/>
  <c r="K929" i="17" a="1"/>
  <c r="K930" i="17" a="1"/>
  <c r="M929" i="17" a="1"/>
  <c r="M930" i="17" a="1"/>
  <c r="N929" i="17"/>
  <c r="N930" i="17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C928" i="17" a="1"/>
  <c r="E928" i="17"/>
  <c r="F928" i="17" a="1"/>
  <c r="K928" i="17" a="1"/>
  <c r="M928" i="17" a="1"/>
  <c r="N928" i="17"/>
  <c r="S928" i="17"/>
  <c r="V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C926" i="17" a="1"/>
  <c r="C927" i="17" a="1"/>
  <c r="E926" i="17"/>
  <c r="E927" i="17"/>
  <c r="F926" i="17" a="1"/>
  <c r="F927" i="17" a="1"/>
  <c r="K926" i="17" a="1"/>
  <c r="K927" i="17" a="1"/>
  <c r="M926" i="17" a="1"/>
  <c r="M927" i="17" a="1"/>
  <c r="N926" i="17"/>
  <c r="N927" i="17"/>
  <c r="S926" i="17"/>
  <c r="S927" i="17"/>
  <c r="V926" i="17" a="1"/>
  <c r="V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C925" i="17" a="1"/>
  <c r="E925" i="17"/>
  <c r="F925" i="17" a="1"/>
  <c r="K925" i="17" a="1"/>
  <c r="M925" i="17" a="1"/>
  <c r="N925" i="17"/>
  <c r="S925" i="17"/>
  <c r="V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C923" i="17" a="1"/>
  <c r="C924" i="17" a="1"/>
  <c r="E923" i="17"/>
  <c r="E924" i="17"/>
  <c r="F923" i="17" a="1"/>
  <c r="F924" i="17" a="1"/>
  <c r="K923" i="17" a="1"/>
  <c r="K924" i="17" a="1"/>
  <c r="M923" i="17" a="1"/>
  <c r="M924" i="17" a="1"/>
  <c r="N923" i="17"/>
  <c r="N924" i="17"/>
  <c r="S923" i="17"/>
  <c r="S924" i="17"/>
  <c r="V923" i="17" a="1"/>
  <c r="V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C921" i="17" a="1"/>
  <c r="C922" i="17" a="1"/>
  <c r="E921" i="17"/>
  <c r="E922" i="17"/>
  <c r="F921" i="17" a="1"/>
  <c r="F922" i="17" a="1"/>
  <c r="K921" i="17" a="1"/>
  <c r="K922" i="17" a="1"/>
  <c r="M921" i="17" a="1"/>
  <c r="M922" i="17" a="1"/>
  <c r="N921" i="17"/>
  <c r="N922" i="17"/>
  <c r="S921" i="17"/>
  <c r="S922" i="17"/>
  <c r="V921" i="17" a="1"/>
  <c r="V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C920" i="17" a="1"/>
  <c r="E920" i="17"/>
  <c r="F920" i="17" a="1"/>
  <c r="K920" i="17" a="1"/>
  <c r="M920" i="17" a="1"/>
  <c r="N920" i="17"/>
  <c r="S920" i="17"/>
  <c r="V920" i="17" a="1"/>
  <c r="AF920" i="1"/>
  <c r="AG920" i="1" a="1"/>
  <c r="AH920" i="1" a="1"/>
  <c r="AI920" i="1" a="1"/>
  <c r="AF919" i="1"/>
  <c r="AG919" i="1" a="1"/>
  <c r="AH919" i="1" a="1"/>
  <c r="AI919" i="1" a="1"/>
  <c r="C919" i="17" a="1"/>
  <c r="E919" i="17"/>
  <c r="F919" i="17" a="1"/>
  <c r="K919" i="17" a="1"/>
  <c r="M919" i="17" a="1"/>
  <c r="N919" i="17"/>
  <c r="S919" i="17"/>
  <c r="V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C918" i="17" a="1"/>
  <c r="E918" i="17"/>
  <c r="F918" i="17" a="1"/>
  <c r="K918" i="17" a="1"/>
  <c r="M918" i="17" a="1"/>
  <c r="N918" i="17"/>
  <c r="S918" i="17"/>
  <c r="U918" i="17"/>
  <c r="V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V917" i="17" a="1"/>
  <c r="S917" i="17"/>
  <c r="N917" i="17"/>
  <c r="M917" i="17" a="1"/>
  <c r="K917" i="17" a="1"/>
  <c r="C917" i="17" a="1"/>
  <c r="E917" i="17"/>
  <c r="F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C916" i="17" a="1"/>
  <c r="E916" i="17"/>
  <c r="F916" i="17" a="1"/>
  <c r="K916" i="17" a="1"/>
  <c r="M916" i="17" a="1"/>
  <c r="N916" i="17"/>
  <c r="S916" i="17"/>
  <c r="V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C915" i="17" a="1"/>
  <c r="E915" i="17"/>
  <c r="F915" i="17" a="1"/>
  <c r="K915" i="17" a="1"/>
  <c r="M915" i="17" a="1"/>
  <c r="N915" i="17"/>
  <c r="S915" i="17"/>
  <c r="U915" i="17" s="1"/>
  <c r="V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C914" i="17" a="1"/>
  <c r="E914" i="17"/>
  <c r="F914" i="17" a="1"/>
  <c r="K914" i="17" a="1"/>
  <c r="M914" i="17" a="1"/>
  <c r="N914" i="17"/>
  <c r="S914" i="17"/>
  <c r="V914" i="17" a="1"/>
  <c r="AF912" i="1"/>
  <c r="AF913" i="1"/>
  <c r="AG912" i="1" a="1"/>
  <c r="AG913" i="1" a="1"/>
  <c r="AH912" i="1" a="1"/>
  <c r="AH913" i="1" a="1"/>
  <c r="AI912" i="1" a="1"/>
  <c r="AI913" i="1" a="1"/>
  <c r="V913" i="17" a="1"/>
  <c r="S913" i="17"/>
  <c r="N913" i="17"/>
  <c r="M913" i="17" a="1"/>
  <c r="K913" i="17" a="1"/>
  <c r="F913" i="17" a="1"/>
  <c r="V912" i="17" a="1"/>
  <c r="S912" i="17"/>
  <c r="N912" i="17"/>
  <c r="M912" i="17" a="1"/>
  <c r="K912" i="17" a="1"/>
  <c r="F912" i="17" a="1"/>
  <c r="C912" i="17" a="1"/>
  <c r="C913" i="17" a="1"/>
  <c r="E912" i="17"/>
  <c r="E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F969" i="19"/>
  <c r="C969" i="19"/>
  <c r="F968" i="19"/>
  <c r="C968" i="19"/>
  <c r="F967" i="19"/>
  <c r="C967" i="19"/>
  <c r="F966" i="19"/>
  <c r="C966" i="19"/>
  <c r="F965" i="19"/>
  <c r="C965" i="19"/>
  <c r="F964" i="19"/>
  <c r="C964" i="19"/>
  <c r="F963" i="19"/>
  <c r="C963" i="19"/>
  <c r="F962" i="19"/>
  <c r="C962" i="19"/>
  <c r="F961" i="19"/>
  <c r="C961" i="19"/>
  <c r="F960" i="19"/>
  <c r="C960" i="19"/>
  <c r="F959" i="19"/>
  <c r="C959" i="19"/>
  <c r="F958" i="19"/>
  <c r="C958" i="19"/>
  <c r="F957" i="19"/>
  <c r="C957" i="19"/>
  <c r="F956" i="19"/>
  <c r="C956" i="19"/>
  <c r="F955" i="19"/>
  <c r="C955" i="19"/>
  <c r="F954" i="19"/>
  <c r="C954" i="19"/>
  <c r="F953" i="19"/>
  <c r="C953" i="19"/>
  <c r="F952" i="19"/>
  <c r="C952" i="19"/>
  <c r="F951" i="19"/>
  <c r="C951" i="19"/>
  <c r="F950" i="19"/>
  <c r="C950" i="19"/>
  <c r="F949" i="19"/>
  <c r="C949" i="19"/>
  <c r="F948" i="19"/>
  <c r="C948" i="19"/>
  <c r="F947" i="19"/>
  <c r="C947" i="19"/>
  <c r="F946" i="19"/>
  <c r="C946" i="19"/>
  <c r="F945" i="19"/>
  <c r="C945" i="19"/>
  <c r="F944" i="19"/>
  <c r="C944" i="19"/>
  <c r="F943" i="19"/>
  <c r="C943" i="19"/>
  <c r="F942" i="19"/>
  <c r="C942" i="19"/>
  <c r="F941" i="19"/>
  <c r="C941" i="19"/>
  <c r="F940" i="19"/>
  <c r="C940" i="19"/>
  <c r="C939" i="19"/>
  <c r="C938" i="19"/>
  <c r="C937" i="19"/>
  <c r="C936" i="19"/>
  <c r="C935" i="19"/>
  <c r="AF911" i="1"/>
  <c r="AG911" i="1" a="1"/>
  <c r="AH911" i="1" a="1"/>
  <c r="AI911" i="1" a="1"/>
  <c r="V911" i="17" a="1"/>
  <c r="S911" i="17"/>
  <c r="N911" i="17"/>
  <c r="M911" i="17" a="1"/>
  <c r="K911" i="17" a="1"/>
  <c r="C911" i="17" a="1"/>
  <c r="E911" i="17"/>
  <c r="F911" i="17" a="1"/>
  <c r="B911" i="14"/>
  <c r="I911" i="14"/>
  <c r="J911" i="14"/>
  <c r="K911" i="14"/>
  <c r="L911" i="14"/>
  <c r="N911" i="14"/>
  <c r="O911" i="14"/>
  <c r="P911" i="14"/>
  <c r="V910" i="17" a="1"/>
  <c r="S910" i="17"/>
  <c r="N910" i="17"/>
  <c r="M910" i="17" a="1"/>
  <c r="K910" i="17" a="1"/>
  <c r="F910" i="17" a="1"/>
  <c r="AF910" i="1"/>
  <c r="AG910" i="1" a="1"/>
  <c r="AH910" i="1" a="1"/>
  <c r="AI910" i="1" a="1"/>
  <c r="C910" i="17" a="1"/>
  <c r="E910" i="17"/>
  <c r="B910" i="14"/>
  <c r="I910" i="14"/>
  <c r="J910" i="14"/>
  <c r="K910" i="14"/>
  <c r="L910" i="14"/>
  <c r="N910" i="14"/>
  <c r="O910" i="14"/>
  <c r="P910" i="14"/>
  <c r="C909" i="17" a="1"/>
  <c r="C908" i="17" a="1"/>
  <c r="C907" i="17" a="1"/>
  <c r="C906" i="17" a="1"/>
  <c r="C905" i="17" a="1"/>
  <c r="C904" i="17" a="1"/>
  <c r="C903" i="17" a="1"/>
  <c r="C902" i="17" a="1"/>
  <c r="C901" i="17" a="1"/>
  <c r="C900" i="17" a="1"/>
  <c r="C899" i="17" a="1"/>
  <c r="C898" i="17" a="1"/>
  <c r="C897" i="17" a="1"/>
  <c r="C896" i="17" a="1"/>
  <c r="C895" i="17" a="1"/>
  <c r="C894" i="17" a="1"/>
  <c r="C893" i="17" a="1"/>
  <c r="C892" i="17" a="1"/>
  <c r="C891" i="17" a="1"/>
  <c r="C890" i="17" a="1"/>
  <c r="C889" i="17" a="1"/>
  <c r="C888" i="17" a="1"/>
  <c r="C887" i="17" a="1"/>
  <c r="C886" i="17" a="1"/>
  <c r="C885" i="17" a="1"/>
  <c r="C884" i="17" a="1"/>
  <c r="C883" i="17" a="1"/>
  <c r="C882" i="17" a="1"/>
  <c r="C881" i="17" a="1"/>
  <c r="C880" i="17" a="1"/>
  <c r="C879" i="17" a="1"/>
  <c r="C878" i="17" a="1"/>
  <c r="C877" i="17" a="1"/>
  <c r="C876" i="17" a="1"/>
  <c r="C875" i="17" a="1"/>
  <c r="C874" i="17" a="1"/>
  <c r="C873" i="17" a="1"/>
  <c r="C872" i="17" a="1"/>
  <c r="C871" i="17" a="1"/>
  <c r="C870" i="17" a="1"/>
  <c r="C869" i="17" a="1"/>
  <c r="C868" i="17" a="1"/>
  <c r="C867" i="17" a="1"/>
  <c r="C866" i="17" a="1"/>
  <c r="C865" i="17" a="1"/>
  <c r="C864" i="17" a="1"/>
  <c r="C863" i="17" a="1"/>
  <c r="C862" i="17" a="1"/>
  <c r="C861" i="17" a="1"/>
  <c r="C860" i="17" a="1"/>
  <c r="C859" i="17" a="1"/>
  <c r="C858" i="17" a="1"/>
  <c r="C857" i="17" a="1"/>
  <c r="C856" i="17" a="1"/>
  <c r="C855" i="17" a="1"/>
  <c r="C854" i="17" a="1"/>
  <c r="C853" i="17" a="1"/>
  <c r="C852" i="17" a="1"/>
  <c r="C851" i="17" a="1"/>
  <c r="C850" i="17" a="1"/>
  <c r="C849" i="17" a="1"/>
  <c r="C848" i="17" a="1"/>
  <c r="C847" i="17" a="1"/>
  <c r="C846" i="17" a="1"/>
  <c r="C845" i="17" a="1"/>
  <c r="C844" i="17" a="1"/>
  <c r="C843" i="17" a="1"/>
  <c r="C842" i="17" a="1"/>
  <c r="C841" i="17" a="1"/>
  <c r="C840" i="17" a="1"/>
  <c r="C839" i="17" a="1"/>
  <c r="C838" i="17" a="1"/>
  <c r="C837" i="17" a="1"/>
  <c r="C836" i="17" a="1"/>
  <c r="C835" i="17" a="1"/>
  <c r="C834" i="17" a="1"/>
  <c r="C833" i="17" a="1"/>
  <c r="C832" i="17" a="1"/>
  <c r="C831" i="17" a="1"/>
  <c r="C830" i="17" a="1"/>
  <c r="C829" i="17" a="1"/>
  <c r="C828" i="17" a="1"/>
  <c r="C827" i="17" a="1"/>
  <c r="C826" i="17" a="1"/>
  <c r="C825" i="17" a="1"/>
  <c r="C824" i="17" a="1"/>
  <c r="C823" i="17" a="1"/>
  <c r="C822" i="17" a="1"/>
  <c r="C821" i="17" a="1"/>
  <c r="C820" i="17" a="1"/>
  <c r="C819" i="17" a="1"/>
  <c r="C818" i="17" a="1"/>
  <c r="C817" i="17" a="1"/>
  <c r="C816" i="17" a="1"/>
  <c r="C815" i="17" a="1"/>
  <c r="C814" i="17" a="1"/>
  <c r="C813" i="17" a="1"/>
  <c r="C812" i="17" a="1"/>
  <c r="C811" i="17" a="1"/>
  <c r="C810" i="17" a="1"/>
  <c r="C809" i="17" a="1"/>
  <c r="C808" i="17" a="1"/>
  <c r="C807" i="17" a="1"/>
  <c r="C806" i="17" a="1"/>
  <c r="C805" i="17" a="1"/>
  <c r="C804" i="17" a="1"/>
  <c r="C803" i="17" a="1"/>
  <c r="C802" i="17" a="1"/>
  <c r="C801" i="17" a="1"/>
  <c r="C800" i="17" a="1"/>
  <c r="C799" i="17" a="1"/>
  <c r="C798" i="17" a="1"/>
  <c r="C797" i="17" a="1"/>
  <c r="C796" i="17" a="1"/>
  <c r="C795" i="17" a="1"/>
  <c r="C794" i="17" a="1"/>
  <c r="C793" i="17" a="1"/>
  <c r="C792" i="17" a="1"/>
  <c r="C791" i="17" a="1"/>
  <c r="C790" i="17" a="1"/>
  <c r="C789" i="17" a="1"/>
  <c r="C788" i="17" a="1"/>
  <c r="C787" i="17" a="1"/>
  <c r="C786" i="17" a="1"/>
  <c r="C785" i="17" a="1"/>
  <c r="C784" i="17" a="1"/>
  <c r="C783" i="17" a="1"/>
  <c r="C782" i="17" a="1"/>
  <c r="C781" i="17" a="1"/>
  <c r="C780" i="17" a="1"/>
  <c r="C779" i="17" a="1"/>
  <c r="C778" i="17" a="1"/>
  <c r="C777" i="17" a="1"/>
  <c r="C776" i="17" a="1"/>
  <c r="C775" i="17" a="1"/>
  <c r="C774" i="17" a="1"/>
  <c r="C773" i="17" a="1"/>
  <c r="C772" i="17" a="1"/>
  <c r="C771" i="17" a="1"/>
  <c r="C770" i="17" a="1"/>
  <c r="C769" i="17" a="1"/>
  <c r="C768" i="17" a="1"/>
  <c r="C767" i="17" a="1"/>
  <c r="C766" i="17" a="1"/>
  <c r="C765" i="17" a="1"/>
  <c r="C764" i="17" a="1"/>
  <c r="C763" i="17" a="1"/>
  <c r="C762" i="17" a="1"/>
  <c r="C761" i="17" a="1"/>
  <c r="C760" i="17" a="1"/>
  <c r="C759" i="17" a="1"/>
  <c r="C758" i="17" a="1"/>
  <c r="C757" i="17" a="1"/>
  <c r="C756" i="17" a="1"/>
  <c r="C755" i="17" a="1"/>
  <c r="C754" i="17" a="1"/>
  <c r="C753" i="17" a="1"/>
  <c r="C752" i="17" a="1"/>
  <c r="C751" i="17" a="1"/>
  <c r="C750" i="17" a="1"/>
  <c r="C749" i="17" a="1"/>
  <c r="C748" i="17" a="1"/>
  <c r="C747" i="17" a="1"/>
  <c r="C746" i="17" a="1"/>
  <c r="C745" i="17" a="1"/>
  <c r="C744" i="17" a="1"/>
  <c r="C743" i="17" a="1"/>
  <c r="C742" i="17" a="1"/>
  <c r="C741" i="17" a="1"/>
  <c r="C740" i="17" a="1"/>
  <c r="C739" i="17" a="1"/>
  <c r="C738" i="17" a="1"/>
  <c r="C737" i="17" a="1"/>
  <c r="C736" i="17" a="1"/>
  <c r="C735" i="17" a="1"/>
  <c r="C734" i="17" a="1"/>
  <c r="C733" i="17" a="1"/>
  <c r="C732" i="17" a="1"/>
  <c r="C731" i="17" a="1"/>
  <c r="C730" i="17" a="1"/>
  <c r="C729" i="17" a="1"/>
  <c r="C728" i="17" a="1"/>
  <c r="C727" i="17" a="1"/>
  <c r="C726" i="17" a="1"/>
  <c r="C725" i="17" a="1"/>
  <c r="C724" i="17" a="1"/>
  <c r="C723" i="17" a="1"/>
  <c r="C722" i="17" a="1"/>
  <c r="C721" i="17" a="1"/>
  <c r="C720" i="17" a="1"/>
  <c r="C719" i="17" a="1"/>
  <c r="C718" i="17" a="1"/>
  <c r="C717" i="17" a="1"/>
  <c r="C716" i="17" a="1"/>
  <c r="C715" i="17" a="1"/>
  <c r="C714" i="17" a="1"/>
  <c r="C713" i="17" a="1"/>
  <c r="C712" i="17" a="1"/>
  <c r="C711" i="17" a="1"/>
  <c r="C710" i="17" a="1"/>
  <c r="C709" i="17" a="1"/>
  <c r="C708" i="17" a="1"/>
  <c r="C707" i="17" a="1"/>
  <c r="C706" i="17" a="1"/>
  <c r="C705" i="17" a="1"/>
  <c r="C704" i="17" a="1"/>
  <c r="C703" i="17" a="1"/>
  <c r="C702" i="17" a="1"/>
  <c r="C701" i="17" a="1"/>
  <c r="C700" i="17" a="1"/>
  <c r="C699" i="17" a="1"/>
  <c r="C698" i="17" a="1"/>
  <c r="C697" i="17" a="1"/>
  <c r="C696" i="17" a="1"/>
  <c r="C695" i="17" a="1"/>
  <c r="C694" i="17" a="1"/>
  <c r="C693" i="17" a="1"/>
  <c r="C692" i="17" a="1"/>
  <c r="C691" i="17" a="1"/>
  <c r="C690" i="17" a="1"/>
  <c r="C689" i="17" a="1"/>
  <c r="C688" i="17" a="1"/>
  <c r="C687" i="17" a="1"/>
  <c r="C686" i="17" a="1"/>
  <c r="C685" i="17" a="1"/>
  <c r="C684" i="17" a="1"/>
  <c r="C683" i="17" a="1"/>
  <c r="C682" i="17" a="1"/>
  <c r="C681" i="17" a="1"/>
  <c r="C680" i="17" a="1"/>
  <c r="C679" i="17" a="1"/>
  <c r="C678" i="17" a="1"/>
  <c r="C677" i="17" a="1"/>
  <c r="C676" i="17" a="1"/>
  <c r="C675" i="17" a="1"/>
  <c r="C674" i="17" a="1"/>
  <c r="C673" i="17" a="1"/>
  <c r="C672" i="17" a="1"/>
  <c r="C671" i="17" a="1"/>
  <c r="C670" i="17" a="1"/>
  <c r="C669" i="17" a="1"/>
  <c r="C668" i="17" a="1"/>
  <c r="C667" i="17" a="1"/>
  <c r="C666" i="17" a="1"/>
  <c r="C665" i="17" a="1"/>
  <c r="C664" i="17" a="1"/>
  <c r="C663" i="17" a="1"/>
  <c r="C662" i="17" a="1"/>
  <c r="C661" i="17" a="1"/>
  <c r="C660" i="17" a="1"/>
  <c r="C659" i="17" a="1"/>
  <c r="C658" i="17" a="1"/>
  <c r="C657" i="17" a="1"/>
  <c r="C656" i="17" a="1"/>
  <c r="C655" i="17" a="1"/>
  <c r="C654" i="17" a="1"/>
  <c r="C653" i="17" a="1"/>
  <c r="C652" i="17" a="1"/>
  <c r="C651" i="17" a="1"/>
  <c r="C650" i="17" a="1"/>
  <c r="C649" i="17" a="1"/>
  <c r="C648" i="17" a="1"/>
  <c r="C647" i="17" a="1"/>
  <c r="C646" i="17" a="1"/>
  <c r="C645" i="17" a="1"/>
  <c r="C644" i="17" a="1"/>
  <c r="C643" i="17" a="1"/>
  <c r="C642" i="17" a="1"/>
  <c r="C641" i="17" a="1"/>
  <c r="C640" i="17" a="1"/>
  <c r="C639" i="17" a="1"/>
  <c r="C638" i="17" a="1"/>
  <c r="C637" i="17" a="1"/>
  <c r="C636" i="17" a="1"/>
  <c r="C635" i="17" a="1"/>
  <c r="C634" i="17" a="1"/>
  <c r="C633" i="17" a="1"/>
  <c r="C632" i="17" a="1"/>
  <c r="C631" i="17" a="1"/>
  <c r="C630" i="17" a="1"/>
  <c r="C629" i="17" a="1"/>
  <c r="C628" i="17" a="1"/>
  <c r="C627" i="17" a="1"/>
  <c r="C626" i="17" a="1"/>
  <c r="C625" i="17" a="1"/>
  <c r="C624" i="17" a="1"/>
  <c r="C623" i="17" a="1"/>
  <c r="C622" i="17" a="1"/>
  <c r="C621" i="17" a="1"/>
  <c r="C620" i="17" a="1"/>
  <c r="C619" i="17" a="1"/>
  <c r="C618" i="17" a="1"/>
  <c r="C617" i="17" a="1"/>
  <c r="C616" i="17" a="1"/>
  <c r="C615" i="17" a="1"/>
  <c r="C614" i="17" a="1"/>
  <c r="C613" i="17" a="1"/>
  <c r="C612" i="17" a="1"/>
  <c r="C611" i="17" a="1"/>
  <c r="C610" i="17" a="1"/>
  <c r="C609" i="17" a="1"/>
  <c r="C608" i="17" a="1"/>
  <c r="C607" i="17" a="1"/>
  <c r="C606" i="17" a="1"/>
  <c r="C605" i="17" a="1"/>
  <c r="C604" i="17" a="1"/>
  <c r="C603" i="17" a="1"/>
  <c r="C602" i="17" a="1"/>
  <c r="C601" i="17" a="1"/>
  <c r="C600" i="17" a="1"/>
  <c r="C599" i="17" a="1"/>
  <c r="C598" i="17" a="1"/>
  <c r="C597" i="17" a="1"/>
  <c r="C596" i="17" a="1"/>
  <c r="C595" i="17" a="1"/>
  <c r="C594" i="17" a="1"/>
  <c r="C593" i="17" a="1"/>
  <c r="C592" i="17" a="1"/>
  <c r="C591" i="17" a="1"/>
  <c r="C590" i="17" a="1"/>
  <c r="C589" i="17" a="1"/>
  <c r="C588" i="17" a="1"/>
  <c r="C587" i="17" a="1"/>
  <c r="C586" i="17" a="1"/>
  <c r="C585" i="17" a="1"/>
  <c r="C584" i="17" a="1"/>
  <c r="C583" i="17" a="1"/>
  <c r="C582" i="17" a="1"/>
  <c r="C581" i="17" a="1"/>
  <c r="C580" i="17" a="1"/>
  <c r="C579" i="17" a="1"/>
  <c r="C578" i="17" a="1"/>
  <c r="C577" i="17" a="1"/>
  <c r="C576" i="17" a="1"/>
  <c r="C575" i="17" a="1"/>
  <c r="C574" i="17" a="1"/>
  <c r="C573" i="17" a="1"/>
  <c r="C572" i="17" a="1"/>
  <c r="C571" i="17" a="1"/>
  <c r="C570" i="17" a="1"/>
  <c r="C569" i="17" a="1"/>
  <c r="C568" i="17" a="1"/>
  <c r="C567" i="17" a="1"/>
  <c r="C566" i="17" a="1"/>
  <c r="C565" i="17" a="1"/>
  <c r="C564" i="17" a="1"/>
  <c r="C563" i="17" a="1"/>
  <c r="C562" i="17" a="1"/>
  <c r="C561" i="17" a="1"/>
  <c r="C560" i="17" a="1"/>
  <c r="C559" i="17" a="1"/>
  <c r="C558" i="17" a="1"/>
  <c r="C557" i="17" a="1"/>
  <c r="C556" i="17" a="1"/>
  <c r="C555" i="17" a="1"/>
  <c r="C554" i="17" a="1"/>
  <c r="C553" i="17" a="1"/>
  <c r="C552" i="17" a="1"/>
  <c r="C551" i="17" a="1"/>
  <c r="C550" i="17" a="1"/>
  <c r="C549" i="17" a="1"/>
  <c r="C548" i="17" a="1"/>
  <c r="C547" i="17" a="1"/>
  <c r="C546" i="17" a="1"/>
  <c r="C545" i="17" a="1"/>
  <c r="C544" i="17" a="1"/>
  <c r="C543" i="17" a="1"/>
  <c r="C542" i="17" a="1"/>
  <c r="C541" i="17" a="1"/>
  <c r="C540" i="17" a="1"/>
  <c r="C539" i="17" a="1"/>
  <c r="C538" i="17" a="1"/>
  <c r="C537" i="17" a="1"/>
  <c r="C536" i="17" a="1"/>
  <c r="C535" i="17" a="1"/>
  <c r="C534" i="17" a="1"/>
  <c r="C533" i="17" a="1"/>
  <c r="C532" i="17" a="1"/>
  <c r="C531" i="17" a="1"/>
  <c r="C530" i="17" a="1"/>
  <c r="C529" i="17" a="1"/>
  <c r="C528" i="17" a="1"/>
  <c r="C527" i="17" a="1"/>
  <c r="C526" i="17" a="1"/>
  <c r="C525" i="17" a="1"/>
  <c r="C524" i="17" a="1"/>
  <c r="C523" i="17" a="1"/>
  <c r="C522" i="17" a="1"/>
  <c r="C521" i="17" a="1"/>
  <c r="C520" i="17" a="1"/>
  <c r="C519" i="17" a="1"/>
  <c r="C518" i="17" a="1"/>
  <c r="C517" i="17" a="1"/>
  <c r="C516" i="17" a="1"/>
  <c r="C515" i="17" a="1"/>
  <c r="C514" i="17" a="1"/>
  <c r="C513" i="17" a="1"/>
  <c r="C512" i="17" a="1"/>
  <c r="C511" i="17" a="1"/>
  <c r="C510" i="17" a="1"/>
  <c r="C509" i="17" a="1"/>
  <c r="C508" i="17" a="1"/>
  <c r="C507" i="17" a="1"/>
  <c r="C506" i="17" a="1"/>
  <c r="C505" i="17" a="1"/>
  <c r="C504" i="17" a="1"/>
  <c r="C503" i="17" a="1"/>
  <c r="C502" i="17" a="1"/>
  <c r="C501" i="17" a="1"/>
  <c r="C500" i="17" a="1"/>
  <c r="C499" i="17" a="1"/>
  <c r="C498" i="17" a="1"/>
  <c r="C497" i="17" a="1"/>
  <c r="C496" i="17" a="1"/>
  <c r="C495" i="17" a="1"/>
  <c r="C494" i="17" a="1"/>
  <c r="C493" i="17" a="1"/>
  <c r="C492" i="17" a="1"/>
  <c r="C491" i="17" a="1"/>
  <c r="C490" i="17" a="1"/>
  <c r="C489" i="17" a="1"/>
  <c r="C488" i="17" a="1"/>
  <c r="C487" i="17" a="1"/>
  <c r="C486" i="17" a="1"/>
  <c r="C485" i="17" a="1"/>
  <c r="C484" i="17" a="1"/>
  <c r="C483" i="17" a="1"/>
  <c r="C482" i="17" a="1"/>
  <c r="C481" i="17" a="1"/>
  <c r="C480" i="17" a="1"/>
  <c r="C479" i="17" a="1"/>
  <c r="C478" i="17" a="1"/>
  <c r="C477" i="17" a="1"/>
  <c r="C476" i="17" a="1"/>
  <c r="C475" i="17" a="1"/>
  <c r="C474" i="17" a="1"/>
  <c r="C473" i="17" a="1"/>
  <c r="C472" i="17" a="1"/>
  <c r="C471" i="17" a="1"/>
  <c r="C470" i="17" a="1"/>
  <c r="C469" i="17" a="1"/>
  <c r="C468" i="17" a="1"/>
  <c r="C467" i="17" a="1"/>
  <c r="C466" i="17" a="1"/>
  <c r="C465" i="17" a="1"/>
  <c r="C464" i="17" a="1"/>
  <c r="C463" i="17" a="1"/>
  <c r="C462" i="17" a="1"/>
  <c r="C461" i="17" a="1"/>
  <c r="C460" i="17" a="1"/>
  <c r="C459" i="17" a="1"/>
  <c r="C458" i="17" a="1"/>
  <c r="C457" i="17" a="1"/>
  <c r="C456" i="17" a="1"/>
  <c r="C455" i="17" a="1"/>
  <c r="C454" i="17" a="1"/>
  <c r="C453" i="17" a="1"/>
  <c r="C452" i="17" a="1"/>
  <c r="C451" i="17" a="1"/>
  <c r="C450" i="17" a="1"/>
  <c r="C449" i="17" a="1"/>
  <c r="C448" i="17" a="1"/>
  <c r="C447" i="17" a="1"/>
  <c r="C446" i="17" a="1"/>
  <c r="C445" i="17" a="1"/>
  <c r="C444" i="17" a="1"/>
  <c r="C443" i="17" a="1"/>
  <c r="C442" i="17" a="1"/>
  <c r="C441" i="17" a="1"/>
  <c r="C440" i="17" a="1"/>
  <c r="C439" i="17" a="1"/>
  <c r="C438" i="17" a="1"/>
  <c r="C437" i="17" a="1"/>
  <c r="C436" i="17" a="1"/>
  <c r="C435" i="17" a="1"/>
  <c r="C434" i="17" a="1"/>
  <c r="C433" i="17" a="1"/>
  <c r="C432" i="17" a="1"/>
  <c r="C431" i="17" a="1"/>
  <c r="C430" i="17" a="1"/>
  <c r="C429" i="17" a="1"/>
  <c r="C428" i="17" a="1"/>
  <c r="C427" i="17" a="1"/>
  <c r="C426" i="17" a="1"/>
  <c r="C425" i="17" a="1"/>
  <c r="C424" i="17" a="1"/>
  <c r="C423" i="17" a="1"/>
  <c r="C422" i="17" a="1"/>
  <c r="C421" i="17" a="1"/>
  <c r="C420" i="17" a="1"/>
  <c r="C419" i="17" a="1"/>
  <c r="C418" i="17" a="1"/>
  <c r="C417" i="17" a="1"/>
  <c r="C416" i="17" a="1"/>
  <c r="C415" i="17" a="1"/>
  <c r="C414" i="17" a="1"/>
  <c r="C413" i="17" a="1"/>
  <c r="C412" i="17" a="1"/>
  <c r="C411" i="17" a="1"/>
  <c r="C410" i="17" a="1"/>
  <c r="C409" i="17" a="1"/>
  <c r="C408" i="17" a="1"/>
  <c r="C407" i="17" a="1"/>
  <c r="C406" i="17" a="1"/>
  <c r="C405" i="17" a="1"/>
  <c r="C404" i="17" a="1"/>
  <c r="C403" i="17" a="1"/>
  <c r="C402" i="17" a="1"/>
  <c r="C401" i="17" a="1"/>
  <c r="C400" i="17" a="1"/>
  <c r="C399" i="17" a="1"/>
  <c r="C398" i="17" a="1"/>
  <c r="C397" i="17" a="1"/>
  <c r="C396" i="17" a="1"/>
  <c r="C395" i="17" a="1"/>
  <c r="C394" i="17" a="1"/>
  <c r="C393" i="17" a="1"/>
  <c r="C392" i="17" a="1"/>
  <c r="C391" i="17" a="1"/>
  <c r="C390" i="17" a="1"/>
  <c r="C389" i="17" a="1"/>
  <c r="C388" i="17" a="1"/>
  <c r="C387" i="17" a="1"/>
  <c r="C386" i="17" a="1"/>
  <c r="C385" i="17" a="1"/>
  <c r="C384" i="17" a="1"/>
  <c r="C383" i="17" a="1"/>
  <c r="C382" i="17" a="1"/>
  <c r="C381" i="17" a="1"/>
  <c r="C380" i="17" a="1"/>
  <c r="C379" i="17" a="1"/>
  <c r="C378" i="17" a="1"/>
  <c r="C377" i="17" a="1"/>
  <c r="C376" i="17" a="1"/>
  <c r="C375" i="17" a="1"/>
  <c r="C374" i="17" a="1"/>
  <c r="C373" i="17" a="1"/>
  <c r="C372" i="17" a="1"/>
  <c r="C371" i="17" a="1"/>
  <c r="C370" i="17" a="1"/>
  <c r="C369" i="17" a="1"/>
  <c r="C368" i="17" a="1"/>
  <c r="C367" i="17" a="1"/>
  <c r="C366" i="17" a="1"/>
  <c r="C365" i="17" a="1"/>
  <c r="C364" i="17" a="1"/>
  <c r="C363" i="17" a="1"/>
  <c r="C362" i="17" a="1"/>
  <c r="C361" i="17" a="1"/>
  <c r="C360" i="17" a="1"/>
  <c r="C359" i="17" a="1"/>
  <c r="C358" i="17" a="1"/>
  <c r="C357" i="17" a="1"/>
  <c r="C356" i="17" a="1"/>
  <c r="C355" i="17" a="1"/>
  <c r="C354" i="17" a="1"/>
  <c r="C353" i="17" a="1"/>
  <c r="C352" i="17" a="1"/>
  <c r="C351" i="17" a="1"/>
  <c r="C350" i="17" a="1"/>
  <c r="C349" i="17" a="1"/>
  <c r="C348" i="17" a="1"/>
  <c r="C347" i="17" a="1"/>
  <c r="C346" i="17" a="1"/>
  <c r="C345" i="17" a="1"/>
  <c r="C344" i="17" a="1"/>
  <c r="C343" i="17" a="1"/>
  <c r="C342" i="17" a="1"/>
  <c r="C341" i="17" a="1"/>
  <c r="C340" i="17" a="1"/>
  <c r="C339" i="17" a="1"/>
  <c r="C338" i="17" a="1"/>
  <c r="C337" i="17" a="1"/>
  <c r="C336" i="17" a="1"/>
  <c r="C335" i="17" a="1"/>
  <c r="C334" i="17" a="1"/>
  <c r="C333" i="17" a="1"/>
  <c r="C332" i="17" a="1"/>
  <c r="C331" i="17" a="1"/>
  <c r="C330" i="17" a="1"/>
  <c r="C329" i="17" a="1"/>
  <c r="C328" i="17" a="1"/>
  <c r="C327" i="17" a="1"/>
  <c r="C326" i="17" a="1"/>
  <c r="C325" i="17" a="1"/>
  <c r="C324" i="17" a="1"/>
  <c r="C323" i="17" a="1"/>
  <c r="C322" i="17" a="1"/>
  <c r="C321" i="17" a="1"/>
  <c r="C320" i="17" a="1"/>
  <c r="C319" i="17" a="1"/>
  <c r="C318" i="17" a="1"/>
  <c r="C317" i="17" a="1"/>
  <c r="C316" i="17" a="1"/>
  <c r="C315" i="17" a="1"/>
  <c r="C314" i="17" a="1"/>
  <c r="C313" i="17" a="1"/>
  <c r="C312" i="17" a="1"/>
  <c r="C311" i="17" a="1"/>
  <c r="C310" i="17" a="1"/>
  <c r="C309" i="17" a="1"/>
  <c r="C308" i="17" a="1"/>
  <c r="C307" i="17" a="1"/>
  <c r="C306" i="17" a="1"/>
  <c r="C305" i="17" a="1"/>
  <c r="C304" i="17" a="1"/>
  <c r="C303" i="17" a="1"/>
  <c r="C302" i="17" a="1"/>
  <c r="C301" i="17" a="1"/>
  <c r="C300" i="17" a="1"/>
  <c r="C299" i="17" a="1"/>
  <c r="C298" i="17" a="1"/>
  <c r="C297" i="17" a="1"/>
  <c r="C296" i="17" a="1"/>
  <c r="C295" i="17" a="1"/>
  <c r="C294" i="17" a="1"/>
  <c r="C293" i="17" a="1"/>
  <c r="C292" i="17" a="1"/>
  <c r="C291" i="17" a="1"/>
  <c r="C290" i="17" a="1"/>
  <c r="C289" i="17" a="1"/>
  <c r="C288" i="17" a="1"/>
  <c r="C287" i="17" a="1"/>
  <c r="C286" i="17" a="1"/>
  <c r="C285" i="17" a="1"/>
  <c r="C284" i="17" a="1"/>
  <c r="C283" i="17" a="1"/>
  <c r="C282" i="17" a="1"/>
  <c r="C281" i="17" a="1"/>
  <c r="C280" i="17" a="1"/>
  <c r="C279" i="17" a="1"/>
  <c r="C278" i="17" a="1"/>
  <c r="C277" i="17" a="1"/>
  <c r="C276" i="17" a="1"/>
  <c r="C275" i="17" a="1"/>
  <c r="C274" i="17" a="1"/>
  <c r="C273" i="17" a="1"/>
  <c r="C272" i="17" a="1"/>
  <c r="C271" i="17" a="1"/>
  <c r="C270" i="17" a="1"/>
  <c r="C269" i="17" a="1"/>
  <c r="C268" i="17" a="1"/>
  <c r="C267" i="17" a="1"/>
  <c r="C266" i="17" a="1"/>
  <c r="C265" i="17" a="1"/>
  <c r="C264" i="17" a="1"/>
  <c r="C263" i="17" a="1"/>
  <c r="C262" i="17" a="1"/>
  <c r="C261" i="17" a="1"/>
  <c r="C260" i="17" a="1"/>
  <c r="C259" i="17" a="1"/>
  <c r="C258" i="17" a="1"/>
  <c r="C257" i="17" a="1"/>
  <c r="C256" i="17" a="1"/>
  <c r="C255" i="17" a="1"/>
  <c r="C254" i="17" a="1"/>
  <c r="C253" i="17" a="1"/>
  <c r="C252" i="17" a="1"/>
  <c r="C251" i="17" a="1"/>
  <c r="C250" i="17" a="1"/>
  <c r="C249" i="17" a="1"/>
  <c r="C248" i="17" a="1"/>
  <c r="C247" i="17" a="1"/>
  <c r="C246" i="17" a="1"/>
  <c r="C245" i="17" a="1"/>
  <c r="C244" i="17" a="1"/>
  <c r="C243" i="17" a="1"/>
  <c r="C242" i="17" a="1"/>
  <c r="C241" i="17" a="1"/>
  <c r="C240" i="17" a="1"/>
  <c r="C239" i="17" a="1"/>
  <c r="C238" i="17" a="1"/>
  <c r="C237" i="17" a="1"/>
  <c r="C236" i="17" a="1"/>
  <c r="C235" i="17" a="1"/>
  <c r="C234" i="17" a="1"/>
  <c r="C233" i="17" a="1"/>
  <c r="C232" i="17" a="1"/>
  <c r="C231" i="17" a="1"/>
  <c r="C230" i="17" a="1"/>
  <c r="C229" i="17" a="1"/>
  <c r="C228" i="17" a="1"/>
  <c r="C227" i="17" a="1"/>
  <c r="C226" i="17" a="1"/>
  <c r="C225" i="17" a="1"/>
  <c r="C224" i="17" a="1"/>
  <c r="C223" i="17" a="1"/>
  <c r="C222" i="17" a="1"/>
  <c r="C221" i="17" a="1"/>
  <c r="C220" i="17" a="1"/>
  <c r="C219" i="17" a="1"/>
  <c r="C218" i="17" a="1"/>
  <c r="C217" i="17" a="1"/>
  <c r="C216" i="17" a="1"/>
  <c r="C215" i="17" a="1"/>
  <c r="C214" i="17" a="1"/>
  <c r="C213" i="17" a="1"/>
  <c r="C212" i="17" a="1"/>
  <c r="C211" i="17" a="1"/>
  <c r="C210" i="17" a="1"/>
  <c r="C209" i="17" a="1"/>
  <c r="C208" i="17" a="1"/>
  <c r="C207" i="17" a="1"/>
  <c r="C206" i="17" a="1"/>
  <c r="C205" i="17" a="1"/>
  <c r="C204" i="17" a="1"/>
  <c r="C203" i="17" a="1"/>
  <c r="C202" i="17" a="1"/>
  <c r="C201" i="17" a="1"/>
  <c r="C200" i="17" a="1"/>
  <c r="C199" i="17" a="1"/>
  <c r="C198" i="17" a="1"/>
  <c r="C197" i="17" a="1"/>
  <c r="C196" i="17" a="1"/>
  <c r="C195" i="17" a="1"/>
  <c r="C194" i="17" a="1"/>
  <c r="C193" i="17" a="1"/>
  <c r="C192" i="17" a="1"/>
  <c r="C191" i="17" a="1"/>
  <c r="C190" i="17" a="1"/>
  <c r="C189" i="17" a="1"/>
  <c r="C188" i="17" a="1"/>
  <c r="C187" i="17" a="1"/>
  <c r="C186" i="17" a="1"/>
  <c r="C185" i="17" a="1"/>
  <c r="C184" i="17" a="1"/>
  <c r="C183" i="17" a="1"/>
  <c r="C182" i="17" a="1"/>
  <c r="C181" i="17" a="1"/>
  <c r="C180" i="17" a="1"/>
  <c r="C179" i="17" a="1"/>
  <c r="C178" i="17" a="1"/>
  <c r="C177" i="17" a="1"/>
  <c r="C176" i="17" a="1"/>
  <c r="C175" i="17" a="1"/>
  <c r="C174" i="17" a="1"/>
  <c r="C173" i="17" a="1"/>
  <c r="C172" i="17" a="1"/>
  <c r="C171" i="17" a="1"/>
  <c r="C170" i="17" a="1"/>
  <c r="C169" i="17" a="1"/>
  <c r="C168" i="17" a="1"/>
  <c r="C167" i="17" a="1"/>
  <c r="C166" i="17" a="1"/>
  <c r="C165" i="17" a="1"/>
  <c r="C164" i="17" a="1"/>
  <c r="C163" i="17" a="1"/>
  <c r="C162" i="17" a="1"/>
  <c r="C161" i="17" a="1"/>
  <c r="C160" i="17" a="1"/>
  <c r="C159" i="17" a="1"/>
  <c r="C158" i="17" a="1"/>
  <c r="C157" i="17" a="1"/>
  <c r="C156" i="17" a="1"/>
  <c r="C155" i="17" a="1"/>
  <c r="C154" i="17" a="1"/>
  <c r="C153" i="17" a="1"/>
  <c r="C152" i="17" a="1"/>
  <c r="C151" i="17" a="1"/>
  <c r="C150" i="17" a="1"/>
  <c r="C149" i="17" a="1"/>
  <c r="C148" i="17" a="1"/>
  <c r="C147" i="17" a="1"/>
  <c r="C146" i="17" a="1"/>
  <c r="C145" i="17" a="1"/>
  <c r="C144" i="17" a="1"/>
  <c r="C143" i="17" a="1"/>
  <c r="C142" i="17" a="1"/>
  <c r="C141" i="17" a="1"/>
  <c r="C140" i="17" a="1"/>
  <c r="C139" i="17" a="1"/>
  <c r="C138" i="17" a="1"/>
  <c r="C137" i="17" a="1"/>
  <c r="C136" i="17" a="1"/>
  <c r="C135" i="17" a="1"/>
  <c r="C134" i="17" a="1"/>
  <c r="C133" i="17" a="1"/>
  <c r="C132" i="17" a="1"/>
  <c r="C131" i="17" a="1"/>
  <c r="C130" i="17" a="1"/>
  <c r="C129" i="17" a="1"/>
  <c r="C128" i="17" a="1"/>
  <c r="C127" i="17" a="1"/>
  <c r="C126" i="17" a="1"/>
  <c r="C125" i="17" a="1"/>
  <c r="C124" i="17" a="1"/>
  <c r="C123" i="17" a="1"/>
  <c r="C122" i="17" a="1"/>
  <c r="C121" i="17" a="1"/>
  <c r="C120" i="17" a="1"/>
  <c r="C119" i="17" a="1"/>
  <c r="C118" i="17" a="1"/>
  <c r="C117" i="17" a="1"/>
  <c r="C116" i="17" a="1"/>
  <c r="C115" i="17" a="1"/>
  <c r="C114" i="17" a="1"/>
  <c r="C113" i="17" a="1"/>
  <c r="C112" i="17" a="1"/>
  <c r="C111" i="17" a="1"/>
  <c r="C110" i="17" a="1"/>
  <c r="C109" i="17" a="1"/>
  <c r="C108" i="17" a="1"/>
  <c r="C107" i="17" a="1"/>
  <c r="C106" i="17" a="1"/>
  <c r="C105" i="17" a="1"/>
  <c r="C104" i="17" a="1"/>
  <c r="C103" i="17" a="1"/>
  <c r="C102" i="17" a="1"/>
  <c r="C101" i="17" a="1"/>
  <c r="C100" i="17" a="1"/>
  <c r="C99" i="17" a="1"/>
  <c r="C98" i="17" a="1"/>
  <c r="C97" i="17" a="1"/>
  <c r="C96" i="17" a="1"/>
  <c r="C95" i="17" a="1"/>
  <c r="C94" i="17" a="1"/>
  <c r="C93" i="17" a="1"/>
  <c r="C92" i="17" a="1"/>
  <c r="C91" i="17" a="1"/>
  <c r="C90" i="17" a="1"/>
  <c r="C89" i="17" a="1"/>
  <c r="C88" i="17" a="1"/>
  <c r="C87" i="17" a="1"/>
  <c r="C86" i="17" a="1"/>
  <c r="C85" i="17" a="1"/>
  <c r="C84" i="17" a="1"/>
  <c r="C83" i="17" a="1"/>
  <c r="C82" i="17" a="1"/>
  <c r="C81" i="17" a="1"/>
  <c r="C80" i="17" a="1"/>
  <c r="C79" i="17" a="1"/>
  <c r="C78" i="17" a="1"/>
  <c r="C77" i="17" a="1"/>
  <c r="C76" i="17" a="1"/>
  <c r="C75" i="17" a="1"/>
  <c r="C74" i="17" a="1"/>
  <c r="C73" i="17" a="1"/>
  <c r="C72" i="17" a="1"/>
  <c r="C71" i="17" a="1"/>
  <c r="C70" i="17" a="1"/>
  <c r="C69" i="17" a="1"/>
  <c r="C68" i="17" a="1"/>
  <c r="C67" i="17" a="1"/>
  <c r="C66" i="17" a="1"/>
  <c r="C65" i="17" a="1"/>
  <c r="C64" i="17" a="1"/>
  <c r="C63" i="17" a="1"/>
  <c r="C62" i="17" a="1"/>
  <c r="C61" i="17" a="1"/>
  <c r="C60" i="17" a="1"/>
  <c r="C59" i="17" a="1"/>
  <c r="C58" i="17" a="1"/>
  <c r="C57" i="17" a="1"/>
  <c r="C56" i="17" a="1"/>
  <c r="C55" i="17" a="1"/>
  <c r="C54" i="17" a="1"/>
  <c r="C53" i="17" a="1"/>
  <c r="C52" i="17" a="1"/>
  <c r="C51" i="17" a="1"/>
  <c r="C50" i="17" a="1"/>
  <c r="C49" i="17" a="1"/>
  <c r="C48" i="17" a="1"/>
  <c r="C47" i="17" a="1"/>
  <c r="C46" i="17" a="1"/>
  <c r="C45" i="17" a="1"/>
  <c r="C44" i="17" a="1"/>
  <c r="C43" i="17" a="1"/>
  <c r="C42" i="17" a="1"/>
  <c r="C41" i="17" a="1"/>
  <c r="C40" i="17" a="1"/>
  <c r="C39" i="17" a="1"/>
  <c r="C38" i="17" a="1"/>
  <c r="C37" i="17" a="1"/>
  <c r="C36" i="17" a="1"/>
  <c r="C35" i="17" a="1"/>
  <c r="C34" i="17" a="1"/>
  <c r="C33" i="17" a="1"/>
  <c r="C32" i="17" a="1"/>
  <c r="C31" i="17" a="1"/>
  <c r="C30" i="17" a="1"/>
  <c r="C29" i="17" a="1"/>
  <c r="C28" i="17" a="1"/>
  <c r="C27" i="17" a="1"/>
  <c r="C26" i="17" a="1"/>
  <c r="C25" i="17" a="1"/>
  <c r="C24" i="17" a="1"/>
  <c r="C23" i="17" a="1"/>
  <c r="C22" i="17" a="1"/>
  <c r="C21" i="17" a="1"/>
  <c r="C20" i="17" a="1"/>
  <c r="C19" i="17" a="1"/>
  <c r="C18" i="17" a="1"/>
  <c r="C17" i="17" a="1"/>
  <c r="C16" i="17" a="1"/>
  <c r="C15" i="17" a="1"/>
  <c r="C14" i="17" a="1"/>
  <c r="C13" i="17" a="1"/>
  <c r="C12" i="17" a="1"/>
  <c r="C11" i="17" a="1"/>
  <c r="C10" i="17" a="1"/>
  <c r="C9" i="17" a="1"/>
  <c r="C8" i="17" a="1"/>
  <c r="C7" i="17" a="1"/>
  <c r="C6" i="17" a="1"/>
  <c r="C5" i="17" a="1"/>
  <c r="C4" i="17" a="1"/>
  <c r="C3" i="17" a="1"/>
  <c r="C2" i="17" a="1"/>
  <c r="AF909" i="1"/>
  <c r="AG909" i="1" a="1"/>
  <c r="AH909" i="1" a="1"/>
  <c r="AI909" i="1" a="1"/>
  <c r="S909" i="17"/>
  <c r="H909" i="17"/>
  <c r="E909" i="17"/>
  <c r="F909" i="17" a="1"/>
  <c r="K909" i="17" a="1"/>
  <c r="M909" i="17" a="1"/>
  <c r="N909" i="17"/>
  <c r="U909" i="17"/>
  <c r="V909" i="17" a="1"/>
  <c r="B909" i="14"/>
  <c r="I909" i="14"/>
  <c r="J909" i="14"/>
  <c r="K909" i="14"/>
  <c r="L909" i="14"/>
  <c r="N909" i="14"/>
  <c r="O909" i="14"/>
  <c r="P909" i="14"/>
  <c r="AF908" i="1"/>
  <c r="AG908" i="1" a="1"/>
  <c r="AH908" i="1" a="1"/>
  <c r="AI908" i="1" a="1"/>
  <c r="E908" i="17"/>
  <c r="F908" i="17" a="1"/>
  <c r="K908" i="17" a="1"/>
  <c r="M908" i="17" a="1"/>
  <c r="N908" i="17"/>
  <c r="S908" i="17"/>
  <c r="V908" i="17" a="1"/>
  <c r="B908" i="14"/>
  <c r="I908" i="14"/>
  <c r="J908" i="14"/>
  <c r="K908" i="14"/>
  <c r="L908" i="14"/>
  <c r="N908" i="14"/>
  <c r="O908" i="14"/>
  <c r="P908" i="14"/>
  <c r="AF907" i="1"/>
  <c r="AG907" i="1" a="1"/>
  <c r="AH907" i="1" a="1"/>
  <c r="AI907" i="1" a="1"/>
  <c r="S907" i="17"/>
  <c r="E907" i="17"/>
  <c r="F907" i="17" a="1"/>
  <c r="K907" i="17" a="1"/>
  <c r="M907" i="17" a="1"/>
  <c r="N907" i="17"/>
  <c r="V907" i="17" a="1"/>
  <c r="B907" i="14"/>
  <c r="I907" i="14"/>
  <c r="J907" i="14"/>
  <c r="K907" i="14"/>
  <c r="L907" i="14"/>
  <c r="N907" i="14"/>
  <c r="O907" i="14"/>
  <c r="P907" i="14"/>
  <c r="AF906" i="1"/>
  <c r="AG906" i="1" a="1"/>
  <c r="AH906" i="1" a="1"/>
  <c r="AI906" i="1" a="1"/>
  <c r="F2" i="17" a="1"/>
  <c r="F3" i="17" a="1"/>
  <c r="F4" i="17" a="1"/>
  <c r="F5" i="17" a="1"/>
  <c r="F6" i="17" a="1"/>
  <c r="F7" i="17" a="1"/>
  <c r="F8" i="17" a="1"/>
  <c r="F9" i="17" a="1"/>
  <c r="F10" i="17" a="1"/>
  <c r="F11" i="17" a="1"/>
  <c r="F12" i="17" a="1"/>
  <c r="F13" i="17" a="1"/>
  <c r="F14" i="17" a="1"/>
  <c r="F15" i="17" a="1"/>
  <c r="F16" i="17" a="1"/>
  <c r="F17" i="17" a="1"/>
  <c r="F18" i="17" a="1"/>
  <c r="F19" i="17" a="1"/>
  <c r="F20" i="17" a="1"/>
  <c r="F21" i="17" a="1"/>
  <c r="F22" i="17" a="1"/>
  <c r="F23" i="17" a="1"/>
  <c r="F24" i="17" a="1"/>
  <c r="F25" i="17" a="1"/>
  <c r="F26" i="17" a="1"/>
  <c r="F27" i="17" a="1"/>
  <c r="F28" i="17" a="1"/>
  <c r="F29" i="17" a="1"/>
  <c r="F30" i="17" a="1"/>
  <c r="F31" i="17" a="1"/>
  <c r="F32" i="17" a="1"/>
  <c r="F33" i="17" a="1"/>
  <c r="F34" i="17" a="1"/>
  <c r="F35" i="17" a="1"/>
  <c r="F36" i="17" a="1"/>
  <c r="F37" i="17" a="1"/>
  <c r="F38" i="17" a="1"/>
  <c r="F39" i="17" a="1"/>
  <c r="F40" i="17" a="1"/>
  <c r="F41" i="17" a="1"/>
  <c r="F42" i="17" a="1"/>
  <c r="F43" i="17" a="1"/>
  <c r="F44" i="17" a="1"/>
  <c r="F45" i="17" a="1"/>
  <c r="F46" i="17" a="1"/>
  <c r="F47" i="17" a="1"/>
  <c r="F48" i="17" a="1"/>
  <c r="F49" i="17" a="1"/>
  <c r="F50" i="17" a="1"/>
  <c r="F51" i="17" a="1"/>
  <c r="F52" i="17" a="1"/>
  <c r="F53" i="17" a="1"/>
  <c r="F54" i="17" a="1"/>
  <c r="F55" i="17" a="1"/>
  <c r="F56" i="17" a="1"/>
  <c r="F57" i="17" a="1"/>
  <c r="F58" i="17" a="1"/>
  <c r="F59" i="17" a="1"/>
  <c r="F60" i="17" a="1"/>
  <c r="F61" i="17" a="1"/>
  <c r="F62" i="17" a="1"/>
  <c r="F63" i="17" a="1"/>
  <c r="F64" i="17" a="1"/>
  <c r="F65" i="17" a="1"/>
  <c r="F66" i="17" a="1"/>
  <c r="F67" i="17" a="1"/>
  <c r="F68" i="17" a="1"/>
  <c r="F69" i="17" a="1"/>
  <c r="F70" i="17" a="1"/>
  <c r="F71" i="17" a="1"/>
  <c r="F72" i="17" a="1"/>
  <c r="F73" i="17" a="1"/>
  <c r="F74" i="17" a="1"/>
  <c r="F75" i="17" a="1"/>
  <c r="F76" i="17" a="1"/>
  <c r="F77" i="17" a="1"/>
  <c r="F78" i="17" a="1"/>
  <c r="F79" i="17" a="1"/>
  <c r="F80" i="17" a="1"/>
  <c r="F81" i="17" a="1"/>
  <c r="F82" i="17" a="1"/>
  <c r="F83" i="17" a="1"/>
  <c r="F84" i="17" a="1"/>
  <c r="F85" i="17" a="1"/>
  <c r="F86" i="17" a="1"/>
  <c r="F87" i="17" a="1"/>
  <c r="F88" i="17" a="1"/>
  <c r="F89" i="17" a="1"/>
  <c r="F90" i="17" a="1"/>
  <c r="F91" i="17" a="1"/>
  <c r="F92" i="17" a="1"/>
  <c r="F93" i="17" a="1"/>
  <c r="F94" i="17" a="1"/>
  <c r="F95" i="17" a="1"/>
  <c r="F96" i="17" a="1"/>
  <c r="F97" i="17" a="1"/>
  <c r="F98" i="17" a="1"/>
  <c r="F99" i="17" a="1"/>
  <c r="F100" i="17" a="1"/>
  <c r="F101" i="17" a="1"/>
  <c r="F102" i="17" a="1"/>
  <c r="F103" i="17" a="1"/>
  <c r="F104" i="17" a="1"/>
  <c r="F105" i="17" a="1"/>
  <c r="F106" i="17" a="1"/>
  <c r="F107" i="17" a="1"/>
  <c r="F108" i="17" a="1"/>
  <c r="F109" i="17" a="1"/>
  <c r="F110" i="17" a="1"/>
  <c r="F111" i="17" a="1"/>
  <c r="F112" i="17" a="1"/>
  <c r="F113" i="17" a="1"/>
  <c r="F114" i="17" a="1"/>
  <c r="F115" i="17" a="1"/>
  <c r="F116" i="17" a="1"/>
  <c r="F117" i="17" a="1"/>
  <c r="F118" i="17" a="1"/>
  <c r="F119" i="17" a="1"/>
  <c r="F120" i="17" a="1"/>
  <c r="F121" i="17" a="1"/>
  <c r="F122" i="17" a="1"/>
  <c r="F123" i="17" a="1"/>
  <c r="F124" i="17" a="1"/>
  <c r="F125" i="17" a="1"/>
  <c r="F126" i="17" a="1"/>
  <c r="F127" i="17" a="1"/>
  <c r="F128" i="17" a="1"/>
  <c r="F129" i="17" a="1"/>
  <c r="F130" i="17" a="1"/>
  <c r="F131" i="17" a="1"/>
  <c r="F132" i="17" a="1"/>
  <c r="F133" i="17" a="1"/>
  <c r="F134" i="17" a="1"/>
  <c r="F135" i="17" a="1"/>
  <c r="F136" i="17" a="1"/>
  <c r="F137" i="17" a="1"/>
  <c r="F138" i="17" a="1"/>
  <c r="F139" i="17" a="1"/>
  <c r="F140" i="17" a="1"/>
  <c r="F141" i="17" a="1"/>
  <c r="F142" i="17" a="1"/>
  <c r="F143" i="17" a="1"/>
  <c r="F144" i="17" a="1"/>
  <c r="F145" i="17" a="1"/>
  <c r="F146" i="17" a="1"/>
  <c r="F147" i="17" a="1"/>
  <c r="F148" i="17" a="1"/>
  <c r="F149" i="17" a="1"/>
  <c r="F150" i="17" a="1"/>
  <c r="F151" i="17" a="1"/>
  <c r="F152" i="17" a="1"/>
  <c r="F153" i="17" a="1"/>
  <c r="F154" i="17" a="1"/>
  <c r="F155" i="17" a="1"/>
  <c r="F156" i="17" a="1"/>
  <c r="F157" i="17" a="1"/>
  <c r="F158" i="17" a="1"/>
  <c r="F159" i="17" a="1"/>
  <c r="F160" i="17" a="1"/>
  <c r="F161" i="17" a="1"/>
  <c r="F162" i="17" a="1"/>
  <c r="F163" i="17" a="1"/>
  <c r="F164" i="17" a="1"/>
  <c r="F165" i="17" a="1"/>
  <c r="F166" i="17" a="1"/>
  <c r="F167" i="17" a="1"/>
  <c r="F168" i="17" a="1"/>
  <c r="F169" i="17" a="1"/>
  <c r="F170" i="17" a="1"/>
  <c r="F171" i="17" a="1"/>
  <c r="F172" i="17" a="1"/>
  <c r="F173" i="17" a="1"/>
  <c r="F174" i="17" a="1"/>
  <c r="F175" i="17" a="1"/>
  <c r="F176" i="17" a="1"/>
  <c r="F177" i="17" a="1"/>
  <c r="F178" i="17" a="1"/>
  <c r="F179" i="17" a="1"/>
  <c r="F180" i="17" a="1"/>
  <c r="F181" i="17" a="1"/>
  <c r="F182" i="17" a="1"/>
  <c r="F183" i="17" a="1"/>
  <c r="F184" i="17" a="1"/>
  <c r="F185" i="17" a="1"/>
  <c r="F186" i="17" a="1"/>
  <c r="F187" i="17" a="1"/>
  <c r="F188" i="17" a="1"/>
  <c r="F189" i="17" a="1"/>
  <c r="F190" i="17" a="1"/>
  <c r="F191" i="17" a="1"/>
  <c r="F192" i="17" a="1"/>
  <c r="F193" i="17" a="1"/>
  <c r="F194" i="17" a="1"/>
  <c r="F195" i="17" a="1"/>
  <c r="F196" i="17" a="1"/>
  <c r="F197" i="17" a="1"/>
  <c r="F198" i="17" a="1"/>
  <c r="F199" i="17" a="1"/>
  <c r="F200" i="17" a="1"/>
  <c r="F201" i="17" a="1"/>
  <c r="F202" i="17" a="1"/>
  <c r="F203" i="17" a="1"/>
  <c r="F204" i="17" a="1"/>
  <c r="F205" i="17" a="1"/>
  <c r="F206" i="17" a="1"/>
  <c r="F207" i="17" a="1"/>
  <c r="F208" i="17" a="1"/>
  <c r="F209" i="17" a="1"/>
  <c r="F210" i="17" a="1"/>
  <c r="F211" i="17" a="1"/>
  <c r="F212" i="17" a="1"/>
  <c r="F213" i="17" a="1"/>
  <c r="F214" i="17" a="1"/>
  <c r="F215" i="17" a="1"/>
  <c r="F216" i="17" a="1"/>
  <c r="F217" i="17" a="1"/>
  <c r="F218" i="17" a="1"/>
  <c r="F219" i="17" a="1"/>
  <c r="F220" i="17" a="1"/>
  <c r="F221" i="17" a="1"/>
  <c r="F222" i="17" a="1"/>
  <c r="F223" i="17" a="1"/>
  <c r="F224" i="17" a="1"/>
  <c r="F225" i="17" a="1"/>
  <c r="F226" i="17" a="1"/>
  <c r="F227" i="17" a="1"/>
  <c r="F228" i="17" a="1"/>
  <c r="F229" i="17" a="1"/>
  <c r="F230" i="17" a="1"/>
  <c r="F231" i="17" a="1"/>
  <c r="F232" i="17" a="1"/>
  <c r="F233" i="17" a="1"/>
  <c r="F234" i="17" a="1"/>
  <c r="F235" i="17" a="1"/>
  <c r="F236" i="17" a="1"/>
  <c r="F237" i="17" a="1"/>
  <c r="F238" i="17" a="1"/>
  <c r="F239" i="17" a="1"/>
  <c r="F240" i="17" a="1"/>
  <c r="F241" i="17" a="1"/>
  <c r="F242" i="17" a="1"/>
  <c r="F243" i="17" a="1"/>
  <c r="F244" i="17" a="1"/>
  <c r="F245" i="17" a="1"/>
  <c r="F246" i="17" a="1"/>
  <c r="F247" i="17" a="1"/>
  <c r="F248" i="17" a="1"/>
  <c r="F249" i="17" a="1"/>
  <c r="F250" i="17" a="1"/>
  <c r="F251" i="17" a="1"/>
  <c r="F252" i="17" a="1"/>
  <c r="F253" i="17" a="1"/>
  <c r="F254" i="17" a="1"/>
  <c r="F255" i="17" a="1"/>
  <c r="F256" i="17" a="1"/>
  <c r="F257" i="17" a="1"/>
  <c r="F258" i="17" a="1"/>
  <c r="F259" i="17" a="1"/>
  <c r="F260" i="17" a="1"/>
  <c r="F261" i="17" a="1"/>
  <c r="F262" i="17" a="1"/>
  <c r="F263" i="17" a="1"/>
  <c r="F264" i="17" a="1"/>
  <c r="F265" i="17" a="1"/>
  <c r="F266" i="17" a="1"/>
  <c r="F267" i="17" a="1"/>
  <c r="F268" i="17" a="1"/>
  <c r="F269" i="17" a="1"/>
  <c r="F270" i="17" a="1"/>
  <c r="F271" i="17" a="1"/>
  <c r="F272" i="17" a="1"/>
  <c r="F273" i="17" a="1"/>
  <c r="F274" i="17" a="1"/>
  <c r="F275" i="17" a="1"/>
  <c r="F276" i="17" a="1"/>
  <c r="F277" i="17" a="1"/>
  <c r="F278" i="17" a="1"/>
  <c r="F279" i="17" a="1"/>
  <c r="F280" i="17" a="1"/>
  <c r="F281" i="17" a="1"/>
  <c r="F282" i="17" a="1"/>
  <c r="F283" i="17" a="1"/>
  <c r="F284" i="17" a="1"/>
  <c r="F285" i="17" a="1"/>
  <c r="F286" i="17" a="1"/>
  <c r="F287" i="17" a="1"/>
  <c r="F288" i="17" a="1"/>
  <c r="F289" i="17" a="1"/>
  <c r="F290" i="17" a="1"/>
  <c r="F291" i="17" a="1"/>
  <c r="F292" i="17" a="1"/>
  <c r="F293" i="17" a="1"/>
  <c r="F294" i="17" a="1"/>
  <c r="F295" i="17" a="1"/>
  <c r="F296" i="17" a="1"/>
  <c r="F297" i="17" a="1"/>
  <c r="F298" i="17" a="1"/>
  <c r="F299" i="17" a="1"/>
  <c r="F300" i="17" a="1"/>
  <c r="F301" i="17" a="1"/>
  <c r="F302" i="17" a="1"/>
  <c r="F303" i="17" a="1"/>
  <c r="F304" i="17" a="1"/>
  <c r="F305" i="17" a="1"/>
  <c r="F306" i="17" a="1"/>
  <c r="F307" i="17" a="1"/>
  <c r="F308" i="17" a="1"/>
  <c r="F309" i="17" a="1"/>
  <c r="F310" i="17" a="1"/>
  <c r="F311" i="17" a="1"/>
  <c r="F312" i="17" a="1"/>
  <c r="F313" i="17" a="1"/>
  <c r="F314" i="17" a="1"/>
  <c r="F315" i="17" a="1"/>
  <c r="F316" i="17" a="1"/>
  <c r="F317" i="17" a="1"/>
  <c r="F318" i="17" a="1"/>
  <c r="F319" i="17" a="1"/>
  <c r="F320" i="17" a="1"/>
  <c r="F321" i="17" a="1"/>
  <c r="F322" i="17" a="1"/>
  <c r="F323" i="17" a="1"/>
  <c r="F324" i="17" a="1"/>
  <c r="F325" i="17" a="1"/>
  <c r="F326" i="17" a="1"/>
  <c r="F327" i="17" a="1"/>
  <c r="F328" i="17" a="1"/>
  <c r="F329" i="17" a="1"/>
  <c r="F330" i="17" a="1"/>
  <c r="F331" i="17" a="1"/>
  <c r="F332" i="17" a="1"/>
  <c r="F333" i="17" a="1"/>
  <c r="F334" i="17" a="1"/>
  <c r="F335" i="17" a="1"/>
  <c r="F336" i="17" a="1"/>
  <c r="F337" i="17" a="1"/>
  <c r="F338" i="17" a="1"/>
  <c r="F339" i="17" a="1"/>
  <c r="F340" i="17" a="1"/>
  <c r="F341" i="17" a="1"/>
  <c r="F342" i="17" a="1"/>
  <c r="F343" i="17" a="1"/>
  <c r="F344" i="17" a="1"/>
  <c r="F345" i="17" a="1"/>
  <c r="F346" i="17" a="1"/>
  <c r="F347" i="17" a="1"/>
  <c r="F348" i="17" a="1"/>
  <c r="F349" i="17" a="1"/>
  <c r="F350" i="17" a="1"/>
  <c r="F351" i="17" a="1"/>
  <c r="F352" i="17" a="1"/>
  <c r="F353" i="17" a="1"/>
  <c r="F354" i="17" a="1"/>
  <c r="F355" i="17" a="1"/>
  <c r="F356" i="17" a="1"/>
  <c r="F357" i="17" a="1"/>
  <c r="F358" i="17" a="1"/>
  <c r="F359" i="17" a="1"/>
  <c r="F360" i="17" a="1"/>
  <c r="F361" i="17" a="1"/>
  <c r="F362" i="17" a="1"/>
  <c r="F363" i="17" a="1"/>
  <c r="F364" i="17" a="1"/>
  <c r="F365" i="17" a="1"/>
  <c r="F366" i="17" a="1"/>
  <c r="F367" i="17" a="1"/>
  <c r="F368" i="17" a="1"/>
  <c r="F369" i="17" a="1"/>
  <c r="F370" i="17" a="1"/>
  <c r="F371" i="17" a="1"/>
  <c r="F372" i="17" a="1"/>
  <c r="F373" i="17" a="1"/>
  <c r="F374" i="17" a="1"/>
  <c r="F375" i="17" a="1"/>
  <c r="F376" i="17" a="1"/>
  <c r="F377" i="17" a="1"/>
  <c r="F378" i="17" a="1"/>
  <c r="F379" i="17" a="1"/>
  <c r="F380" i="17" a="1"/>
  <c r="F381" i="17" a="1"/>
  <c r="F382" i="17" a="1"/>
  <c r="F383" i="17" a="1"/>
  <c r="F384" i="17" a="1"/>
  <c r="F385" i="17" a="1"/>
  <c r="F386" i="17" a="1"/>
  <c r="F387" i="17" a="1"/>
  <c r="F388" i="17" a="1"/>
  <c r="F389" i="17" a="1"/>
  <c r="F390" i="17" a="1"/>
  <c r="F391" i="17" a="1"/>
  <c r="F392" i="17" a="1"/>
  <c r="F393" i="17" a="1"/>
  <c r="F394" i="17" a="1"/>
  <c r="F395" i="17" a="1"/>
  <c r="F396" i="17" a="1"/>
  <c r="F397" i="17" a="1"/>
  <c r="F398" i="17" a="1"/>
  <c r="F399" i="17" a="1"/>
  <c r="F400" i="17" a="1"/>
  <c r="F401" i="17" a="1"/>
  <c r="F402" i="17" a="1"/>
  <c r="F403" i="17" a="1"/>
  <c r="F404" i="17" a="1"/>
  <c r="F405" i="17" a="1"/>
  <c r="F406" i="17" a="1"/>
  <c r="F407" i="17" a="1"/>
  <c r="F408" i="17" a="1"/>
  <c r="F409" i="17" a="1"/>
  <c r="F410" i="17" a="1"/>
  <c r="F411" i="17" a="1"/>
  <c r="F412" i="17" a="1"/>
  <c r="F413" i="17" a="1"/>
  <c r="F414" i="17" a="1"/>
  <c r="F415" i="17" a="1"/>
  <c r="F416" i="17" a="1"/>
  <c r="F417" i="17" a="1"/>
  <c r="F418" i="17" a="1"/>
  <c r="F419" i="17" a="1"/>
  <c r="F420" i="17" a="1"/>
  <c r="F421" i="17" a="1"/>
  <c r="F422" i="17" a="1"/>
  <c r="F423" i="17" a="1"/>
  <c r="F424" i="17" a="1"/>
  <c r="F425" i="17" a="1"/>
  <c r="F426" i="17" a="1"/>
  <c r="F427" i="17" a="1"/>
  <c r="F428" i="17" a="1"/>
  <c r="F429" i="17" a="1"/>
  <c r="F430" i="17" a="1"/>
  <c r="F431" i="17" a="1"/>
  <c r="F432" i="17" a="1"/>
  <c r="F433" i="17" a="1"/>
  <c r="F434" i="17" a="1"/>
  <c r="F435" i="17" a="1"/>
  <c r="F436" i="17" a="1"/>
  <c r="F437" i="17" a="1"/>
  <c r="F438" i="17" a="1"/>
  <c r="F439" i="17" a="1"/>
  <c r="F440" i="17" a="1"/>
  <c r="F441" i="17" a="1"/>
  <c r="F442" i="17" a="1"/>
  <c r="F443" i="17" a="1"/>
  <c r="F444" i="17" a="1"/>
  <c r="F445" i="17" a="1"/>
  <c r="F446" i="17" a="1"/>
  <c r="F447" i="17" a="1"/>
  <c r="F448" i="17" a="1"/>
  <c r="F449" i="17" a="1"/>
  <c r="F450" i="17" a="1"/>
  <c r="F451" i="17" a="1"/>
  <c r="F452" i="17" a="1"/>
  <c r="F453" i="17" a="1"/>
  <c r="F454" i="17" a="1"/>
  <c r="F455" i="17" a="1"/>
  <c r="F456" i="17" a="1"/>
  <c r="F457" i="17" a="1"/>
  <c r="F458" i="17" a="1"/>
  <c r="F459" i="17" a="1"/>
  <c r="F460" i="17" a="1"/>
  <c r="F461" i="17" a="1"/>
  <c r="F462" i="17" a="1"/>
  <c r="F463" i="17" a="1"/>
  <c r="F464" i="17" a="1"/>
  <c r="F465" i="17" a="1"/>
  <c r="F466" i="17" a="1"/>
  <c r="F467" i="17" a="1"/>
  <c r="F468" i="17" a="1"/>
  <c r="F469" i="17" a="1"/>
  <c r="F470" i="17" a="1"/>
  <c r="F471" i="17" a="1"/>
  <c r="F472" i="17" a="1"/>
  <c r="F473" i="17" a="1"/>
  <c r="F474" i="17" a="1"/>
  <c r="F475" i="17" a="1"/>
  <c r="F476" i="17" a="1"/>
  <c r="F477" i="17" a="1"/>
  <c r="F478" i="17" a="1"/>
  <c r="F479" i="17" a="1"/>
  <c r="F480" i="17" a="1"/>
  <c r="F481" i="17" a="1"/>
  <c r="F482" i="17" a="1"/>
  <c r="F483" i="17" a="1"/>
  <c r="F484" i="17" a="1"/>
  <c r="F485" i="17" a="1"/>
  <c r="F486" i="17" a="1"/>
  <c r="F487" i="17" a="1"/>
  <c r="F488" i="17" a="1"/>
  <c r="F489" i="17" a="1"/>
  <c r="F490" i="17" a="1"/>
  <c r="F491" i="17" a="1"/>
  <c r="F492" i="17" a="1"/>
  <c r="F493" i="17" a="1"/>
  <c r="F494" i="17" a="1"/>
  <c r="F495" i="17" a="1"/>
  <c r="F496" i="17" a="1"/>
  <c r="F497" i="17" a="1"/>
  <c r="F498" i="17" a="1"/>
  <c r="F499" i="17" a="1"/>
  <c r="F500" i="17" a="1"/>
  <c r="F501" i="17" a="1"/>
  <c r="F502" i="17" a="1"/>
  <c r="F503" i="17" a="1"/>
  <c r="F504" i="17" a="1"/>
  <c r="F505" i="17" a="1"/>
  <c r="F506" i="17" a="1"/>
  <c r="F507" i="17" a="1"/>
  <c r="F508" i="17" a="1"/>
  <c r="F509" i="17" a="1"/>
  <c r="F510" i="17" a="1"/>
  <c r="F511" i="17" a="1"/>
  <c r="F512" i="17" a="1"/>
  <c r="F513" i="17" a="1"/>
  <c r="F514" i="17" a="1"/>
  <c r="F515" i="17" a="1"/>
  <c r="F516" i="17" a="1"/>
  <c r="F517" i="17" a="1"/>
  <c r="F518" i="17" a="1"/>
  <c r="F519" i="17" a="1"/>
  <c r="F520" i="17" a="1"/>
  <c r="F521" i="17" a="1"/>
  <c r="F522" i="17" a="1"/>
  <c r="F523" i="17" a="1"/>
  <c r="F524" i="17" a="1"/>
  <c r="F525" i="17" a="1"/>
  <c r="F526" i="17" a="1"/>
  <c r="F527" i="17" a="1"/>
  <c r="F528" i="17" a="1"/>
  <c r="F529" i="17" a="1"/>
  <c r="F530" i="17" a="1"/>
  <c r="F531" i="17" a="1"/>
  <c r="F532" i="17" a="1"/>
  <c r="F533" i="17" a="1"/>
  <c r="F534" i="17" a="1"/>
  <c r="F535" i="17" a="1"/>
  <c r="F536" i="17" a="1"/>
  <c r="F537" i="17" a="1"/>
  <c r="F538" i="17" a="1"/>
  <c r="F539" i="17" a="1"/>
  <c r="F540" i="17" a="1"/>
  <c r="F541" i="17" a="1"/>
  <c r="F542" i="17" a="1"/>
  <c r="F543" i="17" a="1"/>
  <c r="F544" i="17" a="1"/>
  <c r="F545" i="17" a="1"/>
  <c r="F546" i="17" a="1"/>
  <c r="F547" i="17" a="1"/>
  <c r="F548" i="17" a="1"/>
  <c r="F549" i="17" a="1"/>
  <c r="F550" i="17" a="1"/>
  <c r="F551" i="17" a="1"/>
  <c r="F552" i="17" a="1"/>
  <c r="F553" i="17" a="1"/>
  <c r="F554" i="17" a="1"/>
  <c r="F555" i="17" a="1"/>
  <c r="F556" i="17" a="1"/>
  <c r="F557" i="17" a="1"/>
  <c r="F558" i="17" a="1"/>
  <c r="F559" i="17" a="1"/>
  <c r="F560" i="17" a="1"/>
  <c r="F561" i="17" a="1"/>
  <c r="F562" i="17" a="1"/>
  <c r="F563" i="17" a="1"/>
  <c r="F564" i="17" a="1"/>
  <c r="F565" i="17" a="1"/>
  <c r="F566" i="17" a="1"/>
  <c r="F567" i="17" a="1"/>
  <c r="F568" i="17" a="1"/>
  <c r="F569" i="17" a="1"/>
  <c r="F570" i="17" a="1"/>
  <c r="F571" i="17" a="1"/>
  <c r="F572" i="17" a="1"/>
  <c r="F573" i="17" a="1"/>
  <c r="F574" i="17" a="1"/>
  <c r="F575" i="17" a="1"/>
  <c r="F576" i="17" a="1"/>
  <c r="F577" i="17" a="1"/>
  <c r="F578" i="17" a="1"/>
  <c r="F579" i="17" a="1"/>
  <c r="F580" i="17" a="1"/>
  <c r="F581" i="17" a="1"/>
  <c r="F582" i="17" a="1"/>
  <c r="F583" i="17" a="1"/>
  <c r="F584" i="17" a="1"/>
  <c r="F585" i="17" a="1"/>
  <c r="F586" i="17" a="1"/>
  <c r="F587" i="17" a="1"/>
  <c r="F588" i="17" a="1"/>
  <c r="F589" i="17" a="1"/>
  <c r="F590" i="17" a="1"/>
  <c r="F591" i="17" a="1"/>
  <c r="F592" i="17" a="1"/>
  <c r="F593" i="17" a="1"/>
  <c r="F594" i="17" a="1"/>
  <c r="F595" i="17" a="1"/>
  <c r="F596" i="17" a="1"/>
  <c r="F597" i="17" a="1"/>
  <c r="F598" i="17" a="1"/>
  <c r="F599" i="17" a="1"/>
  <c r="F600" i="17" a="1"/>
  <c r="F601" i="17" a="1"/>
  <c r="F602" i="17" a="1"/>
  <c r="F603" i="17" a="1"/>
  <c r="F604" i="17" a="1"/>
  <c r="F605" i="17" a="1"/>
  <c r="F606" i="17" a="1"/>
  <c r="F607" i="17" a="1"/>
  <c r="F608" i="17" a="1"/>
  <c r="F609" i="17" a="1"/>
  <c r="F610" i="17" a="1"/>
  <c r="F611" i="17" a="1"/>
  <c r="F612" i="17" a="1"/>
  <c r="F613" i="17" a="1"/>
  <c r="F614" i="17" a="1"/>
  <c r="F615" i="17" a="1"/>
  <c r="F616" i="17" a="1"/>
  <c r="F617" i="17" a="1"/>
  <c r="F618" i="17" a="1"/>
  <c r="F619" i="17" a="1"/>
  <c r="F620" i="17" a="1"/>
  <c r="F621" i="17" a="1"/>
  <c r="F622" i="17" a="1"/>
  <c r="F623" i="17" a="1"/>
  <c r="F624" i="17" a="1"/>
  <c r="F625" i="17" a="1"/>
  <c r="F626" i="17" a="1"/>
  <c r="F627" i="17" a="1"/>
  <c r="F628" i="17" a="1"/>
  <c r="F629" i="17" a="1"/>
  <c r="F630" i="17" a="1"/>
  <c r="F631" i="17" a="1"/>
  <c r="F632" i="17" a="1"/>
  <c r="F633" i="17" a="1"/>
  <c r="F634" i="17" a="1"/>
  <c r="F635" i="17" a="1"/>
  <c r="F636" i="17" a="1"/>
  <c r="F637" i="17" a="1"/>
  <c r="F638" i="17" a="1"/>
  <c r="F639" i="17" a="1"/>
  <c r="F640" i="17" a="1"/>
  <c r="F641" i="17" a="1"/>
  <c r="F642" i="17" a="1"/>
  <c r="F643" i="17" a="1"/>
  <c r="F644" i="17" a="1"/>
  <c r="F645" i="17" a="1"/>
  <c r="F646" i="17" a="1"/>
  <c r="F647" i="17" a="1"/>
  <c r="F648" i="17" a="1"/>
  <c r="F649" i="17" a="1"/>
  <c r="F650" i="17" a="1"/>
  <c r="F651" i="17" a="1"/>
  <c r="F652" i="17" a="1"/>
  <c r="F653" i="17" a="1"/>
  <c r="F654" i="17" a="1"/>
  <c r="F655" i="17" a="1"/>
  <c r="F656" i="17" a="1"/>
  <c r="F657" i="17" a="1"/>
  <c r="F658" i="17" a="1"/>
  <c r="F659" i="17" a="1"/>
  <c r="F660" i="17" a="1"/>
  <c r="F661" i="17" a="1"/>
  <c r="F662" i="17" a="1"/>
  <c r="F663" i="17" a="1"/>
  <c r="F664" i="17" a="1"/>
  <c r="F665" i="17" a="1"/>
  <c r="F666" i="17" a="1"/>
  <c r="F667" i="17" a="1"/>
  <c r="F668" i="17" a="1"/>
  <c r="F669" i="17" a="1"/>
  <c r="F670" i="17" a="1"/>
  <c r="F671" i="17" a="1"/>
  <c r="F672" i="17" a="1"/>
  <c r="F673" i="17" a="1"/>
  <c r="F674" i="17" a="1"/>
  <c r="F675" i="17" a="1"/>
  <c r="F676" i="17" a="1"/>
  <c r="F677" i="17" a="1"/>
  <c r="F678" i="17" a="1"/>
  <c r="F679" i="17" a="1"/>
  <c r="F680" i="17" a="1"/>
  <c r="F681" i="17" a="1"/>
  <c r="F682" i="17" a="1"/>
  <c r="F683" i="17" a="1"/>
  <c r="F684" i="17" a="1"/>
  <c r="F685" i="17" a="1"/>
  <c r="F686" i="17" a="1"/>
  <c r="F687" i="17" a="1"/>
  <c r="F688" i="17" a="1"/>
  <c r="F689" i="17" a="1"/>
  <c r="F690" i="17" a="1"/>
  <c r="F691" i="17" a="1"/>
  <c r="F692" i="17" a="1"/>
  <c r="F693" i="17" a="1"/>
  <c r="F694" i="17" a="1"/>
  <c r="F695" i="17" a="1"/>
  <c r="F696" i="17" a="1"/>
  <c r="F697" i="17" a="1"/>
  <c r="F698" i="17" a="1"/>
  <c r="F699" i="17" a="1"/>
  <c r="F700" i="17" a="1"/>
  <c r="F701" i="17" a="1"/>
  <c r="F702" i="17" a="1"/>
  <c r="F703" i="17" a="1"/>
  <c r="F704" i="17" a="1"/>
  <c r="F705" i="17" a="1"/>
  <c r="F706" i="17" a="1"/>
  <c r="F707" i="17" a="1"/>
  <c r="F708" i="17" a="1"/>
  <c r="F709" i="17" a="1"/>
  <c r="F710" i="17" a="1"/>
  <c r="F711" i="17" a="1"/>
  <c r="F712" i="17" a="1"/>
  <c r="F713" i="17" a="1"/>
  <c r="F714" i="17" a="1"/>
  <c r="F715" i="17" a="1"/>
  <c r="F716" i="17" a="1"/>
  <c r="F717" i="17" a="1"/>
  <c r="F718" i="17" a="1"/>
  <c r="F719" i="17" a="1"/>
  <c r="F720" i="17" a="1"/>
  <c r="F721" i="17" a="1"/>
  <c r="F722" i="17" a="1"/>
  <c r="F723" i="17" a="1"/>
  <c r="F724" i="17" a="1"/>
  <c r="F725" i="17" a="1"/>
  <c r="F726" i="17" a="1"/>
  <c r="F727" i="17" a="1"/>
  <c r="F728" i="17" a="1"/>
  <c r="F729" i="17" a="1"/>
  <c r="F730" i="17" a="1"/>
  <c r="F731" i="17" a="1"/>
  <c r="F732" i="17" a="1"/>
  <c r="F733" i="17" a="1"/>
  <c r="F734" i="17" a="1"/>
  <c r="F735" i="17" a="1"/>
  <c r="F736" i="17" a="1"/>
  <c r="F737" i="17" a="1"/>
  <c r="F738" i="17" a="1"/>
  <c r="F739" i="17" a="1"/>
  <c r="F740" i="17" a="1"/>
  <c r="F741" i="17" a="1"/>
  <c r="F742" i="17" a="1"/>
  <c r="F743" i="17" a="1"/>
  <c r="F744" i="17" a="1"/>
  <c r="F745" i="17" a="1"/>
  <c r="F746" i="17" a="1"/>
  <c r="F747" i="17" a="1"/>
  <c r="F748" i="17" a="1"/>
  <c r="F749" i="17" a="1"/>
  <c r="F750" i="17" a="1"/>
  <c r="F751" i="17" a="1"/>
  <c r="F752" i="17" a="1"/>
  <c r="F753" i="17" a="1"/>
  <c r="F754" i="17" a="1"/>
  <c r="F755" i="17" a="1"/>
  <c r="F756" i="17" a="1"/>
  <c r="F757" i="17" a="1"/>
  <c r="F758" i="17" a="1"/>
  <c r="F759" i="17" a="1"/>
  <c r="F760" i="17" a="1"/>
  <c r="F761" i="17" a="1"/>
  <c r="F762" i="17" a="1"/>
  <c r="F763" i="17" a="1"/>
  <c r="F764" i="17" a="1"/>
  <c r="F765" i="17" a="1"/>
  <c r="F766" i="17" a="1"/>
  <c r="F767" i="17" a="1"/>
  <c r="F768" i="17" a="1"/>
  <c r="F769" i="17" a="1"/>
  <c r="F770" i="17" a="1"/>
  <c r="F771" i="17" a="1"/>
  <c r="F772" i="17" a="1"/>
  <c r="F773" i="17" a="1"/>
  <c r="F774" i="17" a="1"/>
  <c r="F775" i="17" a="1"/>
  <c r="F776" i="17" a="1"/>
  <c r="F777" i="17" a="1"/>
  <c r="F778" i="17" a="1"/>
  <c r="F779" i="17" a="1"/>
  <c r="F780" i="17" a="1"/>
  <c r="F781" i="17" a="1"/>
  <c r="F782" i="17" a="1"/>
  <c r="F783" i="17" a="1"/>
  <c r="F784" i="17" a="1"/>
  <c r="F785" i="17" a="1"/>
  <c r="F786" i="17" a="1"/>
  <c r="F787" i="17" a="1"/>
  <c r="F788" i="17" a="1"/>
  <c r="F789" i="17" a="1"/>
  <c r="F790" i="17" a="1"/>
  <c r="F791" i="17" a="1"/>
  <c r="F792" i="17" a="1"/>
  <c r="F793" i="17" a="1"/>
  <c r="F794" i="17" a="1"/>
  <c r="F795" i="17" a="1"/>
  <c r="F796" i="17" a="1"/>
  <c r="F797" i="17" a="1"/>
  <c r="F798" i="17" a="1"/>
  <c r="F799" i="17" a="1"/>
  <c r="F800" i="17" a="1"/>
  <c r="F801" i="17" a="1"/>
  <c r="F802" i="17" a="1"/>
  <c r="F803" i="17" a="1"/>
  <c r="F804" i="17" a="1"/>
  <c r="F805" i="17" a="1"/>
  <c r="F806" i="17" a="1"/>
  <c r="F807" i="17" a="1"/>
  <c r="F808" i="17" a="1"/>
  <c r="F809" i="17" a="1"/>
  <c r="F810" i="17" a="1"/>
  <c r="F811" i="17" a="1"/>
  <c r="F812" i="17" a="1"/>
  <c r="F813" i="17" a="1"/>
  <c r="F814" i="17" a="1"/>
  <c r="F815" i="17" a="1"/>
  <c r="F816" i="17" a="1"/>
  <c r="F817" i="17" a="1"/>
  <c r="F818" i="17" a="1"/>
  <c r="F819" i="17" a="1"/>
  <c r="F820" i="17" a="1"/>
  <c r="F821" i="17" a="1"/>
  <c r="F822" i="17" a="1"/>
  <c r="F823" i="17" a="1"/>
  <c r="F824" i="17" a="1"/>
  <c r="F825" i="17" a="1"/>
  <c r="F826" i="17" a="1"/>
  <c r="F827" i="17" a="1"/>
  <c r="F828" i="17" a="1"/>
  <c r="F829" i="17" a="1"/>
  <c r="F830" i="17" a="1"/>
  <c r="F831" i="17" a="1"/>
  <c r="F832" i="17" a="1"/>
  <c r="F833" i="17" a="1"/>
  <c r="F834" i="17" a="1"/>
  <c r="F835" i="17" a="1"/>
  <c r="F836" i="17" a="1"/>
  <c r="F837" i="17" a="1"/>
  <c r="F838" i="17" a="1"/>
  <c r="F839" i="17" a="1"/>
  <c r="F840" i="17" a="1"/>
  <c r="F841" i="17" a="1"/>
  <c r="F842" i="17" a="1"/>
  <c r="F843" i="17" a="1"/>
  <c r="F844" i="17" a="1"/>
  <c r="F845" i="17" a="1"/>
  <c r="F846" i="17" a="1"/>
  <c r="F847" i="17" a="1"/>
  <c r="F848" i="17" a="1"/>
  <c r="F849" i="17" a="1"/>
  <c r="F850" i="17" a="1"/>
  <c r="F851" i="17" a="1"/>
  <c r="F852" i="17" a="1"/>
  <c r="F853" i="17" a="1"/>
  <c r="F854" i="17" a="1"/>
  <c r="F855" i="17" a="1"/>
  <c r="F856" i="17" a="1"/>
  <c r="F857" i="17" a="1"/>
  <c r="F858" i="17" a="1"/>
  <c r="F859" i="17" a="1"/>
  <c r="F860" i="17" a="1"/>
  <c r="F861" i="17" a="1"/>
  <c r="F862" i="17" a="1"/>
  <c r="F863" i="17" a="1"/>
  <c r="F864" i="17" a="1"/>
  <c r="F865" i="17" a="1"/>
  <c r="F866" i="17" a="1"/>
  <c r="F867" i="17" a="1"/>
  <c r="F868" i="17" a="1"/>
  <c r="F869" i="17" a="1"/>
  <c r="F870" i="17" a="1"/>
  <c r="F871" i="17" a="1"/>
  <c r="F872" i="17" a="1"/>
  <c r="F873" i="17" a="1"/>
  <c r="F874" i="17" a="1"/>
  <c r="F875" i="17" a="1"/>
  <c r="F876" i="17" a="1"/>
  <c r="F877" i="17" a="1"/>
  <c r="F878" i="17" a="1"/>
  <c r="F879" i="17" a="1"/>
  <c r="F880" i="17" a="1"/>
  <c r="F881" i="17" a="1"/>
  <c r="F882" i="17" a="1"/>
  <c r="F883" i="17" a="1"/>
  <c r="F884" i="17" a="1"/>
  <c r="F885" i="17" a="1"/>
  <c r="F886" i="17" a="1"/>
  <c r="F887" i="17" a="1"/>
  <c r="F888" i="17" a="1"/>
  <c r="F889" i="17" a="1"/>
  <c r="F890" i="17" a="1"/>
  <c r="F891" i="17" a="1"/>
  <c r="F892" i="17" a="1"/>
  <c r="F893" i="17" a="1"/>
  <c r="F894" i="17" a="1"/>
  <c r="F895" i="17" a="1"/>
  <c r="F896" i="17" a="1"/>
  <c r="F897" i="17" a="1"/>
  <c r="F898" i="17" a="1"/>
  <c r="F899" i="17" a="1"/>
  <c r="F900" i="17" a="1"/>
  <c r="F901" i="17" a="1"/>
  <c r="F902" i="17" a="1"/>
  <c r="F903" i="17" a="1"/>
  <c r="F904" i="17" a="1"/>
  <c r="F905" i="17" a="1"/>
  <c r="F906" i="17" a="1"/>
  <c r="E906" i="17"/>
  <c r="E905" i="17"/>
  <c r="N906" i="17"/>
  <c r="N905" i="17"/>
  <c r="N904" i="17"/>
  <c r="N903" i="17"/>
  <c r="N902" i="17"/>
  <c r="N901" i="17"/>
  <c r="N900" i="17"/>
  <c r="N899" i="17"/>
  <c r="N898" i="17"/>
  <c r="N897" i="17"/>
  <c r="N896" i="17"/>
  <c r="N895" i="17"/>
  <c r="K906" i="17" a="1"/>
  <c r="M906" i="17" a="1"/>
  <c r="S906" i="17"/>
  <c r="V906" i="17" a="1"/>
  <c r="B906" i="14"/>
  <c r="I906" i="14"/>
  <c r="J906" i="14"/>
  <c r="K906" i="14"/>
  <c r="L906" i="14"/>
  <c r="N906" i="14"/>
  <c r="O906" i="14"/>
  <c r="P906" i="14"/>
  <c r="AF905" i="1"/>
  <c r="AG905" i="1" a="1"/>
  <c r="AH905" i="1" a="1"/>
  <c r="AI905" i="1" a="1"/>
  <c r="H905" i="17"/>
  <c r="O905" i="17"/>
  <c r="K905" i="17" a="1"/>
  <c r="M905" i="17" a="1"/>
  <c r="V905" i="17" a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E904" i="17"/>
  <c r="K904" i="17" a="1"/>
  <c r="M904" i="17" a="1"/>
  <c r="S904" i="17"/>
  <c r="V904" i="17" a="1"/>
  <c r="AF903" i="1"/>
  <c r="AG903" i="1" a="1"/>
  <c r="AH903" i="1" a="1"/>
  <c r="AI903" i="1" a="1"/>
  <c r="E903" i="17"/>
  <c r="K903" i="17" a="1"/>
  <c r="M903" i="17" a="1"/>
  <c r="S903" i="17"/>
  <c r="V903" i="17" a="1"/>
  <c r="B904" i="14"/>
  <c r="I904" i="14"/>
  <c r="J904" i="14"/>
  <c r="K904" i="14"/>
  <c r="L904" i="14"/>
  <c r="N904" i="14"/>
  <c r="O904" i="14"/>
  <c r="P904" i="14"/>
  <c r="B903" i="14"/>
  <c r="I903" i="14"/>
  <c r="J903" i="14"/>
  <c r="K903" i="14"/>
  <c r="L903" i="14"/>
  <c r="N903" i="14"/>
  <c r="O903" i="14"/>
  <c r="P903" i="14"/>
  <c r="AF902" i="1"/>
  <c r="AG902" i="1" a="1"/>
  <c r="AH902" i="1" a="1"/>
  <c r="AI902" i="1" a="1"/>
  <c r="O902" i="17"/>
  <c r="H902" i="17"/>
  <c r="E902" i="17"/>
  <c r="K902" i="17" a="1"/>
  <c r="M902" i="17" a="1"/>
  <c r="V902" i="17" a="1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E901" i="17"/>
  <c r="K901" i="17" a="1"/>
  <c r="M901" i="17" a="1"/>
  <c r="S901" i="17"/>
  <c r="V901" i="17" a="1"/>
  <c r="B901" i="14"/>
  <c r="I901" i="14"/>
  <c r="J901" i="14"/>
  <c r="K901" i="14"/>
  <c r="L901" i="14"/>
  <c r="N901" i="14"/>
  <c r="O901" i="14"/>
  <c r="P901" i="14"/>
  <c r="AF900" i="1"/>
  <c r="AG900" i="1" a="1"/>
  <c r="AH900" i="1" a="1"/>
  <c r="AI900" i="1" a="1"/>
  <c r="E900" i="17"/>
  <c r="K900" i="17" a="1"/>
  <c r="M900" i="17" a="1"/>
  <c r="S900" i="17"/>
  <c r="V900" i="17" a="1"/>
  <c r="B900" i="14"/>
  <c r="I900" i="14"/>
  <c r="J900" i="14"/>
  <c r="K900" i="14"/>
  <c r="L900" i="14"/>
  <c r="N900" i="14"/>
  <c r="O900" i="14"/>
  <c r="P900" i="14"/>
  <c r="AF899" i="1"/>
  <c r="AG899" i="1" a="1"/>
  <c r="AH899" i="1" a="1"/>
  <c r="AI899" i="1" a="1"/>
  <c r="V899" i="17" a="1"/>
  <c r="R899" i="17"/>
  <c r="M899" i="17" a="1"/>
  <c r="K899" i="17" a="1"/>
  <c r="E899" i="17"/>
  <c r="B899" i="14"/>
  <c r="I899" i="14"/>
  <c r="J899" i="14"/>
  <c r="K899" i="14"/>
  <c r="L899" i="14"/>
  <c r="N899" i="14"/>
  <c r="O899" i="14"/>
  <c r="P899" i="14"/>
  <c r="AF898" i="1"/>
  <c r="AG898" i="1" a="1"/>
  <c r="AH898" i="1" a="1"/>
  <c r="AI898" i="1" a="1"/>
  <c r="R898" i="17"/>
  <c r="E898" i="17"/>
  <c r="K898" i="17" a="1"/>
  <c r="M898" i="17" a="1"/>
  <c r="S898" i="17"/>
  <c r="V898" i="17" a="1"/>
  <c r="B898" i="14"/>
  <c r="I898" i="14"/>
  <c r="J898" i="14"/>
  <c r="K898" i="14"/>
  <c r="L898" i="14"/>
  <c r="N898" i="14"/>
  <c r="O898" i="14"/>
  <c r="P898" i="14"/>
  <c r="AF897" i="1"/>
  <c r="AG897" i="1" a="1"/>
  <c r="AH897" i="1" a="1"/>
  <c r="AI897" i="1" a="1"/>
  <c r="E897" i="17"/>
  <c r="K897" i="17" a="1"/>
  <c r="M897" i="17" a="1"/>
  <c r="S897" i="17"/>
  <c r="V897" i="17" a="1"/>
  <c r="B897" i="14"/>
  <c r="I897" i="14"/>
  <c r="J897" i="14"/>
  <c r="K897" i="14"/>
  <c r="L897" i="14"/>
  <c r="N897" i="14"/>
  <c r="O897" i="14"/>
  <c r="P897" i="14"/>
  <c r="AF896" i="1"/>
  <c r="AG896" i="1" a="1"/>
  <c r="AH896" i="1" a="1"/>
  <c r="AI896" i="1" a="1"/>
  <c r="E896" i="17"/>
  <c r="K896" i="17" a="1"/>
  <c r="M896" i="17" a="1"/>
  <c r="S896" i="17"/>
  <c r="V896" i="17" a="1"/>
  <c r="B896" i="14"/>
  <c r="I896" i="14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V895" i="17" a="1"/>
  <c r="S895" i="17"/>
  <c r="P895" i="17"/>
  <c r="M895" i="17" a="1"/>
  <c r="K895" i="17" a="1"/>
  <c r="E895" i="17"/>
  <c r="P895" i="14"/>
  <c r="O895" i="14"/>
  <c r="N895" i="14"/>
  <c r="L895" i="14"/>
  <c r="K895" i="14"/>
  <c r="J895" i="14"/>
  <c r="I895" i="14"/>
  <c r="B895" i="14"/>
  <c r="AF894" i="1"/>
  <c r="AG894" i="1" a="1"/>
  <c r="AH894" i="1" a="1"/>
  <c r="AI894" i="1" a="1"/>
  <c r="V894" i="17" a="1"/>
  <c r="O894" i="17"/>
  <c r="N894" i="17"/>
  <c r="M894" i="17" a="1"/>
  <c r="K894" i="17" a="1"/>
  <c r="H894" i="17"/>
  <c r="E894" i="17"/>
  <c r="B894" i="14"/>
  <c r="I894" i="14"/>
  <c r="J894" i="14"/>
  <c r="K894" i="14"/>
  <c r="L894" i="14"/>
  <c r="N894" i="14"/>
  <c r="O894" i="14"/>
  <c r="P894" i="14"/>
  <c r="AF893" i="1"/>
  <c r="AG893" i="1" a="1"/>
  <c r="AH893" i="1" a="1"/>
  <c r="AI893" i="1" a="1"/>
  <c r="V893" i="17" a="1"/>
  <c r="S893" i="17"/>
  <c r="N893" i="17"/>
  <c r="M893" i="17" a="1"/>
  <c r="K893" i="17" a="1"/>
  <c r="E893" i="17"/>
  <c r="P893" i="14"/>
  <c r="O893" i="14"/>
  <c r="N893" i="14"/>
  <c r="L893" i="14"/>
  <c r="K893" i="14"/>
  <c r="J893" i="14"/>
  <c r="I893" i="14"/>
  <c r="B893" i="14"/>
  <c r="AF892" i="1"/>
  <c r="AG892" i="1" a="1"/>
  <c r="AH892" i="1" a="1"/>
  <c r="AI892" i="1" a="1"/>
  <c r="O892" i="17"/>
  <c r="V892" i="17" a="1"/>
  <c r="N892" i="17"/>
  <c r="M892" i="17" a="1"/>
  <c r="K892" i="17" a="1"/>
  <c r="H892" i="17"/>
  <c r="E892" i="17"/>
  <c r="B892" i="14"/>
  <c r="I892" i="14"/>
  <c r="J892" i="14"/>
  <c r="K892" i="14"/>
  <c r="L892" i="14"/>
  <c r="N892" i="14"/>
  <c r="O892" i="14"/>
  <c r="P892" i="14"/>
  <c r="AF891" i="1"/>
  <c r="AG891" i="1" a="1"/>
  <c r="AH891" i="1" a="1"/>
  <c r="AI891" i="1" a="1"/>
  <c r="V891" i="17" a="1"/>
  <c r="S891" i="17"/>
  <c r="N891" i="17"/>
  <c r="M891" i="17" a="1"/>
  <c r="K891" i="17" a="1"/>
  <c r="E891" i="17"/>
  <c r="B891" i="14"/>
  <c r="I891" i="14"/>
  <c r="J891" i="14"/>
  <c r="K891" i="14"/>
  <c r="L891" i="14"/>
  <c r="N891" i="14"/>
  <c r="O891" i="14"/>
  <c r="P891" i="14"/>
  <c r="AF890" i="1"/>
  <c r="AG890" i="1" a="1"/>
  <c r="AH890" i="1" a="1"/>
  <c r="AI890" i="1" a="1"/>
  <c r="V890" i="17" a="1"/>
  <c r="S890" i="17"/>
  <c r="N890" i="17"/>
  <c r="M890" i="17" a="1"/>
  <c r="K890" i="17" a="1"/>
  <c r="E890" i="17"/>
  <c r="P890" i="14"/>
  <c r="O890" i="14"/>
  <c r="N890" i="14"/>
  <c r="L890" i="14"/>
  <c r="K890" i="14"/>
  <c r="J890" i="14"/>
  <c r="I890" i="14"/>
  <c r="B890" i="14"/>
  <c r="AF889" i="1"/>
  <c r="AG889" i="1" a="1"/>
  <c r="AH889" i="1" a="1"/>
  <c r="AI889" i="1" a="1"/>
  <c r="E889" i="17"/>
  <c r="K889" i="17" a="1"/>
  <c r="M889" i="17" a="1"/>
  <c r="N889" i="17"/>
  <c r="S889" i="17"/>
  <c r="V889" i="17" a="1"/>
  <c r="B889" i="14"/>
  <c r="I889" i="14"/>
  <c r="J889" i="14"/>
  <c r="K889" i="14"/>
  <c r="L889" i="14"/>
  <c r="N889" i="14"/>
  <c r="O889" i="14"/>
  <c r="P889" i="14"/>
  <c r="AF888" i="1"/>
  <c r="AG888" i="1" a="1"/>
  <c r="AH888" i="1" a="1"/>
  <c r="AI888" i="1" a="1"/>
  <c r="E888" i="17"/>
  <c r="K888" i="17" a="1"/>
  <c r="M888" i="17" a="1"/>
  <c r="N888" i="17"/>
  <c r="S888" i="17"/>
  <c r="V888" i="17" a="1"/>
  <c r="B888" i="14"/>
  <c r="I888" i="14"/>
  <c r="J888" i="14"/>
  <c r="K888" i="14"/>
  <c r="L888" i="14"/>
  <c r="N888" i="14"/>
  <c r="O888" i="14"/>
  <c r="P888" i="14"/>
  <c r="AF887" i="1"/>
  <c r="AG887" i="1" a="1"/>
  <c r="AH887" i="1" a="1"/>
  <c r="AI887" i="1" a="1"/>
  <c r="E887" i="17"/>
  <c r="K887" i="17" a="1"/>
  <c r="M887" i="17" a="1"/>
  <c r="N887" i="17"/>
  <c r="S887" i="17"/>
  <c r="V887" i="17" a="1"/>
  <c r="B887" i="14"/>
  <c r="I887" i="14"/>
  <c r="J887" i="14"/>
  <c r="K887" i="14"/>
  <c r="L887" i="14"/>
  <c r="N887" i="14"/>
  <c r="O887" i="14"/>
  <c r="P887" i="14"/>
  <c r="AF886" i="1"/>
  <c r="AG886" i="1" a="1"/>
  <c r="AH886" i="1" a="1"/>
  <c r="AI886" i="1" a="1"/>
  <c r="V886" i="17" a="1"/>
  <c r="S886" i="17"/>
  <c r="N886" i="17"/>
  <c r="M886" i="17" a="1"/>
  <c r="K886" i="17" a="1"/>
  <c r="P886" i="14"/>
  <c r="O886" i="14"/>
  <c r="N886" i="14"/>
  <c r="L886" i="14"/>
  <c r="K886" i="14"/>
  <c r="J886" i="14"/>
  <c r="I886" i="14"/>
  <c r="B886" i="14"/>
  <c r="E886" i="17"/>
  <c r="AF885" i="1"/>
  <c r="AG885" i="1" a="1"/>
  <c r="AH885" i="1" a="1"/>
  <c r="AI885" i="1" a="1"/>
  <c r="V885" i="17" a="1"/>
  <c r="S885" i="17"/>
  <c r="N885" i="17"/>
  <c r="M885" i="17" a="1"/>
  <c r="K885" i="17" a="1"/>
  <c r="E885" i="17"/>
  <c r="B885" i="14"/>
  <c r="I885" i="14"/>
  <c r="J885" i="14"/>
  <c r="K885" i="14"/>
  <c r="L885" i="14"/>
  <c r="N885" i="14"/>
  <c r="O885" i="14"/>
  <c r="P885" i="14"/>
  <c r="AF884" i="1"/>
  <c r="AG884" i="1" a="1"/>
  <c r="AH884" i="1" a="1"/>
  <c r="AI884" i="1" a="1"/>
  <c r="V884" i="17" a="1"/>
  <c r="S884" i="17"/>
  <c r="N884" i="17"/>
  <c r="M884" i="17" a="1"/>
  <c r="K884" i="17" a="1"/>
  <c r="E884" i="17"/>
  <c r="B884" i="14"/>
  <c r="I884" i="14"/>
  <c r="J884" i="14"/>
  <c r="K884" i="14"/>
  <c r="L884" i="14"/>
  <c r="N884" i="14"/>
  <c r="O884" i="14"/>
  <c r="P884" i="14"/>
  <c r="AF883" i="1"/>
  <c r="AG883" i="1" a="1"/>
  <c r="AH883" i="1" a="1"/>
  <c r="AI883" i="1" a="1"/>
  <c r="V883" i="17" a="1"/>
  <c r="S883" i="17"/>
  <c r="N883" i="17"/>
  <c r="M883" i="17" a="1"/>
  <c r="K883" i="17" a="1"/>
  <c r="E883" i="17"/>
  <c r="B883" i="14"/>
  <c r="I883" i="14"/>
  <c r="J883" i="14"/>
  <c r="K883" i="14"/>
  <c r="L883" i="14"/>
  <c r="N883" i="14"/>
  <c r="O883" i="14"/>
  <c r="P883" i="14"/>
  <c r="AF882" i="1"/>
  <c r="AG882" i="1" a="1"/>
  <c r="AH882" i="1" a="1"/>
  <c r="AI882" i="1" a="1"/>
  <c r="K2" i="17" a="1"/>
  <c r="K3" i="17" a="1"/>
  <c r="K4" i="17" a="1"/>
  <c r="K5" i="17" a="1"/>
  <c r="K6" i="17" a="1"/>
  <c r="K7" i="17" a="1"/>
  <c r="K8" i="17" a="1"/>
  <c r="K9" i="17" a="1"/>
  <c r="K10" i="17" a="1"/>
  <c r="K11" i="17" a="1"/>
  <c r="K12" i="17" a="1"/>
  <c r="K13" i="17" a="1"/>
  <c r="K14" i="17" a="1"/>
  <c r="K15" i="17" a="1"/>
  <c r="K16" i="17" a="1"/>
  <c r="K17" i="17" a="1"/>
  <c r="K18" i="17" a="1"/>
  <c r="K19" i="17" a="1"/>
  <c r="K20" i="17" a="1"/>
  <c r="K21" i="17" a="1"/>
  <c r="K22" i="17" a="1"/>
  <c r="K23" i="17" a="1"/>
  <c r="K24" i="17" a="1"/>
  <c r="K25" i="17" a="1"/>
  <c r="K26" i="17" a="1"/>
  <c r="K27" i="17" a="1"/>
  <c r="K28" i="17" a="1"/>
  <c r="K29" i="17" a="1"/>
  <c r="K30" i="17" a="1"/>
  <c r="K31" i="17" a="1"/>
  <c r="K32" i="17" a="1"/>
  <c r="K33" i="17" a="1"/>
  <c r="K34" i="17" a="1"/>
  <c r="K35" i="17" a="1"/>
  <c r="K36" i="17" a="1"/>
  <c r="K37" i="17" a="1"/>
  <c r="K38" i="17" a="1"/>
  <c r="K39" i="17" a="1"/>
  <c r="K40" i="17" a="1"/>
  <c r="K41" i="17" a="1"/>
  <c r="K42" i="17" a="1"/>
  <c r="K43" i="17" a="1"/>
  <c r="K44" i="17" a="1"/>
  <c r="K45" i="17" a="1"/>
  <c r="K46" i="17" a="1"/>
  <c r="K47" i="17" a="1"/>
  <c r="K48" i="17" a="1"/>
  <c r="K49" i="17" a="1"/>
  <c r="K50" i="17" a="1"/>
  <c r="K51" i="17" a="1"/>
  <c r="K52" i="17" a="1"/>
  <c r="K53" i="17" a="1"/>
  <c r="K54" i="17" a="1"/>
  <c r="K55" i="17" a="1"/>
  <c r="K56" i="17" a="1"/>
  <c r="K57" i="17" a="1"/>
  <c r="K58" i="17" a="1"/>
  <c r="K59" i="17" a="1"/>
  <c r="K60" i="17" a="1"/>
  <c r="K61" i="17" a="1"/>
  <c r="K62" i="17" a="1"/>
  <c r="K63" i="17" a="1"/>
  <c r="K64" i="17" a="1"/>
  <c r="K65" i="17" a="1"/>
  <c r="K66" i="17" a="1"/>
  <c r="K67" i="17" a="1"/>
  <c r="K68" i="17" a="1"/>
  <c r="K69" i="17" a="1"/>
  <c r="K70" i="17" a="1"/>
  <c r="K71" i="17" a="1"/>
  <c r="K72" i="17" a="1"/>
  <c r="K73" i="17" a="1"/>
  <c r="K74" i="17" a="1"/>
  <c r="K75" i="17" a="1"/>
  <c r="K76" i="17" a="1"/>
  <c r="K77" i="17" a="1"/>
  <c r="K78" i="17" a="1"/>
  <c r="K79" i="17" a="1"/>
  <c r="K80" i="17" a="1"/>
  <c r="K81" i="17" a="1"/>
  <c r="K82" i="17" a="1"/>
  <c r="K83" i="17" a="1"/>
  <c r="K84" i="17" a="1"/>
  <c r="K85" i="17" a="1"/>
  <c r="K86" i="17" a="1"/>
  <c r="K87" i="17" a="1"/>
  <c r="K88" i="17" a="1"/>
  <c r="K89" i="17" a="1"/>
  <c r="K90" i="17" a="1"/>
  <c r="K91" i="17" a="1"/>
  <c r="K92" i="17" a="1"/>
  <c r="K93" i="17" a="1"/>
  <c r="K94" i="17" a="1"/>
  <c r="K95" i="17" a="1"/>
  <c r="K96" i="17" a="1"/>
  <c r="K97" i="17" a="1"/>
  <c r="K98" i="17" a="1"/>
  <c r="K99" i="17" a="1"/>
  <c r="K100" i="17" a="1"/>
  <c r="K101" i="17" a="1"/>
  <c r="K102" i="17" a="1"/>
  <c r="K103" i="17" a="1"/>
  <c r="K104" i="17" a="1"/>
  <c r="K105" i="17" a="1"/>
  <c r="K106" i="17" a="1"/>
  <c r="K107" i="17" a="1"/>
  <c r="K108" i="17" a="1"/>
  <c r="K109" i="17" a="1"/>
  <c r="K110" i="17" a="1"/>
  <c r="K111" i="17" a="1"/>
  <c r="K112" i="17" a="1"/>
  <c r="K113" i="17" a="1"/>
  <c r="K114" i="17" a="1"/>
  <c r="K115" i="17" a="1"/>
  <c r="K116" i="17" a="1"/>
  <c r="K117" i="17" a="1"/>
  <c r="K118" i="17" a="1"/>
  <c r="K119" i="17" a="1"/>
  <c r="K120" i="17" a="1"/>
  <c r="K121" i="17" a="1"/>
  <c r="K122" i="17" a="1"/>
  <c r="K123" i="17" a="1"/>
  <c r="K124" i="17" a="1"/>
  <c r="K125" i="17" a="1"/>
  <c r="K126" i="17" a="1"/>
  <c r="K127" i="17" a="1"/>
  <c r="K128" i="17" a="1"/>
  <c r="K129" i="17" a="1"/>
  <c r="K130" i="17" a="1"/>
  <c r="K131" i="17" a="1"/>
  <c r="K132" i="17" a="1"/>
  <c r="K133" i="17" a="1"/>
  <c r="K134" i="17" a="1"/>
  <c r="K135" i="17" a="1"/>
  <c r="K136" i="17" a="1"/>
  <c r="K137" i="17" a="1"/>
  <c r="K138" i="17" a="1"/>
  <c r="K139" i="17" a="1"/>
  <c r="K140" i="17" a="1"/>
  <c r="K141" i="17" a="1"/>
  <c r="K142" i="17" a="1"/>
  <c r="K143" i="17" a="1"/>
  <c r="K144" i="17" a="1"/>
  <c r="K145" i="17" a="1"/>
  <c r="K146" i="17" a="1"/>
  <c r="K147" i="17" a="1"/>
  <c r="K148" i="17" a="1"/>
  <c r="K149" i="17" a="1"/>
  <c r="K150" i="17" a="1"/>
  <c r="K151" i="17" a="1"/>
  <c r="K152" i="17" a="1"/>
  <c r="K153" i="17" a="1"/>
  <c r="K154" i="17" a="1"/>
  <c r="K155" i="17" a="1"/>
  <c r="K157" i="17" a="1"/>
  <c r="K158" i="17" a="1"/>
  <c r="K159" i="17" a="1"/>
  <c r="K160" i="17" a="1"/>
  <c r="K161" i="17" a="1"/>
  <c r="K162" i="17" a="1"/>
  <c r="K163" i="17" a="1"/>
  <c r="K164" i="17" a="1"/>
  <c r="K165" i="17" a="1"/>
  <c r="K166" i="17" a="1"/>
  <c r="K167" i="17" a="1"/>
  <c r="K168" i="17" a="1"/>
  <c r="K169" i="17" a="1"/>
  <c r="K170" i="17" a="1"/>
  <c r="K171" i="17" a="1"/>
  <c r="K172" i="17" a="1"/>
  <c r="K173" i="17" a="1"/>
  <c r="K174" i="17" a="1"/>
  <c r="K175" i="17" a="1"/>
  <c r="K176" i="17" a="1"/>
  <c r="K177" i="17" a="1"/>
  <c r="K178" i="17" a="1"/>
  <c r="K179" i="17" a="1"/>
  <c r="K180" i="17" a="1"/>
  <c r="K181" i="17" a="1"/>
  <c r="K182" i="17" a="1"/>
  <c r="K183" i="17" a="1"/>
  <c r="K184" i="17" a="1"/>
  <c r="K185" i="17" a="1"/>
  <c r="K186" i="17" a="1"/>
  <c r="K187" i="17" a="1"/>
  <c r="K188" i="17" a="1"/>
  <c r="K189" i="17" a="1"/>
  <c r="K190" i="17" a="1"/>
  <c r="K191" i="17" a="1"/>
  <c r="K192" i="17" a="1"/>
  <c r="K193" i="17" a="1"/>
  <c r="K194" i="17" a="1"/>
  <c r="K195" i="17" a="1"/>
  <c r="K196" i="17" a="1"/>
  <c r="K197" i="17" a="1"/>
  <c r="K198" i="17" a="1"/>
  <c r="K199" i="17" a="1"/>
  <c r="K200" i="17" a="1"/>
  <c r="K201" i="17" a="1"/>
  <c r="K202" i="17" a="1"/>
  <c r="K203" i="17" a="1"/>
  <c r="K204" i="17" a="1"/>
  <c r="K205" i="17" a="1"/>
  <c r="K206" i="17" a="1"/>
  <c r="K207" i="17" a="1"/>
  <c r="K208" i="17" a="1"/>
  <c r="K209" i="17" a="1"/>
  <c r="K210" i="17" a="1"/>
  <c r="K211" i="17" a="1"/>
  <c r="K212" i="17" a="1"/>
  <c r="K213" i="17" a="1"/>
  <c r="K214" i="17" a="1"/>
  <c r="K215" i="17" a="1"/>
  <c r="K216" i="17" a="1"/>
  <c r="K217" i="17" a="1"/>
  <c r="K218" i="17" a="1"/>
  <c r="K219" i="17" a="1"/>
  <c r="K220" i="17" a="1"/>
  <c r="K221" i="17" a="1"/>
  <c r="K222" i="17" a="1"/>
  <c r="K223" i="17" a="1"/>
  <c r="K224" i="17" a="1"/>
  <c r="K225" i="17" a="1"/>
  <c r="K226" i="17" a="1"/>
  <c r="K227" i="17" a="1"/>
  <c r="K228" i="17" a="1"/>
  <c r="K229" i="17" a="1"/>
  <c r="K230" i="17" a="1"/>
  <c r="K231" i="17" a="1"/>
  <c r="K232" i="17" a="1"/>
  <c r="K233" i="17" a="1"/>
  <c r="K234" i="17" a="1"/>
  <c r="K235" i="17" a="1"/>
  <c r="K236" i="17" a="1"/>
  <c r="K237" i="17" a="1"/>
  <c r="K238" i="17" a="1"/>
  <c r="K239" i="17" a="1"/>
  <c r="K240" i="17" a="1"/>
  <c r="K241" i="17" a="1"/>
  <c r="K242" i="17" a="1"/>
  <c r="K243" i="17" a="1"/>
  <c r="K244" i="17" a="1"/>
  <c r="K245" i="17" a="1"/>
  <c r="K246" i="17" a="1"/>
  <c r="K247" i="17" a="1"/>
  <c r="K248" i="17" a="1"/>
  <c r="K249" i="17" a="1"/>
  <c r="K250" i="17" a="1"/>
  <c r="K251" i="17" a="1"/>
  <c r="K252" i="17" a="1"/>
  <c r="K253" i="17" a="1"/>
  <c r="K254" i="17" a="1"/>
  <c r="K255" i="17" a="1"/>
  <c r="K256" i="17" a="1"/>
  <c r="K257" i="17" a="1"/>
  <c r="K258" i="17" a="1"/>
  <c r="K259" i="17" a="1"/>
  <c r="K260" i="17" a="1"/>
  <c r="K261" i="17" a="1"/>
  <c r="K262" i="17" a="1"/>
  <c r="K263" i="17" a="1"/>
  <c r="K264" i="17" a="1"/>
  <c r="K265" i="17" a="1"/>
  <c r="K266" i="17" a="1"/>
  <c r="K267" i="17" a="1"/>
  <c r="K268" i="17" a="1"/>
  <c r="K269" i="17" a="1"/>
  <c r="K270" i="17" a="1"/>
  <c r="K271" i="17" a="1"/>
  <c r="K272" i="17" a="1"/>
  <c r="K273" i="17" a="1"/>
  <c r="K274" i="17" a="1"/>
  <c r="K275" i="17" a="1"/>
  <c r="K276" i="17" a="1"/>
  <c r="K277" i="17" a="1"/>
  <c r="K278" i="17" a="1"/>
  <c r="K279" i="17" a="1"/>
  <c r="K280" i="17" a="1"/>
  <c r="K281" i="17" a="1"/>
  <c r="K282" i="17" a="1"/>
  <c r="K283" i="17" a="1"/>
  <c r="K284" i="17" a="1"/>
  <c r="K285" i="17" a="1"/>
  <c r="K286" i="17" a="1"/>
  <c r="K287" i="17" a="1"/>
  <c r="K288" i="17" a="1"/>
  <c r="K289" i="17" a="1"/>
  <c r="K290" i="17" a="1"/>
  <c r="K291" i="17" a="1"/>
  <c r="K292" i="17" a="1"/>
  <c r="K293" i="17" a="1"/>
  <c r="K294" i="17" a="1"/>
  <c r="K295" i="17" a="1"/>
  <c r="K296" i="17" a="1"/>
  <c r="K297" i="17" a="1"/>
  <c r="K298" i="17" a="1"/>
  <c r="K299" i="17" a="1"/>
  <c r="K300" i="17" a="1"/>
  <c r="K301" i="17" a="1"/>
  <c r="K302" i="17" a="1"/>
  <c r="K303" i="17" a="1"/>
  <c r="K304" i="17" a="1"/>
  <c r="K305" i="17" a="1"/>
  <c r="K306" i="17" a="1"/>
  <c r="K307" i="17" a="1"/>
  <c r="K308" i="17" a="1"/>
  <c r="K309" i="17" a="1"/>
  <c r="K310" i="17" a="1"/>
  <c r="K311" i="17" a="1"/>
  <c r="K312" i="17" a="1"/>
  <c r="K313" i="17" a="1"/>
  <c r="K314" i="17" a="1"/>
  <c r="K315" i="17" a="1"/>
  <c r="K316" i="17" a="1"/>
  <c r="K317" i="17" a="1"/>
  <c r="K318" i="17" a="1"/>
  <c r="K319" i="17" a="1"/>
  <c r="K320" i="17" a="1"/>
  <c r="K321" i="17" a="1"/>
  <c r="K322" i="17" a="1"/>
  <c r="K323" i="17" a="1"/>
  <c r="K324" i="17" a="1"/>
  <c r="K325" i="17" a="1"/>
  <c r="K326" i="17" a="1"/>
  <c r="K327" i="17" a="1"/>
  <c r="K328" i="17" a="1"/>
  <c r="K329" i="17" a="1"/>
  <c r="K330" i="17" a="1"/>
  <c r="K331" i="17" a="1"/>
  <c r="K332" i="17" a="1"/>
  <c r="K333" i="17" a="1"/>
  <c r="K334" i="17" a="1"/>
  <c r="K335" i="17" a="1"/>
  <c r="K336" i="17" a="1"/>
  <c r="K337" i="17" a="1"/>
  <c r="K338" i="17" a="1"/>
  <c r="K339" i="17" a="1"/>
  <c r="K340" i="17" a="1"/>
  <c r="K341" i="17" a="1"/>
  <c r="K342" i="17" a="1"/>
  <c r="K343" i="17" a="1"/>
  <c r="K344" i="17" a="1"/>
  <c r="K345" i="17" a="1"/>
  <c r="K346" i="17" a="1"/>
  <c r="K347" i="17" a="1"/>
  <c r="K348" i="17" a="1"/>
  <c r="K349" i="17" a="1"/>
  <c r="K350" i="17" a="1"/>
  <c r="K351" i="17" a="1"/>
  <c r="K352" i="17" a="1"/>
  <c r="K353" i="17" a="1"/>
  <c r="K354" i="17" a="1"/>
  <c r="K355" i="17" a="1"/>
  <c r="K356" i="17" a="1"/>
  <c r="K357" i="17" a="1"/>
  <c r="K358" i="17" a="1"/>
  <c r="K359" i="17" a="1"/>
  <c r="K360" i="17" a="1"/>
  <c r="K361" i="17" a="1"/>
  <c r="K362" i="17" a="1"/>
  <c r="K363" i="17" a="1"/>
  <c r="K364" i="17" a="1"/>
  <c r="K365" i="17" a="1"/>
  <c r="K366" i="17" a="1"/>
  <c r="K367" i="17" a="1"/>
  <c r="K368" i="17" a="1"/>
  <c r="K369" i="17" a="1"/>
  <c r="K370" i="17" a="1"/>
  <c r="K371" i="17" a="1"/>
  <c r="K372" i="17" a="1"/>
  <c r="K373" i="17" a="1"/>
  <c r="K374" i="17" a="1"/>
  <c r="K375" i="17" a="1"/>
  <c r="K376" i="17" a="1"/>
  <c r="K377" i="17" a="1"/>
  <c r="K378" i="17" a="1"/>
  <c r="K379" i="17" a="1"/>
  <c r="K380" i="17" a="1"/>
  <c r="K381" i="17" a="1"/>
  <c r="K382" i="17" a="1"/>
  <c r="K383" i="17" a="1"/>
  <c r="K384" i="17" a="1"/>
  <c r="K385" i="17" a="1"/>
  <c r="K386" i="17" a="1"/>
  <c r="K387" i="17" a="1"/>
  <c r="K388" i="17" a="1"/>
  <c r="K389" i="17" a="1"/>
  <c r="K390" i="17" a="1"/>
  <c r="K391" i="17" a="1"/>
  <c r="K392" i="17" a="1"/>
  <c r="K393" i="17" a="1"/>
  <c r="K394" i="17" a="1"/>
  <c r="K395" i="17" a="1"/>
  <c r="K396" i="17" a="1"/>
  <c r="K397" i="17" a="1"/>
  <c r="K398" i="17" a="1"/>
  <c r="K399" i="17" a="1"/>
  <c r="K400" i="17" a="1"/>
  <c r="K401" i="17" a="1"/>
  <c r="K402" i="17" a="1"/>
  <c r="K403" i="17" a="1"/>
  <c r="K404" i="17" a="1"/>
  <c r="K405" i="17" a="1"/>
  <c r="K406" i="17" a="1"/>
  <c r="K407" i="17" a="1"/>
  <c r="K408" i="17" a="1"/>
  <c r="K409" i="17" a="1"/>
  <c r="K410" i="17" a="1"/>
  <c r="K411" i="17" a="1"/>
  <c r="K412" i="17" a="1"/>
  <c r="K413" i="17" a="1"/>
  <c r="K414" i="17" a="1"/>
  <c r="K415" i="17" a="1"/>
  <c r="K416" i="17" a="1"/>
  <c r="K417" i="17" a="1"/>
  <c r="K418" i="17" a="1"/>
  <c r="K419" i="17" a="1"/>
  <c r="K420" i="17" a="1"/>
  <c r="K421" i="17" a="1"/>
  <c r="K422" i="17" a="1"/>
  <c r="K423" i="17" a="1"/>
  <c r="K424" i="17" a="1"/>
  <c r="K425" i="17" a="1"/>
  <c r="K426" i="17" a="1"/>
  <c r="K427" i="17" a="1"/>
  <c r="K428" i="17" a="1"/>
  <c r="K429" i="17" a="1"/>
  <c r="K430" i="17" a="1"/>
  <c r="K431" i="17" a="1"/>
  <c r="K432" i="17" a="1"/>
  <c r="K433" i="17" a="1"/>
  <c r="K434" i="17" a="1"/>
  <c r="K435" i="17" a="1"/>
  <c r="K436" i="17" a="1"/>
  <c r="K437" i="17" a="1"/>
  <c r="K438" i="17" a="1"/>
  <c r="K439" i="17" a="1"/>
  <c r="K440" i="17" a="1"/>
  <c r="K441" i="17" a="1"/>
  <c r="K442" i="17" a="1"/>
  <c r="K443" i="17" a="1"/>
  <c r="K444" i="17" a="1"/>
  <c r="K445" i="17" a="1"/>
  <c r="K446" i="17" a="1"/>
  <c r="K447" i="17" a="1"/>
  <c r="K448" i="17" a="1"/>
  <c r="K449" i="17" a="1"/>
  <c r="K450" i="17" a="1"/>
  <c r="K451" i="17" a="1"/>
  <c r="K452" i="17" a="1"/>
  <c r="K453" i="17" a="1"/>
  <c r="K454" i="17" a="1"/>
  <c r="K455" i="17" a="1"/>
  <c r="K456" i="17" a="1"/>
  <c r="K457" i="17" a="1"/>
  <c r="K458" i="17" a="1"/>
  <c r="K459" i="17" a="1"/>
  <c r="K460" i="17" a="1"/>
  <c r="K461" i="17" a="1"/>
  <c r="K462" i="17" a="1"/>
  <c r="K463" i="17" a="1"/>
  <c r="K464" i="17" a="1"/>
  <c r="K465" i="17" a="1"/>
  <c r="K466" i="17" a="1"/>
  <c r="K467" i="17" a="1"/>
  <c r="K468" i="17" a="1"/>
  <c r="K469" i="17" a="1"/>
  <c r="K470" i="17" a="1"/>
  <c r="K471" i="17" a="1"/>
  <c r="K472" i="17" a="1"/>
  <c r="K473" i="17" a="1"/>
  <c r="K474" i="17" a="1"/>
  <c r="K475" i="17" a="1"/>
  <c r="K476" i="17" a="1"/>
  <c r="K477" i="17" a="1"/>
  <c r="K478" i="17" a="1"/>
  <c r="K479" i="17" a="1"/>
  <c r="K480" i="17" a="1"/>
  <c r="K481" i="17" a="1"/>
  <c r="K482" i="17" a="1"/>
  <c r="K483" i="17" a="1"/>
  <c r="K484" i="17" a="1"/>
  <c r="K485" i="17" a="1"/>
  <c r="K486" i="17" a="1"/>
  <c r="K487" i="17" a="1"/>
  <c r="K488" i="17" a="1"/>
  <c r="K489" i="17" a="1"/>
  <c r="K490" i="17" a="1"/>
  <c r="K491" i="17" a="1"/>
  <c r="K492" i="17" a="1"/>
  <c r="K493" i="17" a="1"/>
  <c r="K494" i="17" a="1"/>
  <c r="K495" i="17" a="1"/>
  <c r="K496" i="17" a="1"/>
  <c r="K497" i="17" a="1"/>
  <c r="K498" i="17" a="1"/>
  <c r="K499" i="17" a="1"/>
  <c r="K500" i="17" a="1"/>
  <c r="K501" i="17" a="1"/>
  <c r="K502" i="17" a="1"/>
  <c r="K503" i="17" a="1"/>
  <c r="K504" i="17" a="1"/>
  <c r="K505" i="17" a="1"/>
  <c r="K506" i="17" a="1"/>
  <c r="K507" i="17" a="1"/>
  <c r="K508" i="17" a="1"/>
  <c r="K509" i="17" a="1"/>
  <c r="K510" i="17" a="1"/>
  <c r="K511" i="17" a="1"/>
  <c r="K512" i="17" a="1"/>
  <c r="K513" i="17" a="1"/>
  <c r="K514" i="17" a="1"/>
  <c r="K515" i="17" a="1"/>
  <c r="K516" i="17" a="1"/>
  <c r="K517" i="17" a="1"/>
  <c r="K518" i="17" a="1"/>
  <c r="K519" i="17" a="1"/>
  <c r="K520" i="17" a="1"/>
  <c r="K521" i="17" a="1"/>
  <c r="K522" i="17" a="1"/>
  <c r="K523" i="17" a="1"/>
  <c r="K524" i="17" a="1"/>
  <c r="K525" i="17" a="1"/>
  <c r="K526" i="17" a="1"/>
  <c r="K527" i="17" a="1"/>
  <c r="K528" i="17" a="1"/>
  <c r="K529" i="17" a="1"/>
  <c r="K530" i="17" a="1"/>
  <c r="K531" i="17" a="1"/>
  <c r="K532" i="17" a="1"/>
  <c r="K533" i="17" a="1"/>
  <c r="K534" i="17" a="1"/>
  <c r="K535" i="17" a="1"/>
  <c r="K536" i="17" a="1"/>
  <c r="K537" i="17" a="1"/>
  <c r="K538" i="17" a="1"/>
  <c r="K539" i="17" a="1"/>
  <c r="K540" i="17" a="1"/>
  <c r="K541" i="17" a="1"/>
  <c r="K542" i="17" a="1"/>
  <c r="K543" i="17" a="1"/>
  <c r="K544" i="17" a="1"/>
  <c r="K545" i="17" a="1"/>
  <c r="K546" i="17" a="1"/>
  <c r="K547" i="17" a="1"/>
  <c r="K548" i="17" a="1"/>
  <c r="K549" i="17" a="1"/>
  <c r="K550" i="17" a="1"/>
  <c r="K551" i="17" a="1"/>
  <c r="K552" i="17" a="1"/>
  <c r="K553" i="17" a="1"/>
  <c r="K554" i="17" a="1"/>
  <c r="K555" i="17" a="1"/>
  <c r="K556" i="17" a="1"/>
  <c r="K557" i="17" a="1"/>
  <c r="K558" i="17" a="1"/>
  <c r="K559" i="17" a="1"/>
  <c r="K560" i="17" a="1"/>
  <c r="K561" i="17" a="1"/>
  <c r="K562" i="17" a="1"/>
  <c r="K563" i="17" a="1"/>
  <c r="K564" i="17" a="1"/>
  <c r="K565" i="17" a="1"/>
  <c r="K566" i="17" a="1"/>
  <c r="K567" i="17" a="1"/>
  <c r="K568" i="17" a="1"/>
  <c r="K569" i="17" a="1"/>
  <c r="K570" i="17" a="1"/>
  <c r="K571" i="17" a="1"/>
  <c r="K572" i="17" a="1"/>
  <c r="K573" i="17" a="1"/>
  <c r="K574" i="17" a="1"/>
  <c r="K575" i="17" a="1"/>
  <c r="K576" i="17" a="1"/>
  <c r="K577" i="17" a="1"/>
  <c r="K578" i="17" a="1"/>
  <c r="K579" i="17" a="1"/>
  <c r="K580" i="17" a="1"/>
  <c r="K581" i="17" a="1"/>
  <c r="K582" i="17" a="1"/>
  <c r="K583" i="17" a="1"/>
  <c r="K584" i="17" a="1"/>
  <c r="K585" i="17" a="1"/>
  <c r="K586" i="17" a="1"/>
  <c r="K587" i="17" a="1"/>
  <c r="K588" i="17" a="1"/>
  <c r="K589" i="17" a="1"/>
  <c r="K590" i="17" a="1"/>
  <c r="K591" i="17" a="1"/>
  <c r="K592" i="17" a="1"/>
  <c r="K593" i="17" a="1"/>
  <c r="K594" i="17" a="1"/>
  <c r="K595" i="17" a="1"/>
  <c r="K596" i="17" a="1"/>
  <c r="K597" i="17" a="1"/>
  <c r="K598" i="17" a="1"/>
  <c r="K599" i="17" a="1"/>
  <c r="K600" i="17" a="1"/>
  <c r="K601" i="17" a="1"/>
  <c r="K602" i="17" a="1"/>
  <c r="K603" i="17" a="1"/>
  <c r="K604" i="17" a="1"/>
  <c r="K605" i="17" a="1"/>
  <c r="K606" i="17" a="1"/>
  <c r="K607" i="17" a="1"/>
  <c r="K608" i="17" a="1"/>
  <c r="K609" i="17" a="1"/>
  <c r="K610" i="17" a="1"/>
  <c r="K611" i="17" a="1"/>
  <c r="K612" i="17" a="1"/>
  <c r="K613" i="17" a="1"/>
  <c r="K614" i="17" a="1"/>
  <c r="K615" i="17" a="1"/>
  <c r="K616" i="17" a="1"/>
  <c r="K617" i="17" a="1"/>
  <c r="K618" i="17" a="1"/>
  <c r="K619" i="17" a="1"/>
  <c r="K620" i="17" a="1"/>
  <c r="K621" i="17" a="1"/>
  <c r="K622" i="17" a="1"/>
  <c r="K623" i="17" a="1"/>
  <c r="K624" i="17" a="1"/>
  <c r="K625" i="17" a="1"/>
  <c r="K626" i="17" a="1"/>
  <c r="K627" i="17" a="1"/>
  <c r="K628" i="17" a="1"/>
  <c r="K629" i="17" a="1"/>
  <c r="K630" i="17" a="1"/>
  <c r="K631" i="17" a="1"/>
  <c r="K632" i="17" a="1"/>
  <c r="K633" i="17" a="1"/>
  <c r="K634" i="17" a="1"/>
  <c r="K635" i="17" a="1"/>
  <c r="K636" i="17" a="1"/>
  <c r="K637" i="17" a="1"/>
  <c r="K638" i="17" a="1"/>
  <c r="K639" i="17" a="1"/>
  <c r="K640" i="17" a="1"/>
  <c r="K641" i="17" a="1"/>
  <c r="K642" i="17" a="1"/>
  <c r="K643" i="17" a="1"/>
  <c r="K644" i="17" a="1"/>
  <c r="K645" i="17" a="1"/>
  <c r="K646" i="17" a="1"/>
  <c r="K647" i="17" a="1"/>
  <c r="K648" i="17" a="1"/>
  <c r="K649" i="17" a="1"/>
  <c r="K650" i="17" a="1"/>
  <c r="K651" i="17" a="1"/>
  <c r="K652" i="17" a="1"/>
  <c r="K653" i="17" a="1"/>
  <c r="K654" i="17" a="1"/>
  <c r="K655" i="17" a="1"/>
  <c r="K656" i="17" a="1"/>
  <c r="K657" i="17" a="1"/>
  <c r="K658" i="17" a="1"/>
  <c r="K659" i="17" a="1"/>
  <c r="K660" i="17" a="1"/>
  <c r="K661" i="17" a="1"/>
  <c r="K662" i="17" a="1"/>
  <c r="K663" i="17" a="1"/>
  <c r="K664" i="17" a="1"/>
  <c r="K665" i="17" a="1"/>
  <c r="K666" i="17" a="1"/>
  <c r="K667" i="17" a="1"/>
  <c r="K668" i="17" a="1"/>
  <c r="K669" i="17" a="1"/>
  <c r="K670" i="17" a="1"/>
  <c r="K671" i="17" a="1"/>
  <c r="K672" i="17" a="1"/>
  <c r="K673" i="17" a="1"/>
  <c r="K674" i="17" a="1"/>
  <c r="K675" i="17" a="1"/>
  <c r="K676" i="17" a="1"/>
  <c r="K677" i="17" a="1"/>
  <c r="K678" i="17" a="1"/>
  <c r="K679" i="17" a="1"/>
  <c r="K680" i="17" a="1"/>
  <c r="K681" i="17" a="1"/>
  <c r="K682" i="17" a="1"/>
  <c r="K683" i="17" a="1"/>
  <c r="K684" i="17" a="1"/>
  <c r="K685" i="17" a="1"/>
  <c r="K686" i="17" a="1"/>
  <c r="K687" i="17" a="1"/>
  <c r="K688" i="17" a="1"/>
  <c r="K689" i="17" a="1"/>
  <c r="K690" i="17" a="1"/>
  <c r="K691" i="17" a="1"/>
  <c r="K692" i="17" a="1"/>
  <c r="K693" i="17" a="1"/>
  <c r="K694" i="17" a="1"/>
  <c r="K695" i="17" a="1"/>
  <c r="K696" i="17" a="1"/>
  <c r="K697" i="17" a="1"/>
  <c r="K698" i="17" a="1"/>
  <c r="K699" i="17" a="1"/>
  <c r="K700" i="17" a="1"/>
  <c r="K701" i="17" a="1"/>
  <c r="K702" i="17" a="1"/>
  <c r="K703" i="17" a="1"/>
  <c r="K704" i="17" a="1"/>
  <c r="K705" i="17" a="1"/>
  <c r="K706" i="17" a="1"/>
  <c r="K707" i="17" a="1"/>
  <c r="K708" i="17" a="1"/>
  <c r="K709" i="17" a="1"/>
  <c r="K710" i="17" a="1"/>
  <c r="K711" i="17" a="1"/>
  <c r="K712" i="17" a="1"/>
  <c r="K713" i="17" a="1"/>
  <c r="K714" i="17" a="1"/>
  <c r="K715" i="17" a="1"/>
  <c r="K716" i="17" a="1"/>
  <c r="K717" i="17" a="1"/>
  <c r="K718" i="17" a="1"/>
  <c r="K719" i="17" a="1"/>
  <c r="K720" i="17" a="1"/>
  <c r="K721" i="17" a="1"/>
  <c r="K722" i="17" a="1"/>
  <c r="K723" i="17" a="1"/>
  <c r="K724" i="17" a="1"/>
  <c r="K725" i="17" a="1"/>
  <c r="K726" i="17" a="1"/>
  <c r="K727" i="17" a="1"/>
  <c r="K728" i="17" a="1"/>
  <c r="K729" i="17" a="1"/>
  <c r="K730" i="17" a="1"/>
  <c r="K731" i="17" a="1"/>
  <c r="K732" i="17" a="1"/>
  <c r="K733" i="17" a="1"/>
  <c r="K734" i="17" a="1"/>
  <c r="K735" i="17" a="1"/>
  <c r="K736" i="17" a="1"/>
  <c r="K737" i="17" a="1"/>
  <c r="K738" i="17" a="1"/>
  <c r="K739" i="17" a="1"/>
  <c r="K740" i="17" a="1"/>
  <c r="K741" i="17" a="1"/>
  <c r="K742" i="17" a="1"/>
  <c r="K743" i="17" a="1"/>
  <c r="K744" i="17" a="1"/>
  <c r="K745" i="17" a="1"/>
  <c r="K746" i="17" a="1"/>
  <c r="K747" i="17" a="1"/>
  <c r="K748" i="17" a="1"/>
  <c r="K749" i="17" a="1"/>
  <c r="K750" i="17" a="1"/>
  <c r="K751" i="17" a="1"/>
  <c r="K752" i="17" a="1"/>
  <c r="K753" i="17" a="1"/>
  <c r="K754" i="17" a="1"/>
  <c r="K755" i="17" a="1"/>
  <c r="K756" i="17" a="1"/>
  <c r="K757" i="17" a="1"/>
  <c r="K758" i="17" a="1"/>
  <c r="K759" i="17" a="1"/>
  <c r="K760" i="17" a="1"/>
  <c r="K761" i="17" a="1"/>
  <c r="K762" i="17" a="1"/>
  <c r="K763" i="17" a="1"/>
  <c r="K764" i="17" a="1"/>
  <c r="K765" i="17" a="1"/>
  <c r="K766" i="17" a="1"/>
  <c r="K767" i="17" a="1"/>
  <c r="K768" i="17" a="1"/>
  <c r="K769" i="17" a="1"/>
  <c r="K770" i="17" a="1"/>
  <c r="K771" i="17" a="1"/>
  <c r="K772" i="17" a="1"/>
  <c r="K773" i="17" a="1"/>
  <c r="K774" i="17" a="1"/>
  <c r="K775" i="17" a="1"/>
  <c r="K776" i="17" a="1"/>
  <c r="K777" i="17" a="1"/>
  <c r="K778" i="17" a="1"/>
  <c r="K779" i="17" a="1"/>
  <c r="K780" i="17" a="1"/>
  <c r="K781" i="17" a="1"/>
  <c r="K782" i="17" a="1"/>
  <c r="K783" i="17" a="1"/>
  <c r="K784" i="17" a="1"/>
  <c r="K785" i="17" a="1"/>
  <c r="K786" i="17" a="1"/>
  <c r="K787" i="17" a="1"/>
  <c r="K788" i="17" a="1"/>
  <c r="K789" i="17" a="1"/>
  <c r="K790" i="17" a="1"/>
  <c r="K791" i="17" a="1"/>
  <c r="K792" i="17" a="1"/>
  <c r="K794" i="17" a="1"/>
  <c r="K795" i="17" a="1"/>
  <c r="K796" i="17" a="1"/>
  <c r="K797" i="17" a="1"/>
  <c r="K798" i="17" a="1"/>
  <c r="K799" i="17" a="1"/>
  <c r="K800" i="17" a="1"/>
  <c r="K801" i="17" a="1"/>
  <c r="K802" i="17" a="1"/>
  <c r="K803" i="17" a="1"/>
  <c r="K804" i="17" a="1"/>
  <c r="K805" i="17" a="1"/>
  <c r="K806" i="17" a="1"/>
  <c r="K807" i="17" a="1"/>
  <c r="K808" i="17" a="1"/>
  <c r="K809" i="17" a="1"/>
  <c r="K810" i="17" a="1"/>
  <c r="K811" i="17" a="1"/>
  <c r="K812" i="17" a="1"/>
  <c r="K813" i="17" a="1"/>
  <c r="K814" i="17" a="1"/>
  <c r="K815" i="17" a="1"/>
  <c r="K816" i="17" a="1"/>
  <c r="K817" i="17" a="1"/>
  <c r="K818" i="17" a="1"/>
  <c r="K819" i="17" a="1"/>
  <c r="K820" i="17" a="1"/>
  <c r="K821" i="17" a="1"/>
  <c r="K822" i="17" a="1"/>
  <c r="K823" i="17" a="1"/>
  <c r="K824" i="17" a="1"/>
  <c r="K825" i="17" a="1"/>
  <c r="K826" i="17" a="1"/>
  <c r="K827" i="17" a="1"/>
  <c r="K828" i="17" a="1"/>
  <c r="K829" i="17" a="1"/>
  <c r="K830" i="17" a="1"/>
  <c r="K831" i="17" a="1"/>
  <c r="K832" i="17" a="1"/>
  <c r="K833" i="17" a="1"/>
  <c r="K834" i="17" a="1"/>
  <c r="K835" i="17" a="1"/>
  <c r="K836" i="17" a="1"/>
  <c r="K837" i="17" a="1"/>
  <c r="K838" i="17" a="1"/>
  <c r="K839" i="17" a="1"/>
  <c r="K840" i="17" a="1"/>
  <c r="K841" i="17" a="1"/>
  <c r="K842" i="17" a="1"/>
  <c r="K843" i="17" a="1"/>
  <c r="K844" i="17" a="1"/>
  <c r="K845" i="17" a="1"/>
  <c r="K846" i="17" a="1"/>
  <c r="K847" i="17" a="1"/>
  <c r="K848" i="17" a="1"/>
  <c r="K849" i="17" a="1"/>
  <c r="K850" i="17" a="1"/>
  <c r="K851" i="17" a="1"/>
  <c r="K852" i="17" a="1"/>
  <c r="K853" i="17" a="1"/>
  <c r="K854" i="17" a="1"/>
  <c r="K855" i="17" a="1"/>
  <c r="K856" i="17" a="1"/>
  <c r="K857" i="17" a="1"/>
  <c r="K858" i="17" a="1"/>
  <c r="K859" i="17" a="1"/>
  <c r="K860" i="17" a="1"/>
  <c r="K861" i="17" a="1"/>
  <c r="K862" i="17" a="1"/>
  <c r="K863" i="17" a="1"/>
  <c r="K864" i="17" a="1"/>
  <c r="K865" i="17" a="1"/>
  <c r="K866" i="17" a="1"/>
  <c r="K867" i="17" a="1"/>
  <c r="K868" i="17" a="1"/>
  <c r="K869" i="17" a="1"/>
  <c r="K870" i="17" a="1"/>
  <c r="K871" i="17" a="1"/>
  <c r="K872" i="17" a="1"/>
  <c r="K873" i="17" a="1"/>
  <c r="K874" i="17" a="1"/>
  <c r="K875" i="17" a="1"/>
  <c r="K876" i="17" a="1"/>
  <c r="K877" i="17" a="1"/>
  <c r="K878" i="17" a="1"/>
  <c r="K879" i="17" a="1"/>
  <c r="K880" i="17" a="1"/>
  <c r="K881" i="17" a="1"/>
  <c r="K882" i="17" a="1"/>
  <c r="N882" i="17"/>
  <c r="N881" i="17"/>
  <c r="N880" i="17"/>
  <c r="N879" i="17"/>
  <c r="N878" i="17"/>
  <c r="N877" i="17"/>
  <c r="N876" i="17"/>
  <c r="N875" i="17"/>
  <c r="N874" i="17"/>
  <c r="N873" i="17"/>
  <c r="N872" i="17"/>
  <c r="N871" i="17"/>
  <c r="N870" i="17"/>
  <c r="N869" i="17"/>
  <c r="N868" i="17"/>
  <c r="N867" i="17"/>
  <c r="N866" i="17"/>
  <c r="N865" i="17"/>
  <c r="N864" i="17"/>
  <c r="N863" i="17"/>
  <c r="N862" i="17"/>
  <c r="N861" i="17"/>
  <c r="N860" i="17"/>
  <c r="N859" i="17"/>
  <c r="N858" i="17"/>
  <c r="N857" i="17"/>
  <c r="N856" i="17"/>
  <c r="N855" i="17"/>
  <c r="N854" i="17"/>
  <c r="N853" i="17"/>
  <c r="N852" i="17"/>
  <c r="N851" i="17"/>
  <c r="N850" i="17"/>
  <c r="N849" i="17"/>
  <c r="N848" i="17"/>
  <c r="N847" i="17"/>
  <c r="N846" i="17"/>
  <c r="N845" i="17"/>
  <c r="N844" i="17"/>
  <c r="N843" i="17"/>
  <c r="N842" i="17"/>
  <c r="N841" i="17"/>
  <c r="N840" i="17"/>
  <c r="N839" i="17"/>
  <c r="N838" i="17"/>
  <c r="N837" i="17"/>
  <c r="N836" i="17"/>
  <c r="N835" i="17"/>
  <c r="N834" i="17"/>
  <c r="N833" i="17"/>
  <c r="N832" i="17"/>
  <c r="N831" i="17"/>
  <c r="N830" i="17"/>
  <c r="N829" i="17"/>
  <c r="N828" i="17"/>
  <c r="N827" i="17"/>
  <c r="N826" i="17"/>
  <c r="N825" i="17"/>
  <c r="N824" i="17"/>
  <c r="N823" i="17"/>
  <c r="N822" i="17"/>
  <c r="N821" i="17"/>
  <c r="N820" i="17"/>
  <c r="N819" i="17"/>
  <c r="N818" i="17"/>
  <c r="N817" i="17"/>
  <c r="N816" i="17"/>
  <c r="N815" i="17"/>
  <c r="N814" i="17"/>
  <c r="N813" i="17"/>
  <c r="N812" i="17"/>
  <c r="N811" i="17"/>
  <c r="N810" i="17"/>
  <c r="N809" i="17"/>
  <c r="N808" i="17"/>
  <c r="N807" i="17"/>
  <c r="N806" i="17"/>
  <c r="N805" i="17"/>
  <c r="N804" i="17"/>
  <c r="N803" i="17"/>
  <c r="N802" i="17"/>
  <c r="N801" i="17"/>
  <c r="N800" i="17"/>
  <c r="N799" i="17"/>
  <c r="N798" i="17"/>
  <c r="N797" i="17"/>
  <c r="N796" i="17"/>
  <c r="N795" i="17"/>
  <c r="N794" i="17"/>
  <c r="N793" i="17"/>
  <c r="N792" i="17"/>
  <c r="N791" i="17"/>
  <c r="N790" i="17"/>
  <c r="N789" i="17"/>
  <c r="N788" i="17"/>
  <c r="N787" i="17"/>
  <c r="N786" i="17"/>
  <c r="N785" i="17"/>
  <c r="N784" i="17"/>
  <c r="N783" i="17"/>
  <c r="N782" i="17"/>
  <c r="N781" i="17"/>
  <c r="N780" i="17"/>
  <c r="N779" i="17"/>
  <c r="N778" i="17"/>
  <c r="N777" i="17"/>
  <c r="N776" i="17"/>
  <c r="N775" i="17"/>
  <c r="N774" i="17"/>
  <c r="N773" i="17"/>
  <c r="N772" i="17"/>
  <c r="N771" i="17"/>
  <c r="N770" i="17"/>
  <c r="N769" i="17"/>
  <c r="N768" i="17"/>
  <c r="N767" i="17"/>
  <c r="N766" i="17"/>
  <c r="N765" i="17"/>
  <c r="N764" i="17"/>
  <c r="N763" i="17"/>
  <c r="N762" i="17"/>
  <c r="N761" i="17"/>
  <c r="N760" i="17"/>
  <c r="N759" i="17"/>
  <c r="N758" i="17"/>
  <c r="N757" i="17"/>
  <c r="N756" i="17"/>
  <c r="N755" i="17"/>
  <c r="N754" i="17"/>
  <c r="N753" i="17"/>
  <c r="N752" i="17"/>
  <c r="N751" i="17"/>
  <c r="N750" i="17"/>
  <c r="N749" i="17"/>
  <c r="N748" i="17"/>
  <c r="N747" i="17"/>
  <c r="N746" i="17"/>
  <c r="N745" i="17"/>
  <c r="N744" i="17"/>
  <c r="N743" i="17"/>
  <c r="N742" i="17"/>
  <c r="N741" i="17"/>
  <c r="N740" i="17"/>
  <c r="N739" i="17"/>
  <c r="N738" i="17"/>
  <c r="N737" i="17"/>
  <c r="N736" i="17"/>
  <c r="N735" i="17"/>
  <c r="N734" i="17"/>
  <c r="N733" i="17"/>
  <c r="N732" i="17"/>
  <c r="N731" i="17"/>
  <c r="N730" i="17"/>
  <c r="N729" i="17"/>
  <c r="N728" i="17"/>
  <c r="N727" i="17"/>
  <c r="N726" i="17"/>
  <c r="N725" i="17"/>
  <c r="N724" i="17"/>
  <c r="N723" i="17"/>
  <c r="N722" i="17"/>
  <c r="N721" i="17"/>
  <c r="N720" i="17"/>
  <c r="N719" i="17"/>
  <c r="N718" i="17"/>
  <c r="N717" i="17"/>
  <c r="N716" i="17"/>
  <c r="N715" i="17"/>
  <c r="N714" i="17"/>
  <c r="N713" i="17"/>
  <c r="N712" i="17"/>
  <c r="N711" i="17"/>
  <c r="N710" i="17"/>
  <c r="N709" i="17"/>
  <c r="N708" i="17"/>
  <c r="N707" i="17"/>
  <c r="N706" i="17"/>
  <c r="N705" i="17"/>
  <c r="N704" i="17"/>
  <c r="N703" i="17"/>
  <c r="N702" i="17"/>
  <c r="N701" i="17"/>
  <c r="N700" i="17"/>
  <c r="N699" i="17"/>
  <c r="N698" i="17"/>
  <c r="N697" i="17"/>
  <c r="N696" i="17"/>
  <c r="N695" i="17"/>
  <c r="N694" i="17"/>
  <c r="N693" i="17"/>
  <c r="N692" i="17"/>
  <c r="N691" i="17"/>
  <c r="N690" i="17"/>
  <c r="N689" i="17"/>
  <c r="N688" i="17"/>
  <c r="N687" i="17"/>
  <c r="N686" i="17"/>
  <c r="N685" i="17"/>
  <c r="N684" i="17"/>
  <c r="N683" i="17"/>
  <c r="N682" i="17"/>
  <c r="N681" i="17"/>
  <c r="N680" i="17"/>
  <c r="N679" i="17"/>
  <c r="N678" i="17"/>
  <c r="N677" i="17"/>
  <c r="N676" i="17"/>
  <c r="N675" i="17"/>
  <c r="N674" i="17"/>
  <c r="N673" i="17"/>
  <c r="N672" i="17"/>
  <c r="N671" i="17"/>
  <c r="N670" i="17"/>
  <c r="N669" i="17"/>
  <c r="N668" i="17"/>
  <c r="N667" i="17"/>
  <c r="N666" i="17"/>
  <c r="N665" i="17"/>
  <c r="N664" i="17"/>
  <c r="N663" i="17"/>
  <c r="N662" i="17"/>
  <c r="N661" i="17"/>
  <c r="N660" i="17"/>
  <c r="N659" i="17"/>
  <c r="N658" i="17"/>
  <c r="N657" i="17"/>
  <c r="N656" i="17"/>
  <c r="N655" i="17"/>
  <c r="N654" i="17"/>
  <c r="N653" i="17"/>
  <c r="N652" i="17"/>
  <c r="N651" i="17"/>
  <c r="N650" i="17"/>
  <c r="N649" i="17"/>
  <c r="N648" i="17"/>
  <c r="N647" i="17"/>
  <c r="N646" i="17"/>
  <c r="N645" i="17"/>
  <c r="N644" i="17"/>
  <c r="N643" i="17"/>
  <c r="N642" i="17"/>
  <c r="N641" i="17"/>
  <c r="N640" i="17"/>
  <c r="N639" i="17"/>
  <c r="N638" i="17"/>
  <c r="N637" i="17"/>
  <c r="N636" i="17"/>
  <c r="N635" i="17"/>
  <c r="N634" i="17"/>
  <c r="N633" i="17"/>
  <c r="N632" i="17"/>
  <c r="N631" i="17"/>
  <c r="N630" i="17"/>
  <c r="N629" i="17"/>
  <c r="N628" i="17"/>
  <c r="N627" i="17"/>
  <c r="N626" i="17"/>
  <c r="N625" i="17"/>
  <c r="N624" i="17"/>
  <c r="N623" i="17"/>
  <c r="N622" i="17"/>
  <c r="N621" i="17"/>
  <c r="N620" i="17"/>
  <c r="N619" i="17"/>
  <c r="N618" i="17"/>
  <c r="N617" i="17"/>
  <c r="N616" i="17"/>
  <c r="N615" i="17"/>
  <c r="N614" i="17"/>
  <c r="N613" i="17"/>
  <c r="N612" i="17"/>
  <c r="N611" i="17"/>
  <c r="N610" i="17"/>
  <c r="N609" i="17"/>
  <c r="N608" i="17"/>
  <c r="N607" i="17"/>
  <c r="N606" i="17"/>
  <c r="N605" i="17"/>
  <c r="N604" i="17"/>
  <c r="N603" i="17"/>
  <c r="N602" i="17"/>
  <c r="N601" i="17"/>
  <c r="N600" i="17"/>
  <c r="N599" i="17"/>
  <c r="N598" i="17"/>
  <c r="N597" i="17"/>
  <c r="N596" i="17"/>
  <c r="N595" i="17"/>
  <c r="N594" i="17"/>
  <c r="N593" i="17"/>
  <c r="N592" i="17"/>
  <c r="N591" i="17"/>
  <c r="N590" i="17"/>
  <c r="N589" i="17"/>
  <c r="N588" i="17"/>
  <c r="N587" i="17"/>
  <c r="N586" i="17"/>
  <c r="N585" i="17"/>
  <c r="N584" i="17"/>
  <c r="N583" i="17"/>
  <c r="N582" i="17"/>
  <c r="N581" i="17"/>
  <c r="N580" i="17"/>
  <c r="N579" i="17"/>
  <c r="N578" i="17"/>
  <c r="N577" i="17"/>
  <c r="N576" i="17"/>
  <c r="N575" i="17"/>
  <c r="N574" i="17"/>
  <c r="N573" i="17"/>
  <c r="N572" i="17"/>
  <c r="N571" i="17"/>
  <c r="N570" i="17"/>
  <c r="N569" i="17"/>
  <c r="N568" i="17"/>
  <c r="N567" i="17"/>
  <c r="N566" i="17"/>
  <c r="N565" i="17"/>
  <c r="N564" i="17"/>
  <c r="N563" i="17"/>
  <c r="N562" i="17"/>
  <c r="N561" i="17"/>
  <c r="N560" i="17"/>
  <c r="N559" i="17"/>
  <c r="N558" i="17"/>
  <c r="N557" i="17"/>
  <c r="N556" i="17"/>
  <c r="N555" i="17"/>
  <c r="N554" i="17"/>
  <c r="N553" i="17"/>
  <c r="N552" i="17"/>
  <c r="N551" i="17"/>
  <c r="N550" i="17"/>
  <c r="N549" i="17"/>
  <c r="N548" i="17"/>
  <c r="N547" i="17"/>
  <c r="N546" i="17"/>
  <c r="N545" i="17"/>
  <c r="N544" i="17"/>
  <c r="N543" i="17"/>
  <c r="N542" i="17"/>
  <c r="N541" i="17"/>
  <c r="N540" i="17"/>
  <c r="N539" i="17"/>
  <c r="N538" i="17"/>
  <c r="N537" i="17"/>
  <c r="N536" i="17"/>
  <c r="N535" i="17"/>
  <c r="N534" i="17"/>
  <c r="N533" i="17"/>
  <c r="N532" i="17"/>
  <c r="N531" i="17"/>
  <c r="N530" i="17"/>
  <c r="N529" i="17"/>
  <c r="N528" i="17"/>
  <c r="N527" i="17"/>
  <c r="N526" i="17"/>
  <c r="N525" i="17"/>
  <c r="N524" i="17"/>
  <c r="N523" i="17"/>
  <c r="N522" i="17"/>
  <c r="N521" i="17"/>
  <c r="N520" i="17"/>
  <c r="N519" i="17"/>
  <c r="N518" i="17"/>
  <c r="N517" i="17"/>
  <c r="N516" i="17"/>
  <c r="N515" i="17"/>
  <c r="N514" i="17"/>
  <c r="N513" i="17"/>
  <c r="N512" i="17"/>
  <c r="N511" i="17"/>
  <c r="N510" i="17"/>
  <c r="N509" i="17"/>
  <c r="N508" i="17"/>
  <c r="N507" i="17"/>
  <c r="N506" i="17"/>
  <c r="N505" i="17"/>
  <c r="N504" i="17"/>
  <c r="N503" i="17"/>
  <c r="N502" i="17"/>
  <c r="N501" i="17"/>
  <c r="N500" i="17"/>
  <c r="N499" i="17"/>
  <c r="N498" i="17"/>
  <c r="N497" i="17"/>
  <c r="N496" i="17"/>
  <c r="N495" i="17"/>
  <c r="N494" i="17"/>
  <c r="N493" i="17"/>
  <c r="N492" i="17"/>
  <c r="N491" i="17"/>
  <c r="N490" i="17"/>
  <c r="N489" i="17"/>
  <c r="N488" i="17"/>
  <c r="N487" i="17"/>
  <c r="N486" i="17"/>
  <c r="N485" i="17"/>
  <c r="N484" i="17"/>
  <c r="N483" i="17"/>
  <c r="N482" i="17"/>
  <c r="N481" i="17"/>
  <c r="N480" i="17"/>
  <c r="N479" i="17"/>
  <c r="N478" i="17"/>
  <c r="N477" i="17"/>
  <c r="N476" i="17"/>
  <c r="N475" i="17"/>
  <c r="N474" i="17"/>
  <c r="N473" i="17"/>
  <c r="N472" i="17"/>
  <c r="N471" i="17"/>
  <c r="N470" i="17"/>
  <c r="N469" i="17"/>
  <c r="N468" i="17"/>
  <c r="N467" i="17"/>
  <c r="N466" i="17"/>
  <c r="N465" i="17"/>
  <c r="N464" i="17"/>
  <c r="N463" i="17"/>
  <c r="N462" i="17"/>
  <c r="N461" i="17"/>
  <c r="N460" i="17"/>
  <c r="N459" i="17"/>
  <c r="N458" i="17"/>
  <c r="N457" i="17"/>
  <c r="N456" i="17"/>
  <c r="N455" i="17"/>
  <c r="N454" i="17"/>
  <c r="N453" i="17"/>
  <c r="N452" i="17"/>
  <c r="N451" i="17"/>
  <c r="N450" i="17"/>
  <c r="N449" i="17"/>
  <c r="N448" i="17"/>
  <c r="N447" i="17"/>
  <c r="N446" i="17"/>
  <c r="N445" i="17"/>
  <c r="N444" i="17"/>
  <c r="N443" i="17"/>
  <c r="N442" i="17"/>
  <c r="N441" i="17"/>
  <c r="N440" i="17"/>
  <c r="N439" i="17"/>
  <c r="N438" i="17"/>
  <c r="N437" i="17"/>
  <c r="N436" i="17"/>
  <c r="N435" i="17"/>
  <c r="N434" i="17"/>
  <c r="N433" i="17"/>
  <c r="N432" i="17"/>
  <c r="N431" i="17"/>
  <c r="N430" i="17"/>
  <c r="N429" i="17"/>
  <c r="N428" i="17"/>
  <c r="N427" i="17"/>
  <c r="N426" i="17"/>
  <c r="N425" i="17"/>
  <c r="N424" i="17"/>
  <c r="N423" i="17"/>
  <c r="N422" i="17"/>
  <c r="N421" i="17"/>
  <c r="N420" i="17"/>
  <c r="N419" i="17"/>
  <c r="N418" i="17"/>
  <c r="N417" i="17"/>
  <c r="N416" i="17"/>
  <c r="N415" i="17"/>
  <c r="N414" i="17"/>
  <c r="N413" i="17"/>
  <c r="N412" i="17"/>
  <c r="N411" i="17"/>
  <c r="N410" i="17"/>
  <c r="N409" i="17"/>
  <c r="N408" i="17"/>
  <c r="N407" i="17"/>
  <c r="N406" i="17"/>
  <c r="N405" i="17"/>
  <c r="N404" i="17"/>
  <c r="N403" i="17"/>
  <c r="N402" i="17"/>
  <c r="N401" i="17"/>
  <c r="N400" i="17"/>
  <c r="N399" i="17"/>
  <c r="N398" i="17"/>
  <c r="N397" i="17"/>
  <c r="N396" i="17"/>
  <c r="N395" i="17"/>
  <c r="N394" i="17"/>
  <c r="N393" i="17"/>
  <c r="N392" i="17"/>
  <c r="N391" i="17"/>
  <c r="N390" i="17"/>
  <c r="N389" i="17"/>
  <c r="N388" i="17"/>
  <c r="N387" i="17"/>
  <c r="N386" i="17"/>
  <c r="N385" i="17"/>
  <c r="N384" i="17"/>
  <c r="N383" i="17"/>
  <c r="N382" i="17"/>
  <c r="N381" i="17"/>
  <c r="N380" i="17"/>
  <c r="N379" i="17"/>
  <c r="N378" i="17"/>
  <c r="N377" i="17"/>
  <c r="N376" i="17"/>
  <c r="N375" i="17"/>
  <c r="N374" i="17"/>
  <c r="N373" i="17"/>
  <c r="N372" i="17"/>
  <c r="N371" i="17"/>
  <c r="N370" i="17"/>
  <c r="N369" i="17"/>
  <c r="N368" i="17"/>
  <c r="N367" i="17"/>
  <c r="N366" i="17"/>
  <c r="N365" i="17"/>
  <c r="N364" i="17"/>
  <c r="N363" i="17"/>
  <c r="N362" i="17"/>
  <c r="N361" i="17"/>
  <c r="N360" i="17"/>
  <c r="N359" i="17"/>
  <c r="N358" i="17"/>
  <c r="N357" i="17"/>
  <c r="N356" i="17"/>
  <c r="N355" i="17"/>
  <c r="N354" i="17"/>
  <c r="N353" i="17"/>
  <c r="N352" i="17"/>
  <c r="N351" i="17"/>
  <c r="N350" i="17"/>
  <c r="N349" i="17"/>
  <c r="N348" i="17"/>
  <c r="N347" i="17"/>
  <c r="N346" i="17"/>
  <c r="N345" i="17"/>
  <c r="N344" i="17"/>
  <c r="N343" i="17"/>
  <c r="N342" i="17"/>
  <c r="N341" i="17"/>
  <c r="N340" i="17"/>
  <c r="N339" i="17"/>
  <c r="N338" i="17"/>
  <c r="N337" i="17"/>
  <c r="N336" i="17"/>
  <c r="N335" i="17"/>
  <c r="N334" i="17"/>
  <c r="N333" i="17"/>
  <c r="N332" i="17"/>
  <c r="N331" i="17"/>
  <c r="N330" i="17"/>
  <c r="N329" i="17"/>
  <c r="N328" i="17"/>
  <c r="N327" i="17"/>
  <c r="N326" i="17"/>
  <c r="N325" i="17"/>
  <c r="N324" i="17"/>
  <c r="N323" i="17"/>
  <c r="N322" i="17"/>
  <c r="N321" i="17"/>
  <c r="N320" i="17"/>
  <c r="N319" i="17"/>
  <c r="N318" i="17"/>
  <c r="N317" i="17"/>
  <c r="N316" i="17"/>
  <c r="N315" i="17"/>
  <c r="N314" i="17"/>
  <c r="N313" i="17"/>
  <c r="N312" i="17"/>
  <c r="N311" i="17"/>
  <c r="N310" i="17"/>
  <c r="N309" i="17"/>
  <c r="N308" i="17"/>
  <c r="N307" i="17"/>
  <c r="N306" i="17"/>
  <c r="N305" i="17"/>
  <c r="N304" i="17"/>
  <c r="N303" i="17"/>
  <c r="N302" i="17"/>
  <c r="N301" i="17"/>
  <c r="N300" i="17"/>
  <c r="N299" i="17"/>
  <c r="N298" i="17"/>
  <c r="N297" i="17"/>
  <c r="N296" i="17"/>
  <c r="N295" i="17"/>
  <c r="N294" i="17"/>
  <c r="N293" i="17"/>
  <c r="N292" i="17"/>
  <c r="N291" i="17"/>
  <c r="N290" i="17"/>
  <c r="N289" i="17"/>
  <c r="N288" i="17"/>
  <c r="N287" i="17"/>
  <c r="N286" i="17"/>
  <c r="N285" i="17"/>
  <c r="N284" i="17"/>
  <c r="N283" i="17"/>
  <c r="N282" i="17"/>
  <c r="N281" i="17"/>
  <c r="N280" i="17"/>
  <c r="N279" i="17"/>
  <c r="N278" i="17"/>
  <c r="N277" i="17"/>
  <c r="N276" i="17"/>
  <c r="N275" i="17"/>
  <c r="N274" i="17"/>
  <c r="N273" i="17"/>
  <c r="N272" i="17"/>
  <c r="N271" i="17"/>
  <c r="N270" i="17"/>
  <c r="N269" i="17"/>
  <c r="N268" i="17"/>
  <c r="N267" i="17"/>
  <c r="N266" i="17"/>
  <c r="N265" i="17"/>
  <c r="N264" i="17"/>
  <c r="N263" i="17"/>
  <c r="N262" i="17"/>
  <c r="N261" i="17"/>
  <c r="N260" i="17"/>
  <c r="N259" i="17"/>
  <c r="N258" i="17"/>
  <c r="N257" i="17"/>
  <c r="N256" i="17"/>
  <c r="N255" i="17"/>
  <c r="N254" i="17"/>
  <c r="N253" i="17"/>
  <c r="N252" i="17"/>
  <c r="N251" i="17"/>
  <c r="N250" i="17"/>
  <c r="N249" i="17"/>
  <c r="N248" i="17"/>
  <c r="N247" i="17"/>
  <c r="N246" i="17"/>
  <c r="N245" i="17"/>
  <c r="N244" i="17"/>
  <c r="N243" i="17"/>
  <c r="N242" i="17"/>
  <c r="N241" i="17"/>
  <c r="N240" i="17"/>
  <c r="N239" i="17"/>
  <c r="N238" i="17"/>
  <c r="N237" i="17"/>
  <c r="N236" i="17"/>
  <c r="N235" i="17"/>
  <c r="N234" i="17"/>
  <c r="N233" i="17"/>
  <c r="N232" i="17"/>
  <c r="N231" i="17"/>
  <c r="N230" i="17"/>
  <c r="N229" i="17"/>
  <c r="N228" i="17"/>
  <c r="N227" i="17"/>
  <c r="N226" i="17"/>
  <c r="N225" i="17"/>
  <c r="N224" i="17"/>
  <c r="N223" i="17"/>
  <c r="N222" i="17"/>
  <c r="N221" i="17"/>
  <c r="N220" i="17"/>
  <c r="N219" i="17"/>
  <c r="N218" i="17"/>
  <c r="N217" i="17"/>
  <c r="N216" i="17"/>
  <c r="N215" i="17"/>
  <c r="N214" i="17"/>
  <c r="N213" i="17"/>
  <c r="N212" i="17"/>
  <c r="N211" i="17"/>
  <c r="N210" i="17"/>
  <c r="N209" i="17"/>
  <c r="N208" i="17"/>
  <c r="N207" i="17"/>
  <c r="N206" i="17"/>
  <c r="N205" i="17"/>
  <c r="N204" i="17"/>
  <c r="N203" i="17"/>
  <c r="N202" i="17"/>
  <c r="N201" i="17"/>
  <c r="N200" i="17"/>
  <c r="N199" i="17"/>
  <c r="N198" i="17"/>
  <c r="N197" i="17"/>
  <c r="N196" i="17"/>
  <c r="N195" i="17"/>
  <c r="N194" i="17"/>
  <c r="N193" i="17"/>
  <c r="N192" i="17"/>
  <c r="N191" i="17"/>
  <c r="N190" i="17"/>
  <c r="N189" i="17"/>
  <c r="N188" i="17"/>
  <c r="N187" i="17"/>
  <c r="N186" i="17"/>
  <c r="N185" i="17"/>
  <c r="N184" i="17"/>
  <c r="N183" i="17"/>
  <c r="N182" i="17"/>
  <c r="N181" i="17"/>
  <c r="N180" i="17"/>
  <c r="N179" i="17"/>
  <c r="N178" i="17"/>
  <c r="N177" i="17"/>
  <c r="N176" i="17"/>
  <c r="N175" i="17"/>
  <c r="N174" i="17"/>
  <c r="N173" i="17"/>
  <c r="N172" i="17"/>
  <c r="N171" i="17"/>
  <c r="N170" i="17"/>
  <c r="N169" i="17"/>
  <c r="N168" i="17"/>
  <c r="N167" i="17"/>
  <c r="N166" i="17"/>
  <c r="N165" i="17"/>
  <c r="N164" i="17"/>
  <c r="N163" i="17"/>
  <c r="N162" i="17"/>
  <c r="N161" i="17"/>
  <c r="N160" i="17"/>
  <c r="N159" i="17"/>
  <c r="N158" i="17"/>
  <c r="N157" i="17"/>
  <c r="N156" i="17"/>
  <c r="N155" i="17"/>
  <c r="N154" i="17"/>
  <c r="N153" i="17"/>
  <c r="N152" i="17"/>
  <c r="N151" i="17"/>
  <c r="N150" i="17"/>
  <c r="N149" i="17"/>
  <c r="N148" i="17"/>
  <c r="N147" i="17"/>
  <c r="N146" i="17"/>
  <c r="N145" i="17"/>
  <c r="N144" i="17"/>
  <c r="N143" i="17"/>
  <c r="N142" i="17"/>
  <c r="N141" i="17"/>
  <c r="N140" i="17"/>
  <c r="N139" i="17"/>
  <c r="N138" i="17"/>
  <c r="N137" i="17"/>
  <c r="N136" i="17"/>
  <c r="N135" i="17"/>
  <c r="N134" i="17"/>
  <c r="N133" i="17"/>
  <c r="N132" i="17"/>
  <c r="N131" i="17"/>
  <c r="N130" i="17"/>
  <c r="N129" i="17"/>
  <c r="N128" i="17"/>
  <c r="N127" i="17"/>
  <c r="N126" i="17"/>
  <c r="N125" i="17"/>
  <c r="N124" i="17"/>
  <c r="N123" i="17"/>
  <c r="N122" i="17"/>
  <c r="N121" i="17"/>
  <c r="N120" i="17"/>
  <c r="N119" i="17"/>
  <c r="N118" i="17"/>
  <c r="N117" i="17"/>
  <c r="N116" i="17"/>
  <c r="N115" i="17"/>
  <c r="N114" i="17"/>
  <c r="N113" i="17"/>
  <c r="N112" i="17"/>
  <c r="N111" i="17"/>
  <c r="N110" i="17"/>
  <c r="N109" i="17"/>
  <c r="N108" i="17"/>
  <c r="N107" i="17"/>
  <c r="N106" i="17"/>
  <c r="N105" i="17"/>
  <c r="N104" i="17"/>
  <c r="N103" i="17"/>
  <c r="N102" i="17"/>
  <c r="N101" i="17"/>
  <c r="N100" i="17"/>
  <c r="N99" i="17"/>
  <c r="N98" i="17"/>
  <c r="N97" i="17"/>
  <c r="N96" i="17"/>
  <c r="N95" i="17"/>
  <c r="N94" i="17"/>
  <c r="N93" i="17"/>
  <c r="N92" i="17"/>
  <c r="N91" i="17"/>
  <c r="N90" i="17"/>
  <c r="N89" i="17"/>
  <c r="N88" i="17"/>
  <c r="N87" i="17"/>
  <c r="N86" i="17"/>
  <c r="N85" i="17"/>
  <c r="N84" i="17"/>
  <c r="N83" i="17"/>
  <c r="N82" i="17"/>
  <c r="N81" i="17"/>
  <c r="N80" i="17"/>
  <c r="N79" i="17"/>
  <c r="N78" i="17"/>
  <c r="N77" i="17"/>
  <c r="N76" i="17"/>
  <c r="N75" i="17"/>
  <c r="N74" i="17"/>
  <c r="N73" i="17"/>
  <c r="N72" i="17"/>
  <c r="N71" i="17"/>
  <c r="N70" i="17"/>
  <c r="N69" i="17"/>
  <c r="N68" i="17"/>
  <c r="N67" i="17"/>
  <c r="N66" i="17"/>
  <c r="N65" i="17"/>
  <c r="N64" i="17"/>
  <c r="N63" i="17"/>
  <c r="N62" i="17"/>
  <c r="N61" i="17"/>
  <c r="N60" i="17"/>
  <c r="N59" i="17"/>
  <c r="N58" i="17"/>
  <c r="N57" i="17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V882" i="17" a="1"/>
  <c r="S882" i="17"/>
  <c r="M882" i="17" a="1"/>
  <c r="E882" i="17"/>
  <c r="P882" i="14"/>
  <c r="O882" i="14"/>
  <c r="N882" i="14"/>
  <c r="L882" i="14"/>
  <c r="K882" i="14"/>
  <c r="J882" i="14"/>
  <c r="I882" i="14"/>
  <c r="B882" i="14"/>
  <c r="AF881" i="1"/>
  <c r="AG881" i="1" a="1"/>
  <c r="AH881" i="1" a="1"/>
  <c r="AI881" i="1" a="1"/>
  <c r="V881" i="17" a="1"/>
  <c r="S881" i="17"/>
  <c r="M881" i="17" a="1"/>
  <c r="E881" i="17"/>
  <c r="P881" i="14"/>
  <c r="O881" i="14"/>
  <c r="N881" i="14"/>
  <c r="L881" i="14"/>
  <c r="K881" i="14"/>
  <c r="J881" i="14"/>
  <c r="I881" i="14"/>
  <c r="B881" i="14"/>
  <c r="AF880" i="1"/>
  <c r="AG880" i="1" a="1"/>
  <c r="AH880" i="1" a="1"/>
  <c r="AI880" i="1" a="1"/>
  <c r="R880" i="17"/>
  <c r="V880" i="17" a="1"/>
  <c r="M880" i="17" a="1"/>
  <c r="E880" i="17"/>
  <c r="P880" i="14"/>
  <c r="O880" i="14"/>
  <c r="N880" i="14"/>
  <c r="L880" i="14"/>
  <c r="K880" i="14"/>
  <c r="J880" i="14"/>
  <c r="I880" i="14"/>
  <c r="B880" i="14"/>
  <c r="AF879" i="1"/>
  <c r="AG879" i="1" a="1"/>
  <c r="AH879" i="1" a="1"/>
  <c r="AI879" i="1" a="1"/>
  <c r="V879" i="17" a="1"/>
  <c r="S879" i="17"/>
  <c r="M879" i="17" a="1"/>
  <c r="E879" i="17"/>
  <c r="P879" i="14"/>
  <c r="O879" i="14"/>
  <c r="N879" i="14"/>
  <c r="L879" i="14"/>
  <c r="K879" i="14"/>
  <c r="J879" i="14"/>
  <c r="I879" i="14"/>
  <c r="B879" i="14"/>
  <c r="AF878" i="1"/>
  <c r="AG878" i="1" a="1"/>
  <c r="AH878" i="1" a="1"/>
  <c r="AI878" i="1" a="1"/>
  <c r="V878" i="17" a="1"/>
  <c r="M878" i="17" a="1"/>
  <c r="E878" i="17"/>
  <c r="B878" i="14"/>
  <c r="I878" i="14"/>
  <c r="J878" i="14"/>
  <c r="K878" i="14"/>
  <c r="L878" i="14"/>
  <c r="N878" i="14"/>
  <c r="O878" i="14"/>
  <c r="P878" i="14"/>
  <c r="AF877" i="1"/>
  <c r="AG877" i="1" a="1"/>
  <c r="AH877" i="1" a="1"/>
  <c r="AI877" i="1" a="1"/>
  <c r="R877" i="17"/>
  <c r="V877" i="17" a="1"/>
  <c r="M877" i="17" a="1"/>
  <c r="E877" i="17"/>
  <c r="P877" i="14"/>
  <c r="O877" i="14"/>
  <c r="N877" i="14"/>
  <c r="L877" i="14"/>
  <c r="K877" i="14"/>
  <c r="J877" i="14"/>
  <c r="I877" i="14"/>
  <c r="B877" i="14"/>
  <c r="AF876" i="1"/>
  <c r="AG876" i="1" a="1"/>
  <c r="AH876" i="1" a="1"/>
  <c r="AI876" i="1" a="1"/>
  <c r="R876" i="17"/>
  <c r="V876" i="17" a="1"/>
  <c r="S876" i="17"/>
  <c r="M876" i="17" a="1"/>
  <c r="E876" i="17"/>
  <c r="P876" i="14"/>
  <c r="O876" i="14"/>
  <c r="N876" i="14"/>
  <c r="L876" i="14"/>
  <c r="K876" i="14"/>
  <c r="J876" i="14"/>
  <c r="I876" i="14"/>
  <c r="B876" i="14"/>
  <c r="AF875" i="1"/>
  <c r="AG875" i="1" a="1"/>
  <c r="AH875" i="1" a="1"/>
  <c r="AI875" i="1" a="1"/>
  <c r="R875" i="17"/>
  <c r="V875" i="17" a="1"/>
  <c r="S875" i="17"/>
  <c r="M875" i="17" a="1"/>
  <c r="E875" i="17"/>
  <c r="B875" i="14"/>
  <c r="I875" i="14"/>
  <c r="J875" i="14"/>
  <c r="K875" i="14"/>
  <c r="L875" i="14"/>
  <c r="N875" i="14"/>
  <c r="O875" i="14"/>
  <c r="P875" i="14"/>
  <c r="AF874" i="1"/>
  <c r="AG874" i="1" a="1"/>
  <c r="AH874" i="1" a="1"/>
  <c r="AI874" i="1" a="1"/>
  <c r="R874" i="17"/>
  <c r="V874" i="17" a="1"/>
  <c r="S874" i="17"/>
  <c r="M874" i="17" a="1"/>
  <c r="E874" i="17"/>
  <c r="B874" i="14"/>
  <c r="I874" i="14"/>
  <c r="J874" i="14"/>
  <c r="K874" i="14"/>
  <c r="L874" i="14"/>
  <c r="N874" i="14"/>
  <c r="O874" i="14"/>
  <c r="P874" i="14"/>
  <c r="AF873" i="1"/>
  <c r="AG873" i="1" a="1"/>
  <c r="AH873" i="1" a="1"/>
  <c r="AI873" i="1" a="1"/>
  <c r="V873" i="17" a="1"/>
  <c r="M873" i="17" a="1"/>
  <c r="E873" i="17"/>
  <c r="B873" i="14"/>
  <c r="I873" i="14"/>
  <c r="J873" i="14"/>
  <c r="K873" i="14"/>
  <c r="L873" i="14"/>
  <c r="N873" i="14"/>
  <c r="O873" i="14"/>
  <c r="P873" i="14"/>
  <c r="AF872" i="1"/>
  <c r="AG872" i="1" a="1"/>
  <c r="AH872" i="1" a="1"/>
  <c r="AI872" i="1" a="1"/>
  <c r="R872" i="17"/>
  <c r="V872" i="17" a="1"/>
  <c r="M872" i="17" a="1"/>
  <c r="E872" i="17"/>
  <c r="P872" i="14"/>
  <c r="O872" i="14"/>
  <c r="N872" i="14"/>
  <c r="L872" i="14"/>
  <c r="K872" i="14"/>
  <c r="J872" i="14"/>
  <c r="I872" i="14"/>
  <c r="B872" i="14"/>
  <c r="AF871" i="1"/>
  <c r="AG871" i="1" a="1"/>
  <c r="AH871" i="1" a="1"/>
  <c r="AI871" i="1" a="1"/>
  <c r="V871" i="17" a="1"/>
  <c r="S871" i="17"/>
  <c r="M871" i="17" a="1"/>
  <c r="E871" i="17"/>
  <c r="B871" i="14"/>
  <c r="I871" i="14"/>
  <c r="J871" i="14"/>
  <c r="K871" i="14"/>
  <c r="L871" i="14"/>
  <c r="N871" i="14"/>
  <c r="O871" i="14"/>
  <c r="P871" i="14"/>
  <c r="AF870" i="1"/>
  <c r="AG870" i="1" a="1"/>
  <c r="AH870" i="1" a="1"/>
  <c r="AI870" i="1" a="1"/>
  <c r="V870" i="17" a="1"/>
  <c r="S870" i="17"/>
  <c r="M870" i="17" a="1"/>
  <c r="E870" i="17"/>
  <c r="B870" i="14"/>
  <c r="I870" i="14"/>
  <c r="J870" i="14"/>
  <c r="K870" i="14"/>
  <c r="L870" i="14"/>
  <c r="N870" i="14"/>
  <c r="O870" i="14"/>
  <c r="P870" i="14"/>
  <c r="AF869" i="1"/>
  <c r="AG869" i="1" a="1"/>
  <c r="AH869" i="1" a="1"/>
  <c r="AI869" i="1" a="1"/>
  <c r="V869" i="17" a="1"/>
  <c r="S869" i="17"/>
  <c r="M869" i="17" a="1"/>
  <c r="E869" i="17"/>
  <c r="P869" i="14"/>
  <c r="O869" i="14"/>
  <c r="N869" i="14"/>
  <c r="L869" i="14"/>
  <c r="K869" i="14"/>
  <c r="J869" i="14"/>
  <c r="I869" i="14"/>
  <c r="B869" i="14"/>
  <c r="AF868" i="1"/>
  <c r="AG868" i="1" a="1"/>
  <c r="AH868" i="1" a="1"/>
  <c r="AI868" i="1" a="1"/>
  <c r="V868" i="17" a="1"/>
  <c r="S868" i="17"/>
  <c r="M868" i="17" a="1"/>
  <c r="E868" i="17"/>
  <c r="B868" i="14"/>
  <c r="I868" i="14"/>
  <c r="J868" i="14"/>
  <c r="K868" i="14"/>
  <c r="L868" i="14"/>
  <c r="N868" i="14"/>
  <c r="O868" i="14"/>
  <c r="P868" i="14"/>
  <c r="AF867" i="1"/>
  <c r="AG867" i="1" a="1"/>
  <c r="AH867" i="1" a="1"/>
  <c r="AI867" i="1" a="1"/>
  <c r="V867" i="17" a="1"/>
  <c r="S867" i="17"/>
  <c r="M867" i="17" a="1"/>
  <c r="E867" i="17"/>
  <c r="P867" i="14"/>
  <c r="O867" i="14"/>
  <c r="N867" i="14"/>
  <c r="L867" i="14"/>
  <c r="K867" i="14"/>
  <c r="J867" i="14"/>
  <c r="I867" i="14"/>
  <c r="B867" i="14"/>
  <c r="AF866" i="1"/>
  <c r="AG866" i="1" a="1"/>
  <c r="AH866" i="1" a="1"/>
  <c r="AI866" i="1" a="1"/>
  <c r="V866" i="17" a="1"/>
  <c r="S866" i="17"/>
  <c r="M866" i="17" a="1"/>
  <c r="E866" i="17"/>
  <c r="P866" i="14"/>
  <c r="O866" i="14"/>
  <c r="N866" i="14"/>
  <c r="L866" i="14"/>
  <c r="K866" i="14"/>
  <c r="J866" i="14"/>
  <c r="I866" i="14"/>
  <c r="B866" i="14"/>
  <c r="B865" i="14"/>
  <c r="I865" i="14"/>
  <c r="J865" i="14"/>
  <c r="K865" i="14"/>
  <c r="L865" i="14"/>
  <c r="N865" i="14"/>
  <c r="O865" i="14"/>
  <c r="P865" i="14"/>
  <c r="E865" i="17"/>
  <c r="M865" i="17" a="1"/>
  <c r="S865" i="17"/>
  <c r="V865" i="17" a="1"/>
  <c r="AF865" i="1"/>
  <c r="AG865" i="1" a="1"/>
  <c r="AH865" i="1" a="1"/>
  <c r="AI865" i="1" a="1"/>
  <c r="V864" i="17" a="1"/>
  <c r="S864" i="17"/>
  <c r="M864" i="17" a="1"/>
  <c r="E864" i="17"/>
  <c r="V863" i="17" a="1"/>
  <c r="S863" i="17"/>
  <c r="M863" i="17" a="1"/>
  <c r="E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I864" i="14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V862" i="17" a="1"/>
  <c r="S862" i="17"/>
  <c r="M862" i="17" a="1"/>
  <c r="E862" i="17"/>
  <c r="AF861" i="1"/>
  <c r="AG861" i="1" a="1"/>
  <c r="AH861" i="1" a="1"/>
  <c r="AI861" i="1" a="1"/>
  <c r="E861" i="17"/>
  <c r="V861" i="17" a="1"/>
  <c r="S861" i="17"/>
  <c r="M861" i="17" a="1"/>
  <c r="B862" i="14"/>
  <c r="I862" i="14"/>
  <c r="J862" i="14"/>
  <c r="K862" i="14"/>
  <c r="L862" i="14"/>
  <c r="N862" i="14"/>
  <c r="O862" i="14"/>
  <c r="P862" i="14"/>
  <c r="AF860" i="1"/>
  <c r="AG860" i="1" a="1"/>
  <c r="AH860" i="1" a="1"/>
  <c r="AI860" i="1" a="1"/>
  <c r="V860" i="17" a="1"/>
  <c r="S860" i="17"/>
  <c r="M860" i="17" a="1"/>
  <c r="E860" i="17"/>
  <c r="B861" i="14"/>
  <c r="I861" i="14"/>
  <c r="J861" i="14"/>
  <c r="K861" i="14"/>
  <c r="L861" i="14"/>
  <c r="N861" i="14"/>
  <c r="O861" i="14"/>
  <c r="P861" i="14"/>
  <c r="B860" i="14"/>
  <c r="I860" i="14"/>
  <c r="J860" i="14"/>
  <c r="K860" i="14"/>
  <c r="L860" i="14"/>
  <c r="N860" i="14"/>
  <c r="O860" i="14"/>
  <c r="P860" i="14"/>
  <c r="AF859" i="1"/>
  <c r="AG859" i="1" a="1"/>
  <c r="AH859" i="1" a="1"/>
  <c r="AI859" i="1" a="1"/>
  <c r="V859" i="17" a="1"/>
  <c r="S859" i="17"/>
  <c r="M859" i="17" a="1"/>
  <c r="E859" i="17"/>
  <c r="P859" i="14"/>
  <c r="O859" i="14"/>
  <c r="N859" i="14"/>
  <c r="L859" i="14"/>
  <c r="K859" i="14"/>
  <c r="J859" i="14"/>
  <c r="I859" i="14"/>
  <c r="B859" i="14"/>
  <c r="AF858" i="1"/>
  <c r="AG858" i="1" a="1"/>
  <c r="AH858" i="1" a="1"/>
  <c r="AI858" i="1" a="1"/>
  <c r="V858" i="17" a="1"/>
  <c r="S858" i="17"/>
  <c r="M858" i="17" a="1"/>
  <c r="E858" i="17"/>
  <c r="B858" i="14"/>
  <c r="I858" i="14"/>
  <c r="J858" i="14"/>
  <c r="K858" i="14"/>
  <c r="L858" i="14"/>
  <c r="N858" i="14"/>
  <c r="O858" i="14"/>
  <c r="P858" i="14"/>
  <c r="AF857" i="1"/>
  <c r="AG857" i="1" a="1"/>
  <c r="AH857" i="1" a="1"/>
  <c r="AI857" i="1" a="1"/>
  <c r="V857" i="17" a="1"/>
  <c r="S857" i="17"/>
  <c r="M857" i="17" a="1"/>
  <c r="E857" i="17"/>
  <c r="P857" i="14"/>
  <c r="O857" i="14"/>
  <c r="N857" i="14"/>
  <c r="L857" i="14"/>
  <c r="K857" i="14"/>
  <c r="J857" i="14"/>
  <c r="I857" i="14"/>
  <c r="B857" i="14"/>
  <c r="AF856" i="1"/>
  <c r="AG856" i="1" a="1"/>
  <c r="AH856" i="1" a="1"/>
  <c r="AI856" i="1" a="1"/>
  <c r="V856" i="17" a="1"/>
  <c r="S856" i="17"/>
  <c r="M856" i="17" a="1"/>
  <c r="E856" i="17"/>
  <c r="B856" i="14"/>
  <c r="I856" i="14"/>
  <c r="J856" i="14"/>
  <c r="K856" i="14"/>
  <c r="L856" i="14"/>
  <c r="N856" i="14"/>
  <c r="O856" i="14"/>
  <c r="P856" i="14"/>
  <c r="AF855" i="1"/>
  <c r="AG855" i="1" a="1"/>
  <c r="AH855" i="1" a="1"/>
  <c r="AI855" i="1" a="1"/>
  <c r="V855" i="17" a="1"/>
  <c r="S855" i="17"/>
  <c r="M855" i="17" a="1"/>
  <c r="E855" i="17"/>
  <c r="P855" i="14"/>
  <c r="O855" i="14"/>
  <c r="N855" i="14"/>
  <c r="L855" i="14"/>
  <c r="K855" i="14"/>
  <c r="J855" i="14"/>
  <c r="I855" i="14"/>
  <c r="B855" i="14"/>
  <c r="AF854" i="1"/>
  <c r="AG854" i="1" a="1"/>
  <c r="AH854" i="1" a="1"/>
  <c r="AI854" i="1" a="1"/>
  <c r="V854" i="17" a="1"/>
  <c r="S854" i="17"/>
  <c r="M854" i="17" a="1"/>
  <c r="E854" i="17"/>
  <c r="B854" i="14"/>
  <c r="I854" i="14"/>
  <c r="J854" i="14"/>
  <c r="K854" i="14"/>
  <c r="L854" i="14"/>
  <c r="N854" i="14"/>
  <c r="O854" i="14"/>
  <c r="P854" i="14"/>
  <c r="V853" i="17" a="1"/>
  <c r="S853" i="17"/>
  <c r="M853" i="17" a="1"/>
  <c r="E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B853" i="14"/>
  <c r="AF852" i="1"/>
  <c r="AG852" i="1" a="1"/>
  <c r="AH852" i="1" a="1"/>
  <c r="AI852" i="1" a="1"/>
  <c r="M852" i="17" a="1"/>
  <c r="E852" i="17"/>
  <c r="S852" i="17"/>
  <c r="V852" i="17" a="1"/>
  <c r="B852" i="14"/>
  <c r="I852" i="14"/>
  <c r="J852" i="14"/>
  <c r="K852" i="14"/>
  <c r="L852" i="14"/>
  <c r="N852" i="14"/>
  <c r="O852" i="14"/>
  <c r="P852" i="14"/>
  <c r="F960" i="24"/>
  <c r="E960" i="24"/>
  <c r="C960" i="24"/>
  <c r="F959" i="24"/>
  <c r="E959" i="24"/>
  <c r="C959" i="24"/>
  <c r="F958" i="24"/>
  <c r="E958" i="24"/>
  <c r="C958" i="24"/>
  <c r="F957" i="24"/>
  <c r="E957" i="24"/>
  <c r="C957" i="24"/>
  <c r="F956" i="24"/>
  <c r="E956" i="24"/>
  <c r="C956" i="24"/>
  <c r="F955" i="24"/>
  <c r="E955" i="24"/>
  <c r="C955" i="24"/>
  <c r="F954" i="24"/>
  <c r="E954" i="24"/>
  <c r="C954" i="24"/>
  <c r="F953" i="24"/>
  <c r="E953" i="24"/>
  <c r="C953" i="24"/>
  <c r="F952" i="24"/>
  <c r="E952" i="24"/>
  <c r="C952" i="24"/>
  <c r="F951" i="24"/>
  <c r="E951" i="24"/>
  <c r="C951" i="24"/>
  <c r="F950" i="24"/>
  <c r="E950" i="24"/>
  <c r="C950" i="24"/>
  <c r="F949" i="24"/>
  <c r="E949" i="24"/>
  <c r="C949" i="24"/>
  <c r="AF851" i="1"/>
  <c r="AG851" i="1" a="1"/>
  <c r="AH851" i="1" a="1"/>
  <c r="AI851" i="1" a="1"/>
  <c r="V851" i="17" a="1"/>
  <c r="S851" i="17"/>
  <c r="M851" i="17" a="1"/>
  <c r="E851" i="17"/>
  <c r="B851" i="14"/>
  <c r="I851" i="14"/>
  <c r="J851" i="14"/>
  <c r="K851" i="14"/>
  <c r="L851" i="14"/>
  <c r="N851" i="14"/>
  <c r="O851" i="14"/>
  <c r="P851" i="14"/>
  <c r="AF850" i="1"/>
  <c r="AG850" i="1" a="1"/>
  <c r="AH850" i="1" a="1"/>
  <c r="AI850" i="1" a="1"/>
  <c r="V850" i="17" a="1"/>
  <c r="S850" i="17"/>
  <c r="M850" i="17" a="1"/>
  <c r="E850" i="17"/>
  <c r="B850" i="14"/>
  <c r="I850" i="14"/>
  <c r="J850" i="14"/>
  <c r="K850" i="14"/>
  <c r="L850" i="14"/>
  <c r="N850" i="14"/>
  <c r="O850" i="14"/>
  <c r="P850" i="14"/>
  <c r="AF849" i="1"/>
  <c r="AG849" i="1" a="1"/>
  <c r="AH849" i="1" a="1"/>
  <c r="AI849" i="1" a="1"/>
  <c r="V849" i="17" a="1"/>
  <c r="S849" i="17"/>
  <c r="M849" i="17" a="1"/>
  <c r="E849" i="17"/>
  <c r="B849" i="14"/>
  <c r="I849" i="14"/>
  <c r="J849" i="14"/>
  <c r="K849" i="14"/>
  <c r="L849" i="14"/>
  <c r="N849" i="14"/>
  <c r="O849" i="14"/>
  <c r="P849" i="14"/>
  <c r="M848" i="17" a="1"/>
  <c r="E848" i="17"/>
  <c r="AF848" i="1"/>
  <c r="AG848" i="1" a="1"/>
  <c r="AH848" i="1" a="1"/>
  <c r="AI848" i="1" a="1"/>
  <c r="S848" i="17"/>
  <c r="V848" i="17" a="1"/>
  <c r="B848" i="14"/>
  <c r="I848" i="14"/>
  <c r="J848" i="14"/>
  <c r="K848" i="14"/>
  <c r="L848" i="14"/>
  <c r="N848" i="14"/>
  <c r="O848" i="14"/>
  <c r="P848" i="14"/>
  <c r="AF847" i="1"/>
  <c r="AG847" i="1" a="1"/>
  <c r="AH847" i="1" a="1"/>
  <c r="AI847" i="1" a="1"/>
  <c r="E847" i="17"/>
  <c r="M847" i="17" a="1"/>
  <c r="S847" i="17"/>
  <c r="V847" i="17" a="1"/>
  <c r="B847" i="14"/>
  <c r="I847" i="14"/>
  <c r="J847" i="14"/>
  <c r="K847" i="14"/>
  <c r="L847" i="14"/>
  <c r="N847" i="14"/>
  <c r="O847" i="14"/>
  <c r="P847" i="14"/>
  <c r="E846" i="17"/>
  <c r="AF846" i="1"/>
  <c r="AG846" i="1" a="1"/>
  <c r="AH846" i="1" a="1"/>
  <c r="AI846" i="1" a="1"/>
  <c r="M846" i="17" a="1"/>
  <c r="S846" i="17"/>
  <c r="V846" i="17" a="1"/>
  <c r="P846" i="14"/>
  <c r="O846" i="14"/>
  <c r="N846" i="14"/>
  <c r="L846" i="14"/>
  <c r="K846" i="14"/>
  <c r="J846" i="14"/>
  <c r="I846" i="14"/>
  <c r="B846" i="14"/>
  <c r="AF845" i="1"/>
  <c r="AG845" i="1" a="1"/>
  <c r="AH845" i="1" a="1"/>
  <c r="AI845" i="1" a="1"/>
  <c r="E845" i="17"/>
  <c r="M845" i="17" a="1"/>
  <c r="S845" i="17"/>
  <c r="V845" i="17" a="1"/>
  <c r="P845" i="14"/>
  <c r="O845" i="14"/>
  <c r="N845" i="14"/>
  <c r="L845" i="14"/>
  <c r="K845" i="14"/>
  <c r="J845" i="14"/>
  <c r="I845" i="14"/>
  <c r="B845" i="14"/>
  <c r="AF844" i="1"/>
  <c r="AG844" i="1" a="1"/>
  <c r="AH844" i="1" a="1"/>
  <c r="AI844" i="1" a="1"/>
  <c r="V844" i="17" a="1"/>
  <c r="S844" i="17"/>
  <c r="M844" i="17" a="1"/>
  <c r="E844" i="17"/>
  <c r="P844" i="14"/>
  <c r="O844" i="14"/>
  <c r="N844" i="14"/>
  <c r="L844" i="14"/>
  <c r="K844" i="14"/>
  <c r="J844" i="14"/>
  <c r="I844" i="14"/>
  <c r="B844" i="14"/>
  <c r="E843" i="17"/>
  <c r="AF843" i="1"/>
  <c r="AG843" i="1" a="1"/>
  <c r="AH843" i="1" a="1"/>
  <c r="AI843" i="1" a="1"/>
  <c r="M843" i="17" a="1"/>
  <c r="S843" i="17"/>
  <c r="V843" i="17" a="1"/>
  <c r="B843" i="14"/>
  <c r="I843" i="14"/>
  <c r="J843" i="14"/>
  <c r="K843" i="14"/>
  <c r="L843" i="14"/>
  <c r="N843" i="14"/>
  <c r="O843" i="14"/>
  <c r="P843" i="14"/>
  <c r="AF842" i="1"/>
  <c r="AG842" i="1" a="1"/>
  <c r="AH842" i="1" a="1"/>
  <c r="AI842" i="1" a="1"/>
  <c r="V842" i="17" a="1"/>
  <c r="S842" i="17"/>
  <c r="M842" i="17" a="1"/>
  <c r="E842" i="17"/>
  <c r="P842" i="14"/>
  <c r="O842" i="14"/>
  <c r="N842" i="14"/>
  <c r="L842" i="14"/>
  <c r="K842" i="14"/>
  <c r="J842" i="14"/>
  <c r="I842" i="14"/>
  <c r="B842" i="14"/>
  <c r="V841" i="17" a="1"/>
  <c r="S841" i="17"/>
  <c r="M841" i="17" a="1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B841" i="14"/>
  <c r="AF840" i="1"/>
  <c r="AG840" i="1" a="1"/>
  <c r="AH840" i="1" a="1"/>
  <c r="AI840" i="1" a="1"/>
  <c r="V840" i="17" a="1"/>
  <c r="S840" i="17"/>
  <c r="M840" i="17" a="1"/>
  <c r="E840" i="17"/>
  <c r="P840" i="14"/>
  <c r="O840" i="14"/>
  <c r="N840" i="14"/>
  <c r="L840" i="14"/>
  <c r="K840" i="14"/>
  <c r="J840" i="14"/>
  <c r="I840" i="14"/>
  <c r="B840" i="14"/>
  <c r="AF839" i="1"/>
  <c r="AG839" i="1" a="1"/>
  <c r="AH839" i="1" a="1"/>
  <c r="AI839" i="1" a="1"/>
  <c r="V839" i="17" a="1"/>
  <c r="S839" i="17"/>
  <c r="M839" i="17" a="1"/>
  <c r="E839" i="17"/>
  <c r="P839" i="14"/>
  <c r="O839" i="14"/>
  <c r="N839" i="14"/>
  <c r="L839" i="14"/>
  <c r="K839" i="14"/>
  <c r="J839" i="14"/>
  <c r="I839" i="14"/>
  <c r="B839" i="14"/>
  <c r="AF838" i="1"/>
  <c r="AG838" i="1" a="1"/>
  <c r="AH838" i="1" a="1"/>
  <c r="AI838" i="1" a="1"/>
  <c r="V838" i="17" a="1"/>
  <c r="S838" i="17"/>
  <c r="M838" i="17" a="1"/>
  <c r="E838" i="17"/>
  <c r="P838" i="14"/>
  <c r="O838" i="14"/>
  <c r="N838" i="14"/>
  <c r="L838" i="14"/>
  <c r="K838" i="14"/>
  <c r="J838" i="14"/>
  <c r="I838" i="14"/>
  <c r="B838" i="14"/>
  <c r="AF837" i="1"/>
  <c r="AG837" i="1" a="1"/>
  <c r="AH837" i="1" a="1"/>
  <c r="AI837" i="1" a="1"/>
  <c r="V837" i="17" a="1"/>
  <c r="S837" i="17"/>
  <c r="M837" i="17" a="1"/>
  <c r="E837" i="17"/>
  <c r="P837" i="14"/>
  <c r="O837" i="14"/>
  <c r="N837" i="14"/>
  <c r="L837" i="14"/>
  <c r="K837" i="14"/>
  <c r="J837" i="14"/>
  <c r="I837" i="14"/>
  <c r="B837" i="14"/>
  <c r="AF836" i="1"/>
  <c r="AG836" i="1" a="1"/>
  <c r="AH836" i="1" a="1"/>
  <c r="AI836" i="1" a="1"/>
  <c r="V836" i="17" a="1"/>
  <c r="S836" i="17"/>
  <c r="M836" i="17" a="1"/>
  <c r="E836" i="17"/>
  <c r="P836" i="14"/>
  <c r="O836" i="14"/>
  <c r="N836" i="14"/>
  <c r="L836" i="14"/>
  <c r="K836" i="14"/>
  <c r="J836" i="14"/>
  <c r="I836" i="14"/>
  <c r="B836" i="14"/>
  <c r="AF835" i="1"/>
  <c r="AG835" i="1" a="1"/>
  <c r="AH835" i="1" a="1"/>
  <c r="AI835" i="1" a="1"/>
  <c r="M835" i="17" a="1"/>
  <c r="E835" i="17"/>
  <c r="S835" i="17"/>
  <c r="V835" i="17" a="1"/>
  <c r="P835" i="14"/>
  <c r="O835" i="14"/>
  <c r="N835" i="14"/>
  <c r="L835" i="14"/>
  <c r="K835" i="14"/>
  <c r="J835" i="14"/>
  <c r="I835" i="14"/>
  <c r="B835" i="14"/>
  <c r="AF834" i="1"/>
  <c r="AG834" i="1" a="1"/>
  <c r="AH834" i="1" a="1"/>
  <c r="AI834" i="1" a="1"/>
  <c r="E834" i="17"/>
  <c r="M834" i="17" a="1"/>
  <c r="S834" i="17"/>
  <c r="V834" i="17" a="1"/>
  <c r="B834" i="14"/>
  <c r="I834" i="14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M833" i="17" a="1"/>
  <c r="S833" i="17"/>
  <c r="V833" i="17" a="1"/>
  <c r="P833" i="14"/>
  <c r="O833" i="14"/>
  <c r="N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V832" i="17" a="1"/>
  <c r="S832" i="17"/>
  <c r="M832" i="17" a="1"/>
  <c r="E832" i="17"/>
  <c r="P832" i="14"/>
  <c r="O832" i="14"/>
  <c r="N832" i="14"/>
  <c r="L832" i="14"/>
  <c r="K832" i="14"/>
  <c r="J832" i="14"/>
  <c r="I832" i="14"/>
  <c r="B832" i="14"/>
  <c r="AF831" i="1"/>
  <c r="AG831" i="1" a="1"/>
  <c r="AH831" i="1" a="1"/>
  <c r="AI831" i="1" a="1"/>
  <c r="V831" i="17" a="1"/>
  <c r="S831" i="17"/>
  <c r="M831" i="17" a="1"/>
  <c r="E831" i="17"/>
  <c r="P831" i="14"/>
  <c r="O831" i="14"/>
  <c r="N831" i="14"/>
  <c r="L831" i="14"/>
  <c r="K831" i="14"/>
  <c r="J831" i="14"/>
  <c r="I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E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S828" i="17"/>
  <c r="E828" i="17"/>
  <c r="B828" i="14"/>
  <c r="I828" i="14"/>
  <c r="J828" i="14"/>
  <c r="K828" i="14"/>
  <c r="L828" i="14"/>
  <c r="N828" i="14"/>
  <c r="O828" i="14"/>
  <c r="P828" i="14"/>
  <c r="S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E826" i="17"/>
  <c r="B826" i="14"/>
  <c r="I826" i="14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E824" i="17"/>
  <c r="P824" i="14"/>
  <c r="O824" i="14"/>
  <c r="N824" i="14"/>
  <c r="L824" i="14"/>
  <c r="K824" i="14"/>
  <c r="J824" i="14"/>
  <c r="I824" i="14"/>
  <c r="B824" i="14"/>
  <c r="AF823" i="1"/>
  <c r="AG823" i="1" a="1"/>
  <c r="AH823" i="1" a="1"/>
  <c r="AI823" i="1" a="1"/>
  <c r="E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O822" i="17"/>
  <c r="E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S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S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E818" i="17"/>
  <c r="P818" i="14"/>
  <c r="O818" i="14"/>
  <c r="N818" i="14"/>
  <c r="L818" i="14"/>
  <c r="K818" i="14"/>
  <c r="J818" i="14"/>
  <c r="I818" i="14"/>
  <c r="B818" i="14"/>
  <c r="AF817" i="1"/>
  <c r="H817" i="17"/>
  <c r="O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E816" i="17"/>
  <c r="P816" i="14"/>
  <c r="O816" i="14"/>
  <c r="N816" i="14"/>
  <c r="L816" i="14"/>
  <c r="K816" i="14"/>
  <c r="J816" i="14"/>
  <c r="I816" i="14"/>
  <c r="B816" i="14"/>
  <c r="AF815" i="1"/>
  <c r="H815" i="17"/>
  <c r="S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S812" i="17"/>
  <c r="S811" i="17"/>
  <c r="S810" i="17"/>
  <c r="S809" i="17"/>
  <c r="S807" i="17"/>
  <c r="S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S805" i="17"/>
  <c r="S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S804" i="17"/>
  <c r="U804" i="17" s="1"/>
  <c r="E804" i="17"/>
  <c r="AF804" i="1"/>
  <c r="P804" i="14"/>
  <c r="O804" i="14"/>
  <c r="N804" i="14"/>
  <c r="L804" i="14"/>
  <c r="K804" i="14"/>
  <c r="J804" i="14"/>
  <c r="I804" i="14"/>
  <c r="AF803" i="1"/>
  <c r="S803" i="17"/>
  <c r="E803" i="17"/>
  <c r="B803" i="14"/>
  <c r="I803" i="14"/>
  <c r="J803" i="14"/>
  <c r="K803" i="14"/>
  <c r="L803" i="14"/>
  <c r="N803" i="14"/>
  <c r="O803" i="14"/>
  <c r="P803" i="14"/>
  <c r="AF802" i="1"/>
  <c r="E802" i="17"/>
  <c r="S802" i="17"/>
  <c r="B802" i="14"/>
  <c r="I802" i="14"/>
  <c r="J802" i="14"/>
  <c r="K802" i="14"/>
  <c r="L802" i="14"/>
  <c r="N802" i="14"/>
  <c r="O802" i="14"/>
  <c r="P802" i="14"/>
  <c r="AF801" i="1"/>
  <c r="S801" i="17"/>
  <c r="U801" i="17" s="1"/>
  <c r="E801" i="17"/>
  <c r="B801" i="14"/>
  <c r="I801" i="14"/>
  <c r="J801" i="14"/>
  <c r="K801" i="14"/>
  <c r="L801" i="14"/>
  <c r="N801" i="14"/>
  <c r="O801" i="14"/>
  <c r="P801" i="14"/>
  <c r="AF800" i="1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S799" i="17"/>
  <c r="U799" i="17" s="1"/>
  <c r="E799" i="17"/>
  <c r="B799" i="14"/>
  <c r="I799" i="14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E797" i="17"/>
  <c r="S797" i="17"/>
  <c r="U797" i="17" s="1"/>
  <c r="B797" i="14"/>
  <c r="I797" i="14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S795" i="17"/>
  <c r="U795" i="17" s="1"/>
  <c r="P795" i="14"/>
  <c r="O795" i="14"/>
  <c r="N795" i="14"/>
  <c r="L795" i="14"/>
  <c r="K795" i="14"/>
  <c r="J795" i="14"/>
  <c r="I795" i="14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S793" i="17"/>
  <c r="U793" i="17" s="1"/>
  <c r="E793" i="17"/>
  <c r="B793" i="14"/>
  <c r="I793" i="14"/>
  <c r="J793" i="14"/>
  <c r="K793" i="14"/>
  <c r="L793" i="14"/>
  <c r="N793" i="14"/>
  <c r="O793" i="14"/>
  <c r="P793" i="14"/>
  <c r="A2" i="24" a="1"/>
  <c r="B948" i="24" s="1" a="1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C949" i="14" l="1" a="1"/>
  <c r="C948" i="14" a="1"/>
  <c r="F948" i="24"/>
  <c r="E948" i="24"/>
  <c r="C948" i="24"/>
  <c r="M949" i="14" s="1"/>
  <c r="AF947" i="17" a="1"/>
  <c r="M948" i="14"/>
  <c r="B947" i="24" a="1"/>
  <c r="F947" i="24"/>
  <c r="E947" i="24"/>
  <c r="C947" i="24"/>
  <c r="AD947" i="17"/>
  <c r="AC947" i="17"/>
  <c r="AE947" i="17" s="1"/>
  <c r="C947" i="14" a="1"/>
  <c r="AF946" i="17" a="1"/>
  <c r="AD946" i="17"/>
  <c r="AC946" i="17"/>
  <c r="AE946" i="17" s="1"/>
  <c r="B946" i="24" a="1"/>
  <c r="F946" i="24"/>
  <c r="E946" i="24"/>
  <c r="C946" i="24"/>
  <c r="M947" i="14" s="1"/>
  <c r="C946" i="14" a="1"/>
  <c r="AF945" i="17" a="1"/>
  <c r="AD945" i="17"/>
  <c r="AC945" i="17"/>
  <c r="AE945" i="17" s="1"/>
  <c r="B945" i="24" a="1"/>
  <c r="F945" i="24"/>
  <c r="E945" i="24"/>
  <c r="C945" i="24"/>
  <c r="C945" i="14" a="1"/>
  <c r="AD944" i="17"/>
  <c r="AC944" i="17"/>
  <c r="AE944" i="17" s="1"/>
  <c r="H944" i="14"/>
  <c r="AF944" i="17" a="1"/>
  <c r="B944" i="24" a="1"/>
  <c r="F944" i="24"/>
  <c r="E944" i="24"/>
  <c r="C944" i="24"/>
  <c r="M945" i="14" s="1"/>
  <c r="C944" i="14" a="1"/>
  <c r="B943" i="24" a="1"/>
  <c r="F943" i="24"/>
  <c r="E943" i="24"/>
  <c r="C943" i="24"/>
  <c r="AD943" i="17"/>
  <c r="AC943" i="17"/>
  <c r="AE943" i="17" s="1"/>
  <c r="H943" i="14"/>
  <c r="AF943" i="17" a="1"/>
  <c r="C943" i="14" a="1"/>
  <c r="AD942" i="17"/>
  <c r="AC942" i="17"/>
  <c r="AE942" i="17" s="1"/>
  <c r="H942" i="14"/>
  <c r="AF942" i="17" a="1"/>
  <c r="C942" i="14" a="1"/>
  <c r="B942" i="24" a="1"/>
  <c r="C942" i="24"/>
  <c r="E942" i="24"/>
  <c r="F942" i="24"/>
  <c r="AD941" i="17"/>
  <c r="AC941" i="17"/>
  <c r="AE941" i="17" s="1"/>
  <c r="AF941" i="17" a="1"/>
  <c r="C941" i="14" a="1"/>
  <c r="B941" i="24" a="1"/>
  <c r="F941" i="24"/>
  <c r="E941" i="24"/>
  <c r="C941" i="24"/>
  <c r="AD940" i="17"/>
  <c r="AC940" i="17"/>
  <c r="AE940" i="17" s="1"/>
  <c r="H940" i="14"/>
  <c r="AF940" i="17" a="1"/>
  <c r="AJ937" i="1"/>
  <c r="C940" i="14" a="1"/>
  <c r="B940" i="24" a="1"/>
  <c r="F940" i="24"/>
  <c r="E940" i="24"/>
  <c r="C940" i="24"/>
  <c r="M940" i="14" s="1"/>
  <c r="AJ936" i="1"/>
  <c r="B299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32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17" i="24" a="1"/>
  <c r="B216" i="24" a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AJ935" i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AD939" i="17"/>
  <c r="AC939" i="17"/>
  <c r="AE939" i="17" s="1"/>
  <c r="F939" i="19"/>
  <c r="F938" i="19"/>
  <c r="F937" i="19"/>
  <c r="F936" i="19"/>
  <c r="F935" i="19"/>
  <c r="F933" i="19"/>
  <c r="F939" i="24"/>
  <c r="E939" i="24"/>
  <c r="C939" i="24"/>
  <c r="U939" i="17"/>
  <c r="L939" i="17"/>
  <c r="AF939" i="17" s="1" a="1"/>
  <c r="C939" i="14" a="1"/>
  <c r="H939" i="14"/>
  <c r="AD938" i="17"/>
  <c r="AC938" i="17"/>
  <c r="F932" i="19"/>
  <c r="F931" i="19"/>
  <c r="F930" i="19"/>
  <c r="F929" i="19"/>
  <c r="F928" i="19"/>
  <c r="F927" i="19"/>
  <c r="F938" i="24"/>
  <c r="E938" i="24"/>
  <c r="C938" i="24"/>
  <c r="M938" i="14" s="1"/>
  <c r="U938" i="17"/>
  <c r="L938" i="17"/>
  <c r="AF938" i="17" s="1" a="1"/>
  <c r="F934" i="19"/>
  <c r="C934" i="19"/>
  <c r="C933" i="19"/>
  <c r="C932" i="19"/>
  <c r="C938" i="14" a="1"/>
  <c r="H938" i="14"/>
  <c r="F926" i="19"/>
  <c r="F925" i="19"/>
  <c r="F924" i="19"/>
  <c r="F923" i="19"/>
  <c r="F922" i="19"/>
  <c r="F921" i="19"/>
  <c r="F920" i="19"/>
  <c r="F919" i="19"/>
  <c r="F918" i="19"/>
  <c r="AD937" i="17"/>
  <c r="AC937" i="17"/>
  <c r="F917" i="19"/>
  <c r="F916" i="19"/>
  <c r="L937" i="17"/>
  <c r="L936" i="17"/>
  <c r="L935" i="17"/>
  <c r="L934" i="17"/>
  <c r="F937" i="24"/>
  <c r="E937" i="24"/>
  <c r="C937" i="24"/>
  <c r="C937" i="14" a="1"/>
  <c r="H937" i="14"/>
  <c r="AD936" i="17"/>
  <c r="AC936" i="17"/>
  <c r="F936" i="24"/>
  <c r="E936" i="24"/>
  <c r="C936" i="24"/>
  <c r="U936" i="17"/>
  <c r="U934" i="17"/>
  <c r="U920" i="17"/>
  <c r="C936" i="14" a="1"/>
  <c r="H936" i="14"/>
  <c r="AD935" i="17"/>
  <c r="AC935" i="17"/>
  <c r="C935" i="24"/>
  <c r="F935" i="24"/>
  <c r="E935" i="24"/>
  <c r="C935" i="14" a="1"/>
  <c r="H935" i="14"/>
  <c r="AF934" i="17" a="1"/>
  <c r="AD934" i="17"/>
  <c r="F934" i="24"/>
  <c r="E934" i="24"/>
  <c r="C934" i="24"/>
  <c r="AC934" i="17"/>
  <c r="H934" i="14"/>
  <c r="C934" i="14" a="1"/>
  <c r="F933" i="24"/>
  <c r="E933" i="24"/>
  <c r="C933" i="24"/>
  <c r="AJ931" i="1"/>
  <c r="AJ932" i="1"/>
  <c r="AC933" i="17"/>
  <c r="AD933" i="17"/>
  <c r="U933" i="17"/>
  <c r="L933" i="17"/>
  <c r="AF933" i="17" s="1" a="1"/>
  <c r="C933" i="14" a="1"/>
  <c r="H933" i="14"/>
  <c r="D932" i="14" a="1"/>
  <c r="H929" i="14"/>
  <c r="F932" i="24"/>
  <c r="E932" i="24"/>
  <c r="C932" i="24"/>
  <c r="H932" i="14"/>
  <c r="U932" i="17"/>
  <c r="L931" i="17" s="1"/>
  <c r="U922" i="17"/>
  <c r="AJ927" i="1" s="1"/>
  <c r="AJ926" i="1" s="1"/>
  <c r="U931" i="17"/>
  <c r="U921" i="17"/>
  <c r="E931" i="24"/>
  <c r="F931" i="24"/>
  <c r="C931" i="24"/>
  <c r="H931" i="14"/>
  <c r="F930" i="24"/>
  <c r="E930" i="24"/>
  <c r="C930" i="24"/>
  <c r="AJ928" i="1" s="1"/>
  <c r="U930" i="17"/>
  <c r="U929" i="17"/>
  <c r="U927" i="17"/>
  <c r="L930" i="17" s="1"/>
  <c r="U926" i="17"/>
  <c r="L929" i="17" s="1"/>
  <c r="H930" i="14"/>
  <c r="L927" i="17" s="1"/>
  <c r="L928" i="17" s="1"/>
  <c r="U928" i="17"/>
  <c r="U914" i="17"/>
  <c r="E929" i="24"/>
  <c r="C929" i="24"/>
  <c r="F929" i="24"/>
  <c r="C928" i="24"/>
  <c r="E928" i="24"/>
  <c r="F928" i="24"/>
  <c r="H928" i="14"/>
  <c r="AJ924" i="1" s="1"/>
  <c r="AJ925" i="1" s="1"/>
  <c r="AJ923" i="1" s="1"/>
  <c r="L926" i="17" s="1"/>
  <c r="F927" i="24"/>
  <c r="E927" i="24"/>
  <c r="C927" i="24"/>
  <c r="H927" i="14"/>
  <c r="E926" i="24"/>
  <c r="F926" i="24"/>
  <c r="C926" i="24"/>
  <c r="H926" i="14"/>
  <c r="U925" i="17"/>
  <c r="U923" i="17"/>
  <c r="L925" i="17" s="1"/>
  <c r="F925" i="24"/>
  <c r="E925" i="24"/>
  <c r="C925" i="24"/>
  <c r="H925" i="14"/>
  <c r="U924" i="17"/>
  <c r="C914" i="19"/>
  <c r="L924" i="17" s="1"/>
  <c r="L923" i="17" s="1"/>
  <c r="F924" i="24"/>
  <c r="E924" i="24"/>
  <c r="C924" i="24"/>
  <c r="H924" i="14"/>
  <c r="F923" i="24"/>
  <c r="C923" i="24"/>
  <c r="E923" i="24"/>
  <c r="H923" i="14"/>
  <c r="F922" i="24"/>
  <c r="E922" i="24"/>
  <c r="C922" i="24"/>
  <c r="AJ920" i="1" s="1"/>
  <c r="L922" i="17" s="1"/>
  <c r="L921" i="17" s="1"/>
  <c r="H922" i="14"/>
  <c r="F921" i="24"/>
  <c r="E921" i="24"/>
  <c r="C921" i="24"/>
  <c r="H921" i="14"/>
  <c r="F915" i="19"/>
  <c r="F912" i="19"/>
  <c r="F914" i="19"/>
  <c r="F913" i="19"/>
  <c r="F920" i="24"/>
  <c r="E920" i="24"/>
  <c r="C920" i="24"/>
  <c r="AJ916" i="1" s="1"/>
  <c r="AJ919" i="1" s="1"/>
  <c r="L920" i="17" s="1"/>
  <c r="H920" i="14"/>
  <c r="F919" i="24"/>
  <c r="E919" i="24"/>
  <c r="C919" i="24"/>
  <c r="AJ915" i="1" s="1"/>
  <c r="AJ912" i="1" s="1"/>
  <c r="U919" i="17"/>
  <c r="L918" i="17" s="1"/>
  <c r="L919" i="17" s="1"/>
  <c r="F918" i="24"/>
  <c r="E918" i="24"/>
  <c r="C918" i="24"/>
  <c r="H919" i="14"/>
  <c r="AJ917" i="1" s="1"/>
  <c r="AJ914" i="1" s="1"/>
  <c r="H918" i="14"/>
  <c r="F917" i="24"/>
  <c r="E917" i="24"/>
  <c r="C917" i="24"/>
  <c r="U917" i="17"/>
  <c r="L917" i="17" s="1"/>
  <c r="L916" i="17" s="1"/>
  <c r="H917" i="14"/>
  <c r="U916" i="17"/>
  <c r="F916" i="24"/>
  <c r="E916" i="24"/>
  <c r="C916" i="24"/>
  <c r="H916" i="14"/>
  <c r="F915" i="24"/>
  <c r="E915" i="24"/>
  <c r="C915" i="24"/>
  <c r="AJ910" i="1" s="1"/>
  <c r="AJ913" i="1" s="1"/>
  <c r="AJ911" i="1" s="1"/>
  <c r="L915" i="17" s="1"/>
  <c r="L914" i="17" s="1"/>
  <c r="H915" i="14"/>
  <c r="F914" i="24"/>
  <c r="E914" i="24"/>
  <c r="C914" i="24"/>
  <c r="D914" i="14" a="1"/>
  <c r="H914" i="14"/>
  <c r="U913" i="17"/>
  <c r="L913" i="17" s="1"/>
  <c r="L912" i="17" s="1"/>
  <c r="U912" i="17"/>
  <c r="F913" i="24"/>
  <c r="E913" i="24"/>
  <c r="C913" i="24"/>
  <c r="F912" i="24"/>
  <c r="E912" i="24"/>
  <c r="C912" i="24"/>
  <c r="H912" i="14"/>
  <c r="H913" i="14"/>
  <c r="F911" i="19"/>
  <c r="F910" i="19"/>
  <c r="F911" i="24"/>
  <c r="E911" i="24"/>
  <c r="C911" i="24"/>
  <c r="U911" i="17"/>
  <c r="L911" i="17" s="1"/>
  <c r="H911" i="14"/>
  <c r="U910" i="17"/>
  <c r="L910" i="17" s="1"/>
  <c r="AJ909" i="1" s="1"/>
  <c r="F909" i="19" s="1"/>
  <c r="F908" i="19" s="1"/>
  <c r="U908" i="17"/>
  <c r="U900" i="17"/>
  <c r="F910" i="24"/>
  <c r="C910" i="24"/>
  <c r="E910" i="24"/>
  <c r="H910" i="14"/>
  <c r="D410" i="14" s="1" a="1"/>
  <c r="D402" i="14" s="1" a="1"/>
  <c r="D393" i="14" s="1" a="1"/>
  <c r="D392" i="14" s="1" a="1"/>
  <c r="D371" i="14" s="1" a="1"/>
  <c r="C361" i="19" s="1"/>
  <c r="C358" i="19" s="1"/>
  <c r="C357" i="19" s="1"/>
  <c r="C356" i="19" s="1"/>
  <c r="C354" i="19" s="1"/>
  <c r="D408" i="14" s="1" a="1"/>
  <c r="D391" i="14" s="1" a="1"/>
  <c r="D6" i="14" s="1" a="1"/>
  <c r="D5" i="14" s="1" a="1"/>
  <c r="C412" i="19" s="1"/>
  <c r="C363" i="19" s="1"/>
  <c r="C362" i="19" s="1"/>
  <c r="D396" i="14" s="1" a="1"/>
  <c r="D372" i="14" s="1" a="1"/>
  <c r="C355" i="19" s="1"/>
  <c r="C414" i="19" s="1"/>
  <c r="C413" i="19" s="1"/>
  <c r="D394" i="14" s="1" a="1"/>
  <c r="D407" i="14" s="1" a="1"/>
  <c r="D395" i="14" s="1" a="1"/>
  <c r="D388" i="14" s="1" a="1"/>
  <c r="D387" i="14" s="1" a="1"/>
  <c r="D3" i="14" s="1" a="1"/>
  <c r="D389" i="14" s="1" a="1"/>
  <c r="D376" i="14" s="1" a="1"/>
  <c r="D375" i="14" s="1" a="1"/>
  <c r="D406" i="14" s="1" a="1"/>
  <c r="D403" i="14" s="1" a="1"/>
  <c r="C359" i="19" s="1"/>
  <c r="D409" i="14" s="1" a="1"/>
  <c r="D401" i="14" s="1" a="1"/>
  <c r="D400" i="14" s="1" a="1"/>
  <c r="D399" i="14" s="1" a="1"/>
  <c r="D398" i="14" s="1" a="1"/>
  <c r="D397" i="14" s="1" a="1"/>
  <c r="D374" i="14" s="1" a="1"/>
  <c r="D373" i="14" s="1" a="1"/>
  <c r="C360" i="19" s="1"/>
  <c r="D405" i="14" s="1" a="1"/>
  <c r="D404" i="14" s="1" a="1"/>
  <c r="D390" i="14" s="1" a="1"/>
  <c r="D386" i="14" s="1" a="1"/>
  <c r="D370" i="14" s="1" a="1"/>
  <c r="C353" i="19" s="1"/>
  <c r="D4" i="14" s="1" a="1"/>
  <c r="C530" i="19"/>
  <c r="D654" i="14" a="1"/>
  <c r="F909" i="24"/>
  <c r="E909" i="24"/>
  <c r="C909" i="24"/>
  <c r="F908" i="24"/>
  <c r="E908" i="24"/>
  <c r="C908" i="24"/>
  <c r="AJ908" i="1" s="1"/>
  <c r="L909" i="17" s="1"/>
  <c r="D353" i="14" a="1"/>
  <c r="D354" i="14" a="1"/>
  <c r="D355" i="14" a="1"/>
  <c r="D356" i="14" a="1"/>
  <c r="D357" i="14" a="1"/>
  <c r="D358" i="14" a="1"/>
  <c r="D359" i="14" a="1"/>
  <c r="D360" i="14" a="1"/>
  <c r="D361" i="14" a="1"/>
  <c r="D362" i="14" a="1"/>
  <c r="D363" i="14" a="1"/>
  <c r="C370" i="19"/>
  <c r="C371" i="19"/>
  <c r="C372" i="19"/>
  <c r="C373" i="19"/>
  <c r="C374" i="19"/>
  <c r="C375" i="19"/>
  <c r="C376" i="19"/>
  <c r="C378" i="19"/>
  <c r="C379" i="19"/>
  <c r="C382" i="19"/>
  <c r="C400" i="19"/>
  <c r="C401" i="19"/>
  <c r="C402" i="19"/>
  <c r="C403" i="19"/>
  <c r="C404" i="19"/>
  <c r="H909" i="14"/>
  <c r="AJ907" i="1" s="1"/>
  <c r="L908" i="17" s="1"/>
  <c r="D382" i="14" a="1"/>
  <c r="C387" i="19"/>
  <c r="C388" i="19"/>
  <c r="C389" i="19"/>
  <c r="C395" i="19"/>
  <c r="H908" i="14"/>
  <c r="F907" i="24"/>
  <c r="E907" i="24"/>
  <c r="C907" i="24"/>
  <c r="AJ902" i="1" s="1"/>
  <c r="C407" i="19"/>
  <c r="C408" i="19"/>
  <c r="S872" i="17"/>
  <c r="L906" i="17" s="1"/>
  <c r="S905" i="17"/>
  <c r="L907" i="17" s="1"/>
  <c r="F907" i="19" s="1"/>
  <c r="U907" i="17"/>
  <c r="H907" i="14"/>
  <c r="AJ904" i="1" s="1"/>
  <c r="AJ903" i="1" s="1"/>
  <c r="F906" i="19" s="1"/>
  <c r="AJ901" i="1" s="1"/>
  <c r="E906" i="24"/>
  <c r="F906" i="24"/>
  <c r="C906" i="24"/>
  <c r="U904" i="17"/>
  <c r="U906" i="17"/>
  <c r="H906" i="14"/>
  <c r="F905" i="24"/>
  <c r="E905" i="24"/>
  <c r="C905" i="24"/>
  <c r="L905" i="17" s="1"/>
  <c r="F905" i="19"/>
  <c r="H905" i="14"/>
  <c r="F904" i="24"/>
  <c r="C904" i="24"/>
  <c r="E904" i="24"/>
  <c r="L904" i="17" s="1"/>
  <c r="U903" i="17"/>
  <c r="L903" i="17" s="1"/>
  <c r="L902" i="17" s="1"/>
  <c r="F902" i="19"/>
  <c r="L901" i="17" s="1"/>
  <c r="H904" i="14"/>
  <c r="F903" i="24"/>
  <c r="E903" i="24"/>
  <c r="C903" i="24"/>
  <c r="H903" i="14"/>
  <c r="F902" i="24"/>
  <c r="E902" i="24"/>
  <c r="C902" i="24"/>
  <c r="AJ899" i="1" s="1"/>
  <c r="AJ900" i="1" s="1"/>
  <c r="S902" i="17"/>
  <c r="U902" i="17" s="1"/>
  <c r="H902" i="14"/>
  <c r="F901" i="24"/>
  <c r="E901" i="24"/>
  <c r="C901" i="24"/>
  <c r="U901" i="17"/>
  <c r="H901" i="14"/>
  <c r="L900" i="17" s="1"/>
  <c r="F900" i="24"/>
  <c r="E900" i="24"/>
  <c r="C900" i="24"/>
  <c r="H900" i="14"/>
  <c r="S899" i="17"/>
  <c r="U899" i="17" s="1"/>
  <c r="L899" i="17" s="1"/>
  <c r="F899" i="24"/>
  <c r="E899" i="24"/>
  <c r="C899" i="24"/>
  <c r="F898" i="24"/>
  <c r="E898" i="24"/>
  <c r="C898" i="24"/>
  <c r="H899" i="14"/>
  <c r="AJ898" i="1" s="1"/>
  <c r="U898" i="17"/>
  <c r="L898" i="17" s="1"/>
  <c r="H898" i="14"/>
  <c r="U897" i="17"/>
  <c r="AJ897" i="1" s="1"/>
  <c r="F897" i="24"/>
  <c r="E897" i="24"/>
  <c r="C897" i="24"/>
  <c r="L897" i="17" s="1"/>
  <c r="U896" i="17"/>
  <c r="H897" i="14"/>
  <c r="F896" i="24"/>
  <c r="E896" i="24"/>
  <c r="C896" i="24"/>
  <c r="L896" i="17" s="1"/>
  <c r="U895" i="17"/>
  <c r="H896" i="14"/>
  <c r="H895" i="14"/>
  <c r="L895" i="17" s="1"/>
  <c r="F895" i="24"/>
  <c r="E895" i="24"/>
  <c r="C895" i="24"/>
  <c r="S894" i="17"/>
  <c r="L894" i="17" s="1"/>
  <c r="F894" i="24"/>
  <c r="E894" i="24"/>
  <c r="C894" i="24"/>
  <c r="H894" i="14"/>
  <c r="AJ890" i="1" s="1"/>
  <c r="U893" i="17"/>
  <c r="L893" i="17" s="1"/>
  <c r="H893" i="14"/>
  <c r="F893" i="24"/>
  <c r="E893" i="24"/>
  <c r="C893" i="24"/>
  <c r="S892" i="17"/>
  <c r="U892" i="17" s="1"/>
  <c r="L892" i="17" s="1"/>
  <c r="F892" i="24"/>
  <c r="E892" i="24"/>
  <c r="C892" i="24"/>
  <c r="F891" i="24"/>
  <c r="E891" i="24"/>
  <c r="C891" i="24"/>
  <c r="F890" i="24"/>
  <c r="E890" i="24"/>
  <c r="C890" i="24"/>
  <c r="H892" i="14"/>
  <c r="U891" i="17"/>
  <c r="L891" i="17" s="1"/>
  <c r="H891" i="14"/>
  <c r="L890" i="17" s="1"/>
  <c r="U890" i="17"/>
  <c r="L889" i="17" s="1"/>
  <c r="U889" i="17"/>
  <c r="H890" i="14"/>
  <c r="E889" i="24"/>
  <c r="C889" i="24"/>
  <c r="F889" i="24"/>
  <c r="H889" i="14"/>
  <c r="S822" i="17"/>
  <c r="K793" i="17" a="1"/>
  <c r="F888" i="24"/>
  <c r="E888" i="24"/>
  <c r="C888" i="24"/>
  <c r="F887" i="24"/>
  <c r="E887" i="24"/>
  <c r="C887" i="24"/>
  <c r="AJ888" i="1" s="1"/>
  <c r="U887" i="17"/>
  <c r="L888" i="17" s="1"/>
  <c r="U888" i="17"/>
  <c r="L887" i="17" s="1"/>
  <c r="H888" i="14"/>
  <c r="AJ887" i="1" s="1"/>
  <c r="AJ886" i="1" s="1"/>
  <c r="AJ885" i="1" s="1"/>
  <c r="AJ884" i="1" s="1"/>
  <c r="H887" i="14"/>
  <c r="F886" i="24"/>
  <c r="E886" i="24"/>
  <c r="C886" i="24"/>
  <c r="U886" i="17"/>
  <c r="L886" i="17" s="1"/>
  <c r="H886" i="14"/>
  <c r="H880" i="14"/>
  <c r="F885" i="24"/>
  <c r="E885" i="24"/>
  <c r="C885" i="24"/>
  <c r="U885" i="17"/>
  <c r="L885" i="17" s="1"/>
  <c r="H885" i="14"/>
  <c r="E884" i="24"/>
  <c r="F884" i="24"/>
  <c r="C884" i="24"/>
  <c r="U884" i="17"/>
  <c r="L884" i="17" s="1"/>
  <c r="L2" i="17" s="1"/>
  <c r="L3" i="17" s="1"/>
  <c r="H884" i="14"/>
  <c r="H881" i="14"/>
  <c r="L4" i="17" s="1"/>
  <c r="L6" i="17" s="1"/>
  <c r="L5" i="17" s="1"/>
  <c r="L7" i="17" s="1"/>
  <c r="U883" i="17"/>
  <c r="L883" i="17" s="1"/>
  <c r="L323" i="17" s="1"/>
  <c r="L331" i="17" s="1"/>
  <c r="L320" i="17" s="1"/>
  <c r="L326" i="17" s="1"/>
  <c r="F883" i="24"/>
  <c r="E883" i="24"/>
  <c r="C883" i="24"/>
  <c r="H883" i="14"/>
  <c r="H879" i="14"/>
  <c r="F882" i="24"/>
  <c r="E882" i="24"/>
  <c r="C882" i="24"/>
  <c r="AJ880" i="1" s="1"/>
  <c r="K156" i="17" a="1"/>
  <c r="L317" i="17" s="1"/>
  <c r="L319" i="17" s="1"/>
  <c r="L322" i="17" s="1"/>
  <c r="L325" i="17" s="1"/>
  <c r="L328" i="17" s="1"/>
  <c r="L330" i="17" s="1"/>
  <c r="L316" i="17" s="1"/>
  <c r="L318" i="17" s="1"/>
  <c r="L321" i="17" s="1"/>
  <c r="L324" i="17" s="1"/>
  <c r="L327" i="17" s="1"/>
  <c r="L329" i="17" s="1"/>
  <c r="U882" i="17"/>
  <c r="H882" i="14"/>
  <c r="AJ878" i="1" s="1"/>
  <c r="AJ871" i="1" s="1"/>
  <c r="AJ873" i="1" s="1"/>
  <c r="AJ875" i="1" s="1"/>
  <c r="AJ876" i="1" s="1"/>
  <c r="AJ877" i="1" s="1"/>
  <c r="U881" i="17"/>
  <c r="E881" i="24"/>
  <c r="E880" i="24"/>
  <c r="C880" i="24"/>
  <c r="F881" i="24"/>
  <c r="C881" i="24"/>
  <c r="F880" i="24"/>
  <c r="S880" i="17"/>
  <c r="U880" i="17" s="1"/>
  <c r="E879" i="24"/>
  <c r="C879" i="24"/>
  <c r="F879" i="24"/>
  <c r="U879" i="17"/>
  <c r="F878" i="24"/>
  <c r="C878" i="24"/>
  <c r="E878" i="24"/>
  <c r="AJ869" i="1" s="1"/>
  <c r="AJ870" i="1" s="1"/>
  <c r="S878" i="17"/>
  <c r="U878" i="17" s="1"/>
  <c r="F877" i="24"/>
  <c r="C877" i="24"/>
  <c r="E877" i="24"/>
  <c r="H878" i="14"/>
  <c r="S877" i="17"/>
  <c r="U877" i="17" s="1"/>
  <c r="H877" i="14"/>
  <c r="F876" i="24"/>
  <c r="E876" i="24"/>
  <c r="C876" i="24"/>
  <c r="H867" i="14"/>
  <c r="U876" i="17"/>
  <c r="U846" i="17"/>
  <c r="E875" i="24"/>
  <c r="F875" i="24"/>
  <c r="H876" i="14"/>
  <c r="C875" i="24"/>
  <c r="U875" i="17"/>
  <c r="H875" i="14"/>
  <c r="F874" i="24"/>
  <c r="E874" i="24"/>
  <c r="C874" i="24"/>
  <c r="U874" i="17"/>
  <c r="H874" i="14"/>
  <c r="S873" i="17"/>
  <c r="U873" i="17" s="1"/>
  <c r="F873" i="24"/>
  <c r="E873" i="24"/>
  <c r="C873" i="24"/>
  <c r="H873" i="14"/>
  <c r="F872" i="24"/>
  <c r="E872" i="24"/>
  <c r="C872" i="24"/>
  <c r="H872" i="14"/>
  <c r="U871" i="17"/>
  <c r="U845" i="17"/>
  <c r="F871" i="24"/>
  <c r="C871" i="24"/>
  <c r="E871" i="24"/>
  <c r="H871" i="14"/>
  <c r="F870" i="24"/>
  <c r="E870" i="24"/>
  <c r="C870" i="24"/>
  <c r="S816" i="17"/>
  <c r="AJ868" i="1" s="1"/>
  <c r="U870" i="17"/>
  <c r="H870" i="14"/>
  <c r="F869" i="24"/>
  <c r="E869" i="24"/>
  <c r="C869" i="24"/>
  <c r="U869" i="17"/>
  <c r="U865" i="17"/>
  <c r="H869" i="14"/>
  <c r="H844" i="14"/>
  <c r="AJ867" i="1" s="1"/>
  <c r="AJ866" i="1" s="1"/>
  <c r="E868" i="24"/>
  <c r="C868" i="24"/>
  <c r="F868" i="24"/>
  <c r="U868" i="17"/>
  <c r="H868" i="14"/>
  <c r="U867" i="17"/>
  <c r="F867" i="24"/>
  <c r="C867" i="24"/>
  <c r="E867" i="24"/>
  <c r="C866" i="24"/>
  <c r="E866" i="24"/>
  <c r="F866" i="24"/>
  <c r="AJ865" i="1" s="1"/>
  <c r="U866" i="17"/>
  <c r="H866" i="14"/>
  <c r="H857" i="14"/>
  <c r="H865" i="14"/>
  <c r="H853" i="14"/>
  <c r="AJ861" i="1" s="1"/>
  <c r="AJ864" i="1" s="1"/>
  <c r="AJ859" i="1" s="1"/>
  <c r="AJ863" i="1" s="1"/>
  <c r="AJ862" i="1" s="1"/>
  <c r="U864" i="17"/>
  <c r="U863" i="17"/>
  <c r="E865" i="24"/>
  <c r="C865" i="24"/>
  <c r="F865" i="24"/>
  <c r="E864" i="24"/>
  <c r="F864" i="24"/>
  <c r="C864" i="24"/>
  <c r="E863" i="24"/>
  <c r="C863" i="24"/>
  <c r="F863" i="24"/>
  <c r="H863" i="14"/>
  <c r="H864" i="14"/>
  <c r="H855" i="14"/>
  <c r="U862" i="17"/>
  <c r="U861" i="17"/>
  <c r="E862" i="24"/>
  <c r="F862" i="24"/>
  <c r="C862" i="24"/>
  <c r="H862" i="14"/>
  <c r="F861" i="24"/>
  <c r="E861" i="24"/>
  <c r="C861" i="24"/>
  <c r="U860" i="17"/>
  <c r="H861" i="14"/>
  <c r="F860" i="24"/>
  <c r="E860" i="24"/>
  <c r="C860" i="24"/>
  <c r="H860" i="14"/>
  <c r="F859" i="24"/>
  <c r="E859" i="24"/>
  <c r="C859" i="24"/>
  <c r="AJ858" i="1" s="1"/>
  <c r="AJ857" i="1" s="1"/>
  <c r="U859" i="17"/>
  <c r="H859" i="14"/>
  <c r="F858" i="24"/>
  <c r="E858" i="24"/>
  <c r="C858" i="24"/>
  <c r="U858" i="17"/>
  <c r="H858" i="14"/>
  <c r="F857" i="24"/>
  <c r="E857" i="24"/>
  <c r="C857" i="24"/>
  <c r="AJ855" i="1" s="1"/>
  <c r="AJ856" i="1" s="1"/>
  <c r="AJ853" i="1" s="1"/>
  <c r="AJ854" i="1" s="1"/>
  <c r="U857" i="17"/>
  <c r="U856" i="17"/>
  <c r="F856" i="24"/>
  <c r="E856" i="24"/>
  <c r="C856" i="24"/>
  <c r="H856" i="14"/>
  <c r="F855" i="24"/>
  <c r="E855" i="24"/>
  <c r="C855" i="24"/>
  <c r="AJ852" i="1" s="1"/>
  <c r="U855" i="17"/>
  <c r="U852" i="17"/>
  <c r="U854" i="17"/>
  <c r="E854" i="24"/>
  <c r="C854" i="24"/>
  <c r="F854" i="24"/>
  <c r="F853" i="24"/>
  <c r="E853" i="24"/>
  <c r="C853" i="24"/>
  <c r="H854" i="14"/>
  <c r="U853" i="17"/>
  <c r="AJ851" i="1" s="1"/>
  <c r="AJ850" i="1" s="1"/>
  <c r="F852" i="24"/>
  <c r="C852" i="24"/>
  <c r="F851" i="24"/>
  <c r="C851" i="24"/>
  <c r="E851" i="24"/>
  <c r="E852" i="24"/>
  <c r="H852" i="14"/>
  <c r="G953" i="24"/>
  <c r="G950" i="24"/>
  <c r="G952" i="24"/>
  <c r="G954" i="24"/>
  <c r="G957" i="24"/>
  <c r="G949" i="24"/>
  <c r="G960" i="24"/>
  <c r="G959" i="24"/>
  <c r="G951" i="24"/>
  <c r="G958" i="24"/>
  <c r="G956" i="24"/>
  <c r="G955" i="24"/>
  <c r="U851" i="17"/>
  <c r="U847" i="17"/>
  <c r="H851" i="14"/>
  <c r="F850" i="24"/>
  <c r="E850" i="24"/>
  <c r="C850" i="24"/>
  <c r="AJ848" i="1" s="1"/>
  <c r="U850" i="17"/>
  <c r="H850" i="14"/>
  <c r="F849" i="24"/>
  <c r="E849" i="24"/>
  <c r="C849" i="24"/>
  <c r="U849" i="17"/>
  <c r="H849" i="14"/>
  <c r="F848" i="24"/>
  <c r="E848" i="24"/>
  <c r="C848" i="24"/>
  <c r="U848" i="17"/>
  <c r="AJ847" i="1" s="1"/>
  <c r="AJ846" i="1" s="1"/>
  <c r="H848" i="14"/>
  <c r="F847" i="24"/>
  <c r="E847" i="24"/>
  <c r="C847" i="24"/>
  <c r="H847" i="14"/>
  <c r="F846" i="24"/>
  <c r="E846" i="24"/>
  <c r="C846" i="24"/>
  <c r="AJ845" i="1" s="1"/>
  <c r="H846" i="14"/>
  <c r="F845" i="24"/>
  <c r="E845" i="24"/>
  <c r="C845" i="24"/>
  <c r="H845" i="14"/>
  <c r="F844" i="24"/>
  <c r="E844" i="24"/>
  <c r="C844" i="24"/>
  <c r="AJ843" i="1" s="1"/>
  <c r="U844" i="17"/>
  <c r="U843" i="17"/>
  <c r="U835" i="17"/>
  <c r="F843" i="24"/>
  <c r="E843" i="24"/>
  <c r="C843" i="24"/>
  <c r="AJ841" i="1" s="1"/>
  <c r="H843" i="14"/>
  <c r="F842" i="24"/>
  <c r="E842" i="24"/>
  <c r="C842" i="24"/>
  <c r="U842" i="17"/>
  <c r="AJ838" i="1" s="1"/>
  <c r="H842" i="14"/>
  <c r="F841" i="24"/>
  <c r="E841" i="24"/>
  <c r="C841" i="24"/>
  <c r="U841" i="17"/>
  <c r="AJ839" i="1" s="1"/>
  <c r="AJ840" i="1" s="1"/>
  <c r="H841" i="14"/>
  <c r="H840" i="14"/>
  <c r="H839" i="14"/>
  <c r="F840" i="24"/>
  <c r="E840" i="24"/>
  <c r="C840" i="24"/>
  <c r="U834" i="17"/>
  <c r="U840" i="17"/>
  <c r="F839" i="24"/>
  <c r="E839" i="24"/>
  <c r="C839" i="24"/>
  <c r="U839" i="17"/>
  <c r="F838" i="24"/>
  <c r="E838" i="24"/>
  <c r="C838" i="24"/>
  <c r="AJ837" i="1" s="1"/>
  <c r="AJ836" i="1" s="1"/>
  <c r="AJ835" i="1" s="1"/>
  <c r="H838" i="14"/>
  <c r="U838" i="17"/>
  <c r="F837" i="24"/>
  <c r="E837" i="24"/>
  <c r="C837" i="24"/>
  <c r="U837" i="17"/>
  <c r="H837" i="14"/>
  <c r="F836" i="24"/>
  <c r="E836" i="24"/>
  <c r="C836" i="24"/>
  <c r="U836" i="17"/>
  <c r="H836" i="14"/>
  <c r="H832" i="14"/>
  <c r="F835" i="24"/>
  <c r="E835" i="24"/>
  <c r="C835" i="24"/>
  <c r="AJ834" i="1" s="1"/>
  <c r="H835" i="14"/>
  <c r="F834" i="24"/>
  <c r="E834" i="24"/>
  <c r="C834" i="24"/>
  <c r="H831" i="14"/>
  <c r="U833" i="17"/>
  <c r="H824" i="14"/>
  <c r="H834" i="14"/>
  <c r="F833" i="24"/>
  <c r="E833" i="24"/>
  <c r="C833" i="24"/>
  <c r="AJ832" i="1" s="1"/>
  <c r="AJ833" i="1" s="1"/>
  <c r="H833" i="14"/>
  <c r="F832" i="24"/>
  <c r="E832" i="24"/>
  <c r="C832" i="24"/>
  <c r="U832" i="17"/>
  <c r="F831" i="24"/>
  <c r="E831" i="24"/>
  <c r="C831" i="24"/>
  <c r="U831" i="17"/>
  <c r="E830" i="24"/>
  <c r="C830" i="24"/>
  <c r="H830" i="14"/>
  <c r="H829" i="14"/>
  <c r="F830" i="24"/>
  <c r="U830" i="17"/>
  <c r="F829" i="24"/>
  <c r="E829" i="24"/>
  <c r="C829" i="24"/>
  <c r="U829" i="17"/>
  <c r="F828" i="24"/>
  <c r="E828" i="24"/>
  <c r="C828" i="24"/>
  <c r="AJ827" i="1" s="1"/>
  <c r="AJ826" i="1" s="1"/>
  <c r="U828" i="17"/>
  <c r="H828" i="14"/>
  <c r="F827" i="24"/>
  <c r="E827" i="24"/>
  <c r="C827" i="24"/>
  <c r="U827" i="17"/>
  <c r="U826" i="17"/>
  <c r="H827" i="14"/>
  <c r="F826" i="24"/>
  <c r="E826" i="24"/>
  <c r="C826" i="24"/>
  <c r="H826" i="14"/>
  <c r="F825" i="24"/>
  <c r="E825" i="24"/>
  <c r="C825" i="24"/>
  <c r="AJ824" i="1" s="1"/>
  <c r="AJ825" i="1" s="1"/>
  <c r="U825" i="17"/>
  <c r="H825" i="14"/>
  <c r="F824" i="24"/>
  <c r="E824" i="24"/>
  <c r="C824" i="24"/>
  <c r="U824" i="17"/>
  <c r="F823" i="24"/>
  <c r="E823" i="24"/>
  <c r="C823" i="24"/>
  <c r="U823" i="17"/>
  <c r="H823" i="14"/>
  <c r="F822" i="24"/>
  <c r="E822" i="24"/>
  <c r="C822" i="24"/>
  <c r="H822" i="14"/>
  <c r="E821" i="24"/>
  <c r="F821" i="24"/>
  <c r="C821" i="24"/>
  <c r="H821" i="14"/>
  <c r="H820" i="14"/>
  <c r="AJ820" i="1" s="1"/>
  <c r="AJ819" i="1" s="1"/>
  <c r="U821" i="17"/>
  <c r="F820" i="24"/>
  <c r="E820" i="24"/>
  <c r="C820" i="24"/>
  <c r="U820" i="17"/>
  <c r="U803" i="17"/>
  <c r="F819" i="24"/>
  <c r="E819" i="24"/>
  <c r="C819" i="24"/>
  <c r="U819" i="17"/>
  <c r="H819" i="14"/>
  <c r="H815" i="14"/>
  <c r="H818" i="14"/>
  <c r="AJ14" i="1" s="1"/>
  <c r="AJ452" i="1" s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F818" i="24"/>
  <c r="E818" i="24"/>
  <c r="C818" i="24"/>
  <c r="U818" i="17"/>
  <c r="F817" i="24"/>
  <c r="E817" i="24"/>
  <c r="C817" i="24"/>
  <c r="H817" i="14"/>
  <c r="S817" i="17"/>
  <c r="U817" i="17" s="1"/>
  <c r="E816" i="24"/>
  <c r="F816" i="24"/>
  <c r="C816" i="24"/>
  <c r="H816" i="14"/>
  <c r="F815" i="24"/>
  <c r="E815" i="24"/>
  <c r="C815" i="24"/>
  <c r="U815" i="17"/>
  <c r="F814" i="24"/>
  <c r="E814" i="24"/>
  <c r="C814" i="24"/>
  <c r="S405" i="17"/>
  <c r="U405" i="17" s="1"/>
  <c r="U814" i="17"/>
  <c r="H814" i="14"/>
  <c r="F813" i="24"/>
  <c r="E813" i="24"/>
  <c r="C813" i="24"/>
  <c r="F812" i="24"/>
  <c r="E812" i="24"/>
  <c r="C812" i="24"/>
  <c r="F811" i="24"/>
  <c r="E811" i="24"/>
  <c r="C811" i="24"/>
  <c r="F810" i="24"/>
  <c r="E810" i="24"/>
  <c r="C810" i="24"/>
  <c r="F809" i="24"/>
  <c r="E809" i="24"/>
  <c r="C809" i="24"/>
  <c r="F808" i="24"/>
  <c r="E808" i="24"/>
  <c r="C808" i="24"/>
  <c r="F807" i="24"/>
  <c r="E807" i="24"/>
  <c r="C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H813" i="14"/>
  <c r="H812" i="14"/>
  <c r="H811" i="14"/>
  <c r="H810" i="14"/>
  <c r="H809" i="14"/>
  <c r="H808" i="14"/>
  <c r="H807" i="14"/>
  <c r="H804" i="14"/>
  <c r="F806" i="24"/>
  <c r="E806" i="24"/>
  <c r="C806" i="24"/>
  <c r="F805" i="24"/>
  <c r="E805" i="24"/>
  <c r="C805" i="24"/>
  <c r="F806" i="19"/>
  <c r="F805" i="19"/>
  <c r="U805" i="17"/>
  <c r="H806" i="14"/>
  <c r="F804" i="24"/>
  <c r="E804" i="24"/>
  <c r="C804" i="24"/>
  <c r="F803" i="24"/>
  <c r="E803" i="24"/>
  <c r="C803" i="24"/>
  <c r="F802" i="24"/>
  <c r="E802" i="24"/>
  <c r="C802" i="24"/>
  <c r="F801" i="24"/>
  <c r="E801" i="24"/>
  <c r="C801" i="24"/>
  <c r="F800" i="24"/>
  <c r="E800" i="24"/>
  <c r="C800" i="24"/>
  <c r="F799" i="24"/>
  <c r="E799" i="24"/>
  <c r="C799" i="24"/>
  <c r="F798" i="24"/>
  <c r="E798" i="24"/>
  <c r="C798" i="24"/>
  <c r="F797" i="24"/>
  <c r="E797" i="24"/>
  <c r="C797" i="24"/>
  <c r="F796" i="24"/>
  <c r="E796" i="24"/>
  <c r="C796" i="24"/>
  <c r="F795" i="24"/>
  <c r="E795" i="24"/>
  <c r="C795" i="24"/>
  <c r="H805" i="14"/>
  <c r="U802" i="17"/>
  <c r="H803" i="14"/>
  <c r="H802" i="14"/>
  <c r="H801" i="14"/>
  <c r="H800" i="14"/>
  <c r="H799" i="14"/>
  <c r="H798" i="14"/>
  <c r="H797" i="14"/>
  <c r="H796" i="14"/>
  <c r="H795" i="14"/>
  <c r="H793" i="14"/>
  <c r="H794" i="14"/>
  <c r="C794" i="24"/>
  <c r="F794" i="24"/>
  <c r="E794" i="24"/>
  <c r="E793" i="24"/>
  <c r="C793" i="24"/>
  <c r="F793" i="24"/>
  <c r="F792" i="24"/>
  <c r="E792" i="24"/>
  <c r="F791" i="24"/>
  <c r="E791" i="24"/>
  <c r="F790" i="24"/>
  <c r="E790" i="24"/>
  <c r="F789" i="24"/>
  <c r="E789" i="24"/>
  <c r="F788" i="24"/>
  <c r="E788" i="24"/>
  <c r="F787" i="24"/>
  <c r="E787" i="24"/>
  <c r="F786" i="24"/>
  <c r="E786" i="24"/>
  <c r="F785" i="24"/>
  <c r="E785" i="24"/>
  <c r="F784" i="24"/>
  <c r="E784" i="24"/>
  <c r="F783" i="24"/>
  <c r="E783" i="24"/>
  <c r="F782" i="24"/>
  <c r="E782" i="24"/>
  <c r="F781" i="24"/>
  <c r="E781" i="24"/>
  <c r="F780" i="24"/>
  <c r="E780" i="24"/>
  <c r="F779" i="24"/>
  <c r="E779" i="24"/>
  <c r="F778" i="24"/>
  <c r="E778" i="24"/>
  <c r="F777" i="24"/>
  <c r="E777" i="24"/>
  <c r="F776" i="24"/>
  <c r="E776" i="24"/>
  <c r="F775" i="24"/>
  <c r="E775" i="24"/>
  <c r="F774" i="24"/>
  <c r="E774" i="24"/>
  <c r="F773" i="24"/>
  <c r="E773" i="24"/>
  <c r="F772" i="24"/>
  <c r="E772" i="24"/>
  <c r="F771" i="24"/>
  <c r="E771" i="24"/>
  <c r="F770" i="24"/>
  <c r="E770" i="24"/>
  <c r="F769" i="24"/>
  <c r="E769" i="24"/>
  <c r="F768" i="24"/>
  <c r="E768" i="24"/>
  <c r="F767" i="24"/>
  <c r="E767" i="24"/>
  <c r="F766" i="24"/>
  <c r="E766" i="24"/>
  <c r="F765" i="24"/>
  <c r="E765" i="24"/>
  <c r="F764" i="24"/>
  <c r="E764" i="24"/>
  <c r="F763" i="24"/>
  <c r="E763" i="24"/>
  <c r="F762" i="24"/>
  <c r="E762" i="24"/>
  <c r="F761" i="24"/>
  <c r="E761" i="24"/>
  <c r="F760" i="24"/>
  <c r="E760" i="24"/>
  <c r="F759" i="24"/>
  <c r="E759" i="24"/>
  <c r="F758" i="24"/>
  <c r="E758" i="24"/>
  <c r="F757" i="24"/>
  <c r="E757" i="24"/>
  <c r="F756" i="24"/>
  <c r="E756" i="24"/>
  <c r="F755" i="24"/>
  <c r="E755" i="24"/>
  <c r="F754" i="24"/>
  <c r="E754" i="24"/>
  <c r="F753" i="24"/>
  <c r="E753" i="24"/>
  <c r="F752" i="24"/>
  <c r="E752" i="24"/>
  <c r="F751" i="24"/>
  <c r="E751" i="24"/>
  <c r="F750" i="24"/>
  <c r="E750" i="24"/>
  <c r="F749" i="24"/>
  <c r="E749" i="24"/>
  <c r="F748" i="24"/>
  <c r="E748" i="24"/>
  <c r="F747" i="24"/>
  <c r="E747" i="24"/>
  <c r="F746" i="24"/>
  <c r="E746" i="24"/>
  <c r="F745" i="24"/>
  <c r="E745" i="24"/>
  <c r="F744" i="24"/>
  <c r="E744" i="24"/>
  <c r="F743" i="24"/>
  <c r="E743" i="24"/>
  <c r="F742" i="24"/>
  <c r="E742" i="24"/>
  <c r="F741" i="24"/>
  <c r="E741" i="24"/>
  <c r="F740" i="24"/>
  <c r="E740" i="24"/>
  <c r="F739" i="24"/>
  <c r="E739" i="24"/>
  <c r="F738" i="24"/>
  <c r="E738" i="24"/>
  <c r="F737" i="24"/>
  <c r="E737" i="24"/>
  <c r="F736" i="24"/>
  <c r="E736" i="24"/>
  <c r="F735" i="24"/>
  <c r="E735" i="24"/>
  <c r="F734" i="24"/>
  <c r="E734" i="24"/>
  <c r="F733" i="24"/>
  <c r="E733" i="24"/>
  <c r="F732" i="24"/>
  <c r="E732" i="24"/>
  <c r="F731" i="24"/>
  <c r="E731" i="24"/>
  <c r="F730" i="24"/>
  <c r="E730" i="24"/>
  <c r="F729" i="24"/>
  <c r="E729" i="24"/>
  <c r="F728" i="24"/>
  <c r="E728" i="24"/>
  <c r="F727" i="24"/>
  <c r="E727" i="24"/>
  <c r="F726" i="24"/>
  <c r="E726" i="24"/>
  <c r="F725" i="24"/>
  <c r="E725" i="24"/>
  <c r="F724" i="24"/>
  <c r="E724" i="24"/>
  <c r="F723" i="24"/>
  <c r="E723" i="24"/>
  <c r="F722" i="24"/>
  <c r="E722" i="24"/>
  <c r="F721" i="24"/>
  <c r="E721" i="24"/>
  <c r="F720" i="24"/>
  <c r="E720" i="24"/>
  <c r="F719" i="24"/>
  <c r="E719" i="24"/>
  <c r="F718" i="24"/>
  <c r="E718" i="24"/>
  <c r="F717" i="24"/>
  <c r="E717" i="24"/>
  <c r="F716" i="24"/>
  <c r="E716" i="24"/>
  <c r="F715" i="24"/>
  <c r="E715" i="24"/>
  <c r="F714" i="24"/>
  <c r="E714" i="24"/>
  <c r="F713" i="24"/>
  <c r="E713" i="24"/>
  <c r="F712" i="24"/>
  <c r="E712" i="24"/>
  <c r="F711" i="24"/>
  <c r="E711" i="24"/>
  <c r="F710" i="24"/>
  <c r="E710" i="24"/>
  <c r="F709" i="24"/>
  <c r="E709" i="24"/>
  <c r="F708" i="24"/>
  <c r="E708" i="24"/>
  <c r="F707" i="24"/>
  <c r="E707" i="24"/>
  <c r="F706" i="24"/>
  <c r="E706" i="24"/>
  <c r="F705" i="24"/>
  <c r="E705" i="24"/>
  <c r="F704" i="24"/>
  <c r="E704" i="24"/>
  <c r="F703" i="24"/>
  <c r="E703" i="24"/>
  <c r="F702" i="24"/>
  <c r="E702" i="24"/>
  <c r="F701" i="24"/>
  <c r="E701" i="24"/>
  <c r="F700" i="24"/>
  <c r="E700" i="24"/>
  <c r="F699" i="24"/>
  <c r="E699" i="24"/>
  <c r="F698" i="24"/>
  <c r="E698" i="24"/>
  <c r="F697" i="24"/>
  <c r="E697" i="24"/>
  <c r="F696" i="24"/>
  <c r="E696" i="24"/>
  <c r="F695" i="24"/>
  <c r="E695" i="24"/>
  <c r="F694" i="24"/>
  <c r="E694" i="24"/>
  <c r="F693" i="24"/>
  <c r="E693" i="24"/>
  <c r="F692" i="24"/>
  <c r="E692" i="24"/>
  <c r="F691" i="24"/>
  <c r="E691" i="24"/>
  <c r="F690" i="24"/>
  <c r="E690" i="24"/>
  <c r="F689" i="24"/>
  <c r="E689" i="24"/>
  <c r="F688" i="24"/>
  <c r="E688" i="24"/>
  <c r="F687" i="24"/>
  <c r="E687" i="24"/>
  <c r="F686" i="24"/>
  <c r="E686" i="24"/>
  <c r="F685" i="24"/>
  <c r="E685" i="24"/>
  <c r="F684" i="24"/>
  <c r="E684" i="24"/>
  <c r="F683" i="24"/>
  <c r="E683" i="24"/>
  <c r="F682" i="24"/>
  <c r="E682" i="24"/>
  <c r="F681" i="24"/>
  <c r="E681" i="24"/>
  <c r="F680" i="24"/>
  <c r="E680" i="24"/>
  <c r="F679" i="24"/>
  <c r="E679" i="24"/>
  <c r="F678" i="24"/>
  <c r="E678" i="24"/>
  <c r="F677" i="24"/>
  <c r="E677" i="24"/>
  <c r="F676" i="24"/>
  <c r="E676" i="24"/>
  <c r="F675" i="24"/>
  <c r="E675" i="24"/>
  <c r="F674" i="24"/>
  <c r="E674" i="24"/>
  <c r="F673" i="24"/>
  <c r="E673" i="24"/>
  <c r="F672" i="24"/>
  <c r="E672" i="24"/>
  <c r="F671" i="24"/>
  <c r="E671" i="24"/>
  <c r="F670" i="24"/>
  <c r="E670" i="24"/>
  <c r="F669" i="24"/>
  <c r="E669" i="24"/>
  <c r="F668" i="24"/>
  <c r="E668" i="24"/>
  <c r="F667" i="24"/>
  <c r="E667" i="24"/>
  <c r="F666" i="24"/>
  <c r="E666" i="24"/>
  <c r="F665" i="24"/>
  <c r="E665" i="24"/>
  <c r="F664" i="24"/>
  <c r="E664" i="24"/>
  <c r="F663" i="24"/>
  <c r="E663" i="24"/>
  <c r="F662" i="24"/>
  <c r="E662" i="24"/>
  <c r="F661" i="24"/>
  <c r="E661" i="24"/>
  <c r="F660" i="24"/>
  <c r="E660" i="24"/>
  <c r="F659" i="24"/>
  <c r="E659" i="24"/>
  <c r="F658" i="24"/>
  <c r="E658" i="24"/>
  <c r="F657" i="24"/>
  <c r="E657" i="24"/>
  <c r="F656" i="24"/>
  <c r="E656" i="24"/>
  <c r="F655" i="24"/>
  <c r="E655" i="24"/>
  <c r="F654" i="24"/>
  <c r="E654" i="24"/>
  <c r="F653" i="24"/>
  <c r="E653" i="24"/>
  <c r="F652" i="24"/>
  <c r="E652" i="24"/>
  <c r="F651" i="24"/>
  <c r="E651" i="24"/>
  <c r="F650" i="24"/>
  <c r="E650" i="24"/>
  <c r="F649" i="24"/>
  <c r="E649" i="24"/>
  <c r="F648" i="24"/>
  <c r="E648" i="24"/>
  <c r="F647" i="24"/>
  <c r="E647" i="24"/>
  <c r="F646" i="24"/>
  <c r="E646" i="24"/>
  <c r="F645" i="24"/>
  <c r="E645" i="24"/>
  <c r="F644" i="24"/>
  <c r="E644" i="24"/>
  <c r="F643" i="24"/>
  <c r="E643" i="24"/>
  <c r="F642" i="24"/>
  <c r="E642" i="24"/>
  <c r="F641" i="24"/>
  <c r="E641" i="24"/>
  <c r="F640" i="24"/>
  <c r="E640" i="24"/>
  <c r="F639" i="24"/>
  <c r="E639" i="24"/>
  <c r="F638" i="24"/>
  <c r="E638" i="24"/>
  <c r="F637" i="24"/>
  <c r="E637" i="24"/>
  <c r="F636" i="24"/>
  <c r="E636" i="24"/>
  <c r="F635" i="24"/>
  <c r="E635" i="24"/>
  <c r="F634" i="24"/>
  <c r="E634" i="24"/>
  <c r="F633" i="24"/>
  <c r="E633" i="24"/>
  <c r="F632" i="24"/>
  <c r="E632" i="24"/>
  <c r="F631" i="24"/>
  <c r="E631" i="24"/>
  <c r="F630" i="24"/>
  <c r="E630" i="24"/>
  <c r="F629" i="24"/>
  <c r="E629" i="24"/>
  <c r="F628" i="24"/>
  <c r="E628" i="24"/>
  <c r="F627" i="24"/>
  <c r="E627" i="24"/>
  <c r="F626" i="24"/>
  <c r="E626" i="24"/>
  <c r="F625" i="24"/>
  <c r="E625" i="24"/>
  <c r="F624" i="24"/>
  <c r="E624" i="24"/>
  <c r="F623" i="24"/>
  <c r="E623" i="24"/>
  <c r="F622" i="24"/>
  <c r="E622" i="24"/>
  <c r="E321" i="24"/>
  <c r="E320" i="24"/>
  <c r="E319" i="24"/>
  <c r="E318" i="24"/>
  <c r="E317" i="24"/>
  <c r="F316" i="24"/>
  <c r="F315" i="24"/>
  <c r="F314" i="24"/>
  <c r="F313" i="24"/>
  <c r="F312" i="24"/>
  <c r="F311" i="24"/>
  <c r="E310" i="24"/>
  <c r="F309" i="24"/>
  <c r="F308" i="24"/>
  <c r="F307" i="24"/>
  <c r="F306" i="24"/>
  <c r="E305" i="24"/>
  <c r="F304" i="24"/>
  <c r="F303" i="24"/>
  <c r="F302" i="24"/>
  <c r="E301" i="24"/>
  <c r="E300" i="24"/>
  <c r="F299" i="24"/>
  <c r="F298" i="24"/>
  <c r="F297" i="24"/>
  <c r="F296" i="24"/>
  <c r="F295" i="24"/>
  <c r="E294" i="24"/>
  <c r="E293" i="24"/>
  <c r="E292" i="24"/>
  <c r="E291" i="24"/>
  <c r="F290" i="24"/>
  <c r="E289" i="24"/>
  <c r="F288" i="24"/>
  <c r="E287" i="24"/>
  <c r="F286" i="24"/>
  <c r="F285" i="24"/>
  <c r="E284" i="24"/>
  <c r="E283" i="24"/>
  <c r="F281" i="24"/>
  <c r="F280" i="24"/>
  <c r="E280" i="24"/>
  <c r="E279" i="24"/>
  <c r="E278" i="24"/>
  <c r="E277" i="24"/>
  <c r="E276" i="24"/>
  <c r="E275" i="24"/>
  <c r="E274" i="24"/>
  <c r="F273" i="24"/>
  <c r="F272" i="24"/>
  <c r="F271" i="24"/>
  <c r="F270" i="24"/>
  <c r="F269" i="24"/>
  <c r="F268" i="24"/>
  <c r="F266" i="24"/>
  <c r="F265" i="24"/>
  <c r="E264" i="24"/>
  <c r="E263" i="24"/>
  <c r="E262" i="24"/>
  <c r="E261" i="24"/>
  <c r="F259" i="24"/>
  <c r="E259" i="24"/>
  <c r="E258" i="24"/>
  <c r="E257" i="24"/>
  <c r="E256" i="24"/>
  <c r="E255" i="24"/>
  <c r="E254" i="24"/>
  <c r="F253" i="24"/>
  <c r="F252" i="24"/>
  <c r="E251" i="24"/>
  <c r="E250" i="24"/>
  <c r="E249" i="24"/>
  <c r="E248" i="24"/>
  <c r="E247" i="24"/>
  <c r="F246" i="24"/>
  <c r="E245" i="24"/>
  <c r="F244" i="24"/>
  <c r="F243" i="24"/>
  <c r="F242" i="24"/>
  <c r="F241" i="24"/>
  <c r="E241" i="24"/>
  <c r="E240" i="24"/>
  <c r="E239" i="24"/>
  <c r="F238" i="24"/>
  <c r="E238" i="24"/>
  <c r="F237" i="24"/>
  <c r="E237" i="24"/>
  <c r="F236" i="24"/>
  <c r="E236" i="24"/>
  <c r="F235" i="24"/>
  <c r="E235" i="24"/>
  <c r="F234" i="24"/>
  <c r="E234" i="24"/>
  <c r="F233" i="24"/>
  <c r="E233" i="24"/>
  <c r="F232" i="24"/>
  <c r="E232" i="24"/>
  <c r="F231" i="24"/>
  <c r="E231" i="24"/>
  <c r="F230" i="24"/>
  <c r="E230" i="24"/>
  <c r="F229" i="24"/>
  <c r="E229" i="24"/>
  <c r="F228" i="24"/>
  <c r="E228" i="24"/>
  <c r="F227" i="24"/>
  <c r="E227" i="24"/>
  <c r="F226" i="24"/>
  <c r="E226" i="24"/>
  <c r="F225" i="24"/>
  <c r="E225" i="24"/>
  <c r="E219" i="24"/>
  <c r="E218" i="24"/>
  <c r="F217" i="24"/>
  <c r="F216" i="24"/>
  <c r="E216" i="24"/>
  <c r="F215" i="24"/>
  <c r="F214" i="24"/>
  <c r="E213" i="24"/>
  <c r="F212" i="24"/>
  <c r="E211" i="24"/>
  <c r="E210" i="24"/>
  <c r="E209" i="24"/>
  <c r="F208" i="24"/>
  <c r="F207" i="24"/>
  <c r="F206" i="24"/>
  <c r="F205" i="24"/>
  <c r="E204" i="24"/>
  <c r="E203" i="24"/>
  <c r="F202" i="24"/>
  <c r="E201" i="24"/>
  <c r="F199" i="24"/>
  <c r="F198" i="24"/>
  <c r="E198" i="24"/>
  <c r="E197" i="24"/>
  <c r="E196" i="24"/>
  <c r="E195" i="24"/>
  <c r="F194" i="24"/>
  <c r="F193" i="24"/>
  <c r="F192" i="24"/>
  <c r="F191" i="24"/>
  <c r="E190" i="24"/>
  <c r="E189" i="24"/>
  <c r="F187" i="24"/>
  <c r="F186" i="24"/>
  <c r="F185" i="24"/>
  <c r="F184" i="24"/>
  <c r="F183" i="24"/>
  <c r="F182" i="24"/>
  <c r="F181" i="24"/>
  <c r="F180" i="24"/>
  <c r="E180" i="24"/>
  <c r="F179" i="24"/>
  <c r="F178" i="24"/>
  <c r="F177" i="24"/>
  <c r="F176" i="24"/>
  <c r="F175" i="24"/>
  <c r="E174" i="24"/>
  <c r="E173" i="24"/>
  <c r="E172" i="24"/>
  <c r="F171" i="24"/>
  <c r="F170" i="24"/>
  <c r="F169" i="24"/>
  <c r="F168" i="24"/>
  <c r="F167" i="24"/>
  <c r="F166" i="24"/>
  <c r="F165" i="24"/>
  <c r="F164" i="24"/>
  <c r="F163" i="24"/>
  <c r="E163" i="24"/>
  <c r="F161" i="24"/>
  <c r="E161" i="24"/>
  <c r="E160" i="24"/>
  <c r="E159" i="24"/>
  <c r="F158" i="24"/>
  <c r="F157" i="24"/>
  <c r="F156" i="24"/>
  <c r="F155" i="24"/>
  <c r="F154" i="24"/>
  <c r="E154" i="24"/>
  <c r="E153" i="24"/>
  <c r="F151" i="24"/>
  <c r="F150" i="24"/>
  <c r="F149" i="24"/>
  <c r="F148" i="24"/>
  <c r="E148" i="24"/>
  <c r="E147" i="24"/>
  <c r="E146" i="24"/>
  <c r="E145" i="24"/>
  <c r="F144" i="24"/>
  <c r="E143" i="24"/>
  <c r="F142" i="24"/>
  <c r="F141" i="24"/>
  <c r="F140" i="24"/>
  <c r="F139" i="24"/>
  <c r="E138" i="24"/>
  <c r="F137" i="24"/>
  <c r="F136" i="24"/>
  <c r="F135" i="24"/>
  <c r="F134" i="24"/>
  <c r="F133" i="24"/>
  <c r="E132" i="24"/>
  <c r="E131" i="24"/>
  <c r="E130" i="24"/>
  <c r="F129" i="24"/>
  <c r="F128" i="24"/>
  <c r="F127" i="24"/>
  <c r="F126" i="24"/>
  <c r="E126" i="24"/>
  <c r="E125" i="24"/>
  <c r="F124" i="24"/>
  <c r="F123" i="24"/>
  <c r="F122" i="24"/>
  <c r="F121" i="24"/>
  <c r="F120" i="24"/>
  <c r="F119" i="24"/>
  <c r="E119" i="24"/>
  <c r="E118" i="24"/>
  <c r="E117" i="24"/>
  <c r="E116" i="24"/>
  <c r="E114" i="24"/>
  <c r="E113" i="24"/>
  <c r="E112" i="24"/>
  <c r="F111" i="24"/>
  <c r="F110" i="24"/>
  <c r="F109" i="24"/>
  <c r="E109" i="24"/>
  <c r="E108" i="24"/>
  <c r="E107" i="24"/>
  <c r="F106" i="24"/>
  <c r="E106" i="24"/>
  <c r="E105" i="24"/>
  <c r="F104" i="24"/>
  <c r="E104" i="24"/>
  <c r="E103" i="24"/>
  <c r="E102" i="24"/>
  <c r="E101" i="24"/>
  <c r="E100" i="24"/>
  <c r="F99" i="24"/>
  <c r="F98" i="24"/>
  <c r="F97" i="24"/>
  <c r="F96" i="24"/>
  <c r="F95" i="24"/>
  <c r="F94" i="24"/>
  <c r="E93" i="24"/>
  <c r="F92" i="24"/>
  <c r="F91" i="24"/>
  <c r="E91" i="24"/>
  <c r="E90" i="24"/>
  <c r="E89" i="24"/>
  <c r="F88" i="24"/>
  <c r="E87" i="24"/>
  <c r="E86" i="24"/>
  <c r="F85" i="24"/>
  <c r="F84" i="24"/>
  <c r="E84" i="24"/>
  <c r="E83" i="24"/>
  <c r="F82" i="24"/>
  <c r="F81" i="24"/>
  <c r="F80" i="24"/>
  <c r="F78" i="24"/>
  <c r="F77" i="24"/>
  <c r="F76" i="24"/>
  <c r="E76" i="24"/>
  <c r="E75" i="24"/>
  <c r="E74" i="24"/>
  <c r="E73" i="24"/>
  <c r="E72" i="24"/>
  <c r="E71" i="24"/>
  <c r="E70" i="24"/>
  <c r="F69" i="24"/>
  <c r="F68" i="24"/>
  <c r="F67" i="24"/>
  <c r="F66" i="24"/>
  <c r="E65" i="24"/>
  <c r="E64" i="24"/>
  <c r="E63" i="24"/>
  <c r="E62" i="24"/>
  <c r="E61" i="24"/>
  <c r="F60" i="24"/>
  <c r="E60" i="24"/>
  <c r="E59" i="24"/>
  <c r="F58" i="24"/>
  <c r="E58" i="24"/>
  <c r="E57" i="24"/>
  <c r="E56" i="24"/>
  <c r="E55" i="24"/>
  <c r="E54" i="24"/>
  <c r="F53" i="24"/>
  <c r="F52" i="24"/>
  <c r="E52" i="24"/>
  <c r="E51" i="24"/>
  <c r="E50" i="24"/>
  <c r="F49" i="24"/>
  <c r="C366" i="24"/>
  <c r="C364" i="24"/>
  <c r="C362" i="24"/>
  <c r="C352" i="24"/>
  <c r="C351" i="24"/>
  <c r="C350" i="24"/>
  <c r="C349" i="24"/>
  <c r="C345" i="24"/>
  <c r="C340" i="24"/>
  <c r="C337" i="24"/>
  <c r="C336" i="24"/>
  <c r="C333" i="24"/>
  <c r="C332" i="24"/>
  <c r="C327" i="24"/>
  <c r="C323" i="24"/>
  <c r="C319" i="24"/>
  <c r="C317" i="24"/>
  <c r="C313" i="24"/>
  <c r="C312" i="24"/>
  <c r="C308" i="24"/>
  <c r="C304" i="24"/>
  <c r="C301" i="24"/>
  <c r="C300" i="24"/>
  <c r="C299" i="24"/>
  <c r="C298" i="24"/>
  <c r="C297" i="24"/>
  <c r="C294" i="24"/>
  <c r="C293" i="24"/>
  <c r="C291" i="24"/>
  <c r="C290" i="24"/>
  <c r="C289" i="24"/>
  <c r="C286" i="24"/>
  <c r="C285" i="24"/>
  <c r="C282" i="24"/>
  <c r="C281" i="24"/>
  <c r="C279" i="24"/>
  <c r="C278" i="24"/>
  <c r="C277" i="24"/>
  <c r="C274" i="24"/>
  <c r="C270" i="24"/>
  <c r="C7" i="24"/>
  <c r="C6" i="24"/>
  <c r="C5" i="24"/>
  <c r="C4" i="24"/>
  <c r="C3" i="24"/>
  <c r="F621" i="24"/>
  <c r="E621" i="24"/>
  <c r="F620" i="24"/>
  <c r="E620" i="24"/>
  <c r="F619" i="24"/>
  <c r="E619" i="24"/>
  <c r="F618" i="24"/>
  <c r="E618" i="24"/>
  <c r="F617" i="24"/>
  <c r="E617" i="24"/>
  <c r="F616" i="24"/>
  <c r="E616" i="24"/>
  <c r="F615" i="24"/>
  <c r="E615" i="24"/>
  <c r="F614" i="24"/>
  <c r="E614" i="24"/>
  <c r="F613" i="24"/>
  <c r="E613" i="24"/>
  <c r="F612" i="24"/>
  <c r="E612" i="24"/>
  <c r="F611" i="24"/>
  <c r="E611" i="24"/>
  <c r="F610" i="24"/>
  <c r="E610" i="24"/>
  <c r="F609" i="24"/>
  <c r="E609" i="24"/>
  <c r="F608" i="24"/>
  <c r="E608" i="24"/>
  <c r="F607" i="24"/>
  <c r="E607" i="24"/>
  <c r="F606" i="24"/>
  <c r="E606" i="24"/>
  <c r="F605" i="24"/>
  <c r="E605" i="24"/>
  <c r="F604" i="24"/>
  <c r="E604" i="24"/>
  <c r="F603" i="24"/>
  <c r="E603" i="24"/>
  <c r="F602" i="24"/>
  <c r="E602" i="24"/>
  <c r="F601" i="24"/>
  <c r="E601" i="24"/>
  <c r="F600" i="24"/>
  <c r="E600" i="24"/>
  <c r="F599" i="24"/>
  <c r="E599" i="24"/>
  <c r="F598" i="24"/>
  <c r="E598" i="24"/>
  <c r="F597" i="24"/>
  <c r="E597" i="24"/>
  <c r="F596" i="24"/>
  <c r="E596" i="24"/>
  <c r="F595" i="24"/>
  <c r="E595" i="24"/>
  <c r="F594" i="24"/>
  <c r="E594" i="24"/>
  <c r="F593" i="24"/>
  <c r="E593" i="24"/>
  <c r="F592" i="24"/>
  <c r="E592" i="24"/>
  <c r="F591" i="24"/>
  <c r="E591" i="24"/>
  <c r="F590" i="24"/>
  <c r="E590" i="24"/>
  <c r="F589" i="24"/>
  <c r="E589" i="24"/>
  <c r="F588" i="24"/>
  <c r="E588" i="24"/>
  <c r="F587" i="24"/>
  <c r="E587" i="24"/>
  <c r="F586" i="24"/>
  <c r="E586" i="24"/>
  <c r="F585" i="24"/>
  <c r="E585" i="24"/>
  <c r="F584" i="24"/>
  <c r="E584" i="24"/>
  <c r="F583" i="24"/>
  <c r="E583" i="24"/>
  <c r="F582" i="24"/>
  <c r="E582" i="24"/>
  <c r="F581" i="24"/>
  <c r="E581" i="24"/>
  <c r="F580" i="24"/>
  <c r="E580" i="24"/>
  <c r="F579" i="24"/>
  <c r="E579" i="24"/>
  <c r="F578" i="24"/>
  <c r="E578" i="24"/>
  <c r="F577" i="24"/>
  <c r="E577" i="24"/>
  <c r="F576" i="24"/>
  <c r="E576" i="24"/>
  <c r="F575" i="24"/>
  <c r="E575" i="24"/>
  <c r="F574" i="24"/>
  <c r="E574" i="24"/>
  <c r="F573" i="24"/>
  <c r="E573" i="24"/>
  <c r="F572" i="24"/>
  <c r="E572" i="24"/>
  <c r="F571" i="24"/>
  <c r="E571" i="24"/>
  <c r="F570" i="24"/>
  <c r="E570" i="24"/>
  <c r="F569" i="24"/>
  <c r="E569" i="24"/>
  <c r="F568" i="24"/>
  <c r="E568" i="24"/>
  <c r="F567" i="24"/>
  <c r="E567" i="24"/>
  <c r="F566" i="24"/>
  <c r="E566" i="24"/>
  <c r="F565" i="24"/>
  <c r="E565" i="24"/>
  <c r="F564" i="24"/>
  <c r="E564" i="24"/>
  <c r="F563" i="24"/>
  <c r="E563" i="24"/>
  <c r="F562" i="24"/>
  <c r="E562" i="24"/>
  <c r="F561" i="24"/>
  <c r="E561" i="24"/>
  <c r="F560" i="24"/>
  <c r="E560" i="24"/>
  <c r="F559" i="24"/>
  <c r="E559" i="24"/>
  <c r="F558" i="24"/>
  <c r="E558" i="24"/>
  <c r="F557" i="24"/>
  <c r="E557" i="24"/>
  <c r="F556" i="24"/>
  <c r="E556" i="24"/>
  <c r="F555" i="24"/>
  <c r="E555" i="24"/>
  <c r="F554" i="24"/>
  <c r="E554" i="24"/>
  <c r="F553" i="24"/>
  <c r="E553" i="24"/>
  <c r="F552" i="24"/>
  <c r="E552" i="24"/>
  <c r="F551" i="24"/>
  <c r="E551" i="24"/>
  <c r="F550" i="24"/>
  <c r="E550" i="24"/>
  <c r="F549" i="24"/>
  <c r="E549" i="24"/>
  <c r="F548" i="24"/>
  <c r="E548" i="24"/>
  <c r="F547" i="24"/>
  <c r="E547" i="24"/>
  <c r="F546" i="24"/>
  <c r="E546" i="24"/>
  <c r="F545" i="24"/>
  <c r="E545" i="24"/>
  <c r="F544" i="24"/>
  <c r="E544" i="24"/>
  <c r="F543" i="24"/>
  <c r="E543" i="24"/>
  <c r="F542" i="24"/>
  <c r="E542" i="24"/>
  <c r="F541" i="24"/>
  <c r="E541" i="24"/>
  <c r="F540" i="24"/>
  <c r="E540" i="24"/>
  <c r="F539" i="24"/>
  <c r="E539" i="24"/>
  <c r="F538" i="24"/>
  <c r="E538" i="24"/>
  <c r="F537" i="24"/>
  <c r="E537" i="24"/>
  <c r="F536" i="24"/>
  <c r="E536" i="24"/>
  <c r="F535" i="24"/>
  <c r="E535" i="24"/>
  <c r="F534" i="24"/>
  <c r="E534" i="24"/>
  <c r="F533" i="24"/>
  <c r="E533" i="24"/>
  <c r="F532" i="24"/>
  <c r="E532" i="24"/>
  <c r="F531" i="24"/>
  <c r="E531" i="24"/>
  <c r="F530" i="24"/>
  <c r="E530" i="24"/>
  <c r="F529" i="24"/>
  <c r="E529" i="24"/>
  <c r="F528" i="24"/>
  <c r="E528" i="24"/>
  <c r="F527" i="24"/>
  <c r="E527" i="24"/>
  <c r="F526" i="24"/>
  <c r="E526" i="24"/>
  <c r="F525" i="24"/>
  <c r="E525" i="24"/>
  <c r="F524" i="24"/>
  <c r="E524" i="24"/>
  <c r="F523" i="24"/>
  <c r="E523" i="24"/>
  <c r="F522" i="24"/>
  <c r="E522" i="24"/>
  <c r="F521" i="24"/>
  <c r="E521" i="24"/>
  <c r="F520" i="24"/>
  <c r="E520" i="24"/>
  <c r="F519" i="24"/>
  <c r="E519" i="24"/>
  <c r="F518" i="24"/>
  <c r="E518" i="24"/>
  <c r="F517" i="24"/>
  <c r="E517" i="24"/>
  <c r="F516" i="24"/>
  <c r="E516" i="24"/>
  <c r="F515" i="24"/>
  <c r="E515" i="24"/>
  <c r="F514" i="24"/>
  <c r="E514" i="24"/>
  <c r="F513" i="24"/>
  <c r="E513" i="24"/>
  <c r="F512" i="24"/>
  <c r="E512" i="24"/>
  <c r="F511" i="24"/>
  <c r="E511" i="24"/>
  <c r="F510" i="24"/>
  <c r="E510" i="24"/>
  <c r="F509" i="24"/>
  <c r="E509" i="24"/>
  <c r="F508" i="24"/>
  <c r="E508" i="24"/>
  <c r="F507" i="24"/>
  <c r="E507" i="24"/>
  <c r="F506" i="24"/>
  <c r="E506" i="24"/>
  <c r="F505" i="24"/>
  <c r="E505" i="24"/>
  <c r="F504" i="24"/>
  <c r="E504" i="24"/>
  <c r="F503" i="24"/>
  <c r="E503" i="24"/>
  <c r="F502" i="24"/>
  <c r="E502" i="24"/>
  <c r="F501" i="24"/>
  <c r="E501" i="24"/>
  <c r="F500" i="24"/>
  <c r="E500" i="24"/>
  <c r="F499" i="24"/>
  <c r="E499" i="24"/>
  <c r="F498" i="24"/>
  <c r="E498" i="24"/>
  <c r="F497" i="24"/>
  <c r="E497" i="24"/>
  <c r="F496" i="24"/>
  <c r="E496" i="24"/>
  <c r="F495" i="24"/>
  <c r="E495" i="24"/>
  <c r="F494" i="24"/>
  <c r="E494" i="24"/>
  <c r="F493" i="24"/>
  <c r="E493" i="24"/>
  <c r="F492" i="24"/>
  <c r="E492" i="24"/>
  <c r="F491" i="24"/>
  <c r="E491" i="24"/>
  <c r="F490" i="24"/>
  <c r="E490" i="24"/>
  <c r="F489" i="24"/>
  <c r="E489" i="24"/>
  <c r="F488" i="24"/>
  <c r="E488" i="24"/>
  <c r="F487" i="24"/>
  <c r="E487" i="24"/>
  <c r="F486" i="24"/>
  <c r="E486" i="24"/>
  <c r="F485" i="24"/>
  <c r="E485" i="24"/>
  <c r="F484" i="24"/>
  <c r="E484" i="24"/>
  <c r="F483" i="24"/>
  <c r="E483" i="24"/>
  <c r="F482" i="24"/>
  <c r="E482" i="24"/>
  <c r="F481" i="24"/>
  <c r="E481" i="24"/>
  <c r="F480" i="24"/>
  <c r="E480" i="24"/>
  <c r="F479" i="24"/>
  <c r="E479" i="24"/>
  <c r="F478" i="24"/>
  <c r="E478" i="24"/>
  <c r="F477" i="24"/>
  <c r="E477" i="24"/>
  <c r="F476" i="24"/>
  <c r="E476" i="24"/>
  <c r="F475" i="24"/>
  <c r="E475" i="24"/>
  <c r="F474" i="24"/>
  <c r="E474" i="24"/>
  <c r="F473" i="24"/>
  <c r="E473" i="24"/>
  <c r="F472" i="24"/>
  <c r="E472" i="24"/>
  <c r="F471" i="24"/>
  <c r="E471" i="24"/>
  <c r="F470" i="24"/>
  <c r="E470" i="24"/>
  <c r="F469" i="24"/>
  <c r="E469" i="24"/>
  <c r="F468" i="24"/>
  <c r="E468" i="24"/>
  <c r="F467" i="24"/>
  <c r="E467" i="24"/>
  <c r="F466" i="24"/>
  <c r="E466" i="24"/>
  <c r="F465" i="24"/>
  <c r="E465" i="24"/>
  <c r="F464" i="24"/>
  <c r="E464" i="24"/>
  <c r="F463" i="24"/>
  <c r="E463" i="24"/>
  <c r="F462" i="24"/>
  <c r="E462" i="24"/>
  <c r="F461" i="24"/>
  <c r="E461" i="24"/>
  <c r="F460" i="24"/>
  <c r="E460" i="24"/>
  <c r="F459" i="24"/>
  <c r="E459" i="24"/>
  <c r="F458" i="24"/>
  <c r="E458" i="24"/>
  <c r="F457" i="24"/>
  <c r="E457" i="24"/>
  <c r="F456" i="24"/>
  <c r="E456" i="24"/>
  <c r="F455" i="24"/>
  <c r="E455" i="24"/>
  <c r="F454" i="24"/>
  <c r="E454" i="24"/>
  <c r="F453" i="24"/>
  <c r="E453" i="24"/>
  <c r="F452" i="24"/>
  <c r="E452" i="24"/>
  <c r="F451" i="24"/>
  <c r="E451" i="24"/>
  <c r="F450" i="24"/>
  <c r="E450" i="24"/>
  <c r="F449" i="24"/>
  <c r="E449" i="24"/>
  <c r="F448" i="24"/>
  <c r="E448" i="24"/>
  <c r="F447" i="24"/>
  <c r="E447" i="24"/>
  <c r="F446" i="24"/>
  <c r="E446" i="24"/>
  <c r="F445" i="24"/>
  <c r="E445" i="24"/>
  <c r="F444" i="24"/>
  <c r="E444" i="24"/>
  <c r="F443" i="24"/>
  <c r="E443" i="24"/>
  <c r="F442" i="24"/>
  <c r="E442" i="24"/>
  <c r="F441" i="24"/>
  <c r="E441" i="24"/>
  <c r="F440" i="24"/>
  <c r="E440" i="24"/>
  <c r="F439" i="24"/>
  <c r="E439" i="24"/>
  <c r="F438" i="24"/>
  <c r="E438" i="24"/>
  <c r="F437" i="24"/>
  <c r="E437" i="24"/>
  <c r="F436" i="24"/>
  <c r="E436" i="24"/>
  <c r="F435" i="24"/>
  <c r="E435" i="24"/>
  <c r="F434" i="24"/>
  <c r="E434" i="24"/>
  <c r="F433" i="24"/>
  <c r="E433" i="24"/>
  <c r="F432" i="24"/>
  <c r="E432" i="24"/>
  <c r="F431" i="24"/>
  <c r="E431" i="24"/>
  <c r="F430" i="24"/>
  <c r="E430" i="24"/>
  <c r="F429" i="24"/>
  <c r="E429" i="24"/>
  <c r="F428" i="24"/>
  <c r="E428" i="24"/>
  <c r="F427" i="24"/>
  <c r="E427" i="24"/>
  <c r="F426" i="24"/>
  <c r="E426" i="24"/>
  <c r="F425" i="24"/>
  <c r="E425" i="24"/>
  <c r="F424" i="24"/>
  <c r="E424" i="24"/>
  <c r="F423" i="24"/>
  <c r="E423" i="24"/>
  <c r="F422" i="24"/>
  <c r="E422" i="24"/>
  <c r="F421" i="24"/>
  <c r="E421" i="24"/>
  <c r="F420" i="24"/>
  <c r="E420" i="24"/>
  <c r="F419" i="24"/>
  <c r="E419" i="24"/>
  <c r="F418" i="24"/>
  <c r="E418" i="24"/>
  <c r="F417" i="24"/>
  <c r="E417" i="24"/>
  <c r="F416" i="24"/>
  <c r="E416" i="24"/>
  <c r="F415" i="24"/>
  <c r="E415" i="24"/>
  <c r="F414" i="24"/>
  <c r="E414" i="24"/>
  <c r="F413" i="24"/>
  <c r="E413" i="24"/>
  <c r="F412" i="24"/>
  <c r="E412" i="24"/>
  <c r="F411" i="24"/>
  <c r="E411" i="24"/>
  <c r="F410" i="24"/>
  <c r="E410" i="24"/>
  <c r="F409" i="24"/>
  <c r="E409" i="24"/>
  <c r="F408" i="24"/>
  <c r="E408" i="24"/>
  <c r="F407" i="24"/>
  <c r="E407" i="24"/>
  <c r="F406" i="24"/>
  <c r="E406" i="24"/>
  <c r="F405" i="24"/>
  <c r="E405" i="24"/>
  <c r="F404" i="24"/>
  <c r="E404" i="24"/>
  <c r="F403" i="24"/>
  <c r="E403" i="24"/>
  <c r="F402" i="24"/>
  <c r="E402" i="24"/>
  <c r="F401" i="24"/>
  <c r="E401" i="24"/>
  <c r="F400" i="24"/>
  <c r="E400" i="24"/>
  <c r="F399" i="24"/>
  <c r="E399" i="24"/>
  <c r="F398" i="24"/>
  <c r="E398" i="24"/>
  <c r="F397" i="24"/>
  <c r="E397" i="24"/>
  <c r="F396" i="24"/>
  <c r="E396" i="24"/>
  <c r="F395" i="24"/>
  <c r="E395" i="24"/>
  <c r="F394" i="24"/>
  <c r="E394" i="24"/>
  <c r="F393" i="24"/>
  <c r="E393" i="24"/>
  <c r="F392" i="24"/>
  <c r="E392" i="24"/>
  <c r="F391" i="24"/>
  <c r="E391" i="24"/>
  <c r="F390" i="24"/>
  <c r="E390" i="24"/>
  <c r="F389" i="24"/>
  <c r="E389" i="24"/>
  <c r="F388" i="24"/>
  <c r="E388" i="24"/>
  <c r="F387" i="24"/>
  <c r="E387" i="24"/>
  <c r="F386" i="24"/>
  <c r="E386" i="24"/>
  <c r="F385" i="24"/>
  <c r="E385" i="24"/>
  <c r="F384" i="24"/>
  <c r="E384" i="24"/>
  <c r="F383" i="24"/>
  <c r="E383" i="24"/>
  <c r="F382" i="24"/>
  <c r="E382" i="24"/>
  <c r="F381" i="24"/>
  <c r="E381" i="24"/>
  <c r="F380" i="24"/>
  <c r="E380" i="24"/>
  <c r="F379" i="24"/>
  <c r="E379" i="24"/>
  <c r="F378" i="24"/>
  <c r="E378" i="24"/>
  <c r="F377" i="24"/>
  <c r="E377" i="24"/>
  <c r="F376" i="24"/>
  <c r="E376" i="24"/>
  <c r="F375" i="24"/>
  <c r="E375" i="24"/>
  <c r="F374" i="24"/>
  <c r="E374" i="24"/>
  <c r="F373" i="24"/>
  <c r="E373" i="24"/>
  <c r="F372" i="24"/>
  <c r="E372" i="24"/>
  <c r="F371" i="24"/>
  <c r="E371" i="24"/>
  <c r="F370" i="24"/>
  <c r="E370" i="24"/>
  <c r="F369" i="24"/>
  <c r="E369" i="24"/>
  <c r="F368" i="24"/>
  <c r="E368" i="24"/>
  <c r="F367" i="24"/>
  <c r="E367" i="24"/>
  <c r="F366" i="24"/>
  <c r="E366" i="24"/>
  <c r="F365" i="24"/>
  <c r="E365" i="24"/>
  <c r="F364" i="24"/>
  <c r="E364" i="24"/>
  <c r="F363" i="24"/>
  <c r="E363" i="24"/>
  <c r="F362" i="24"/>
  <c r="E362" i="24"/>
  <c r="F361" i="24"/>
  <c r="E361" i="24"/>
  <c r="F360" i="24"/>
  <c r="E360" i="24"/>
  <c r="F359" i="24"/>
  <c r="E359" i="24"/>
  <c r="F358" i="24"/>
  <c r="E358" i="24"/>
  <c r="F357" i="24"/>
  <c r="E357" i="24"/>
  <c r="F356" i="24"/>
  <c r="E356" i="24"/>
  <c r="F355" i="24"/>
  <c r="E355" i="24"/>
  <c r="F354" i="24"/>
  <c r="E354" i="24"/>
  <c r="F353" i="24"/>
  <c r="E353" i="24"/>
  <c r="F352" i="24"/>
  <c r="E352" i="24"/>
  <c r="F351" i="24"/>
  <c r="E351" i="24"/>
  <c r="F350" i="24"/>
  <c r="E350" i="24"/>
  <c r="F349" i="24"/>
  <c r="E349" i="24"/>
  <c r="F348" i="24"/>
  <c r="E348" i="24"/>
  <c r="F347" i="24"/>
  <c r="E347" i="24"/>
  <c r="F346" i="24"/>
  <c r="E346" i="24"/>
  <c r="F345" i="24"/>
  <c r="E345" i="24"/>
  <c r="F344" i="24"/>
  <c r="E344" i="24"/>
  <c r="F343" i="24"/>
  <c r="E343" i="24"/>
  <c r="F342" i="24"/>
  <c r="E342" i="24"/>
  <c r="F341" i="24"/>
  <c r="E341" i="24"/>
  <c r="F340" i="24"/>
  <c r="E340" i="24"/>
  <c r="F339" i="24"/>
  <c r="E339" i="24"/>
  <c r="F338" i="24"/>
  <c r="E338" i="24"/>
  <c r="F337" i="24"/>
  <c r="E337" i="24"/>
  <c r="F336" i="24"/>
  <c r="E336" i="24"/>
  <c r="F335" i="24"/>
  <c r="E335" i="24"/>
  <c r="F334" i="24"/>
  <c r="E334" i="24"/>
  <c r="F333" i="24"/>
  <c r="E333" i="24"/>
  <c r="F332" i="24"/>
  <c r="E332" i="24"/>
  <c r="F331" i="24"/>
  <c r="E331" i="24"/>
  <c r="F330" i="24"/>
  <c r="E330" i="24"/>
  <c r="F329" i="24"/>
  <c r="E329" i="24"/>
  <c r="F328" i="24"/>
  <c r="E328" i="24"/>
  <c r="F327" i="24"/>
  <c r="E327" i="24"/>
  <c r="F326" i="24"/>
  <c r="E326" i="24"/>
  <c r="F325" i="24"/>
  <c r="E325" i="24"/>
  <c r="F324" i="24"/>
  <c r="E324" i="24"/>
  <c r="F323" i="24"/>
  <c r="E323" i="24"/>
  <c r="F322" i="24"/>
  <c r="E322" i="24"/>
  <c r="F321" i="24"/>
  <c r="F320" i="24"/>
  <c r="F319" i="24"/>
  <c r="F318" i="24"/>
  <c r="F317" i="24"/>
  <c r="E316" i="24"/>
  <c r="E315" i="24"/>
  <c r="E314" i="24"/>
  <c r="E313" i="24"/>
  <c r="E312" i="24"/>
  <c r="E311" i="24"/>
  <c r="F310" i="24"/>
  <c r="E309" i="24"/>
  <c r="E308" i="24"/>
  <c r="E307" i="24"/>
  <c r="E306" i="24"/>
  <c r="F305" i="24"/>
  <c r="E304" i="24"/>
  <c r="E303" i="24"/>
  <c r="E302" i="24"/>
  <c r="F301" i="24"/>
  <c r="F300" i="24"/>
  <c r="E299" i="24"/>
  <c r="E298" i="24"/>
  <c r="E297" i="24"/>
  <c r="E296" i="24"/>
  <c r="E295" i="24"/>
  <c r="F294" i="24"/>
  <c r="F293" i="24"/>
  <c r="F292" i="24"/>
  <c r="F291" i="24"/>
  <c r="E290" i="24"/>
  <c r="F289" i="24"/>
  <c r="E288" i="24"/>
  <c r="F287" i="24"/>
  <c r="E286" i="24"/>
  <c r="E285" i="24"/>
  <c r="F284" i="24"/>
  <c r="F283" i="24"/>
  <c r="F282" i="24"/>
  <c r="E282" i="24"/>
  <c r="E281" i="24"/>
  <c r="F279" i="24"/>
  <c r="F278" i="24"/>
  <c r="F277" i="24"/>
  <c r="F276" i="24"/>
  <c r="F275" i="24"/>
  <c r="F274" i="24"/>
  <c r="E273" i="24"/>
  <c r="E272" i="24"/>
  <c r="E271" i="24"/>
  <c r="E270" i="24"/>
  <c r="E269" i="24"/>
  <c r="E268" i="24"/>
  <c r="F267" i="24"/>
  <c r="E267" i="24"/>
  <c r="E266" i="24"/>
  <c r="E265" i="24"/>
  <c r="F264" i="24"/>
  <c r="F263" i="24"/>
  <c r="F262" i="24"/>
  <c r="F261" i="24"/>
  <c r="F260" i="24"/>
  <c r="E260" i="24"/>
  <c r="F258" i="24"/>
  <c r="F257" i="24"/>
  <c r="F256" i="24"/>
  <c r="F255" i="24"/>
  <c r="F254" i="24"/>
  <c r="E253" i="24"/>
  <c r="E252" i="24"/>
  <c r="F251" i="24"/>
  <c r="F250" i="24"/>
  <c r="F249" i="24"/>
  <c r="F248" i="24"/>
  <c r="F247" i="24"/>
  <c r="E246" i="24"/>
  <c r="F245" i="24"/>
  <c r="E244" i="24"/>
  <c r="E243" i="24"/>
  <c r="E242" i="24"/>
  <c r="F240" i="24"/>
  <c r="F239" i="24"/>
  <c r="F224" i="24"/>
  <c r="E224" i="24"/>
  <c r="F223" i="24"/>
  <c r="E223" i="24"/>
  <c r="F222" i="24"/>
  <c r="E222" i="24"/>
  <c r="F221" i="24"/>
  <c r="E221" i="24"/>
  <c r="F220" i="24"/>
  <c r="E220" i="24"/>
  <c r="F219" i="24"/>
  <c r="F218" i="24"/>
  <c r="E217" i="24"/>
  <c r="E215" i="24"/>
  <c r="E214" i="24"/>
  <c r="F213" i="24"/>
  <c r="E212" i="24"/>
  <c r="F211" i="24"/>
  <c r="F210" i="24"/>
  <c r="F209" i="24"/>
  <c r="E208" i="24"/>
  <c r="E207" i="24"/>
  <c r="E206" i="24"/>
  <c r="E205" i="24"/>
  <c r="F204" i="24"/>
  <c r="F203" i="24"/>
  <c r="E202" i="24"/>
  <c r="F201" i="24"/>
  <c r="F200" i="24"/>
  <c r="E200" i="24"/>
  <c r="E199" i="24"/>
  <c r="F197" i="24"/>
  <c r="F196" i="24"/>
  <c r="F195" i="24"/>
  <c r="E194" i="24"/>
  <c r="E193" i="24"/>
  <c r="E192" i="24"/>
  <c r="E191" i="24"/>
  <c r="F190" i="24"/>
  <c r="F189" i="24"/>
  <c r="F188" i="24"/>
  <c r="E188" i="24"/>
  <c r="E187" i="24"/>
  <c r="E186" i="24"/>
  <c r="E185" i="24"/>
  <c r="E184" i="24"/>
  <c r="E183" i="24"/>
  <c r="E182" i="24"/>
  <c r="E181" i="24"/>
  <c r="E179" i="24"/>
  <c r="E178" i="24"/>
  <c r="E177" i="24"/>
  <c r="E176" i="24"/>
  <c r="E175" i="24"/>
  <c r="F174" i="24"/>
  <c r="F173" i="24"/>
  <c r="F172" i="24"/>
  <c r="E171" i="24"/>
  <c r="E170" i="24"/>
  <c r="E169" i="24"/>
  <c r="E168" i="24"/>
  <c r="E167" i="24"/>
  <c r="E166" i="24"/>
  <c r="E165" i="24"/>
  <c r="E164" i="24"/>
  <c r="F162" i="24"/>
  <c r="E162" i="24"/>
  <c r="F160" i="24"/>
  <c r="F159" i="24"/>
  <c r="E158" i="24"/>
  <c r="E157" i="24"/>
  <c r="E156" i="24"/>
  <c r="E155" i="24"/>
  <c r="F153" i="24"/>
  <c r="F152" i="24"/>
  <c r="E152" i="24"/>
  <c r="E151" i="24"/>
  <c r="E150" i="24"/>
  <c r="E149" i="24"/>
  <c r="F147" i="24"/>
  <c r="F146" i="24"/>
  <c r="F145" i="24"/>
  <c r="E144" i="24"/>
  <c r="F143" i="24"/>
  <c r="E142" i="24"/>
  <c r="E141" i="24"/>
  <c r="E140" i="24"/>
  <c r="E139" i="24"/>
  <c r="F138" i="24"/>
  <c r="E137" i="24"/>
  <c r="E136" i="24"/>
  <c r="E135" i="24"/>
  <c r="E134" i="24"/>
  <c r="E133" i="24"/>
  <c r="F132" i="24"/>
  <c r="F131" i="24"/>
  <c r="F130" i="24"/>
  <c r="E129" i="24"/>
  <c r="E128" i="24"/>
  <c r="E127" i="24"/>
  <c r="F125" i="24"/>
  <c r="E124" i="24"/>
  <c r="E123" i="24"/>
  <c r="E122" i="24"/>
  <c r="E121" i="24"/>
  <c r="E120" i="24"/>
  <c r="F118" i="24"/>
  <c r="F117" i="24"/>
  <c r="F116" i="24"/>
  <c r="F115" i="24"/>
  <c r="E115" i="24"/>
  <c r="F114" i="24"/>
  <c r="F113" i="24"/>
  <c r="F112" i="24"/>
  <c r="E111" i="24"/>
  <c r="E110" i="24"/>
  <c r="F108" i="24"/>
  <c r="F107" i="24"/>
  <c r="F105" i="24"/>
  <c r="F103" i="24"/>
  <c r="F102" i="24"/>
  <c r="F101" i="24"/>
  <c r="F100" i="24"/>
  <c r="E99" i="24"/>
  <c r="E98" i="24"/>
  <c r="E97" i="24"/>
  <c r="E96" i="24"/>
  <c r="E95" i="24"/>
  <c r="E94" i="24"/>
  <c r="F93" i="24"/>
  <c r="E92" i="24"/>
  <c r="F90" i="24"/>
  <c r="F89" i="24"/>
  <c r="E88" i="24"/>
  <c r="F87" i="24"/>
  <c r="F86" i="24"/>
  <c r="E85" i="24"/>
  <c r="F83" i="24"/>
  <c r="E82" i="24"/>
  <c r="E81" i="24"/>
  <c r="E80" i="24"/>
  <c r="F79" i="24"/>
  <c r="E79" i="24"/>
  <c r="E78" i="24"/>
  <c r="E77" i="24"/>
  <c r="F75" i="24"/>
  <c r="F74" i="24"/>
  <c r="F73" i="24"/>
  <c r="F72" i="24"/>
  <c r="F71" i="24"/>
  <c r="F70" i="24"/>
  <c r="E69" i="24"/>
  <c r="E68" i="24"/>
  <c r="E67" i="24"/>
  <c r="E66" i="24"/>
  <c r="F65" i="24"/>
  <c r="F64" i="24"/>
  <c r="F63" i="24"/>
  <c r="F62" i="24"/>
  <c r="F61" i="24"/>
  <c r="F59" i="24"/>
  <c r="F57" i="24"/>
  <c r="F56" i="24"/>
  <c r="F55" i="24"/>
  <c r="F54" i="24"/>
  <c r="E53" i="24"/>
  <c r="F51" i="24"/>
  <c r="F50" i="24"/>
  <c r="C365" i="24"/>
  <c r="C363" i="24"/>
  <c r="C360" i="24"/>
  <c r="C356" i="24"/>
  <c r="C353" i="24"/>
  <c r="C347" i="24"/>
  <c r="C346" i="24"/>
  <c r="C344" i="24"/>
  <c r="C341" i="24"/>
  <c r="C339" i="24"/>
  <c r="C330" i="24"/>
  <c r="C325" i="24"/>
  <c r="C324" i="24"/>
  <c r="C321" i="24"/>
  <c r="C318" i="24"/>
  <c r="C315" i="24"/>
  <c r="C314" i="24"/>
  <c r="C311" i="24"/>
  <c r="C309" i="24"/>
  <c r="C302" i="24"/>
  <c r="C296" i="24"/>
  <c r="C288" i="24"/>
  <c r="C287" i="24"/>
  <c r="C283" i="24"/>
  <c r="C280" i="24"/>
  <c r="C273" i="24"/>
  <c r="C271" i="24"/>
  <c r="C269" i="24"/>
  <c r="E49" i="24"/>
  <c r="F48" i="24"/>
  <c r="E48" i="24"/>
  <c r="F47" i="24"/>
  <c r="E47" i="24"/>
  <c r="F46" i="24"/>
  <c r="E46" i="24"/>
  <c r="F45" i="24"/>
  <c r="E45" i="24"/>
  <c r="F44" i="24"/>
  <c r="E44" i="24"/>
  <c r="F43" i="24"/>
  <c r="E43" i="24"/>
  <c r="F42" i="24"/>
  <c r="E42" i="24"/>
  <c r="F41" i="24"/>
  <c r="E41" i="24"/>
  <c r="F40" i="24"/>
  <c r="E40" i="24"/>
  <c r="F39" i="24"/>
  <c r="E39" i="24"/>
  <c r="F38" i="24"/>
  <c r="E38" i="24"/>
  <c r="F37" i="24"/>
  <c r="E37" i="24"/>
  <c r="F36" i="24"/>
  <c r="E36" i="24"/>
  <c r="F35" i="24"/>
  <c r="E35" i="24"/>
  <c r="F34" i="24"/>
  <c r="E34" i="24"/>
  <c r="F33" i="24"/>
  <c r="E33" i="24"/>
  <c r="F32" i="24"/>
  <c r="E32" i="24"/>
  <c r="F31" i="24"/>
  <c r="E31" i="24"/>
  <c r="F30" i="24"/>
  <c r="E30" i="24"/>
  <c r="F29" i="24"/>
  <c r="E29" i="24"/>
  <c r="F28" i="24"/>
  <c r="E28" i="24"/>
  <c r="F27" i="24"/>
  <c r="E27" i="24"/>
  <c r="F26" i="24"/>
  <c r="E26" i="24"/>
  <c r="F25" i="24"/>
  <c r="E25" i="24"/>
  <c r="F24" i="24"/>
  <c r="E24" i="24"/>
  <c r="F23" i="24"/>
  <c r="E23" i="24"/>
  <c r="F22" i="24"/>
  <c r="E22" i="24"/>
  <c r="F21" i="24"/>
  <c r="E21" i="24"/>
  <c r="F20" i="24"/>
  <c r="E20" i="24"/>
  <c r="F19" i="24"/>
  <c r="E19" i="24"/>
  <c r="F18" i="24"/>
  <c r="E18" i="24"/>
  <c r="F17" i="24"/>
  <c r="E17" i="24"/>
  <c r="F16" i="24"/>
  <c r="E16" i="24"/>
  <c r="F15" i="24"/>
  <c r="E15" i="24"/>
  <c r="F14" i="24"/>
  <c r="E14" i="24"/>
  <c r="F13" i="24"/>
  <c r="E13" i="24"/>
  <c r="F12" i="24"/>
  <c r="E12" i="24"/>
  <c r="F11" i="24"/>
  <c r="E11" i="24"/>
  <c r="F10" i="24"/>
  <c r="E10" i="24"/>
  <c r="F9" i="24"/>
  <c r="E9" i="24"/>
  <c r="F8" i="24"/>
  <c r="E8" i="24"/>
  <c r="F7" i="24"/>
  <c r="E7" i="24"/>
  <c r="F6" i="24"/>
  <c r="E6" i="24"/>
  <c r="F5" i="24"/>
  <c r="E5" i="24"/>
  <c r="F4" i="24"/>
  <c r="E4" i="24"/>
  <c r="F3" i="24"/>
  <c r="E3" i="24"/>
  <c r="C792" i="24"/>
  <c r="C791" i="24"/>
  <c r="C790" i="24"/>
  <c r="C789" i="24"/>
  <c r="C788" i="24"/>
  <c r="C787" i="24"/>
  <c r="C786" i="24"/>
  <c r="C785" i="24"/>
  <c r="C784" i="24"/>
  <c r="C783" i="24"/>
  <c r="C782" i="24"/>
  <c r="C781" i="24"/>
  <c r="C780" i="24"/>
  <c r="C779" i="24"/>
  <c r="C778" i="24"/>
  <c r="C777" i="24"/>
  <c r="C776" i="24"/>
  <c r="C775" i="24"/>
  <c r="C774" i="24"/>
  <c r="C773" i="24"/>
  <c r="C772" i="24"/>
  <c r="C771" i="24"/>
  <c r="C770" i="24"/>
  <c r="C769" i="24"/>
  <c r="C768" i="24"/>
  <c r="C767" i="24"/>
  <c r="C766" i="24"/>
  <c r="C765" i="24"/>
  <c r="C764" i="24"/>
  <c r="C763" i="24"/>
  <c r="C762" i="24"/>
  <c r="C761" i="24"/>
  <c r="C760" i="24"/>
  <c r="C759" i="24"/>
  <c r="C758" i="24"/>
  <c r="C757" i="24"/>
  <c r="C756" i="24"/>
  <c r="C755" i="24"/>
  <c r="C754" i="24"/>
  <c r="C753" i="24"/>
  <c r="C752" i="24"/>
  <c r="C751" i="24"/>
  <c r="C750" i="24"/>
  <c r="C749" i="24"/>
  <c r="C748" i="24"/>
  <c r="C747" i="24"/>
  <c r="C746" i="24"/>
  <c r="C745" i="24"/>
  <c r="C744" i="24"/>
  <c r="C743" i="24"/>
  <c r="C742" i="24"/>
  <c r="C741" i="24"/>
  <c r="C740" i="24"/>
  <c r="C739" i="24"/>
  <c r="C738" i="24"/>
  <c r="C737" i="24"/>
  <c r="C736" i="24"/>
  <c r="C735" i="24"/>
  <c r="C734" i="24"/>
  <c r="C733" i="24"/>
  <c r="C732" i="24"/>
  <c r="C731" i="24"/>
  <c r="C730" i="24"/>
  <c r="C729" i="24"/>
  <c r="C728" i="24"/>
  <c r="C727" i="24"/>
  <c r="C726" i="24"/>
  <c r="C725" i="24"/>
  <c r="C724" i="24"/>
  <c r="C723" i="24"/>
  <c r="C722" i="24"/>
  <c r="C721" i="24"/>
  <c r="C720" i="24"/>
  <c r="C719" i="24"/>
  <c r="C718" i="24"/>
  <c r="C717" i="24"/>
  <c r="C716" i="24"/>
  <c r="C715" i="24"/>
  <c r="C714" i="24"/>
  <c r="C713" i="24"/>
  <c r="C712" i="24"/>
  <c r="C711" i="24"/>
  <c r="C710" i="24"/>
  <c r="C709" i="24"/>
  <c r="C708" i="24"/>
  <c r="C707" i="24"/>
  <c r="C706" i="24"/>
  <c r="C705" i="24"/>
  <c r="C704" i="24"/>
  <c r="C703" i="24"/>
  <c r="C702" i="24"/>
  <c r="C701" i="24"/>
  <c r="C700" i="24"/>
  <c r="C699" i="24"/>
  <c r="C698" i="24"/>
  <c r="C697" i="24"/>
  <c r="C696" i="24"/>
  <c r="C695" i="24"/>
  <c r="C694" i="24"/>
  <c r="C693" i="24"/>
  <c r="C692" i="24"/>
  <c r="C691" i="24"/>
  <c r="C690" i="24"/>
  <c r="C689" i="24"/>
  <c r="C688" i="24"/>
  <c r="C687" i="24"/>
  <c r="C686" i="24"/>
  <c r="C685" i="24"/>
  <c r="C684" i="24"/>
  <c r="C683" i="24"/>
  <c r="C682" i="24"/>
  <c r="C681" i="24"/>
  <c r="C680" i="24"/>
  <c r="C679" i="24"/>
  <c r="C678" i="24"/>
  <c r="C677" i="24"/>
  <c r="C676" i="24"/>
  <c r="C675" i="24"/>
  <c r="C674" i="24"/>
  <c r="C673" i="24"/>
  <c r="C672" i="24"/>
  <c r="C671" i="24"/>
  <c r="C670" i="24"/>
  <c r="C669" i="24"/>
  <c r="C668" i="24"/>
  <c r="C667" i="24"/>
  <c r="C666" i="24"/>
  <c r="C665" i="24"/>
  <c r="C664" i="24"/>
  <c r="C663" i="24"/>
  <c r="C662" i="24"/>
  <c r="C661" i="24"/>
  <c r="C660" i="24"/>
  <c r="C659" i="24"/>
  <c r="C658" i="24"/>
  <c r="C657" i="24"/>
  <c r="C656" i="24"/>
  <c r="C655" i="24"/>
  <c r="C654" i="24"/>
  <c r="C653" i="24"/>
  <c r="C652" i="24"/>
  <c r="C651" i="24"/>
  <c r="C650" i="24"/>
  <c r="C649" i="24"/>
  <c r="C648" i="24"/>
  <c r="C647" i="24"/>
  <c r="C646" i="24"/>
  <c r="C645" i="24"/>
  <c r="C644" i="24"/>
  <c r="C643" i="24"/>
  <c r="C642" i="24"/>
  <c r="C641" i="24"/>
  <c r="C640" i="24"/>
  <c r="C639" i="24"/>
  <c r="C638" i="24"/>
  <c r="C637" i="24"/>
  <c r="C636" i="24"/>
  <c r="C635" i="24"/>
  <c r="C634" i="24"/>
  <c r="C633" i="24"/>
  <c r="C632" i="24"/>
  <c r="C631" i="24"/>
  <c r="C630" i="24"/>
  <c r="C629" i="24"/>
  <c r="C628" i="24"/>
  <c r="C627" i="24"/>
  <c r="C626" i="24"/>
  <c r="C625" i="24"/>
  <c r="C624" i="24"/>
  <c r="C623" i="24"/>
  <c r="C622" i="24"/>
  <c r="C621" i="24"/>
  <c r="C620" i="24"/>
  <c r="C619" i="24"/>
  <c r="C618" i="24"/>
  <c r="C617" i="24"/>
  <c r="C616" i="24"/>
  <c r="C615" i="24"/>
  <c r="C614" i="24"/>
  <c r="C613" i="24"/>
  <c r="C612" i="24"/>
  <c r="C611" i="24"/>
  <c r="C610" i="24"/>
  <c r="C609" i="24"/>
  <c r="C608" i="24"/>
  <c r="C607" i="24"/>
  <c r="C606" i="24"/>
  <c r="C605" i="24"/>
  <c r="C604" i="24"/>
  <c r="C603" i="24"/>
  <c r="C602" i="24"/>
  <c r="C601" i="24"/>
  <c r="C600" i="24"/>
  <c r="C599" i="24"/>
  <c r="C598" i="24"/>
  <c r="C597" i="24"/>
  <c r="C596" i="24"/>
  <c r="C595" i="24"/>
  <c r="C594" i="24"/>
  <c r="C593" i="24"/>
  <c r="C592" i="24"/>
  <c r="C591" i="24"/>
  <c r="C590" i="24"/>
  <c r="C589" i="24"/>
  <c r="C588" i="24"/>
  <c r="C587" i="24"/>
  <c r="C586" i="24"/>
  <c r="C585" i="24"/>
  <c r="C584" i="24"/>
  <c r="C583" i="24"/>
  <c r="C582" i="24"/>
  <c r="C581" i="24"/>
  <c r="C580" i="24"/>
  <c r="C579" i="24"/>
  <c r="C578" i="24"/>
  <c r="C577" i="24"/>
  <c r="C576" i="24"/>
  <c r="C575" i="24"/>
  <c r="C574" i="24"/>
  <c r="C573" i="24"/>
  <c r="C572" i="24"/>
  <c r="C571" i="24"/>
  <c r="C570" i="24"/>
  <c r="C569" i="24"/>
  <c r="C568" i="24"/>
  <c r="C567" i="24"/>
  <c r="C566" i="24"/>
  <c r="C565" i="24"/>
  <c r="C564" i="24"/>
  <c r="C563" i="24"/>
  <c r="C562" i="24"/>
  <c r="C561" i="24"/>
  <c r="C560" i="24"/>
  <c r="C559" i="24"/>
  <c r="C558" i="24"/>
  <c r="C557" i="24"/>
  <c r="C556" i="24"/>
  <c r="C555" i="24"/>
  <c r="C554" i="24"/>
  <c r="C553" i="24"/>
  <c r="C552" i="24"/>
  <c r="C551" i="24"/>
  <c r="C550" i="24"/>
  <c r="C549" i="24"/>
  <c r="C548" i="24"/>
  <c r="C547" i="24"/>
  <c r="C546" i="24"/>
  <c r="C545" i="24"/>
  <c r="C544" i="24"/>
  <c r="C543" i="24"/>
  <c r="C542" i="24"/>
  <c r="C541" i="24"/>
  <c r="C540" i="24"/>
  <c r="C539" i="24"/>
  <c r="C538" i="24"/>
  <c r="C537" i="24"/>
  <c r="C536" i="24"/>
  <c r="C535" i="24"/>
  <c r="C534" i="24"/>
  <c r="C533" i="24"/>
  <c r="C532" i="24"/>
  <c r="C531" i="24"/>
  <c r="C530" i="24"/>
  <c r="C529" i="24"/>
  <c r="C528" i="24"/>
  <c r="C527" i="24"/>
  <c r="C526" i="24"/>
  <c r="C525" i="24"/>
  <c r="C524" i="24"/>
  <c r="C523" i="24"/>
  <c r="C522" i="24"/>
  <c r="C521" i="24"/>
  <c r="C520" i="24"/>
  <c r="C519" i="24"/>
  <c r="C518" i="24"/>
  <c r="C517" i="24"/>
  <c r="C516" i="24"/>
  <c r="C515" i="24"/>
  <c r="C514" i="24"/>
  <c r="C513" i="24"/>
  <c r="C512" i="24"/>
  <c r="C511" i="24"/>
  <c r="C510" i="24"/>
  <c r="C509" i="24"/>
  <c r="C508" i="24"/>
  <c r="C507" i="24"/>
  <c r="C506" i="24"/>
  <c r="C505" i="24"/>
  <c r="C504" i="24"/>
  <c r="C503" i="24"/>
  <c r="C502" i="24"/>
  <c r="C501" i="24"/>
  <c r="C500" i="24"/>
  <c r="C499" i="24"/>
  <c r="C498" i="24"/>
  <c r="C497" i="24"/>
  <c r="C496" i="24"/>
  <c r="C495" i="24"/>
  <c r="C494" i="24"/>
  <c r="C493" i="24"/>
  <c r="C492" i="24"/>
  <c r="C491" i="24"/>
  <c r="C490" i="24"/>
  <c r="C489" i="24"/>
  <c r="C488" i="24"/>
  <c r="C487" i="24"/>
  <c r="C486" i="24"/>
  <c r="C485" i="24"/>
  <c r="C484" i="24"/>
  <c r="C483" i="24"/>
  <c r="C482" i="24"/>
  <c r="C481" i="24"/>
  <c r="C480" i="24"/>
  <c r="C479" i="24"/>
  <c r="C478" i="24"/>
  <c r="C477" i="24"/>
  <c r="C476" i="24"/>
  <c r="C475" i="24"/>
  <c r="C474" i="24"/>
  <c r="C473" i="24"/>
  <c r="C472" i="24"/>
  <c r="C471" i="24"/>
  <c r="C470" i="24"/>
  <c r="C469" i="24"/>
  <c r="C468" i="24"/>
  <c r="C467" i="24"/>
  <c r="C466" i="24"/>
  <c r="C465" i="24"/>
  <c r="C464" i="24"/>
  <c r="C463" i="24"/>
  <c r="C462" i="24"/>
  <c r="C461" i="24"/>
  <c r="C460" i="24"/>
  <c r="C459" i="24"/>
  <c r="C458" i="24"/>
  <c r="C457" i="24"/>
  <c r="C456" i="24"/>
  <c r="C455" i="24"/>
  <c r="C454" i="24"/>
  <c r="C453" i="24"/>
  <c r="C452" i="24"/>
  <c r="C451" i="24"/>
  <c r="C450" i="24"/>
  <c r="C449" i="24"/>
  <c r="C448" i="24"/>
  <c r="C447" i="24"/>
  <c r="C446" i="24"/>
  <c r="C445" i="24"/>
  <c r="C444" i="24"/>
  <c r="C443" i="24"/>
  <c r="C442" i="24"/>
  <c r="C441" i="24"/>
  <c r="C440" i="24"/>
  <c r="C439" i="24"/>
  <c r="C438" i="24"/>
  <c r="C437" i="24"/>
  <c r="C436" i="24"/>
  <c r="C435" i="24"/>
  <c r="C434" i="24"/>
  <c r="C433" i="24"/>
  <c r="C432" i="24"/>
  <c r="C431" i="24"/>
  <c r="C430" i="24"/>
  <c r="C429" i="24"/>
  <c r="C428" i="24"/>
  <c r="C427" i="24"/>
  <c r="C426" i="24"/>
  <c r="C425" i="24"/>
  <c r="C424" i="24"/>
  <c r="C423" i="24"/>
  <c r="C422" i="24"/>
  <c r="C421" i="24"/>
  <c r="C420" i="24"/>
  <c r="C419" i="24"/>
  <c r="C418" i="24"/>
  <c r="C417" i="24"/>
  <c r="C416" i="24"/>
  <c r="C415" i="24"/>
  <c r="C414" i="24"/>
  <c r="C413" i="24"/>
  <c r="C412" i="24"/>
  <c r="C411" i="24"/>
  <c r="C410" i="24"/>
  <c r="C409" i="24"/>
  <c r="C408" i="24"/>
  <c r="C407" i="24"/>
  <c r="C406" i="24"/>
  <c r="C405" i="24"/>
  <c r="C404" i="24"/>
  <c r="C403" i="24"/>
  <c r="C402" i="24"/>
  <c r="C401" i="24"/>
  <c r="C400" i="24"/>
  <c r="C399" i="24"/>
  <c r="C398" i="24"/>
  <c r="C397" i="24"/>
  <c r="C396" i="24"/>
  <c r="C395" i="24"/>
  <c r="C394" i="24"/>
  <c r="C393" i="24"/>
  <c r="C392" i="24"/>
  <c r="C391" i="24"/>
  <c r="C390" i="24"/>
  <c r="C389" i="24"/>
  <c r="C388" i="24"/>
  <c r="C387" i="24"/>
  <c r="C386" i="24"/>
  <c r="C385" i="24"/>
  <c r="C384" i="24"/>
  <c r="C383" i="24"/>
  <c r="C382" i="24"/>
  <c r="C381" i="24"/>
  <c r="C380" i="24"/>
  <c r="C379" i="24"/>
  <c r="C378" i="24"/>
  <c r="C377" i="24"/>
  <c r="C376" i="24"/>
  <c r="C375" i="24"/>
  <c r="C374" i="24"/>
  <c r="C373" i="24"/>
  <c r="C372" i="24"/>
  <c r="C371" i="24"/>
  <c r="C370" i="24"/>
  <c r="C369" i="24"/>
  <c r="C368" i="24"/>
  <c r="C367" i="24"/>
  <c r="C361" i="24"/>
  <c r="C359" i="24"/>
  <c r="C358" i="24"/>
  <c r="C357" i="24"/>
  <c r="C355" i="24"/>
  <c r="C354" i="24"/>
  <c r="C348" i="24"/>
  <c r="C343" i="24"/>
  <c r="C342" i="24"/>
  <c r="C338" i="24"/>
  <c r="C335" i="24"/>
  <c r="C334" i="24"/>
  <c r="C331" i="24"/>
  <c r="C329" i="24"/>
  <c r="C328" i="24"/>
  <c r="C326" i="24"/>
  <c r="C322" i="24"/>
  <c r="C320" i="24"/>
  <c r="C316" i="24"/>
  <c r="C310" i="24"/>
  <c r="C307" i="24"/>
  <c r="C306" i="24"/>
  <c r="C305" i="24"/>
  <c r="C303" i="24"/>
  <c r="C295" i="24"/>
  <c r="C292" i="24"/>
  <c r="C284" i="24"/>
  <c r="C276" i="24"/>
  <c r="C275" i="24"/>
  <c r="C272" i="24"/>
  <c r="C268" i="24"/>
  <c r="C267" i="24"/>
  <c r="C266" i="24"/>
  <c r="C265" i="24"/>
  <c r="C264" i="24"/>
  <c r="C263" i="24"/>
  <c r="C262" i="24"/>
  <c r="C261" i="24"/>
  <c r="C260" i="24"/>
  <c r="C259" i="24"/>
  <c r="C258" i="24"/>
  <c r="C257" i="24"/>
  <c r="C256" i="24"/>
  <c r="C255" i="24"/>
  <c r="C254" i="24"/>
  <c r="C253" i="24"/>
  <c r="C252" i="24"/>
  <c r="C251" i="24"/>
  <c r="C250" i="24"/>
  <c r="C249" i="24"/>
  <c r="C248" i="24"/>
  <c r="C247" i="24"/>
  <c r="C246" i="24"/>
  <c r="C245" i="24"/>
  <c r="C244" i="24"/>
  <c r="C243" i="24"/>
  <c r="C242" i="24"/>
  <c r="C241" i="24"/>
  <c r="C240" i="24"/>
  <c r="C239" i="24"/>
  <c r="C238" i="24"/>
  <c r="C237" i="24"/>
  <c r="C236" i="24"/>
  <c r="C235" i="24"/>
  <c r="C234" i="24"/>
  <c r="C233" i="24"/>
  <c r="C232" i="24"/>
  <c r="C231" i="24"/>
  <c r="C230" i="24"/>
  <c r="C229" i="24"/>
  <c r="C228" i="24"/>
  <c r="C227" i="24"/>
  <c r="C226" i="24"/>
  <c r="C225" i="24"/>
  <c r="C224" i="24"/>
  <c r="C223" i="24"/>
  <c r="C222" i="24"/>
  <c r="C221" i="24"/>
  <c r="C220" i="24"/>
  <c r="C219" i="24"/>
  <c r="C218" i="24"/>
  <c r="C217" i="24"/>
  <c r="C216" i="24"/>
  <c r="C215" i="24"/>
  <c r="C214" i="24"/>
  <c r="C213" i="24"/>
  <c r="C212" i="24"/>
  <c r="C211" i="24"/>
  <c r="C210" i="24"/>
  <c r="C209" i="24"/>
  <c r="C208" i="24"/>
  <c r="C207" i="24"/>
  <c r="C206" i="24"/>
  <c r="C205" i="24"/>
  <c r="C204" i="24"/>
  <c r="C203" i="24"/>
  <c r="C202" i="24"/>
  <c r="C201" i="24"/>
  <c r="C200" i="24"/>
  <c r="C199" i="24"/>
  <c r="C198" i="24"/>
  <c r="C197" i="24"/>
  <c r="C196" i="24"/>
  <c r="C195" i="24"/>
  <c r="C194" i="24"/>
  <c r="C193" i="24"/>
  <c r="C192" i="24"/>
  <c r="C191" i="24"/>
  <c r="C190" i="24"/>
  <c r="C189" i="24"/>
  <c r="C188" i="24"/>
  <c r="C187" i="24"/>
  <c r="C186" i="24"/>
  <c r="C185" i="24"/>
  <c r="C184" i="24"/>
  <c r="C183" i="24"/>
  <c r="C182" i="24"/>
  <c r="C181" i="24"/>
  <c r="C180" i="24"/>
  <c r="C179" i="24"/>
  <c r="C178" i="24"/>
  <c r="C177" i="24"/>
  <c r="C176" i="24"/>
  <c r="C175" i="24"/>
  <c r="C174" i="24"/>
  <c r="C173" i="24"/>
  <c r="C172" i="24"/>
  <c r="C171" i="24"/>
  <c r="C170" i="24"/>
  <c r="C169" i="24"/>
  <c r="C168" i="24"/>
  <c r="C167" i="24"/>
  <c r="C166" i="24"/>
  <c r="C165" i="24"/>
  <c r="C164" i="24"/>
  <c r="C163" i="24"/>
  <c r="C162" i="24"/>
  <c r="C161" i="24"/>
  <c r="C160" i="24"/>
  <c r="C159" i="24"/>
  <c r="C158" i="24"/>
  <c r="C157" i="24"/>
  <c r="C156" i="24"/>
  <c r="C155" i="24"/>
  <c r="C154" i="24"/>
  <c r="C153" i="24"/>
  <c r="C152" i="24"/>
  <c r="C151" i="24"/>
  <c r="C150" i="24"/>
  <c r="C149" i="24"/>
  <c r="C148" i="24"/>
  <c r="C147" i="24"/>
  <c r="C146" i="24"/>
  <c r="C145" i="24"/>
  <c r="C144" i="24"/>
  <c r="C143" i="24"/>
  <c r="C142" i="24"/>
  <c r="C141" i="24"/>
  <c r="C140" i="24"/>
  <c r="C139" i="24"/>
  <c r="C138" i="24"/>
  <c r="C137" i="24"/>
  <c r="C136" i="24"/>
  <c r="C135" i="24"/>
  <c r="C134" i="24"/>
  <c r="C133" i="24"/>
  <c r="C132" i="24"/>
  <c r="C131" i="24"/>
  <c r="C130" i="24"/>
  <c r="C129" i="24"/>
  <c r="C128" i="24"/>
  <c r="C127" i="24"/>
  <c r="C126" i="24"/>
  <c r="C125" i="24"/>
  <c r="C124" i="24"/>
  <c r="C123" i="24"/>
  <c r="C122" i="24"/>
  <c r="C121" i="24"/>
  <c r="C120" i="24"/>
  <c r="C119" i="24"/>
  <c r="C118" i="24"/>
  <c r="C117" i="24"/>
  <c r="C116" i="24"/>
  <c r="C115" i="24"/>
  <c r="C114" i="24"/>
  <c r="C113" i="24"/>
  <c r="C112" i="24"/>
  <c r="C111" i="24"/>
  <c r="C110" i="24"/>
  <c r="C109" i="24"/>
  <c r="C108" i="24"/>
  <c r="C107" i="24"/>
  <c r="C106" i="24"/>
  <c r="C105" i="24"/>
  <c r="C104" i="24"/>
  <c r="C103" i="24"/>
  <c r="C102" i="24"/>
  <c r="C101" i="24"/>
  <c r="C100" i="24"/>
  <c r="C99" i="24"/>
  <c r="C98" i="24"/>
  <c r="C97" i="24"/>
  <c r="C96" i="24"/>
  <c r="C95" i="24"/>
  <c r="C94" i="24"/>
  <c r="C93" i="24"/>
  <c r="C92" i="24"/>
  <c r="C91" i="24"/>
  <c r="C90" i="24"/>
  <c r="C89" i="24"/>
  <c r="C88" i="24"/>
  <c r="C87" i="24"/>
  <c r="C86" i="24"/>
  <c r="C85" i="24"/>
  <c r="C84" i="24"/>
  <c r="C83" i="24"/>
  <c r="C82" i="24"/>
  <c r="C81" i="24"/>
  <c r="C80" i="24"/>
  <c r="C79" i="24"/>
  <c r="C78" i="24"/>
  <c r="C77" i="24"/>
  <c r="C76" i="24"/>
  <c r="C75" i="24"/>
  <c r="C74" i="24"/>
  <c r="C73" i="24"/>
  <c r="C72" i="24"/>
  <c r="C71" i="24"/>
  <c r="C70" i="24"/>
  <c r="C69" i="24"/>
  <c r="C68" i="24"/>
  <c r="C67" i="24"/>
  <c r="C66" i="24"/>
  <c r="C65" i="24"/>
  <c r="C64" i="24"/>
  <c r="C63" i="24"/>
  <c r="C62" i="24"/>
  <c r="C61" i="24"/>
  <c r="C60" i="24"/>
  <c r="C59" i="24"/>
  <c r="C58" i="24"/>
  <c r="C57" i="24"/>
  <c r="C56" i="24"/>
  <c r="C55" i="24"/>
  <c r="C54" i="24"/>
  <c r="C53" i="24"/>
  <c r="C52" i="24"/>
  <c r="C51" i="24"/>
  <c r="C50" i="24"/>
  <c r="C49" i="24"/>
  <c r="C48" i="24"/>
  <c r="C47" i="24"/>
  <c r="C46" i="24"/>
  <c r="C45" i="24"/>
  <c r="C44" i="24"/>
  <c r="C43" i="24"/>
  <c r="C42" i="24"/>
  <c r="C41" i="24"/>
  <c r="C40" i="24"/>
  <c r="C39" i="24"/>
  <c r="C38" i="24"/>
  <c r="C37" i="24"/>
  <c r="C36" i="24"/>
  <c r="C35" i="24"/>
  <c r="C34" i="24"/>
  <c r="C33" i="24"/>
  <c r="C32" i="24"/>
  <c r="C31" i="24"/>
  <c r="C30" i="24"/>
  <c r="C29" i="24"/>
  <c r="C28" i="24"/>
  <c r="C27" i="24"/>
  <c r="C26" i="24"/>
  <c r="C25" i="24"/>
  <c r="C24" i="24"/>
  <c r="C23" i="24"/>
  <c r="C22" i="24"/>
  <c r="C21" i="24"/>
  <c r="C20" i="24"/>
  <c r="C19" i="24"/>
  <c r="C18" i="24"/>
  <c r="C17" i="24"/>
  <c r="C16" i="24"/>
  <c r="C15" i="24"/>
  <c r="C14" i="24"/>
  <c r="C13" i="24"/>
  <c r="C12" i="24"/>
  <c r="C11" i="24"/>
  <c r="C10" i="24"/>
  <c r="C9" i="24"/>
  <c r="C8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S458" i="17"/>
  <c r="U458" i="17" s="1"/>
  <c r="S461" i="17"/>
  <c r="U461" i="17" s="1"/>
  <c r="S456" i="17"/>
  <c r="U456" i="17" s="1"/>
  <c r="H791" i="14"/>
  <c r="H5" i="14"/>
  <c r="H790" i="14"/>
  <c r="H515" i="14"/>
  <c r="H514" i="14"/>
  <c r="H513" i="14"/>
  <c r="H512" i="14"/>
  <c r="H511" i="14"/>
  <c r="H510" i="14"/>
  <c r="H509" i="14"/>
  <c r="H508" i="14"/>
  <c r="H507" i="14"/>
  <c r="H506" i="14"/>
  <c r="H505" i="14"/>
  <c r="H590" i="14"/>
  <c r="H589" i="14"/>
  <c r="H588" i="14"/>
  <c r="H587" i="14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H570" i="14"/>
  <c r="H569" i="14"/>
  <c r="H568" i="14"/>
  <c r="H567" i="14"/>
  <c r="H566" i="14"/>
  <c r="H565" i="14"/>
  <c r="H564" i="14"/>
  <c r="H563" i="14"/>
  <c r="H562" i="14"/>
  <c r="H561" i="14"/>
  <c r="H560" i="14"/>
  <c r="H559" i="14"/>
  <c r="H558" i="14"/>
  <c r="H557" i="14"/>
  <c r="H556" i="14"/>
  <c r="H555" i="14"/>
  <c r="H554" i="14"/>
  <c r="H553" i="14"/>
  <c r="H552" i="14"/>
  <c r="H551" i="14"/>
  <c r="H550" i="14"/>
  <c r="H549" i="14"/>
  <c r="H548" i="14"/>
  <c r="H547" i="14"/>
  <c r="H546" i="14"/>
  <c r="H545" i="14"/>
  <c r="H544" i="14"/>
  <c r="H543" i="14"/>
  <c r="H542" i="14"/>
  <c r="H541" i="14"/>
  <c r="H540" i="14"/>
  <c r="H539" i="14"/>
  <c r="H538" i="14"/>
  <c r="H537" i="14"/>
  <c r="H536" i="14"/>
  <c r="H535" i="14"/>
  <c r="H534" i="14"/>
  <c r="H533" i="14"/>
  <c r="H532" i="14"/>
  <c r="H531" i="14"/>
  <c r="H530" i="14"/>
  <c r="H529" i="14"/>
  <c r="H528" i="14"/>
  <c r="H527" i="14"/>
  <c r="H526" i="14"/>
  <c r="H525" i="14"/>
  <c r="H524" i="14"/>
  <c r="H523" i="14"/>
  <c r="H522" i="14"/>
  <c r="H521" i="14"/>
  <c r="H520" i="14"/>
  <c r="H519" i="14"/>
  <c r="H518" i="14"/>
  <c r="H517" i="14"/>
  <c r="H516" i="14"/>
  <c r="H592" i="14"/>
  <c r="H591" i="14"/>
  <c r="H445" i="14"/>
  <c r="H444" i="14"/>
  <c r="H443" i="14"/>
  <c r="H442" i="14"/>
  <c r="H441" i="14"/>
  <c r="H440" i="14"/>
  <c r="H439" i="14"/>
  <c r="H438" i="14"/>
  <c r="H437" i="14"/>
  <c r="H436" i="14"/>
  <c r="H435" i="14"/>
  <c r="H434" i="14"/>
  <c r="H433" i="14"/>
  <c r="H432" i="14"/>
  <c r="H431" i="14"/>
  <c r="H430" i="14"/>
  <c r="H429" i="14"/>
  <c r="H428" i="14"/>
  <c r="H427" i="14"/>
  <c r="H426" i="14"/>
  <c r="H425" i="14"/>
  <c r="H424" i="14"/>
  <c r="H423" i="14"/>
  <c r="H422" i="14"/>
  <c r="H421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16" i="14"/>
  <c r="H15" i="14"/>
  <c r="H14" i="14"/>
  <c r="H13" i="14"/>
  <c r="H12" i="14"/>
  <c r="H11" i="14"/>
  <c r="H10" i="14"/>
  <c r="H9" i="14"/>
  <c r="H8" i="14"/>
  <c r="H7" i="14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H648" i="14"/>
  <c r="H647" i="14"/>
  <c r="H646" i="14"/>
  <c r="H645" i="14"/>
  <c r="H644" i="14"/>
  <c r="H643" i="14"/>
  <c r="H642" i="14"/>
  <c r="H641" i="14"/>
  <c r="H640" i="14"/>
  <c r="H639" i="14"/>
  <c r="H638" i="14"/>
  <c r="H637" i="14"/>
  <c r="H636" i="14"/>
  <c r="H635" i="14"/>
  <c r="H634" i="14"/>
  <c r="H633" i="14"/>
  <c r="H632" i="14"/>
  <c r="H631" i="14"/>
  <c r="H630" i="14"/>
  <c r="H629" i="14"/>
  <c r="H628" i="14"/>
  <c r="H627" i="14"/>
  <c r="H626" i="14"/>
  <c r="H625" i="14"/>
  <c r="H624" i="14"/>
  <c r="H623" i="14"/>
  <c r="H622" i="14"/>
  <c r="H621" i="14"/>
  <c r="H620" i="14"/>
  <c r="H619" i="14"/>
  <c r="H618" i="14"/>
  <c r="H617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2" i="14"/>
  <c r="H601" i="14"/>
  <c r="H600" i="14"/>
  <c r="H599" i="14"/>
  <c r="H598" i="14"/>
  <c r="H597" i="14"/>
  <c r="H596" i="14"/>
  <c r="H595" i="14"/>
  <c r="H594" i="14"/>
  <c r="H593" i="14"/>
  <c r="H504" i="14"/>
  <c r="H503" i="14"/>
  <c r="H502" i="14"/>
  <c r="H501" i="14"/>
  <c r="H500" i="14"/>
  <c r="H499" i="14"/>
  <c r="H498" i="14"/>
  <c r="H497" i="14"/>
  <c r="H496" i="14"/>
  <c r="H495" i="14"/>
  <c r="H494" i="14"/>
  <c r="H493" i="14"/>
  <c r="H492" i="14"/>
  <c r="H491" i="14"/>
  <c r="H490" i="14"/>
  <c r="H489" i="14"/>
  <c r="H488" i="14"/>
  <c r="H487" i="14"/>
  <c r="H486" i="14"/>
  <c r="H485" i="14"/>
  <c r="H484" i="14"/>
  <c r="H483" i="14"/>
  <c r="H482" i="14"/>
  <c r="H481" i="14"/>
  <c r="H480" i="14"/>
  <c r="H479" i="14"/>
  <c r="H478" i="14"/>
  <c r="H477" i="14"/>
  <c r="H476" i="14"/>
  <c r="H475" i="14"/>
  <c r="H474" i="14"/>
  <c r="H473" i="14"/>
  <c r="H472" i="14"/>
  <c r="H471" i="14"/>
  <c r="H470" i="14"/>
  <c r="H469" i="14"/>
  <c r="H468" i="14"/>
  <c r="H467" i="14"/>
  <c r="H466" i="14"/>
  <c r="H465" i="14"/>
  <c r="H464" i="14"/>
  <c r="H463" i="14"/>
  <c r="H462" i="14"/>
  <c r="H461" i="14"/>
  <c r="H460" i="14"/>
  <c r="H459" i="14"/>
  <c r="H458" i="14"/>
  <c r="H457" i="14"/>
  <c r="H456" i="14"/>
  <c r="H455" i="14"/>
  <c r="H454" i="14"/>
  <c r="H453" i="14"/>
  <c r="H452" i="14"/>
  <c r="H451" i="14"/>
  <c r="H450" i="14"/>
  <c r="H449" i="14"/>
  <c r="H448" i="14"/>
  <c r="H447" i="14"/>
  <c r="H446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355" i="14"/>
  <c r="H354" i="14"/>
  <c r="H353" i="14"/>
  <c r="H352" i="14"/>
  <c r="H351" i="14"/>
  <c r="H350" i="14"/>
  <c r="H349" i="14"/>
  <c r="H348" i="14"/>
  <c r="H347" i="14"/>
  <c r="H346" i="14"/>
  <c r="H345" i="14"/>
  <c r="H344" i="14"/>
  <c r="H343" i="14"/>
  <c r="H342" i="14"/>
  <c r="H341" i="14"/>
  <c r="H340" i="14"/>
  <c r="H339" i="14"/>
  <c r="H338" i="14"/>
  <c r="H337" i="14"/>
  <c r="H336" i="14"/>
  <c r="H335" i="14"/>
  <c r="H334" i="14"/>
  <c r="H333" i="14"/>
  <c r="H332" i="14"/>
  <c r="H331" i="14"/>
  <c r="H330" i="14"/>
  <c r="H329" i="14"/>
  <c r="H328" i="14"/>
  <c r="H327" i="14"/>
  <c r="H326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H313" i="14"/>
  <c r="H312" i="14"/>
  <c r="H311" i="14"/>
  <c r="H310" i="14"/>
  <c r="H309" i="14"/>
  <c r="H308" i="14"/>
  <c r="H307" i="14"/>
  <c r="H306" i="14"/>
  <c r="H305" i="14"/>
  <c r="H304" i="14"/>
  <c r="H303" i="14"/>
  <c r="H302" i="14"/>
  <c r="H301" i="14"/>
  <c r="H300" i="14"/>
  <c r="H299" i="14"/>
  <c r="H298" i="14"/>
  <c r="H297" i="14"/>
  <c r="H296" i="14"/>
  <c r="H295" i="14"/>
  <c r="H294" i="14"/>
  <c r="H293" i="14"/>
  <c r="H292" i="14"/>
  <c r="H291" i="14"/>
  <c r="H290" i="14"/>
  <c r="H289" i="14"/>
  <c r="H288" i="14"/>
  <c r="H287" i="14"/>
  <c r="H28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237" i="14"/>
  <c r="H236" i="14"/>
  <c r="H235" i="14"/>
  <c r="H234" i="14"/>
  <c r="H233" i="14"/>
  <c r="H232" i="14"/>
  <c r="H231" i="14"/>
  <c r="H230" i="14"/>
  <c r="H229" i="14"/>
  <c r="H228" i="14"/>
  <c r="H227" i="14"/>
  <c r="H226" i="14"/>
  <c r="H225" i="14"/>
  <c r="H224" i="14"/>
  <c r="H223" i="14"/>
  <c r="H222" i="14"/>
  <c r="H221" i="14"/>
  <c r="H220" i="14"/>
  <c r="H219" i="14"/>
  <c r="H218" i="14"/>
  <c r="H217" i="14"/>
  <c r="H216" i="14"/>
  <c r="H215" i="14"/>
  <c r="H214" i="14"/>
  <c r="H213" i="14"/>
  <c r="H212" i="14"/>
  <c r="H211" i="14"/>
  <c r="H210" i="14"/>
  <c r="H209" i="14"/>
  <c r="H208" i="14"/>
  <c r="H207" i="14"/>
  <c r="H206" i="14"/>
  <c r="H205" i="14"/>
  <c r="H204" i="14"/>
  <c r="H203" i="14"/>
  <c r="H202" i="14"/>
  <c r="H201" i="14"/>
  <c r="H200" i="14"/>
  <c r="H199" i="14"/>
  <c r="H198" i="14"/>
  <c r="H197" i="14"/>
  <c r="H196" i="14"/>
  <c r="H195" i="14"/>
  <c r="H194" i="14"/>
  <c r="H193" i="14"/>
  <c r="H192" i="14"/>
  <c r="H191" i="14"/>
  <c r="H190" i="14"/>
  <c r="H189" i="14"/>
  <c r="H188" i="14"/>
  <c r="H187" i="14"/>
  <c r="H186" i="14"/>
  <c r="H185" i="14"/>
  <c r="H184" i="14"/>
  <c r="H183" i="14"/>
  <c r="H182" i="14"/>
  <c r="H181" i="14"/>
  <c r="H180" i="14"/>
  <c r="H179" i="14"/>
  <c r="H178" i="14"/>
  <c r="H177" i="14"/>
  <c r="H176" i="14"/>
  <c r="H175" i="14"/>
  <c r="H174" i="14"/>
  <c r="H173" i="14"/>
  <c r="H172" i="14"/>
  <c r="H171" i="14"/>
  <c r="H170" i="14"/>
  <c r="H169" i="14"/>
  <c r="H168" i="14"/>
  <c r="H167" i="14"/>
  <c r="H166" i="14"/>
  <c r="H165" i="14"/>
  <c r="H164" i="14"/>
  <c r="H163" i="14"/>
  <c r="H162" i="14"/>
  <c r="H161" i="14"/>
  <c r="H160" i="14"/>
  <c r="H159" i="14"/>
  <c r="H158" i="14"/>
  <c r="H157" i="14"/>
  <c r="H156" i="14"/>
  <c r="H155" i="14"/>
  <c r="H154" i="14"/>
  <c r="H153" i="14"/>
  <c r="H152" i="14"/>
  <c r="H151" i="14"/>
  <c r="H150" i="14"/>
  <c r="H149" i="14"/>
  <c r="H148" i="14"/>
  <c r="H147" i="14"/>
  <c r="H146" i="14"/>
  <c r="H145" i="14"/>
  <c r="H144" i="14"/>
  <c r="H143" i="14"/>
  <c r="H142" i="14"/>
  <c r="H141" i="14"/>
  <c r="H140" i="14"/>
  <c r="H139" i="14"/>
  <c r="H1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H119" i="14"/>
  <c r="H118" i="14"/>
  <c r="H117" i="14"/>
  <c r="H116" i="14"/>
  <c r="H115" i="14"/>
  <c r="H114" i="14"/>
  <c r="H113" i="14"/>
  <c r="H112" i="14"/>
  <c r="H111" i="14"/>
  <c r="H110" i="14"/>
  <c r="H109" i="14"/>
  <c r="H108" i="14"/>
  <c r="H107" i="14"/>
  <c r="H106" i="14"/>
  <c r="H105" i="14"/>
  <c r="H104" i="14"/>
  <c r="H103" i="14"/>
  <c r="H102" i="14"/>
  <c r="H101" i="14"/>
  <c r="H100" i="14"/>
  <c r="H99" i="14"/>
  <c r="H98" i="14"/>
  <c r="H97" i="14"/>
  <c r="H96" i="14"/>
  <c r="H95" i="14"/>
  <c r="H94" i="14"/>
  <c r="H93" i="14"/>
  <c r="H92" i="14"/>
  <c r="H91" i="14"/>
  <c r="H90" i="14"/>
  <c r="H89" i="14"/>
  <c r="H88" i="14"/>
  <c r="H87" i="14"/>
  <c r="H86" i="14"/>
  <c r="H85" i="14"/>
  <c r="H84" i="14"/>
  <c r="H83" i="14"/>
  <c r="H82" i="14"/>
  <c r="H81" i="14"/>
  <c r="H80" i="14"/>
  <c r="H79" i="14"/>
  <c r="H78" i="14"/>
  <c r="H77" i="14"/>
  <c r="H76" i="14"/>
  <c r="H75" i="14"/>
  <c r="H74" i="14"/>
  <c r="H73" i="14"/>
  <c r="H72" i="14"/>
  <c r="H71" i="14"/>
  <c r="H70" i="14"/>
  <c r="H69" i="14"/>
  <c r="H68" i="14"/>
  <c r="H67" i="14"/>
  <c r="H66" i="14"/>
  <c r="H65" i="14"/>
  <c r="H64" i="14"/>
  <c r="H63" i="14"/>
  <c r="H62" i="14"/>
  <c r="H61" i="14"/>
  <c r="H60" i="14"/>
  <c r="H59" i="14"/>
  <c r="H58" i="14"/>
  <c r="H57" i="14"/>
  <c r="H56" i="14"/>
  <c r="H55" i="14"/>
  <c r="H54" i="14"/>
  <c r="H53" i="14"/>
  <c r="H52" i="14"/>
  <c r="H51" i="14"/>
  <c r="H50" i="14"/>
  <c r="H49" i="14"/>
  <c r="H48" i="14"/>
  <c r="H47" i="14"/>
  <c r="H46" i="14"/>
  <c r="H45" i="14"/>
  <c r="H44" i="14"/>
  <c r="H43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H28" i="14"/>
  <c r="H27" i="14"/>
  <c r="H26" i="14"/>
  <c r="H25" i="14"/>
  <c r="H24" i="14"/>
  <c r="H23" i="14"/>
  <c r="H22" i="14"/>
  <c r="H21" i="14"/>
  <c r="H20" i="14"/>
  <c r="H19" i="14"/>
  <c r="H18" i="14"/>
  <c r="H17" i="14"/>
  <c r="H6" i="14"/>
  <c r="H4" i="14"/>
  <c r="F3" i="19"/>
  <c r="H3" i="14"/>
  <c r="F2" i="19"/>
  <c r="H2" i="14"/>
  <c r="S791" i="17"/>
  <c r="U791" i="17" s="1"/>
  <c r="G948" i="24" l="1"/>
  <c r="AF936" i="17" a="1"/>
  <c r="D936" i="24" s="1"/>
  <c r="AF935" i="17" a="1"/>
  <c r="D935" i="24" s="1"/>
  <c r="G947" i="24"/>
  <c r="G945" i="24"/>
  <c r="G946" i="24"/>
  <c r="G944" i="24"/>
  <c r="M943" i="14"/>
  <c r="G943" i="24"/>
  <c r="M942" i="14"/>
  <c r="M946" i="14"/>
  <c r="M941" i="14"/>
  <c r="M944" i="14"/>
  <c r="G941" i="24"/>
  <c r="G942" i="24"/>
  <c r="G940" i="24"/>
  <c r="AE938" i="17"/>
  <c r="G939" i="24"/>
  <c r="M939" i="14"/>
  <c r="G938" i="24"/>
  <c r="AF937" i="17" a="1"/>
  <c r="AE935" i="17"/>
  <c r="M936" i="14"/>
  <c r="M937" i="14"/>
  <c r="AE936" i="17"/>
  <c r="AE937" i="17"/>
  <c r="M933" i="14"/>
  <c r="G937" i="24"/>
  <c r="G936" i="24"/>
  <c r="G935" i="24"/>
  <c r="AE934" i="17"/>
  <c r="M935" i="14"/>
  <c r="G933" i="24"/>
  <c r="G934" i="24"/>
  <c r="M934" i="14"/>
  <c r="AE933" i="17"/>
  <c r="AC932" i="17"/>
  <c r="AE932" i="17" s="1"/>
  <c r="L932" i="17" s="1"/>
  <c r="AF932" i="17" s="1" a="1"/>
  <c r="AD932" i="17"/>
  <c r="M932" i="14"/>
  <c r="C932" i="14" a="1"/>
  <c r="G932" i="24"/>
  <c r="C931" i="19"/>
  <c r="D931" i="14" a="1"/>
  <c r="AF931" i="17" s="1" a="1"/>
  <c r="C929" i="19"/>
  <c r="D929" i="14" a="1"/>
  <c r="D930" i="14" a="1"/>
  <c r="C930" i="14" s="1" a="1"/>
  <c r="C930" i="19"/>
  <c r="G931" i="24"/>
  <c r="M931" i="14"/>
  <c r="G930" i="24"/>
  <c r="L674" i="17"/>
  <c r="M930" i="14"/>
  <c r="M929" i="14"/>
  <c r="AJ929" i="1"/>
  <c r="AJ930" i="1"/>
  <c r="C928" i="19"/>
  <c r="D928" i="14" a="1"/>
  <c r="C928" i="14" s="1" a="1"/>
  <c r="D926" i="14" a="1"/>
  <c r="C926" i="14" s="1" a="1"/>
  <c r="C926" i="19"/>
  <c r="C927" i="19"/>
  <c r="D927" i="14" a="1"/>
  <c r="C927" i="14" s="1" a="1"/>
  <c r="C924" i="19"/>
  <c r="D924" i="14" a="1"/>
  <c r="D925" i="14" a="1"/>
  <c r="C925" i="14" s="1" a="1"/>
  <c r="C925" i="19"/>
  <c r="G926" i="24"/>
  <c r="G928" i="24"/>
  <c r="G929" i="24"/>
  <c r="G927" i="24"/>
  <c r="M928" i="14"/>
  <c r="C923" i="19"/>
  <c r="D923" i="14" a="1"/>
  <c r="C923" i="14" s="1" a="1"/>
  <c r="M926" i="14"/>
  <c r="M927" i="14"/>
  <c r="D651" i="14" a="1"/>
  <c r="G925" i="24"/>
  <c r="M925" i="14"/>
  <c r="D649" i="14" a="1"/>
  <c r="D650" i="14" a="1"/>
  <c r="D652" i="14" a="1"/>
  <c r="D653" i="14" a="1"/>
  <c r="F895" i="19"/>
  <c r="D922" i="14" a="1"/>
  <c r="C922" i="19"/>
  <c r="D921" i="14" a="1"/>
  <c r="C921" i="19"/>
  <c r="G922" i="24"/>
  <c r="G923" i="24"/>
  <c r="G924" i="24"/>
  <c r="M924" i="14"/>
  <c r="G921" i="24"/>
  <c r="M923" i="14"/>
  <c r="M922" i="14"/>
  <c r="AJ921" i="1"/>
  <c r="AJ922" i="1"/>
  <c r="D920" i="14" a="1"/>
  <c r="C920" i="19"/>
  <c r="C917" i="19"/>
  <c r="D917" i="14" a="1"/>
  <c r="C917" i="14" s="1" a="1"/>
  <c r="D912" i="14" a="1"/>
  <c r="C912" i="19"/>
  <c r="C916" i="19"/>
  <c r="D916" i="14" a="1"/>
  <c r="C916" i="14" s="1" a="1"/>
  <c r="C915" i="19"/>
  <c r="D915" i="14" a="1"/>
  <c r="D913" i="14" a="1"/>
  <c r="AC913" i="17" s="1"/>
  <c r="AE913" i="17" s="1"/>
  <c r="C913" i="19"/>
  <c r="D919" i="14" a="1"/>
  <c r="C919" i="19"/>
  <c r="D918" i="14" a="1"/>
  <c r="C918" i="14" s="1" a="1"/>
  <c r="C918" i="19"/>
  <c r="G920" i="24"/>
  <c r="G919" i="24"/>
  <c r="M920" i="14"/>
  <c r="M921" i="14"/>
  <c r="C377" i="19"/>
  <c r="C380" i="19"/>
  <c r="C381" i="19"/>
  <c r="C383" i="19"/>
  <c r="C384" i="19"/>
  <c r="C399" i="19"/>
  <c r="G918" i="24"/>
  <c r="M918" i="14"/>
  <c r="M919" i="14"/>
  <c r="AJ918" i="1"/>
  <c r="D377" i="14" a="1"/>
  <c r="D378" i="14" a="1"/>
  <c r="D379" i="14" a="1"/>
  <c r="D380" i="14" a="1"/>
  <c r="D381" i="14" a="1"/>
  <c r="D383" i="14" a="1"/>
  <c r="D384" i="14" a="1"/>
  <c r="D385" i="14" a="1"/>
  <c r="C385" i="19"/>
  <c r="C386" i="19"/>
  <c r="G917" i="24"/>
  <c r="C390" i="19"/>
  <c r="C391" i="19"/>
  <c r="C392" i="19"/>
  <c r="C393" i="19"/>
  <c r="C394" i="19"/>
  <c r="G916" i="24"/>
  <c r="G915" i="24"/>
  <c r="M916" i="14"/>
  <c r="M917" i="14"/>
  <c r="C396" i="19"/>
  <c r="C397" i="19"/>
  <c r="C398" i="19"/>
  <c r="D412" i="14" a="1"/>
  <c r="D413" i="14" a="1"/>
  <c r="D414" i="14" a="1"/>
  <c r="C405" i="19"/>
  <c r="C406" i="19"/>
  <c r="C409" i="19"/>
  <c r="C410" i="19"/>
  <c r="G914" i="24"/>
  <c r="M914" i="14"/>
  <c r="M915" i="14"/>
  <c r="C911" i="19"/>
  <c r="D911" i="14" a="1"/>
  <c r="C911" i="14" s="1" a="1"/>
  <c r="C910" i="19"/>
  <c r="D910" i="14" a="1"/>
  <c r="C910" i="14" s="1" a="1"/>
  <c r="D530" i="14" a="1"/>
  <c r="F903" i="19"/>
  <c r="F900" i="19"/>
  <c r="F886" i="19"/>
  <c r="D944" i="24"/>
  <c r="D938" i="24"/>
  <c r="D940" i="24"/>
  <c r="D946" i="24"/>
  <c r="D939" i="24"/>
  <c r="D952" i="24"/>
  <c r="D954" i="24"/>
  <c r="D942" i="24"/>
  <c r="D947" i="24"/>
  <c r="D948" i="24"/>
  <c r="D950" i="24"/>
  <c r="D951" i="24"/>
  <c r="D953" i="24"/>
  <c r="D955" i="24"/>
  <c r="D956" i="24"/>
  <c r="D933" i="24"/>
  <c r="D943" i="24"/>
  <c r="D949" i="24"/>
  <c r="D934" i="24"/>
  <c r="D941" i="24"/>
  <c r="D945" i="24"/>
  <c r="D2" i="14" a="1"/>
  <c r="G912" i="24"/>
  <c r="G911" i="24"/>
  <c r="G913" i="24"/>
  <c r="M911" i="14"/>
  <c r="M912" i="14"/>
  <c r="M913" i="14"/>
  <c r="F569" i="19"/>
  <c r="F542" i="19"/>
  <c r="F438" i="19"/>
  <c r="F632" i="19"/>
  <c r="F625" i="19"/>
  <c r="F618" i="19"/>
  <c r="F614" i="19"/>
  <c r="F609" i="19"/>
  <c r="F602" i="19"/>
  <c r="F596" i="19"/>
  <c r="F493" i="19"/>
  <c r="F488" i="19"/>
  <c r="F472" i="19"/>
  <c r="F463" i="19"/>
  <c r="F459" i="19"/>
  <c r="F452" i="19"/>
  <c r="F54" i="19"/>
  <c r="F46" i="19"/>
  <c r="F41" i="19"/>
  <c r="F32" i="19"/>
  <c r="F23" i="19"/>
  <c r="F562" i="19"/>
  <c r="F538" i="19"/>
  <c r="F451" i="19"/>
  <c r="F49" i="19"/>
  <c r="F44" i="19"/>
  <c r="F38" i="19"/>
  <c r="F28" i="19"/>
  <c r="F568" i="19"/>
  <c r="F541" i="19"/>
  <c r="F431" i="19"/>
  <c r="F552" i="19"/>
  <c r="F521" i="19"/>
  <c r="F647" i="19"/>
  <c r="F645" i="19"/>
  <c r="F629" i="19"/>
  <c r="F627" i="19"/>
  <c r="F624" i="19"/>
  <c r="F616" i="19"/>
  <c r="F613" i="19"/>
  <c r="F608" i="19"/>
  <c r="F598" i="19"/>
  <c r="F503" i="19"/>
  <c r="F492" i="19"/>
  <c r="F478" i="19"/>
  <c r="F468" i="19"/>
  <c r="F462" i="19"/>
  <c r="F454" i="19"/>
  <c r="F450" i="19"/>
  <c r="F52" i="19"/>
  <c r="F45" i="19"/>
  <c r="F36" i="19"/>
  <c r="F26" i="19"/>
  <c r="F544" i="19"/>
  <c r="F532" i="19"/>
  <c r="F646" i="19"/>
  <c r="F643" i="19"/>
  <c r="F628" i="19"/>
  <c r="F626" i="19"/>
  <c r="F623" i="19"/>
  <c r="F615" i="19"/>
  <c r="F612" i="19"/>
  <c r="F607" i="19"/>
  <c r="F601" i="19"/>
  <c r="F597" i="19"/>
  <c r="F495" i="19"/>
  <c r="F490" i="19"/>
  <c r="F477" i="19"/>
  <c r="F464" i="19"/>
  <c r="F460" i="19"/>
  <c r="F453" i="19"/>
  <c r="F447" i="19"/>
  <c r="F48" i="19"/>
  <c r="F42" i="19"/>
  <c r="F33" i="19"/>
  <c r="F25" i="19"/>
  <c r="F17" i="19"/>
  <c r="F571" i="19"/>
  <c r="F540" i="19"/>
  <c r="F561" i="19"/>
  <c r="F534" i="19"/>
  <c r="C4" i="14" s="1" a="1"/>
  <c r="M910" i="14"/>
  <c r="G910" i="24"/>
  <c r="AJ906" i="1"/>
  <c r="F899" i="19"/>
  <c r="F5" i="19"/>
  <c r="T790" i="17"/>
  <c r="F894" i="19"/>
  <c r="F617" i="19"/>
  <c r="F605" i="19"/>
  <c r="F500" i="19"/>
  <c r="F456" i="19"/>
  <c r="F593" i="19"/>
  <c r="F476" i="19"/>
  <c r="F499" i="19"/>
  <c r="F473" i="19"/>
  <c r="F458" i="19"/>
  <c r="F630" i="19"/>
  <c r="F610" i="19"/>
  <c r="F501" i="19"/>
  <c r="F603" i="19"/>
  <c r="F466" i="19"/>
  <c r="F498" i="19"/>
  <c r="F470" i="19"/>
  <c r="F502" i="19"/>
  <c r="F457" i="19"/>
  <c r="F474" i="19"/>
  <c r="F619" i="19"/>
  <c r="F496" i="19"/>
  <c r="F471" i="19"/>
  <c r="F631" i="19"/>
  <c r="F526" i="19"/>
  <c r="F622" i="19"/>
  <c r="F497" i="19"/>
  <c r="F621" i="19"/>
  <c r="F600" i="19"/>
  <c r="F467" i="19"/>
  <c r="F611" i="19"/>
  <c r="F594" i="19"/>
  <c r="F461" i="19"/>
  <c r="F595" i="19"/>
  <c r="F491" i="19"/>
  <c r="F248" i="19"/>
  <c r="F76" i="19"/>
  <c r="F73" i="19"/>
  <c r="F72" i="19"/>
  <c r="F70" i="19"/>
  <c r="F69" i="19"/>
  <c r="F66" i="19"/>
  <c r="F64" i="19"/>
  <c r="F63" i="19"/>
  <c r="F62" i="19"/>
  <c r="F60" i="19"/>
  <c r="F57" i="19"/>
  <c r="F56" i="19"/>
  <c r="F53" i="19"/>
  <c r="F50" i="19"/>
  <c r="F39" i="19"/>
  <c r="F30" i="19"/>
  <c r="F22" i="19"/>
  <c r="F21" i="19"/>
  <c r="F18" i="19"/>
  <c r="C3" i="14" s="1" a="1"/>
  <c r="C5" i="14" s="1" a="1"/>
  <c r="C363" i="14" s="1" a="1"/>
  <c r="G908" i="24"/>
  <c r="G909" i="24"/>
  <c r="M909" i="14"/>
  <c r="C761" i="19"/>
  <c r="D761" i="14" a="1"/>
  <c r="D756" i="14" a="1"/>
  <c r="C756" i="14" s="1" a="1"/>
  <c r="C756" i="19"/>
  <c r="D755" i="14" a="1"/>
  <c r="C755" i="14" s="1" a="1"/>
  <c r="C755" i="19"/>
  <c r="C752" i="19"/>
  <c r="D752" i="14" a="1"/>
  <c r="C752" i="14" s="1" a="1"/>
  <c r="D734" i="14" a="1"/>
  <c r="C734" i="14" s="1" a="1"/>
  <c r="C734" i="19"/>
  <c r="D733" i="14" a="1"/>
  <c r="C733" i="14" s="1" a="1"/>
  <c r="C733" i="19"/>
  <c r="D727" i="14" a="1"/>
  <c r="C727" i="14" s="1" a="1"/>
  <c r="C727" i="19"/>
  <c r="C726" i="19"/>
  <c r="D726" i="14" a="1"/>
  <c r="C726" i="14" s="1" a="1"/>
  <c r="C720" i="19"/>
  <c r="D720" i="14" a="1"/>
  <c r="C720" i="14" s="1" a="1"/>
  <c r="D719" i="14" a="1"/>
  <c r="C719" i="19"/>
  <c r="C713" i="19"/>
  <c r="D713" i="14" a="1"/>
  <c r="C713" i="14" s="1" a="1"/>
  <c r="D709" i="14" a="1"/>
  <c r="C709" i="14" s="1" a="1"/>
  <c r="C709" i="19"/>
  <c r="C704" i="19"/>
  <c r="D704" i="14" a="1"/>
  <c r="C704" i="14" s="1" a="1"/>
  <c r="D703" i="14" a="1"/>
  <c r="C703" i="14" s="1" a="1"/>
  <c r="C703" i="19"/>
  <c r="C702" i="19"/>
  <c r="D702" i="14" a="1"/>
  <c r="C702" i="14" s="1" a="1"/>
  <c r="C417" i="19"/>
  <c r="D417" i="14" a="1"/>
  <c r="D364" i="14" a="1"/>
  <c r="C364" i="19"/>
  <c r="D26" i="14" a="1"/>
  <c r="C26" i="14" s="1" a="1"/>
  <c r="C26" i="19"/>
  <c r="D18" i="14" a="1"/>
  <c r="C18" i="19"/>
  <c r="D8" i="14" a="1"/>
  <c r="C8" i="14" s="1" a="1"/>
  <c r="C8" i="19"/>
  <c r="C430" i="19"/>
  <c r="D430" i="14" a="1"/>
  <c r="C430" i="14" s="1" a="1"/>
  <c r="C429" i="19"/>
  <c r="D429" i="14" a="1"/>
  <c r="C429" i="14" s="1" a="1"/>
  <c r="C25" i="19"/>
  <c r="D25" i="14" a="1"/>
  <c r="C25" i="14" s="1" a="1"/>
  <c r="D17" i="14" a="1"/>
  <c r="C17" i="14" s="1" a="1"/>
  <c r="C17" i="19"/>
  <c r="D30" i="14" a="1"/>
  <c r="C30" i="14" s="1" a="1"/>
  <c r="C30" i="19"/>
  <c r="D21" i="14" a="1"/>
  <c r="C21" i="14" s="1" a="1"/>
  <c r="C21" i="19"/>
  <c r="C411" i="19"/>
  <c r="D411" i="14" a="1"/>
  <c r="C411" i="14" s="1" a="1"/>
  <c r="C744" i="19"/>
  <c r="D744" i="14" a="1"/>
  <c r="C744" i="14" s="1" a="1"/>
  <c r="D725" i="14" a="1"/>
  <c r="C725" i="14" s="1" a="1"/>
  <c r="C725" i="19"/>
  <c r="C427" i="19"/>
  <c r="D427" i="14" a="1"/>
  <c r="C426" i="19"/>
  <c r="D426" i="14" a="1"/>
  <c r="C426" i="14" s="1" a="1"/>
  <c r="C15" i="19"/>
  <c r="D15" i="14" a="1"/>
  <c r="C15" i="14" s="1" a="1"/>
  <c r="D754" i="14" a="1"/>
  <c r="C754" i="14" s="1" a="1"/>
  <c r="C754" i="19"/>
  <c r="D753" i="14" a="1"/>
  <c r="C753" i="14" s="1" a="1"/>
  <c r="C753" i="19"/>
  <c r="D724" i="14" a="1"/>
  <c r="C724" i="14" s="1" a="1"/>
  <c r="C724" i="19"/>
  <c r="C708" i="19"/>
  <c r="D708" i="14" a="1"/>
  <c r="C708" i="14" s="1" a="1"/>
  <c r="D707" i="14" a="1"/>
  <c r="C707" i="19"/>
  <c r="C422" i="19"/>
  <c r="D422" i="14" a="1"/>
  <c r="C421" i="19"/>
  <c r="D421" i="14" a="1"/>
  <c r="C421" i="14" s="1" a="1"/>
  <c r="C420" i="19"/>
  <c r="D420" i="14" a="1"/>
  <c r="C420" i="14" s="1" a="1"/>
  <c r="C366" i="19"/>
  <c r="D366" i="14" a="1"/>
  <c r="C366" i="14" s="1" a="1"/>
  <c r="C9" i="19"/>
  <c r="D9" i="14" a="1"/>
  <c r="C9" i="14" s="1" a="1"/>
  <c r="C418" i="19"/>
  <c r="D418" i="14" a="1"/>
  <c r="C416" i="19"/>
  <c r="D416" i="14" a="1"/>
  <c r="C416" i="14" s="1" a="1"/>
  <c r="C415" i="19"/>
  <c r="D415" i="14" a="1"/>
  <c r="C415" i="14" s="1" a="1"/>
  <c r="D368" i="14" a="1"/>
  <c r="C368" i="14" s="1" a="1"/>
  <c r="C368" i="19"/>
  <c r="D749" i="14" a="1"/>
  <c r="C749" i="14" s="1" a="1"/>
  <c r="C749" i="19"/>
  <c r="C739" i="19"/>
  <c r="D739" i="14" a="1"/>
  <c r="C739" i="14" s="1" a="1"/>
  <c r="C731" i="19"/>
  <c r="D731" i="14" a="1"/>
  <c r="C731" i="14" s="1" a="1"/>
  <c r="D730" i="14" a="1"/>
  <c r="C730" i="14" s="1" a="1"/>
  <c r="C730" i="19"/>
  <c r="C723" i="19"/>
  <c r="D723" i="14" a="1"/>
  <c r="D712" i="14" a="1"/>
  <c r="C712" i="14" s="1" a="1"/>
  <c r="C712" i="19"/>
  <c r="D705" i="14" a="1"/>
  <c r="C705" i="14" s="1" a="1"/>
  <c r="C705" i="19"/>
  <c r="C419" i="19"/>
  <c r="D419" i="14" a="1"/>
  <c r="C419" i="14" s="1" a="1"/>
  <c r="C367" i="19"/>
  <c r="D367" i="14" a="1"/>
  <c r="C367" i="14" s="1" a="1"/>
  <c r="C365" i="19"/>
  <c r="D365" i="14" a="1"/>
  <c r="C365" i="14" s="1" a="1"/>
  <c r="C29" i="19"/>
  <c r="D29" i="14" a="1"/>
  <c r="C29" i="14" s="1" a="1"/>
  <c r="C16" i="19"/>
  <c r="D16" i="14" a="1"/>
  <c r="C16" i="14" s="1" a="1"/>
  <c r="D758" i="14" a="1"/>
  <c r="C758" i="14" s="1" a="1"/>
  <c r="C758" i="19"/>
  <c r="D757" i="14" a="1"/>
  <c r="C757" i="14" s="1" a="1"/>
  <c r="C757" i="19"/>
  <c r="C740" i="19"/>
  <c r="D740" i="14" a="1"/>
  <c r="C740" i="14" s="1" a="1"/>
  <c r="D732" i="14" a="1"/>
  <c r="C732" i="14" s="1" a="1"/>
  <c r="C732" i="19"/>
  <c r="D369" i="14" a="1"/>
  <c r="C369" i="14" s="1" a="1"/>
  <c r="C369" i="19"/>
  <c r="C34" i="19"/>
  <c r="D34" i="14" a="1"/>
  <c r="C34" i="14" s="1" a="1"/>
  <c r="D20" i="14" a="1"/>
  <c r="C20" i="14" s="1" a="1"/>
  <c r="C20" i="19"/>
  <c r="D19" i="14" a="1"/>
  <c r="C19" i="14" s="1" a="1"/>
  <c r="C19" i="19"/>
  <c r="D7" i="14" a="1"/>
  <c r="C7" i="14" s="1" a="1"/>
  <c r="C7" i="19"/>
  <c r="D751" i="14" a="1"/>
  <c r="C751" i="14" s="1" a="1"/>
  <c r="C751" i="19"/>
  <c r="C743" i="19"/>
  <c r="D743" i="14" a="1"/>
  <c r="C743" i="14" s="1" a="1"/>
  <c r="D735" i="14" a="1"/>
  <c r="C735" i="14" s="1" a="1"/>
  <c r="C735" i="19"/>
  <c r="C717" i="19"/>
  <c r="D717" i="14" a="1"/>
  <c r="C717" i="14" s="1" a="1"/>
  <c r="C711" i="19"/>
  <c r="D711" i="14" a="1"/>
  <c r="C711" i="14" s="1" a="1"/>
  <c r="C428" i="19"/>
  <c r="D428" i="14" a="1"/>
  <c r="C428" i="14" s="1" a="1"/>
  <c r="C23" i="19"/>
  <c r="D23" i="14" a="1"/>
  <c r="C23" i="14" s="1" a="1"/>
  <c r="D13" i="14" a="1"/>
  <c r="C13" i="14" s="1" a="1"/>
  <c r="C13" i="19"/>
  <c r="C10" i="19"/>
  <c r="D10" i="14" a="1"/>
  <c r="C10" i="14" s="1" a="1"/>
  <c r="C764" i="19"/>
  <c r="D764" i="14" a="1"/>
  <c r="D763" i="14" a="1"/>
  <c r="C763" i="14" s="1" a="1"/>
  <c r="C763" i="19"/>
  <c r="C747" i="19"/>
  <c r="D747" i="14" a="1"/>
  <c r="C747" i="14" s="1" a="1"/>
  <c r="D746" i="14" a="1"/>
  <c r="C746" i="14" s="1" a="1"/>
  <c r="C746" i="19"/>
  <c r="C745" i="19"/>
  <c r="D745" i="14" a="1"/>
  <c r="C738" i="19"/>
  <c r="D738" i="14" a="1"/>
  <c r="C738" i="14" s="1" a="1"/>
  <c r="C737" i="19"/>
  <c r="D737" i="14" a="1"/>
  <c r="C737" i="14" s="1" a="1"/>
  <c r="C736" i="19"/>
  <c r="D736" i="14" a="1"/>
  <c r="C729" i="19"/>
  <c r="D729" i="14" a="1"/>
  <c r="C729" i="14" s="1" a="1"/>
  <c r="C701" i="19"/>
  <c r="D701" i="14" a="1"/>
  <c r="C701" i="14" s="1" a="1"/>
  <c r="D718" i="14" a="1"/>
  <c r="C718" i="14" s="1" a="1"/>
  <c r="C718" i="19"/>
  <c r="D716" i="14" a="1"/>
  <c r="C716" i="14" s="1" a="1"/>
  <c r="C716" i="19"/>
  <c r="D762" i="14" a="1"/>
  <c r="C762" i="14" s="1" a="1"/>
  <c r="C762" i="19"/>
  <c r="C760" i="19"/>
  <c r="D760" i="14" a="1"/>
  <c r="C760" i="14" s="1" a="1"/>
  <c r="C759" i="19"/>
  <c r="D759" i="14" a="1"/>
  <c r="C759" i="14" s="1" a="1"/>
  <c r="C750" i="19"/>
  <c r="D750" i="14" a="1"/>
  <c r="C748" i="19"/>
  <c r="D748" i="14" a="1"/>
  <c r="C748" i="14" s="1" a="1"/>
  <c r="D742" i="14" a="1"/>
  <c r="C742" i="14" s="1" a="1"/>
  <c r="C742" i="19"/>
  <c r="C741" i="19"/>
  <c r="D741" i="14" a="1"/>
  <c r="C728" i="19"/>
  <c r="D728" i="14" a="1"/>
  <c r="C728" i="14" s="1" a="1"/>
  <c r="C721" i="19"/>
  <c r="D721" i="14" a="1"/>
  <c r="C721" i="14" s="1" a="1"/>
  <c r="D715" i="14" a="1"/>
  <c r="C715" i="14" s="1" a="1"/>
  <c r="C715" i="19"/>
  <c r="D714" i="14" a="1"/>
  <c r="C714" i="14" s="1" a="1"/>
  <c r="C714" i="19"/>
  <c r="D710" i="14" a="1"/>
  <c r="C710" i="14" s="1" a="1"/>
  <c r="C710" i="19"/>
  <c r="C706" i="19"/>
  <c r="D706" i="14" a="1"/>
  <c r="C706" i="14" s="1" a="1"/>
  <c r="D700" i="14" a="1"/>
  <c r="C700" i="14" s="1" a="1"/>
  <c r="C700" i="19"/>
  <c r="C699" i="19"/>
  <c r="D699" i="14" a="1"/>
  <c r="C699" i="14" s="1" a="1"/>
  <c r="C425" i="19"/>
  <c r="D425" i="14" a="1"/>
  <c r="C352" i="19"/>
  <c r="D352" i="14" a="1"/>
  <c r="C352" i="14" s="1" a="1"/>
  <c r="D351" i="14" a="1"/>
  <c r="C351" i="14" s="1" a="1"/>
  <c r="C351" i="19"/>
  <c r="D28" i="14" a="1"/>
  <c r="C28" i="14" s="1" a="1"/>
  <c r="C28" i="19"/>
  <c r="C22" i="19"/>
  <c r="D22" i="14" a="1"/>
  <c r="C22" i="14" s="1" a="1"/>
  <c r="D11" i="14" a="1"/>
  <c r="C11" i="14" s="1" a="1"/>
  <c r="C11" i="19"/>
  <c r="C722" i="19"/>
  <c r="D722" i="14" a="1"/>
  <c r="C722" i="14" s="1" a="1"/>
  <c r="C424" i="19"/>
  <c r="D424" i="14" a="1"/>
  <c r="C424" i="14" s="1" a="1"/>
  <c r="C423" i="19"/>
  <c r="D423" i="14" a="1"/>
  <c r="C423" i="14" s="1" a="1"/>
  <c r="D27" i="14" a="1"/>
  <c r="C27" i="14" s="1" a="1"/>
  <c r="C27" i="19"/>
  <c r="D24" i="14" a="1"/>
  <c r="C24" i="19"/>
  <c r="C14" i="19"/>
  <c r="D14" i="14" a="1"/>
  <c r="C14" i="14" s="1" a="1"/>
  <c r="D12" i="14" a="1"/>
  <c r="C12" i="14" s="1" a="1"/>
  <c r="C12" i="19"/>
  <c r="C373" i="14" s="1" a="1"/>
  <c r="C388" i="14" s="1" a="1"/>
  <c r="C400" i="14" s="1" a="1"/>
  <c r="C410" i="14" s="1" a="1"/>
  <c r="C354" i="14" s="1" a="1"/>
  <c r="C397" i="14" s="1" a="1"/>
  <c r="C370" i="14" s="1" a="1"/>
  <c r="C393" i="14" s="1" a="1"/>
  <c r="C401" i="14" s="1" a="1"/>
  <c r="C389" i="14" s="1" a="1"/>
  <c r="C654" i="14" s="1" a="1"/>
  <c r="C407" i="14" s="1" a="1"/>
  <c r="C355" i="14" s="1" a="1"/>
  <c r="C372" i="14" s="1" a="1"/>
  <c r="C395" i="14" s="1" a="1"/>
  <c r="C403" i="14" s="1" a="1"/>
  <c r="C6" i="14" s="1" a="1"/>
  <c r="C358" i="14" s="1" a="1"/>
  <c r="C394" i="14" s="1" a="1"/>
  <c r="C398" i="14" s="1" a="1"/>
  <c r="C361" i="14" s="1" a="1"/>
  <c r="C404" i="14" s="1" a="1"/>
  <c r="C396" i="14" s="1" a="1"/>
  <c r="C371" i="14" s="1" a="1"/>
  <c r="C390" i="14" s="1" a="1"/>
  <c r="C408" i="14" s="1" a="1"/>
  <c r="C362" i="14" s="1" a="1"/>
  <c r="C382" i="14" s="1" a="1"/>
  <c r="C402" i="14" s="1" a="1"/>
  <c r="C406" i="14" s="1" a="1"/>
  <c r="C392" i="14" s="1" a="1"/>
  <c r="C391" i="14" s="1" a="1"/>
  <c r="C4" i="19"/>
  <c r="C5" i="19"/>
  <c r="C6" i="19"/>
  <c r="D33" i="14" a="1"/>
  <c r="C33" i="14" s="1" a="1"/>
  <c r="C33" i="19"/>
  <c r="D37" i="14" a="1"/>
  <c r="C37" i="14" s="1" a="1"/>
  <c r="C37" i="19"/>
  <c r="D39" i="14" a="1"/>
  <c r="C39" i="14" s="1" a="1"/>
  <c r="C39" i="19"/>
  <c r="D41" i="14" a="1"/>
  <c r="C41" i="14" s="1" a="1"/>
  <c r="C41" i="19"/>
  <c r="D43" i="14" a="1"/>
  <c r="C43" i="14" s="1" a="1"/>
  <c r="C43" i="19"/>
  <c r="D50" i="14" a="1"/>
  <c r="C50" i="14" s="1" a="1"/>
  <c r="C50" i="19"/>
  <c r="D71" i="14" a="1"/>
  <c r="C71" i="14" s="1" a="1"/>
  <c r="C71" i="19"/>
  <c r="D89" i="14" a="1"/>
  <c r="C89" i="14" s="1" a="1"/>
  <c r="C89" i="19"/>
  <c r="D90" i="14" a="1"/>
  <c r="C90" i="19"/>
  <c r="D101" i="14" a="1"/>
  <c r="C101" i="14" s="1" a="1"/>
  <c r="C101" i="19"/>
  <c r="D110" i="14" a="1"/>
  <c r="C110" i="14" s="1" a="1"/>
  <c r="C110" i="19"/>
  <c r="D118" i="14" a="1"/>
  <c r="C118" i="14" s="1" a="1"/>
  <c r="C118" i="19"/>
  <c r="D127" i="14" a="1"/>
  <c r="C127" i="14" s="1" a="1"/>
  <c r="C127" i="19"/>
  <c r="D128" i="14" a="1"/>
  <c r="C128" i="14" s="1" a="1"/>
  <c r="C128" i="19"/>
  <c r="D138" i="14" a="1"/>
  <c r="C138" i="14" s="1" a="1"/>
  <c r="C138" i="19"/>
  <c r="C139" i="19"/>
  <c r="D139" i="14" a="1"/>
  <c r="C139" i="14" s="1" a="1"/>
  <c r="D147" i="14" a="1"/>
  <c r="C147" i="14" s="1" a="1"/>
  <c r="C147" i="19"/>
  <c r="D158" i="14" a="1"/>
  <c r="C158" i="19"/>
  <c r="C167" i="19"/>
  <c r="D167" i="14" a="1"/>
  <c r="C167" i="14" s="1" a="1"/>
  <c r="D168" i="14" a="1"/>
  <c r="C168" i="14" s="1" a="1"/>
  <c r="C168" i="19"/>
  <c r="D197" i="14" a="1"/>
  <c r="C197" i="14" s="1" a="1"/>
  <c r="C197" i="19"/>
  <c r="C200" i="19"/>
  <c r="D200" i="14" a="1"/>
  <c r="C210" i="19"/>
  <c r="D210" i="14" a="1"/>
  <c r="C210" i="14" s="1" a="1"/>
  <c r="C211" i="19"/>
  <c r="D211" i="14" a="1"/>
  <c r="C211" i="14" s="1" a="1"/>
  <c r="D220" i="14" a="1"/>
  <c r="C220" i="14" s="1" a="1"/>
  <c r="C220" i="19"/>
  <c r="D240" i="14" a="1"/>
  <c r="C240" i="14" s="1" a="1"/>
  <c r="C240" i="19"/>
  <c r="D244" i="14" a="1"/>
  <c r="C244" i="14" s="1" a="1"/>
  <c r="C244" i="19"/>
  <c r="C255" i="19"/>
  <c r="D255" i="14" a="1"/>
  <c r="C255" i="14" s="1" a="1"/>
  <c r="D275" i="14" a="1"/>
  <c r="C275" i="14" s="1" a="1"/>
  <c r="C275" i="19"/>
  <c r="D284" i="14" a="1"/>
  <c r="C284" i="14" s="1" a="1"/>
  <c r="C284" i="19"/>
  <c r="D293" i="14" a="1"/>
  <c r="C293" i="14" s="1" a="1"/>
  <c r="C293" i="19"/>
  <c r="D314" i="14" a="1"/>
  <c r="C314" i="14" s="1" a="1"/>
  <c r="C314" i="19"/>
  <c r="D325" i="14" a="1"/>
  <c r="C325" i="14" s="1" a="1"/>
  <c r="C325" i="19"/>
  <c r="D345" i="14" a="1"/>
  <c r="C345" i="14" s="1" a="1"/>
  <c r="C345" i="19"/>
  <c r="C447" i="19"/>
  <c r="D447" i="14" a="1"/>
  <c r="C447" i="14" s="1" a="1"/>
  <c r="C448" i="19"/>
  <c r="D448" i="14" a="1"/>
  <c r="D449" i="14" a="1"/>
  <c r="C449" i="14" s="1" a="1"/>
  <c r="C449" i="19"/>
  <c r="D460" i="14" a="1"/>
  <c r="C460" i="14" s="1" a="1"/>
  <c r="C460" i="19"/>
  <c r="D484" i="14" a="1"/>
  <c r="C484" i="14" s="1" a="1"/>
  <c r="C484" i="19"/>
  <c r="C510" i="19"/>
  <c r="D510" i="14" a="1"/>
  <c r="D511" i="14" a="1"/>
  <c r="C511" i="14" s="1" a="1"/>
  <c r="C511" i="19"/>
  <c r="C525" i="19"/>
  <c r="D525" i="14" a="1"/>
  <c r="C525" i="14" s="1" a="1"/>
  <c r="C537" i="19"/>
  <c r="D537" i="14" a="1"/>
  <c r="C537" i="14" s="1" a="1"/>
  <c r="C569" i="19"/>
  <c r="D569" i="14" a="1"/>
  <c r="C569" i="14" s="1" a="1"/>
  <c r="D570" i="14" a="1"/>
  <c r="C570" i="14" s="1" a="1"/>
  <c r="C570" i="19"/>
  <c r="C593" i="19"/>
  <c r="D593" i="14" a="1"/>
  <c r="C593" i="14" s="1" a="1"/>
  <c r="C604" i="19"/>
  <c r="D604" i="14" a="1"/>
  <c r="C604" i="14" s="1" a="1"/>
  <c r="D615" i="14" a="1"/>
  <c r="C615" i="14" s="1" a="1"/>
  <c r="C615" i="19"/>
  <c r="D616" i="14" a="1"/>
  <c r="C616" i="14" s="1" a="1"/>
  <c r="C616" i="19"/>
  <c r="C658" i="19"/>
  <c r="D658" i="14" a="1"/>
  <c r="C658" i="14" s="1" a="1"/>
  <c r="D663" i="14" a="1"/>
  <c r="C663" i="14" s="1" a="1"/>
  <c r="C663" i="19"/>
  <c r="D669" i="14" a="1"/>
  <c r="C669" i="14" s="1" a="1"/>
  <c r="C669" i="19"/>
  <c r="D687" i="14" a="1"/>
  <c r="C687" i="19"/>
  <c r="C693" i="19"/>
  <c r="D693" i="14" a="1"/>
  <c r="D801" i="14" a="1"/>
  <c r="C801" i="14" s="1" a="1"/>
  <c r="C801" i="19"/>
  <c r="C847" i="19"/>
  <c r="D847" i="14" a="1"/>
  <c r="D870" i="14" a="1"/>
  <c r="C870" i="14" s="1" a="1"/>
  <c r="C870" i="19"/>
  <c r="D875" i="14" a="1"/>
  <c r="C875" i="14" s="1" a="1"/>
  <c r="C875" i="19"/>
  <c r="D878" i="14" a="1"/>
  <c r="C878" i="14" s="1" a="1"/>
  <c r="C878" i="19"/>
  <c r="C890" i="19"/>
  <c r="D890" i="14" a="1"/>
  <c r="C890" i="14" s="1" a="1"/>
  <c r="D350" i="14" a="1"/>
  <c r="C350" i="14" s="1" a="1"/>
  <c r="C350" i="19"/>
  <c r="D445" i="14" a="1"/>
  <c r="C445" i="14" s="1" a="1"/>
  <c r="C445" i="19"/>
  <c r="D472" i="14" a="1"/>
  <c r="C472" i="14" s="1" a="1"/>
  <c r="C472" i="19"/>
  <c r="D483" i="14" a="1"/>
  <c r="C483" i="19"/>
  <c r="C494" i="19"/>
  <c r="D494" i="14" a="1"/>
  <c r="C494" i="14" s="1" a="1"/>
  <c r="D520" i="14" a="1"/>
  <c r="C520" i="14" s="1" a="1"/>
  <c r="C520" i="19"/>
  <c r="D532" i="14" a="1"/>
  <c r="C532" i="14" s="1" a="1"/>
  <c r="C532" i="19"/>
  <c r="D533" i="14" a="1"/>
  <c r="C533" i="14" s="1" a="1"/>
  <c r="C533" i="19"/>
  <c r="D534" i="14" a="1"/>
  <c r="C534" i="14" s="1" a="1"/>
  <c r="C534" i="19"/>
  <c r="C547" i="19"/>
  <c r="D547" i="14" a="1"/>
  <c r="C547" i="14" s="1" a="1"/>
  <c r="C599" i="19"/>
  <c r="D599" i="14" a="1"/>
  <c r="C599" i="14" s="1" a="1"/>
  <c r="C659" i="19"/>
  <c r="D659" i="14" a="1"/>
  <c r="C659" i="14" s="1" a="1"/>
  <c r="D679" i="14" a="1"/>
  <c r="C679" i="14" s="1" a="1"/>
  <c r="C679" i="19"/>
  <c r="C684" i="19"/>
  <c r="D684" i="14" a="1"/>
  <c r="C684" i="14" s="1" a="1"/>
  <c r="C769" i="19"/>
  <c r="D769" i="14" a="1"/>
  <c r="C769" i="14" s="1" a="1"/>
  <c r="D770" i="14" a="1"/>
  <c r="C770" i="14" s="1" a="1"/>
  <c r="C770" i="19"/>
  <c r="C785" i="19"/>
  <c r="D785" i="14" a="1"/>
  <c r="C785" i="14" s="1" a="1"/>
  <c r="D787" i="14" a="1"/>
  <c r="C787" i="14" s="1" a="1"/>
  <c r="C787" i="19"/>
  <c r="C788" i="19"/>
  <c r="D788" i="14" a="1"/>
  <c r="C788" i="14" s="1" a="1"/>
  <c r="C803" i="19"/>
  <c r="D803" i="14" a="1"/>
  <c r="C803" i="14" s="1" a="1"/>
  <c r="D826" i="14" a="1"/>
  <c r="C826" i="14" s="1" a="1"/>
  <c r="C826" i="19"/>
  <c r="D831" i="14" a="1"/>
  <c r="C831" i="19"/>
  <c r="C835" i="19"/>
  <c r="D835" i="14" a="1"/>
  <c r="C835" i="14" s="1" a="1"/>
  <c r="C836" i="19"/>
  <c r="D836" i="14" a="1"/>
  <c r="C836" i="14" s="1" a="1"/>
  <c r="C851" i="19"/>
  <c r="D851" i="14" a="1"/>
  <c r="C851" i="14" s="1" a="1"/>
  <c r="D852" i="14" a="1"/>
  <c r="C852" i="14" s="1" a="1"/>
  <c r="C852" i="19"/>
  <c r="C863" i="19"/>
  <c r="D863" i="14" a="1"/>
  <c r="C863" i="14" s="1" a="1"/>
  <c r="D876" i="14" a="1"/>
  <c r="C876" i="14" s="1" a="1"/>
  <c r="C876" i="19"/>
  <c r="D889" i="14" a="1"/>
  <c r="C889" i="14" s="1" a="1"/>
  <c r="C889" i="19"/>
  <c r="C791" i="19"/>
  <c r="D791" i="14" a="1"/>
  <c r="C791" i="14" s="1" a="1"/>
  <c r="D794" i="14" a="1"/>
  <c r="C794" i="14" s="1" a="1"/>
  <c r="C794" i="19"/>
  <c r="D817" i="14" a="1"/>
  <c r="C817" i="14" s="1" a="1"/>
  <c r="C817" i="19"/>
  <c r="C818" i="19"/>
  <c r="D818" i="14" a="1"/>
  <c r="C818" i="14" s="1" a="1"/>
  <c r="C821" i="19"/>
  <c r="D821" i="14" a="1"/>
  <c r="C821" i="14" s="1" a="1"/>
  <c r="D897" i="14" a="1"/>
  <c r="C897" i="14" s="1" a="1"/>
  <c r="C897" i="19"/>
  <c r="D899" i="14" a="1"/>
  <c r="C899" i="14" s="1" a="1"/>
  <c r="C899" i="19"/>
  <c r="D900" i="14" a="1"/>
  <c r="C900" i="14" s="1" a="1"/>
  <c r="C900" i="19"/>
  <c r="C902" i="19"/>
  <c r="D902" i="14" a="1"/>
  <c r="C902" i="14" s="1" a="1"/>
  <c r="D907" i="14" a="1"/>
  <c r="C907" i="19"/>
  <c r="C590" i="19"/>
  <c r="D590" i="14" a="1"/>
  <c r="C590" i="14" s="1" a="1"/>
  <c r="D629" i="14" a="1"/>
  <c r="C629" i="14" s="1" a="1"/>
  <c r="C629" i="19"/>
  <c r="D643" i="14" a="1"/>
  <c r="C643" i="14" s="1" a="1"/>
  <c r="C643" i="19"/>
  <c r="D678" i="14" a="1"/>
  <c r="C678" i="14" s="1" a="1"/>
  <c r="C678" i="19"/>
  <c r="D682" i="14" a="1"/>
  <c r="C682" i="14" s="1" a="1"/>
  <c r="C682" i="19"/>
  <c r="C691" i="19"/>
  <c r="D691" i="14" a="1"/>
  <c r="C691" i="14" s="1" a="1"/>
  <c r="D767" i="14" a="1"/>
  <c r="C767" i="14" s="1" a="1"/>
  <c r="C767" i="19"/>
  <c r="C797" i="19"/>
  <c r="D797" i="14" a="1"/>
  <c r="C797" i="14" s="1" a="1"/>
  <c r="C814" i="19"/>
  <c r="D814" i="14" a="1"/>
  <c r="C814" i="14" s="1" a="1"/>
  <c r="D815" i="14" a="1"/>
  <c r="C815" i="19"/>
  <c r="D816" i="14" a="1"/>
  <c r="C816" i="14" s="1" a="1"/>
  <c r="C816" i="19"/>
  <c r="D867" i="14" a="1"/>
  <c r="C867" i="14" s="1" a="1"/>
  <c r="C867" i="19"/>
  <c r="C874" i="19"/>
  <c r="D874" i="14" a="1"/>
  <c r="C874" i="14" s="1" a="1"/>
  <c r="C648" i="19"/>
  <c r="D648" i="14" a="1"/>
  <c r="C648" i="14" s="1" a="1"/>
  <c r="D853" i="14" a="1"/>
  <c r="C853" i="14" s="1" a="1"/>
  <c r="C853" i="19"/>
  <c r="D855" i="14" a="1"/>
  <c r="C855" i="14" s="1" a="1"/>
  <c r="C855" i="19"/>
  <c r="C860" i="19"/>
  <c r="D861" i="14" a="1"/>
  <c r="C861" i="14" s="1" a="1"/>
  <c r="D888" i="14" a="1"/>
  <c r="C888" i="14" s="1" a="1"/>
  <c r="C888" i="19"/>
  <c r="C892" i="19"/>
  <c r="D892" i="14" a="1"/>
  <c r="C892" i="14" s="1" a="1"/>
  <c r="C505" i="19"/>
  <c r="D505" i="14" a="1"/>
  <c r="C505" i="14" s="1" a="1"/>
  <c r="C514" i="19"/>
  <c r="D514" i="14" a="1"/>
  <c r="C514" i="14" s="1" a="1"/>
  <c r="D609" i="14" a="1"/>
  <c r="C609" i="14" s="1" a="1"/>
  <c r="C609" i="19"/>
  <c r="C610" i="19"/>
  <c r="D610" i="14" a="1"/>
  <c r="C610" i="14" s="1" a="1"/>
  <c r="C627" i="19"/>
  <c r="D627" i="14" a="1"/>
  <c r="C627" i="14" s="1" a="1"/>
  <c r="C628" i="19"/>
  <c r="D628" i="14" a="1"/>
  <c r="C628" i="14" s="1" a="1"/>
  <c r="D668" i="14" a="1"/>
  <c r="C668" i="14" s="1" a="1"/>
  <c r="C668" i="19"/>
  <c r="D820" i="14" a="1"/>
  <c r="C820" i="14" s="1" a="1"/>
  <c r="C820" i="19"/>
  <c r="C856" i="19"/>
  <c r="D856" i="14" a="1"/>
  <c r="C856" i="14" s="1" a="1"/>
  <c r="C884" i="19"/>
  <c r="D884" i="14" a="1"/>
  <c r="C121" i="19"/>
  <c r="D121" i="14" a="1"/>
  <c r="C121" i="14" s="1" a="1"/>
  <c r="C126" i="19"/>
  <c r="D126" i="14" a="1"/>
  <c r="C126" i="14" s="1" a="1"/>
  <c r="C170" i="19"/>
  <c r="D170" i="14" a="1"/>
  <c r="C170" i="14" s="1" a="1"/>
  <c r="D184" i="14" a="1"/>
  <c r="C184" i="14" s="1" a="1"/>
  <c r="C184" i="19"/>
  <c r="C223" i="19"/>
  <c r="D223" i="14" a="1"/>
  <c r="C223" i="14" s="1" a="1"/>
  <c r="C224" i="19"/>
  <c r="D224" i="14" a="1"/>
  <c r="C225" i="19"/>
  <c r="D225" i="14" a="1"/>
  <c r="C235" i="19"/>
  <c r="D235" i="14" a="1"/>
  <c r="C235" i="14" s="1" a="1"/>
  <c r="C257" i="19"/>
  <c r="D257" i="14" a="1"/>
  <c r="C257" i="14" s="1" a="1"/>
  <c r="C267" i="19"/>
  <c r="D267" i="14" a="1"/>
  <c r="C267" i="14" s="1" a="1"/>
  <c r="C281" i="19"/>
  <c r="D281" i="14" a="1"/>
  <c r="C281" i="14" s="1" a="1"/>
  <c r="C307" i="19"/>
  <c r="D307" i="14" a="1"/>
  <c r="C307" i="14" s="1" a="1"/>
  <c r="C319" i="19"/>
  <c r="D319" i="14" a="1"/>
  <c r="C319" i="14" s="1" a="1"/>
  <c r="C320" i="19"/>
  <c r="D320" i="14" a="1"/>
  <c r="C320" i="14" s="1" a="1"/>
  <c r="C331" i="19"/>
  <c r="D331" i="14" a="1"/>
  <c r="C331" i="14" s="1" a="1"/>
  <c r="C344" i="19"/>
  <c r="D344" i="14" a="1"/>
  <c r="C344" i="14" s="1" a="1"/>
  <c r="C451" i="19"/>
  <c r="D451" i="14" a="1"/>
  <c r="C463" i="19"/>
  <c r="D463" i="14" a="1"/>
  <c r="D476" i="14" a="1"/>
  <c r="C476" i="14" s="1" a="1"/>
  <c r="C476" i="19"/>
  <c r="D477" i="14" a="1"/>
  <c r="C477" i="14" s="1" a="1"/>
  <c r="C477" i="19"/>
  <c r="D478" i="14" a="1"/>
  <c r="C478" i="14" s="1" a="1"/>
  <c r="C478" i="19"/>
  <c r="C479" i="19"/>
  <c r="D479" i="14" a="1"/>
  <c r="C479" i="14" s="1" a="1"/>
  <c r="D491" i="14" a="1"/>
  <c r="C491" i="14" s="1" a="1"/>
  <c r="C491" i="19"/>
  <c r="C517" i="19"/>
  <c r="D517" i="14" a="1"/>
  <c r="C517" i="14" s="1" a="1"/>
  <c r="C562" i="19"/>
  <c r="D562" i="14" a="1"/>
  <c r="C562" i="14" s="1" a="1"/>
  <c r="D572" i="14" a="1"/>
  <c r="C572" i="14" s="1" a="1"/>
  <c r="C572" i="19"/>
  <c r="C576" i="19"/>
  <c r="D576" i="14" a="1"/>
  <c r="C576" i="14" s="1" a="1"/>
  <c r="D577" i="14" a="1"/>
  <c r="C577" i="14" s="1" a="1"/>
  <c r="C577" i="19"/>
  <c r="C578" i="19"/>
  <c r="D578" i="14" a="1"/>
  <c r="C578" i="14" s="1" a="1"/>
  <c r="D607" i="14" a="1"/>
  <c r="C607" i="14" s="1" a="1"/>
  <c r="C607" i="19"/>
  <c r="C665" i="19"/>
  <c r="D665" i="14" a="1"/>
  <c r="C665" i="14" s="1" a="1"/>
  <c r="D667" i="14" a="1"/>
  <c r="C667" i="14" s="1" a="1"/>
  <c r="C667" i="19"/>
  <c r="D686" i="14" a="1"/>
  <c r="C686" i="14" s="1" a="1"/>
  <c r="C686" i="19"/>
  <c r="C782" i="19"/>
  <c r="D782" i="14" a="1"/>
  <c r="C782" i="14" s="1" a="1"/>
  <c r="D805" i="14" a="1"/>
  <c r="C805" i="14" s="1" a="1"/>
  <c r="C805" i="19"/>
  <c r="D806" i="14" a="1"/>
  <c r="C806" i="14" s="1" a="1"/>
  <c r="C806" i="19"/>
  <c r="D828" i="14" a="1"/>
  <c r="C828" i="14" s="1" a="1"/>
  <c r="C828" i="19"/>
  <c r="C846" i="19"/>
  <c r="D846" i="14" a="1"/>
  <c r="C846" i="14" s="1" a="1"/>
  <c r="D877" i="14" a="1"/>
  <c r="C877" i="14" s="1" a="1"/>
  <c r="C877" i="19"/>
  <c r="D526" i="14" a="1"/>
  <c r="C526" i="14" s="1" a="1"/>
  <c r="C526" i="19"/>
  <c r="C527" i="19"/>
  <c r="D527" i="14" a="1"/>
  <c r="C527" i="14" s="1" a="1"/>
  <c r="D543" i="14" a="1"/>
  <c r="C543" i="14" s="1" a="1"/>
  <c r="C543" i="19"/>
  <c r="D544" i="14" a="1"/>
  <c r="C544" i="14" s="1" a="1"/>
  <c r="C544" i="19"/>
  <c r="D545" i="14" a="1"/>
  <c r="C545" i="14" s="1" a="1"/>
  <c r="C545" i="19"/>
  <c r="C546" i="19"/>
  <c r="D546" i="14" a="1"/>
  <c r="C546" i="14" s="1" a="1"/>
  <c r="D558" i="14" a="1"/>
  <c r="C558" i="14" s="1" a="1"/>
  <c r="C558" i="19"/>
  <c r="D567" i="14" a="1"/>
  <c r="C567" i="14" s="1" a="1"/>
  <c r="C567" i="19"/>
  <c r="D597" i="14" a="1"/>
  <c r="C597" i="14" s="1" a="1"/>
  <c r="C597" i="19"/>
  <c r="C614" i="19"/>
  <c r="D614" i="14" a="1"/>
  <c r="C614" i="14" s="1" a="1"/>
  <c r="C639" i="19"/>
  <c r="D639" i="14" a="1"/>
  <c r="C639" i="14" s="1" a="1"/>
  <c r="C664" i="19"/>
  <c r="D664" i="14" a="1"/>
  <c r="C664" i="14" s="1" a="1"/>
  <c r="C786" i="19"/>
  <c r="D786" i="14" a="1"/>
  <c r="C786" i="14" s="1" a="1"/>
  <c r="C813" i="19"/>
  <c r="D813" i="14" a="1"/>
  <c r="C813" i="14" s="1" a="1"/>
  <c r="D837" i="14" a="1"/>
  <c r="C837" i="14" s="1" a="1"/>
  <c r="C837" i="19"/>
  <c r="D838" i="14" a="1"/>
  <c r="C838" i="14" s="1" a="1"/>
  <c r="C838" i="19"/>
  <c r="C841" i="19"/>
  <c r="D841" i="14" a="1"/>
  <c r="C841" i="14" s="1" a="1"/>
  <c r="C31" i="19"/>
  <c r="D31" i="14" a="1"/>
  <c r="C31" i="14" s="1" a="1"/>
  <c r="C32" i="19"/>
  <c r="D32" i="14" a="1"/>
  <c r="C40" i="19"/>
  <c r="D40" i="14" a="1"/>
  <c r="C40" i="14" s="1" a="1"/>
  <c r="C44" i="19"/>
  <c r="D44" i="14" a="1"/>
  <c r="C44" i="14" s="1" a="1"/>
  <c r="C52" i="19"/>
  <c r="D52" i="14" a="1"/>
  <c r="C52" i="14" s="1" a="1"/>
  <c r="C56" i="19"/>
  <c r="D56" i="14" a="1"/>
  <c r="C56" i="14" s="1" a="1"/>
  <c r="C59" i="19"/>
  <c r="D59" i="14" a="1"/>
  <c r="C60" i="19"/>
  <c r="D60" i="14" a="1"/>
  <c r="C60" i="14" s="1" a="1"/>
  <c r="C64" i="19"/>
  <c r="D64" i="14" a="1"/>
  <c r="C64" i="14" s="1" a="1"/>
  <c r="C65" i="19"/>
  <c r="D65" i="14" a="1"/>
  <c r="C65" i="14" s="1" a="1"/>
  <c r="C68" i="19"/>
  <c r="D68" i="14" a="1"/>
  <c r="C68" i="14" s="1" a="1"/>
  <c r="D76" i="14" a="1"/>
  <c r="C76" i="14" s="1" a="1"/>
  <c r="C76" i="19"/>
  <c r="D85" i="14" a="1"/>
  <c r="C85" i="19"/>
  <c r="D93" i="14" a="1"/>
  <c r="C93" i="14" s="1" a="1"/>
  <c r="C93" i="19"/>
  <c r="D94" i="14" a="1"/>
  <c r="C94" i="14" s="1" a="1"/>
  <c r="C94" i="19"/>
  <c r="C103" i="19"/>
  <c r="D103" i="14" a="1"/>
  <c r="C103" i="14" s="1" a="1"/>
  <c r="C104" i="19"/>
  <c r="D104" i="14" a="1"/>
  <c r="C104" i="14" s="1" a="1"/>
  <c r="C112" i="19"/>
  <c r="D112" i="14" a="1"/>
  <c r="C124" i="19"/>
  <c r="D124" i="14" a="1"/>
  <c r="C124" i="14" s="1" a="1"/>
  <c r="C136" i="19"/>
  <c r="D136" i="14" a="1"/>
  <c r="C136" i="14" s="1" a="1"/>
  <c r="C176" i="19"/>
  <c r="D176" i="14" a="1"/>
  <c r="C176" i="14" s="1" a="1"/>
  <c r="D177" i="14" a="1"/>
  <c r="C177" i="14" s="1" a="1"/>
  <c r="C177" i="19"/>
  <c r="C188" i="19"/>
  <c r="D188" i="14" a="1"/>
  <c r="C188" i="14" s="1" a="1"/>
  <c r="C195" i="19"/>
  <c r="D195" i="14" a="1"/>
  <c r="C195" i="14" s="1" a="1"/>
  <c r="C196" i="19"/>
  <c r="D196" i="14" a="1"/>
  <c r="C196" i="14" s="1" a="1"/>
  <c r="C204" i="19"/>
  <c r="D204" i="14" a="1"/>
  <c r="C204" i="14" s="1" a="1"/>
  <c r="C205" i="19"/>
  <c r="D205" i="14" a="1"/>
  <c r="C205" i="14" s="1" a="1"/>
  <c r="C207" i="19"/>
  <c r="D207" i="14" a="1"/>
  <c r="C207" i="14" s="1" a="1"/>
  <c r="D229" i="14" a="1"/>
  <c r="C229" i="14" s="1" a="1"/>
  <c r="C229" i="19"/>
  <c r="C239" i="19"/>
  <c r="D239" i="14" a="1"/>
  <c r="C239" i="14" s="1" a="1"/>
  <c r="D249" i="14" a="1"/>
  <c r="C249" i="14" s="1" a="1"/>
  <c r="C249" i="19"/>
  <c r="C271" i="19"/>
  <c r="D271" i="14" a="1"/>
  <c r="C271" i="14" s="1" a="1"/>
  <c r="C272" i="19"/>
  <c r="D272" i="14" a="1"/>
  <c r="C272" i="14" s="1" a="1"/>
  <c r="C285" i="19"/>
  <c r="D285" i="14" a="1"/>
  <c r="C285" i="14" s="1" a="1"/>
  <c r="C291" i="19"/>
  <c r="D291" i="14" a="1"/>
  <c r="C305" i="19"/>
  <c r="D305" i="14" a="1"/>
  <c r="C305" i="14" s="1" a="1"/>
  <c r="C306" i="19"/>
  <c r="D306" i="14" a="1"/>
  <c r="C306" i="14" s="1" a="1"/>
  <c r="C337" i="19"/>
  <c r="D337" i="14" a="1"/>
  <c r="C337" i="14" s="1" a="1"/>
  <c r="C338" i="19"/>
  <c r="D338" i="14" a="1"/>
  <c r="C338" i="14" s="1" a="1"/>
  <c r="C349" i="19"/>
  <c r="D349" i="14" a="1"/>
  <c r="C349" i="14" s="1" a="1"/>
  <c r="D440" i="14" a="1"/>
  <c r="C440" i="14" s="1" a="1"/>
  <c r="C440" i="19"/>
  <c r="C488" i="19"/>
  <c r="D488" i="14" a="1"/>
  <c r="C488" i="14" s="1" a="1"/>
  <c r="C500" i="19"/>
  <c r="D500" i="14" a="1"/>
  <c r="C500" i="14" s="1" a="1"/>
  <c r="C522" i="19"/>
  <c r="D522" i="14" a="1"/>
  <c r="C522" i="14" s="1" a="1"/>
  <c r="D535" i="14" a="1"/>
  <c r="C535" i="14" s="1" a="1"/>
  <c r="C535" i="19"/>
  <c r="D536" i="14" a="1"/>
  <c r="C536" i="14" s="1" a="1"/>
  <c r="C536" i="19"/>
  <c r="D548" i="14" a="1"/>
  <c r="C548" i="14" s="1" a="1"/>
  <c r="C548" i="19"/>
  <c r="D574" i="14" a="1"/>
  <c r="C574" i="14" s="1" a="1"/>
  <c r="C574" i="19"/>
  <c r="D575" i="14" a="1"/>
  <c r="C575" i="14" s="1" a="1"/>
  <c r="C575" i="19"/>
  <c r="D587" i="14" a="1"/>
  <c r="C587" i="14" s="1" a="1"/>
  <c r="C587" i="19"/>
  <c r="D589" i="14" a="1"/>
  <c r="C589" i="14" s="1" a="1"/>
  <c r="C589" i="19"/>
  <c r="C630" i="19"/>
  <c r="D630" i="14" a="1"/>
  <c r="C630" i="14" s="1" a="1"/>
  <c r="D631" i="14" a="1"/>
  <c r="C631" i="14" s="1" a="1"/>
  <c r="C631" i="19"/>
  <c r="D670" i="14" a="1"/>
  <c r="C670" i="14" s="1" a="1"/>
  <c r="C670" i="19"/>
  <c r="D671" i="14" a="1"/>
  <c r="C671" i="14" s="1" a="1"/>
  <c r="C671" i="19"/>
  <c r="C681" i="19"/>
  <c r="D681" i="14" a="1"/>
  <c r="C681" i="14" s="1" a="1"/>
  <c r="D765" i="14" a="1"/>
  <c r="C765" i="19"/>
  <c r="C780" i="19"/>
  <c r="D780" i="14" a="1"/>
  <c r="C780" i="14" s="1" a="1"/>
  <c r="D810" i="14" a="1"/>
  <c r="C810" i="14" s="1" a="1"/>
  <c r="C810" i="19"/>
  <c r="D834" i="14" a="1"/>
  <c r="C834" i="19"/>
  <c r="D882" i="14" a="1"/>
  <c r="C882" i="14" s="1" a="1"/>
  <c r="C882" i="19"/>
  <c r="C883" i="19"/>
  <c r="D883" i="14" a="1"/>
  <c r="C883" i="14" s="1" a="1"/>
  <c r="C885" i="19"/>
  <c r="D885" i="14" a="1"/>
  <c r="C885" i="14" s="1" a="1"/>
  <c r="D887" i="14" a="1"/>
  <c r="C887" i="14" s="1" a="1"/>
  <c r="C887" i="19"/>
  <c r="D903" i="14" a="1"/>
  <c r="C903" i="14" s="1" a="1"/>
  <c r="C903" i="19"/>
  <c r="D905" i="14" a="1"/>
  <c r="C905" i="14" s="1" a="1"/>
  <c r="C905" i="19"/>
  <c r="C38" i="19"/>
  <c r="D38" i="14" a="1"/>
  <c r="C38" i="14" s="1" a="1"/>
  <c r="C53" i="19"/>
  <c r="D53" i="14" a="1"/>
  <c r="C53" i="14" s="1" a="1"/>
  <c r="C66" i="19"/>
  <c r="D66" i="14" a="1"/>
  <c r="C66" i="14" s="1" a="1"/>
  <c r="D70" i="14" a="1"/>
  <c r="C70" i="14" s="1" a="1"/>
  <c r="C70" i="19"/>
  <c r="D77" i="14" a="1"/>
  <c r="C77" i="14" s="1" a="1"/>
  <c r="C77" i="19"/>
  <c r="D88" i="14" a="1"/>
  <c r="C88" i="14" s="1" a="1"/>
  <c r="C88" i="19"/>
  <c r="D107" i="14" a="1"/>
  <c r="C107" i="14" s="1" a="1"/>
  <c r="C107" i="19"/>
  <c r="D117" i="14" a="1"/>
  <c r="C117" i="14" s="1" a="1"/>
  <c r="C117" i="19"/>
  <c r="D129" i="14" a="1"/>
  <c r="C129" i="14" s="1" a="1"/>
  <c r="C129" i="19"/>
  <c r="D130" i="14" a="1"/>
  <c r="C130" i="14" s="1" a="1"/>
  <c r="C130" i="19"/>
  <c r="C131" i="19"/>
  <c r="D131" i="14" a="1"/>
  <c r="D132" i="14" a="1"/>
  <c r="C132" i="14" s="1" a="1"/>
  <c r="C132" i="19"/>
  <c r="C133" i="19"/>
  <c r="D133" i="14" a="1"/>
  <c r="C133" i="14" s="1" a="1"/>
  <c r="D154" i="14" a="1"/>
  <c r="C154" i="14" s="1" a="1"/>
  <c r="C154" i="19"/>
  <c r="C174" i="19"/>
  <c r="D174" i="14" a="1"/>
  <c r="C174" i="14" s="1" a="1"/>
  <c r="C206" i="19"/>
  <c r="D206" i="14" a="1"/>
  <c r="C206" i="14" s="1" a="1"/>
  <c r="C215" i="19"/>
  <c r="D215" i="14" a="1"/>
  <c r="C215" i="14" s="1" a="1"/>
  <c r="D226" i="14" a="1"/>
  <c r="C226" i="19"/>
  <c r="C237" i="19"/>
  <c r="D237" i="14" a="1"/>
  <c r="C237" i="14" s="1" a="1"/>
  <c r="C247" i="19"/>
  <c r="D247" i="14" a="1"/>
  <c r="C247" i="14" s="1" a="1"/>
  <c r="D258" i="14" a="1"/>
  <c r="C258" i="14" s="1" a="1"/>
  <c r="C258" i="19"/>
  <c r="C269" i="19"/>
  <c r="D269" i="14" a="1"/>
  <c r="C269" i="14" s="1" a="1"/>
  <c r="C278" i="19"/>
  <c r="D278" i="14" a="1"/>
  <c r="C289" i="19"/>
  <c r="D289" i="14" a="1"/>
  <c r="C289" i="14" s="1" a="1"/>
  <c r="D290" i="14" a="1"/>
  <c r="C290" i="14" s="1" a="1"/>
  <c r="C290" i="19"/>
  <c r="C300" i="19"/>
  <c r="D300" i="14" a="1"/>
  <c r="C300" i="14" s="1" a="1"/>
  <c r="D313" i="14" a="1"/>
  <c r="C313" i="19"/>
  <c r="C346" i="19"/>
  <c r="D346" i="14" a="1"/>
  <c r="C346" i="14" s="1" a="1"/>
  <c r="C348" i="19"/>
  <c r="D348" i="14" a="1"/>
  <c r="C348" i="14" s="1" a="1"/>
  <c r="D441" i="14" a="1"/>
  <c r="C441" i="14" s="1" a="1"/>
  <c r="C441" i="19"/>
  <c r="C442" i="19"/>
  <c r="D442" i="14" a="1"/>
  <c r="D453" i="14" a="1"/>
  <c r="C453" i="14" s="1" a="1"/>
  <c r="C453" i="19"/>
  <c r="D454" i="14" a="1"/>
  <c r="C454" i="14" s="1" a="1"/>
  <c r="C454" i="19"/>
  <c r="C464" i="19"/>
  <c r="D464" i="14" a="1"/>
  <c r="C464" i="14" s="1" a="1"/>
  <c r="C490" i="19"/>
  <c r="D490" i="14" a="1"/>
  <c r="C490" i="14" s="1" a="1"/>
  <c r="C502" i="19"/>
  <c r="D502" i="14" a="1"/>
  <c r="C502" i="14" s="1" a="1"/>
  <c r="C540" i="19"/>
  <c r="D540" i="14" a="1"/>
  <c r="C540" i="14" s="1" a="1"/>
  <c r="C559" i="19"/>
  <c r="D559" i="14" a="1"/>
  <c r="C559" i="14" s="1" a="1"/>
  <c r="C561" i="19"/>
  <c r="D561" i="14" a="1"/>
  <c r="C561" i="14" s="1" a="1"/>
  <c r="D601" i="14" a="1"/>
  <c r="C601" i="14" s="1" a="1"/>
  <c r="C601" i="19"/>
  <c r="C602" i="19"/>
  <c r="D602" i="14" a="1"/>
  <c r="C602" i="14" s="1" a="1"/>
  <c r="C644" i="19"/>
  <c r="D644" i="14" a="1"/>
  <c r="C644" i="14" s="1" a="1"/>
  <c r="C660" i="19"/>
  <c r="D660" i="14" a="1"/>
  <c r="C771" i="19"/>
  <c r="D771" i="14" a="1"/>
  <c r="C771" i="14" s="1" a="1"/>
  <c r="D776" i="14" a="1"/>
  <c r="C776" i="14" s="1" a="1"/>
  <c r="C776" i="19"/>
  <c r="D789" i="14" a="1"/>
  <c r="C789" i="14" s="1" a="1"/>
  <c r="C789" i="19"/>
  <c r="D790" i="14" a="1"/>
  <c r="C790" i="14" s="1" a="1"/>
  <c r="C790" i="19"/>
  <c r="C792" i="19"/>
  <c r="D792" i="14" a="1"/>
  <c r="C792" i="14" s="1" a="1"/>
  <c r="D811" i="14" a="1"/>
  <c r="C811" i="14" s="1" a="1"/>
  <c r="C811" i="19"/>
  <c r="C812" i="19"/>
  <c r="D812" i="14" a="1"/>
  <c r="C812" i="14" s="1" a="1"/>
  <c r="D839" i="14" a="1"/>
  <c r="C839" i="14" s="1" a="1"/>
  <c r="C839" i="19"/>
  <c r="D858" i="14" a="1"/>
  <c r="C858" i="14" s="1" a="1"/>
  <c r="C858" i="19"/>
  <c r="C859" i="19"/>
  <c r="D859" i="14" a="1"/>
  <c r="C859" i="14" s="1" a="1"/>
  <c r="C861" i="19"/>
  <c r="D862" i="14" a="1"/>
  <c r="C862" i="14" s="1" a="1"/>
  <c r="C865" i="19"/>
  <c r="D865" i="14" a="1"/>
  <c r="C865" i="14" s="1" a="1"/>
  <c r="C873" i="19"/>
  <c r="D873" i="14" a="1"/>
  <c r="C873" i="14" s="1" a="1"/>
  <c r="C571" i="19"/>
  <c r="D571" i="14" a="1"/>
  <c r="C571" i="14" s="1" a="1"/>
  <c r="C579" i="19"/>
  <c r="D579" i="14" a="1"/>
  <c r="C579" i="14" s="1" a="1"/>
  <c r="D645" i="14" a="1"/>
  <c r="C645" i="19"/>
  <c r="C778" i="19"/>
  <c r="D778" i="14" a="1"/>
  <c r="C778" i="14" s="1" a="1"/>
  <c r="C800" i="19"/>
  <c r="D800" i="14" a="1"/>
  <c r="C800" i="14" s="1" a="1"/>
  <c r="C857" i="19"/>
  <c r="D857" i="14" a="1"/>
  <c r="C556" i="19"/>
  <c r="D556" i="14" a="1"/>
  <c r="C556" i="14" s="1" a="1"/>
  <c r="D647" i="14" a="1"/>
  <c r="C647" i="14" s="1" a="1"/>
  <c r="C647" i="19"/>
  <c r="C798" i="19"/>
  <c r="D798" i="14" a="1"/>
  <c r="C798" i="14" s="1" a="1"/>
  <c r="C804" i="19"/>
  <c r="D804" i="14" a="1"/>
  <c r="C804" i="14" s="1" a="1"/>
  <c r="C823" i="19"/>
  <c r="D823" i="14" a="1"/>
  <c r="C823" i="14" s="1" a="1"/>
  <c r="C824" i="19"/>
  <c r="D824" i="14" a="1"/>
  <c r="C824" i="14" s="1" a="1"/>
  <c r="C825" i="19"/>
  <c r="D825" i="14" a="1"/>
  <c r="C825" i="14" s="1" a="1"/>
  <c r="D866" i="14" a="1"/>
  <c r="C866" i="14" s="1" a="1"/>
  <c r="C866" i="19"/>
  <c r="C871" i="19"/>
  <c r="D871" i="14" a="1"/>
  <c r="C871" i="14" s="1" a="1"/>
  <c r="C908" i="19"/>
  <c r="D908" i="14" a="1"/>
  <c r="C908" i="14" s="1" a="1"/>
  <c r="C49" i="19"/>
  <c r="D49" i="14" a="1"/>
  <c r="C49" i="14" s="1" a="1"/>
  <c r="D51" i="14" a="1"/>
  <c r="C51" i="14" s="1" a="1"/>
  <c r="C51" i="19"/>
  <c r="D74" i="14" a="1"/>
  <c r="C74" i="14" s="1" a="1"/>
  <c r="C74" i="19"/>
  <c r="C83" i="19"/>
  <c r="D83" i="14" a="1"/>
  <c r="C83" i="14" s="1" a="1"/>
  <c r="C91" i="19"/>
  <c r="D91" i="14" a="1"/>
  <c r="C91" i="14" s="1" a="1"/>
  <c r="D96" i="14" a="1"/>
  <c r="C96" i="14" s="1" a="1"/>
  <c r="C96" i="19"/>
  <c r="C105" i="19"/>
  <c r="D105" i="14" a="1"/>
  <c r="C105" i="14" s="1" a="1"/>
  <c r="D106" i="14" a="1"/>
  <c r="C106" i="19"/>
  <c r="C115" i="19"/>
  <c r="D115" i="14" a="1"/>
  <c r="C115" i="14" s="1" a="1"/>
  <c r="D116" i="14" a="1"/>
  <c r="C116" i="14" s="1" a="1"/>
  <c r="C116" i="19"/>
  <c r="C125" i="19"/>
  <c r="D125" i="14" a="1"/>
  <c r="C125" i="14" s="1" a="1"/>
  <c r="C135" i="19"/>
  <c r="D135" i="14" a="1"/>
  <c r="C149" i="19"/>
  <c r="D149" i="14" a="1"/>
  <c r="D157" i="14" a="1"/>
  <c r="C157" i="14" s="1" a="1"/>
  <c r="C157" i="19"/>
  <c r="D164" i="14" a="1"/>
  <c r="C164" i="14" s="1" a="1"/>
  <c r="C164" i="19"/>
  <c r="C165" i="19"/>
  <c r="D165" i="14" a="1"/>
  <c r="C165" i="14" s="1" a="1"/>
  <c r="C173" i="19"/>
  <c r="D173" i="14" a="1"/>
  <c r="C173" i="14" s="1" a="1"/>
  <c r="C181" i="19"/>
  <c r="D181" i="14" a="1"/>
  <c r="C181" i="14" s="1" a="1"/>
  <c r="C189" i="19"/>
  <c r="D189" i="14" a="1"/>
  <c r="C189" i="14" s="1" a="1"/>
  <c r="D193" i="14" a="1"/>
  <c r="C193" i="14" s="1" a="1"/>
  <c r="C193" i="19"/>
  <c r="C202" i="19"/>
  <c r="D202" i="14" a="1"/>
  <c r="C202" i="14" s="1" a="1"/>
  <c r="C212" i="19"/>
  <c r="D212" i="14" a="1"/>
  <c r="C212" i="14" s="1" a="1"/>
  <c r="C231" i="19"/>
  <c r="D231" i="14" a="1"/>
  <c r="C231" i="14" s="1" a="1"/>
  <c r="C250" i="19"/>
  <c r="D250" i="14" a="1"/>
  <c r="C250" i="14" s="1" a="1"/>
  <c r="C260" i="19"/>
  <c r="D260" i="14" a="1"/>
  <c r="C260" i="14" s="1" a="1"/>
  <c r="D261" i="14" a="1"/>
  <c r="C261" i="14" s="1" a="1"/>
  <c r="C261" i="19"/>
  <c r="C270" i="19"/>
  <c r="D270" i="14" a="1"/>
  <c r="C270" i="14" s="1" a="1"/>
  <c r="D279" i="14" a="1"/>
  <c r="C279" i="14" s="1" a="1"/>
  <c r="C279" i="19"/>
  <c r="C296" i="19"/>
  <c r="D296" i="14" a="1"/>
  <c r="C296" i="14" s="1" a="1"/>
  <c r="C311" i="19"/>
  <c r="D311" i="14" a="1"/>
  <c r="C311" i="14" s="1" a="1"/>
  <c r="C312" i="19"/>
  <c r="D312" i="14" a="1"/>
  <c r="C312" i="14" s="1" a="1"/>
  <c r="D321" i="14" a="1"/>
  <c r="C321" i="14" s="1" a="1"/>
  <c r="C321" i="19"/>
  <c r="C329" i="19"/>
  <c r="D329" i="14" a="1"/>
  <c r="C329" i="14" s="1" a="1"/>
  <c r="D339" i="14" a="1"/>
  <c r="C339" i="14" s="1" a="1"/>
  <c r="C339" i="19"/>
  <c r="C347" i="19"/>
  <c r="D347" i="14" a="1"/>
  <c r="C347" i="14" s="1" a="1"/>
  <c r="D437" i="14" a="1"/>
  <c r="C437" i="14" s="1" a="1"/>
  <c r="C437" i="19"/>
  <c r="C439" i="19"/>
  <c r="D439" i="14" a="1"/>
  <c r="C439" i="14" s="1" a="1"/>
  <c r="D456" i="14" a="1"/>
  <c r="C456" i="14" s="1" a="1"/>
  <c r="C456" i="19"/>
  <c r="D467" i="14" a="1"/>
  <c r="C467" i="19"/>
  <c r="D468" i="14" a="1"/>
  <c r="C468" i="14" s="1" a="1"/>
  <c r="C468" i="19"/>
  <c r="D487" i="14" a="1"/>
  <c r="C487" i="14" s="1" a="1"/>
  <c r="C487" i="19"/>
  <c r="D497" i="14" a="1"/>
  <c r="C497" i="14" s="1" a="1"/>
  <c r="C497" i="19"/>
  <c r="C498" i="19"/>
  <c r="D498" i="14" a="1"/>
  <c r="C498" i="14" s="1" a="1"/>
  <c r="C499" i="19"/>
  <c r="D499" i="14" a="1"/>
  <c r="C499" i="14" s="1" a="1"/>
  <c r="D506" i="14" a="1"/>
  <c r="C506" i="19"/>
  <c r="C507" i="19"/>
  <c r="D507" i="14" a="1"/>
  <c r="C507" i="14" s="1" a="1"/>
  <c r="C508" i="19"/>
  <c r="D508" i="14" a="1"/>
  <c r="C508" i="14" s="1" a="1"/>
  <c r="C509" i="19"/>
  <c r="D509" i="14" a="1"/>
  <c r="C509" i="14" s="1" a="1"/>
  <c r="C512" i="19"/>
  <c r="D512" i="14" a="1"/>
  <c r="C512" i="14" s="1" a="1"/>
  <c r="D531" i="14" a="1"/>
  <c r="C531" i="19"/>
  <c r="D555" i="14" a="1"/>
  <c r="C555" i="14" s="1" a="1"/>
  <c r="C555" i="19"/>
  <c r="C581" i="19"/>
  <c r="D581" i="14" a="1"/>
  <c r="C581" i="14" s="1" a="1"/>
  <c r="C592" i="19"/>
  <c r="D592" i="14" a="1"/>
  <c r="C592" i="14" s="1" a="1"/>
  <c r="D605" i="14" a="1"/>
  <c r="C605" i="14" s="1" a="1"/>
  <c r="C605" i="19"/>
  <c r="C617" i="19"/>
  <c r="D617" i="14" a="1"/>
  <c r="C617" i="14" s="1" a="1"/>
  <c r="D619" i="14" a="1"/>
  <c r="C619" i="14" s="1" a="1"/>
  <c r="C619" i="19"/>
  <c r="C622" i="19"/>
  <c r="D622" i="14" a="1"/>
  <c r="C622" i="14" s="1" a="1"/>
  <c r="C623" i="19"/>
  <c r="D623" i="14" a="1"/>
  <c r="C623" i="14" s="1" a="1"/>
  <c r="D635" i="14" a="1"/>
  <c r="C635" i="14" s="1" a="1"/>
  <c r="C635" i="19"/>
  <c r="C636" i="19"/>
  <c r="D636" i="14" a="1"/>
  <c r="C636" i="14" s="1" a="1"/>
  <c r="C677" i="19"/>
  <c r="D677" i="14" a="1"/>
  <c r="C677" i="14" s="1" a="1"/>
  <c r="C680" i="19"/>
  <c r="D680" i="14" a="1"/>
  <c r="C680" i="14" s="1" a="1"/>
  <c r="D685" i="14" a="1"/>
  <c r="C685" i="14" s="1" a="1"/>
  <c r="C685" i="19"/>
  <c r="C688" i="19"/>
  <c r="D688" i="14" a="1"/>
  <c r="C688" i="14" s="1" a="1"/>
  <c r="D795" i="14" a="1"/>
  <c r="C795" i="14" s="1" a="1"/>
  <c r="C795" i="19"/>
  <c r="D799" i="14" a="1"/>
  <c r="C799" i="14" s="1" a="1"/>
  <c r="C799" i="19"/>
  <c r="C802" i="19"/>
  <c r="D802" i="14" a="1"/>
  <c r="D807" i="14" a="1"/>
  <c r="C807" i="14" s="1" a="1"/>
  <c r="C807" i="19"/>
  <c r="C891" i="19"/>
  <c r="D891" i="14" a="1"/>
  <c r="D895" i="14" a="1"/>
  <c r="C895" i="14" s="1" a="1"/>
  <c r="C895" i="19"/>
  <c r="D909" i="14" a="1"/>
  <c r="C909" i="19"/>
  <c r="C61" i="19"/>
  <c r="D61" i="14" a="1"/>
  <c r="C61" i="14" s="1" a="1"/>
  <c r="C62" i="19"/>
  <c r="D62" i="14" a="1"/>
  <c r="D73" i="14" a="1"/>
  <c r="C73" i="19"/>
  <c r="D75" i="14" a="1"/>
  <c r="C75" i="14" s="1" a="1"/>
  <c r="C75" i="19"/>
  <c r="C84" i="19"/>
  <c r="D84" i="14" a="1"/>
  <c r="C84" i="14" s="1" a="1"/>
  <c r="D102" i="14" a="1"/>
  <c r="C102" i="14" s="1" a="1"/>
  <c r="C102" i="19"/>
  <c r="C114" i="19"/>
  <c r="D114" i="14" a="1"/>
  <c r="D122" i="14" a="1"/>
  <c r="C122" i="14" s="1" a="1"/>
  <c r="C122" i="19"/>
  <c r="D123" i="14" a="1"/>
  <c r="C123" i="14" s="1" a="1"/>
  <c r="C123" i="19"/>
  <c r="C134" i="19"/>
  <c r="D134" i="14" a="1"/>
  <c r="C134" i="14" s="1" a="1"/>
  <c r="C152" i="19"/>
  <c r="D152" i="14" a="1"/>
  <c r="C152" i="14" s="1" a="1"/>
  <c r="D161" i="14" a="1"/>
  <c r="C161" i="19"/>
  <c r="D162" i="14" a="1"/>
  <c r="C162" i="14" s="1" a="1"/>
  <c r="C162" i="19"/>
  <c r="C171" i="19"/>
  <c r="D171" i="14" a="1"/>
  <c r="C171" i="14" s="1" a="1"/>
  <c r="C180" i="19"/>
  <c r="D180" i="14" a="1"/>
  <c r="D191" i="14" a="1"/>
  <c r="C191" i="14" s="1" a="1"/>
  <c r="C191" i="19"/>
  <c r="D198" i="14" a="1"/>
  <c r="C198" i="14" s="1" a="1"/>
  <c r="C198" i="19"/>
  <c r="C201" i="19"/>
  <c r="D201" i="14" a="1"/>
  <c r="C209" i="19"/>
  <c r="D209" i="14" a="1"/>
  <c r="C209" i="14" s="1" a="1"/>
  <c r="D227" i="14" a="1"/>
  <c r="C227" i="14" s="1" a="1"/>
  <c r="C227" i="19"/>
  <c r="D238" i="14" a="1"/>
  <c r="C238" i="14" s="1" a="1"/>
  <c r="C238" i="19"/>
  <c r="C248" i="19"/>
  <c r="D248" i="14" a="1"/>
  <c r="C248" i="14" s="1" a="1"/>
  <c r="D256" i="14" a="1"/>
  <c r="C256" i="14" s="1" a="1"/>
  <c r="C256" i="19"/>
  <c r="C268" i="19"/>
  <c r="D268" i="14" a="1"/>
  <c r="C268" i="14" s="1" a="1"/>
  <c r="D277" i="14" a="1"/>
  <c r="C277" i="14" s="1" a="1"/>
  <c r="C277" i="19"/>
  <c r="C287" i="19"/>
  <c r="D287" i="14" a="1"/>
  <c r="C287" i="14" s="1" a="1"/>
  <c r="C288" i="19"/>
  <c r="D288" i="14" a="1"/>
  <c r="C288" i="14" s="1" a="1"/>
  <c r="D297" i="14" a="1"/>
  <c r="C297" i="19"/>
  <c r="C315" i="19"/>
  <c r="D315" i="14" a="1"/>
  <c r="C316" i="19"/>
  <c r="D316" i="14" a="1"/>
  <c r="C316" i="14" s="1" a="1"/>
  <c r="C326" i="19"/>
  <c r="D326" i="14" a="1"/>
  <c r="C326" i="14" s="1" a="1"/>
  <c r="D340" i="14" a="1"/>
  <c r="C340" i="14" s="1" a="1"/>
  <c r="C340" i="19"/>
  <c r="C431" i="19"/>
  <c r="D431" i="14" a="1"/>
  <c r="C431" i="14" s="1" a="1"/>
  <c r="C432" i="19"/>
  <c r="D432" i="14" a="1"/>
  <c r="C432" i="14" s="1" a="1"/>
  <c r="C443" i="19"/>
  <c r="D443" i="14" a="1"/>
  <c r="D455" i="14" a="1"/>
  <c r="C455" i="14" s="1" a="1"/>
  <c r="C455" i="19"/>
  <c r="D465" i="14" a="1"/>
  <c r="C465" i="19"/>
  <c r="C466" i="19"/>
  <c r="D466" i="14" a="1"/>
  <c r="C466" i="14" s="1" a="1"/>
  <c r="C480" i="19"/>
  <c r="D480" i="14" a="1"/>
  <c r="C480" i="14" s="1" a="1"/>
  <c r="D492" i="14" a="1"/>
  <c r="C492" i="14" s="1" a="1"/>
  <c r="C492" i="19"/>
  <c r="C503" i="19"/>
  <c r="D503" i="14" a="1"/>
  <c r="D504" i="14" a="1"/>
  <c r="C504" i="14" s="1" a="1"/>
  <c r="C504" i="19"/>
  <c r="D549" i="14" a="1"/>
  <c r="C549" i="14" s="1" a="1"/>
  <c r="C549" i="19"/>
  <c r="D550" i="14" a="1"/>
  <c r="C550" i="14" s="1" a="1"/>
  <c r="C550" i="19"/>
  <c r="C560" i="19"/>
  <c r="D560" i="14" a="1"/>
  <c r="C560" i="14" s="1" a="1"/>
  <c r="C626" i="19"/>
  <c r="D626" i="14" a="1"/>
  <c r="C626" i="14" s="1" a="1"/>
  <c r="C640" i="19"/>
  <c r="D640" i="14" a="1"/>
  <c r="C640" i="14" s="1" a="1"/>
  <c r="C641" i="19"/>
  <c r="D641" i="14" a="1"/>
  <c r="C641" i="14" s="1" a="1"/>
  <c r="D642" i="14" a="1"/>
  <c r="C642" i="14" s="1" a="1"/>
  <c r="C642" i="19"/>
  <c r="C655" i="19"/>
  <c r="D655" i="14" a="1"/>
  <c r="C655" i="14" s="1" a="1"/>
  <c r="D698" i="14" a="1"/>
  <c r="C698" i="14" s="1" a="1"/>
  <c r="C698" i="19"/>
  <c r="D768" i="14" a="1"/>
  <c r="C768" i="14" s="1" a="1"/>
  <c r="C768" i="19"/>
  <c r="C775" i="19"/>
  <c r="D775" i="14" a="1"/>
  <c r="C775" i="14" s="1" a="1"/>
  <c r="D808" i="14" a="1"/>
  <c r="C808" i="14" s="1" a="1"/>
  <c r="C808" i="19"/>
  <c r="C809" i="19"/>
  <c r="D809" i="14" a="1"/>
  <c r="C809" i="14" s="1" a="1"/>
  <c r="C833" i="19"/>
  <c r="D833" i="14" a="1"/>
  <c r="C833" i="14" s="1" a="1"/>
  <c r="C848" i="19"/>
  <c r="D848" i="14" a="1"/>
  <c r="C848" i="14" s="1" a="1"/>
  <c r="D854" i="14" a="1"/>
  <c r="C854" i="14" s="1" a="1"/>
  <c r="C854" i="19"/>
  <c r="D869" i="14" a="1"/>
  <c r="C869" i="14" s="1" a="1"/>
  <c r="C869" i="19"/>
  <c r="D872" i="14" a="1"/>
  <c r="C872" i="14" s="1" a="1"/>
  <c r="C872" i="19"/>
  <c r="C886" i="19"/>
  <c r="D886" i="14" a="1"/>
  <c r="C886" i="14" s="1" a="1"/>
  <c r="D35" i="14" a="1"/>
  <c r="C35" i="14" s="1" a="1"/>
  <c r="C35" i="19"/>
  <c r="C36" i="19"/>
  <c r="D36" i="14" a="1"/>
  <c r="C36" i="14" s="1" a="1"/>
  <c r="C42" i="19"/>
  <c r="D42" i="14" a="1"/>
  <c r="C42" i="14" s="1" a="1"/>
  <c r="D45" i="14" a="1"/>
  <c r="C45" i="14" s="1" a="1"/>
  <c r="C45" i="19"/>
  <c r="C46" i="19"/>
  <c r="D46" i="14" a="1"/>
  <c r="D54" i="14" a="1"/>
  <c r="C54" i="14" s="1" a="1"/>
  <c r="C54" i="19"/>
  <c r="D55" i="14" a="1"/>
  <c r="C55" i="14" s="1" a="1"/>
  <c r="C55" i="19"/>
  <c r="D58" i="14" a="1"/>
  <c r="C58" i="14" s="1" a="1"/>
  <c r="C58" i="19"/>
  <c r="D63" i="14" a="1"/>
  <c r="C63" i="14" s="1" a="1"/>
  <c r="C63" i="19"/>
  <c r="D69" i="14" a="1"/>
  <c r="C69" i="14" s="1" a="1"/>
  <c r="C69" i="19"/>
  <c r="C79" i="19"/>
  <c r="D79" i="14" a="1"/>
  <c r="C79" i="14" s="1" a="1"/>
  <c r="D80" i="14" a="1"/>
  <c r="C80" i="14" s="1" a="1"/>
  <c r="C80" i="19"/>
  <c r="C81" i="19"/>
  <c r="D81" i="14" a="1"/>
  <c r="C81" i="14" s="1" a="1"/>
  <c r="C141" i="19"/>
  <c r="D141" i="14" a="1"/>
  <c r="D142" i="14" a="1"/>
  <c r="C142" i="14" s="1" a="1"/>
  <c r="C142" i="19"/>
  <c r="C143" i="19"/>
  <c r="D143" i="14" a="1"/>
  <c r="C143" i="14" s="1" a="1"/>
  <c r="D153" i="14" a="1"/>
  <c r="C153" i="14" s="1" a="1"/>
  <c r="C153" i="19"/>
  <c r="D169" i="14" a="1"/>
  <c r="C169" i="14" s="1" a="1"/>
  <c r="C169" i="19"/>
  <c r="D179" i="14" a="1"/>
  <c r="C179" i="14" s="1" a="1"/>
  <c r="C179" i="19"/>
  <c r="C187" i="19"/>
  <c r="D187" i="14" a="1"/>
  <c r="C187" i="14" s="1" a="1"/>
  <c r="C214" i="19"/>
  <c r="D214" i="14" a="1"/>
  <c r="C214" i="14" s="1" a="1"/>
  <c r="C233" i="19"/>
  <c r="D233" i="14" a="1"/>
  <c r="C233" i="14" s="1" a="1"/>
  <c r="D234" i="14" a="1"/>
  <c r="C234" i="14" s="1" a="1"/>
  <c r="C234" i="19"/>
  <c r="C242" i="19"/>
  <c r="D242" i="14" a="1"/>
  <c r="C242" i="14" s="1" a="1"/>
  <c r="C253" i="19"/>
  <c r="D253" i="14" a="1"/>
  <c r="C253" i="14" s="1" a="1"/>
  <c r="D262" i="14" a="1"/>
  <c r="C262" i="14" s="1" a="1"/>
  <c r="C262" i="19"/>
  <c r="D282" i="14" a="1"/>
  <c r="C282" i="14" s="1" a="1"/>
  <c r="C282" i="19"/>
  <c r="D292" i="14" a="1"/>
  <c r="C292" i="14" s="1" a="1"/>
  <c r="C292" i="19"/>
  <c r="C294" i="19"/>
  <c r="D294" i="14" a="1"/>
  <c r="D308" i="14" a="1"/>
  <c r="C308" i="14" s="1" a="1"/>
  <c r="C308" i="19"/>
  <c r="D309" i="14" a="1"/>
  <c r="C309" i="14" s="1" a="1"/>
  <c r="C309" i="19"/>
  <c r="D317" i="14" a="1"/>
  <c r="C317" i="14" s="1" a="1"/>
  <c r="C317" i="19"/>
  <c r="D318" i="14" a="1"/>
  <c r="C318" i="14" s="1" a="1"/>
  <c r="C318" i="19"/>
  <c r="C327" i="19"/>
  <c r="D327" i="14" a="1"/>
  <c r="C327" i="14" s="1" a="1"/>
  <c r="C328" i="19"/>
  <c r="D328" i="14" a="1"/>
  <c r="C328" i="14" s="1" a="1"/>
  <c r="D458" i="14" a="1"/>
  <c r="C458" i="14" s="1" a="1"/>
  <c r="C458" i="19"/>
  <c r="D459" i="14" a="1"/>
  <c r="C459" i="14" s="1" a="1"/>
  <c r="C459" i="19"/>
  <c r="D470" i="14" a="1"/>
  <c r="C470" i="14" s="1" a="1"/>
  <c r="C470" i="19"/>
  <c r="C471" i="19"/>
  <c r="D471" i="14" a="1"/>
  <c r="C471" i="14" s="1" a="1"/>
  <c r="C485" i="19"/>
  <c r="D485" i="14" a="1"/>
  <c r="C485" i="14" s="1" a="1"/>
  <c r="D496" i="14" a="1"/>
  <c r="C496" i="14" s="1" a="1"/>
  <c r="C496" i="19"/>
  <c r="C523" i="19"/>
  <c r="D523" i="14" a="1"/>
  <c r="C523" i="14" s="1" a="1"/>
  <c r="C524" i="19"/>
  <c r="D524" i="14" a="1"/>
  <c r="C524" i="14" s="1" a="1"/>
  <c r="D538" i="14" a="1"/>
  <c r="C538" i="14" s="1" a="1"/>
  <c r="C538" i="19"/>
  <c r="C539" i="19"/>
  <c r="D539" i="14" a="1"/>
  <c r="C539" i="14" s="1" a="1"/>
  <c r="D541" i="14" a="1"/>
  <c r="C541" i="14" s="1" a="1"/>
  <c r="C541" i="19"/>
  <c r="C554" i="19"/>
  <c r="D554" i="14" a="1"/>
  <c r="C554" i="14" s="1" a="1"/>
  <c r="D563" i="14" a="1"/>
  <c r="C563" i="14" s="1" a="1"/>
  <c r="C563" i="19"/>
  <c r="D580" i="14" a="1"/>
  <c r="C580" i="14" s="1" a="1"/>
  <c r="C580" i="19"/>
  <c r="C582" i="19"/>
  <c r="D582" i="14" a="1"/>
  <c r="C582" i="14" s="1" a="1"/>
  <c r="D584" i="14" a="1"/>
  <c r="C584" i="14" s="1" a="1"/>
  <c r="C584" i="19"/>
  <c r="C585" i="19"/>
  <c r="D585" i="14" a="1"/>
  <c r="C585" i="14" s="1" a="1"/>
  <c r="D588" i="14" a="1"/>
  <c r="C588" i="14" s="1" a="1"/>
  <c r="C588" i="19"/>
  <c r="D591" i="14" a="1"/>
  <c r="C591" i="14" s="1" a="1"/>
  <c r="C591" i="19"/>
  <c r="D606" i="14" a="1"/>
  <c r="C606" i="14" s="1" a="1"/>
  <c r="C606" i="19"/>
  <c r="D618" i="14" a="1"/>
  <c r="C618" i="14" s="1" a="1"/>
  <c r="C618" i="19"/>
  <c r="C634" i="19"/>
  <c r="D634" i="14" a="1"/>
  <c r="C634" i="14" s="1" a="1"/>
  <c r="D662" i="14" a="1"/>
  <c r="C662" i="14" s="1" a="1"/>
  <c r="C662" i="19"/>
  <c r="D672" i="14" a="1"/>
  <c r="C672" i="14" s="1" a="1"/>
  <c r="C672" i="19"/>
  <c r="D674" i="14" a="1"/>
  <c r="C674" i="14" s="1" a="1"/>
  <c r="C674" i="19"/>
  <c r="D675" i="14" a="1"/>
  <c r="C675" i="14" s="1" a="1"/>
  <c r="C675" i="19"/>
  <c r="C676" i="19"/>
  <c r="D676" i="14" a="1"/>
  <c r="C676" i="14" s="1" a="1"/>
  <c r="D697" i="14" a="1"/>
  <c r="C697" i="14" s="1" a="1"/>
  <c r="C697" i="19"/>
  <c r="C766" i="19"/>
  <c r="D766" i="14" a="1"/>
  <c r="C766" i="14" s="1" a="1"/>
  <c r="D772" i="14" a="1"/>
  <c r="C772" i="14" s="1" a="1"/>
  <c r="C772" i="19"/>
  <c r="D774" i="14" a="1"/>
  <c r="C774" i="14" s="1" a="1"/>
  <c r="C774" i="19"/>
  <c r="C793" i="19"/>
  <c r="D793" i="14" a="1"/>
  <c r="C793" i="14" s="1" a="1"/>
  <c r="D830" i="14" a="1"/>
  <c r="C830" i="14" s="1" a="1"/>
  <c r="C830" i="19"/>
  <c r="C832" i="19"/>
  <c r="D832" i="14" a="1"/>
  <c r="C832" i="14" s="1" a="1"/>
  <c r="C849" i="19"/>
  <c r="D849" i="14" a="1"/>
  <c r="C849" i="14" s="1" a="1"/>
  <c r="D850" i="14" a="1"/>
  <c r="C850" i="14" s="1" a="1"/>
  <c r="C850" i="19"/>
  <c r="C864" i="19"/>
  <c r="D864" i="14" a="1"/>
  <c r="C880" i="19"/>
  <c r="D880" i="14" a="1"/>
  <c r="C880" i="14" s="1" a="1"/>
  <c r="C901" i="19"/>
  <c r="D901" i="14" a="1"/>
  <c r="C901" i="14" s="1" a="1"/>
  <c r="D57" i="14" a="1"/>
  <c r="C57" i="19"/>
  <c r="C78" i="19"/>
  <c r="D78" i="14" a="1"/>
  <c r="C78" i="14" s="1" a="1"/>
  <c r="C86" i="19"/>
  <c r="D86" i="14" a="1"/>
  <c r="D87" i="14" a="1"/>
  <c r="C87" i="14" s="1" a="1"/>
  <c r="C87" i="19"/>
  <c r="C99" i="19"/>
  <c r="D99" i="14" a="1"/>
  <c r="C99" i="14" s="1" a="1"/>
  <c r="C100" i="19"/>
  <c r="D100" i="14" a="1"/>
  <c r="C100" i="14" s="1" a="1"/>
  <c r="D109" i="14" a="1"/>
  <c r="C109" i="14" s="1" a="1"/>
  <c r="C109" i="19"/>
  <c r="D150" i="14" a="1"/>
  <c r="C150" i="14" s="1" a="1"/>
  <c r="C150" i="19"/>
  <c r="D151" i="14" a="1"/>
  <c r="C151" i="14" s="1" a="1"/>
  <c r="C151" i="19"/>
  <c r="D159" i="14" a="1"/>
  <c r="C159" i="14" s="1" a="1"/>
  <c r="C159" i="19"/>
  <c r="C221" i="19"/>
  <c r="D221" i="14" a="1"/>
  <c r="C221" i="14" s="1" a="1"/>
  <c r="D222" i="14" a="1"/>
  <c r="C222" i="14" s="1" a="1"/>
  <c r="C222" i="19"/>
  <c r="D232" i="14" a="1"/>
  <c r="C232" i="14" s="1" a="1"/>
  <c r="C232" i="19"/>
  <c r="D241" i="14" a="1"/>
  <c r="C241" i="14" s="1" a="1"/>
  <c r="C241" i="19"/>
  <c r="D243" i="14" a="1"/>
  <c r="C243" i="14" s="1" a="1"/>
  <c r="C243" i="19"/>
  <c r="C251" i="19"/>
  <c r="D251" i="14" a="1"/>
  <c r="C251" i="14" s="1" a="1"/>
  <c r="D252" i="14" a="1"/>
  <c r="C252" i="14" s="1" a="1"/>
  <c r="C252" i="19"/>
  <c r="D264" i="14" a="1"/>
  <c r="C264" i="14" s="1" a="1"/>
  <c r="C264" i="19"/>
  <c r="C276" i="19"/>
  <c r="D276" i="14" a="1"/>
  <c r="D295" i="14" a="1"/>
  <c r="C295" i="14" s="1" a="1"/>
  <c r="C295" i="19"/>
  <c r="C298" i="19"/>
  <c r="D298" i="14" a="1"/>
  <c r="C298" i="14" s="1" a="1"/>
  <c r="D299" i="14" a="1"/>
  <c r="C299" i="19"/>
  <c r="C332" i="19"/>
  <c r="D332" i="14" a="1"/>
  <c r="C332" i="14" s="1" a="1"/>
  <c r="C446" i="19"/>
  <c r="D446" i="14" a="1"/>
  <c r="C457" i="19"/>
  <c r="D457" i="14" a="1"/>
  <c r="C457" i="14" s="1" a="1"/>
  <c r="C469" i="19"/>
  <c r="D469" i="14" a="1"/>
  <c r="C481" i="19"/>
  <c r="D481" i="14" a="1"/>
  <c r="D493" i="14" a="1"/>
  <c r="C493" i="14" s="1" a="1"/>
  <c r="C493" i="19"/>
  <c r="D518" i="14" a="1"/>
  <c r="C518" i="14" s="1" a="1"/>
  <c r="C518" i="19"/>
  <c r="C519" i="19"/>
  <c r="D519" i="14" a="1"/>
  <c r="C519" i="14" s="1" a="1"/>
  <c r="C557" i="19"/>
  <c r="D557" i="14" a="1"/>
  <c r="C557" i="14" s="1" a="1"/>
  <c r="C568" i="19"/>
  <c r="D568" i="14" a="1"/>
  <c r="C568" i="14" s="1" a="1"/>
  <c r="D573" i="14" a="1"/>
  <c r="C573" i="14" s="1" a="1"/>
  <c r="C573" i="19"/>
  <c r="C594" i="19"/>
  <c r="D594" i="14" a="1"/>
  <c r="D595" i="14" a="1"/>
  <c r="C595" i="14" s="1" a="1"/>
  <c r="C595" i="19"/>
  <c r="D596" i="14" a="1"/>
  <c r="C596" i="14" s="1" a="1"/>
  <c r="C596" i="19"/>
  <c r="C598" i="19"/>
  <c r="D598" i="14" a="1"/>
  <c r="C598" i="14" s="1" a="1"/>
  <c r="C621" i="19"/>
  <c r="D621" i="14" a="1"/>
  <c r="C621" i="14" s="1" a="1"/>
  <c r="C624" i="19"/>
  <c r="D624" i="14" a="1"/>
  <c r="C624" i="14" s="1" a="1"/>
  <c r="C625" i="19"/>
  <c r="D625" i="14" a="1"/>
  <c r="C625" i="14" s="1" a="1"/>
  <c r="D637" i="14" a="1"/>
  <c r="C637" i="14" s="1" a="1"/>
  <c r="C637" i="19"/>
  <c r="C638" i="19"/>
  <c r="D638" i="14" a="1"/>
  <c r="C638" i="14" s="1" a="1"/>
  <c r="C661" i="19"/>
  <c r="D661" i="14" a="1"/>
  <c r="C661" i="14" s="1" a="1"/>
  <c r="C690" i="19"/>
  <c r="D690" i="14" a="1"/>
  <c r="C690" i="14" s="1" a="1"/>
  <c r="C692" i="19"/>
  <c r="D692" i="14" a="1"/>
  <c r="D696" i="14" a="1"/>
  <c r="C696" i="14" s="1" a="1"/>
  <c r="C696" i="19"/>
  <c r="D777" i="14" a="1"/>
  <c r="C777" i="14" s="1" a="1"/>
  <c r="C777" i="19"/>
  <c r="C796" i="19"/>
  <c r="D796" i="14" a="1"/>
  <c r="C796" i="14" s="1" a="1"/>
  <c r="C822" i="19"/>
  <c r="D822" i="14" a="1"/>
  <c r="C822" i="14" s="1" a="1"/>
  <c r="C840" i="19"/>
  <c r="D840" i="14" a="1"/>
  <c r="C840" i="14" s="1" a="1"/>
  <c r="D842" i="14" a="1"/>
  <c r="C842" i="14" s="1" a="1"/>
  <c r="C842" i="19"/>
  <c r="D843" i="14" a="1"/>
  <c r="C843" i="19"/>
  <c r="C893" i="19"/>
  <c r="D893" i="14" a="1"/>
  <c r="C893" i="14" s="1" a="1"/>
  <c r="D894" i="14" a="1"/>
  <c r="C894" i="19"/>
  <c r="D896" i="14" a="1"/>
  <c r="C896" i="14" s="1" a="1"/>
  <c r="C896" i="19"/>
  <c r="C95" i="19"/>
  <c r="D95" i="14" a="1"/>
  <c r="C95" i="14" s="1" a="1"/>
  <c r="D97" i="14" a="1"/>
  <c r="C97" i="14" s="1" a="1"/>
  <c r="C97" i="19"/>
  <c r="C98" i="19"/>
  <c r="D98" i="14" a="1"/>
  <c r="C98" i="14" s="1" a="1"/>
  <c r="D111" i="14" a="1"/>
  <c r="C111" i="14" s="1" a="1"/>
  <c r="C111" i="19"/>
  <c r="D119" i="14" a="1"/>
  <c r="C119" i="14" s="1" a="1"/>
  <c r="C119" i="19"/>
  <c r="C120" i="19"/>
  <c r="D120" i="14" a="1"/>
  <c r="C120" i="14" s="1" a="1"/>
  <c r="D140" i="14" a="1"/>
  <c r="C140" i="14" s="1" a="1"/>
  <c r="C140" i="19"/>
  <c r="D163" i="14" a="1"/>
  <c r="C163" i="14" s="1" a="1"/>
  <c r="C163" i="19"/>
  <c r="C175" i="19"/>
  <c r="D175" i="14" a="1"/>
  <c r="C175" i="14" s="1" a="1"/>
  <c r="D185" i="14" a="1"/>
  <c r="C185" i="14" s="1" a="1"/>
  <c r="C185" i="19"/>
  <c r="D186" i="14" a="1"/>
  <c r="C186" i="14" s="1" a="1"/>
  <c r="C186" i="19"/>
  <c r="D194" i="14" a="1"/>
  <c r="C194" i="14" s="1" a="1"/>
  <c r="C194" i="19"/>
  <c r="D216" i="14" a="1"/>
  <c r="C216" i="14" s="1" a="1"/>
  <c r="C216" i="19"/>
  <c r="C217" i="19"/>
  <c r="D217" i="14" a="1"/>
  <c r="C217" i="14" s="1" a="1"/>
  <c r="D218" i="14" a="1"/>
  <c r="C218" i="14" s="1" a="1"/>
  <c r="C218" i="19"/>
  <c r="D219" i="14" a="1"/>
  <c r="C219" i="14" s="1" a="1"/>
  <c r="C219" i="19"/>
  <c r="C228" i="19"/>
  <c r="D228" i="14" a="1"/>
  <c r="C228" i="14" s="1" a="1"/>
  <c r="D230" i="14" a="1"/>
  <c r="C230" i="14" s="1" a="1"/>
  <c r="C230" i="19"/>
  <c r="C254" i="19"/>
  <c r="D254" i="14" a="1"/>
  <c r="C254" i="14" s="1" a="1"/>
  <c r="D263" i="14" a="1"/>
  <c r="C263" i="14" s="1" a="1"/>
  <c r="C263" i="19"/>
  <c r="D283" i="14" a="1"/>
  <c r="C283" i="14" s="1" a="1"/>
  <c r="C283" i="19"/>
  <c r="D322" i="14" a="1"/>
  <c r="C322" i="19"/>
  <c r="C333" i="19"/>
  <c r="D333" i="14" a="1"/>
  <c r="C333" i="14" s="1" a="1"/>
  <c r="D343" i="14" a="1"/>
  <c r="C343" i="14" s="1" a="1"/>
  <c r="C343" i="19"/>
  <c r="C433" i="19"/>
  <c r="D433" i="14" a="1"/>
  <c r="C433" i="14" s="1" a="1"/>
  <c r="D435" i="14" a="1"/>
  <c r="C435" i="14" s="1" a="1"/>
  <c r="C435" i="19"/>
  <c r="C436" i="19"/>
  <c r="D436" i="14" a="1"/>
  <c r="C436" i="14" s="1" a="1"/>
  <c r="D450" i="14" a="1"/>
  <c r="C450" i="19"/>
  <c r="C462" i="19"/>
  <c r="D462" i="14" a="1"/>
  <c r="D486" i="14" a="1"/>
  <c r="C486" i="14" s="1" a="1"/>
  <c r="C486" i="19"/>
  <c r="C513" i="19"/>
  <c r="D513" i="14" a="1"/>
  <c r="C513" i="14" s="1" a="1"/>
  <c r="C528" i="19"/>
  <c r="D528" i="14" a="1"/>
  <c r="C528" i="14" s="1" a="1"/>
  <c r="D553" i="14" a="1"/>
  <c r="C553" i="14" s="1" a="1"/>
  <c r="C553" i="19"/>
  <c r="C565" i="19"/>
  <c r="D565" i="14" a="1"/>
  <c r="C565" i="14" s="1" a="1"/>
  <c r="C583" i="19"/>
  <c r="D583" i="14" a="1"/>
  <c r="C583" i="14" s="1" a="1"/>
  <c r="C586" i="19"/>
  <c r="D586" i="14" a="1"/>
  <c r="C586" i="14" s="1" a="1"/>
  <c r="D600" i="14" a="1"/>
  <c r="C600" i="14" s="1" a="1"/>
  <c r="C600" i="19"/>
  <c r="C611" i="19"/>
  <c r="D611" i="14" a="1"/>
  <c r="C611" i="14" s="1" a="1"/>
  <c r="C612" i="19"/>
  <c r="D612" i="14" a="1"/>
  <c r="C612" i="14" s="1" a="1"/>
  <c r="C613" i="19"/>
  <c r="D613" i="14" a="1"/>
  <c r="C613" i="14" s="1" a="1"/>
  <c r="C656" i="19"/>
  <c r="D656" i="14" a="1"/>
  <c r="C656" i="14" s="1" a="1"/>
  <c r="D657" i="14" a="1"/>
  <c r="C657" i="14" s="1" a="1"/>
  <c r="C657" i="19"/>
  <c r="D694" i="14" a="1"/>
  <c r="C694" i="14" s="1" a="1"/>
  <c r="C694" i="19"/>
  <c r="D773" i="14" a="1"/>
  <c r="C773" i="14" s="1" a="1"/>
  <c r="C773" i="19"/>
  <c r="D779" i="14" a="1"/>
  <c r="C779" i="14" s="1" a="1"/>
  <c r="C779" i="19"/>
  <c r="C781" i="19"/>
  <c r="D781" i="14" a="1"/>
  <c r="C781" i="14" s="1" a="1"/>
  <c r="C783" i="19"/>
  <c r="D783" i="14" a="1"/>
  <c r="C783" i="14" s="1" a="1"/>
  <c r="D784" i="14" a="1"/>
  <c r="C784" i="14" s="1" a="1"/>
  <c r="C784" i="19"/>
  <c r="C827" i="19"/>
  <c r="D827" i="14" a="1"/>
  <c r="C827" i="14" s="1" a="1"/>
  <c r="C829" i="19"/>
  <c r="D829" i="14" a="1"/>
  <c r="C829" i="14" s="1" a="1"/>
  <c r="D879" i="14" a="1"/>
  <c r="C879" i="14" s="1" a="1"/>
  <c r="C879" i="19"/>
  <c r="C881" i="19"/>
  <c r="D881" i="14" a="1"/>
  <c r="C881" i="14" s="1" a="1"/>
  <c r="D47" i="14" a="1"/>
  <c r="C47" i="14" s="1" a="1"/>
  <c r="C47" i="19"/>
  <c r="D48" i="14" a="1"/>
  <c r="C48" i="14" s="1" a="1"/>
  <c r="C48" i="19"/>
  <c r="D67" i="14" a="1"/>
  <c r="C67" i="14" s="1" a="1"/>
  <c r="C67" i="19"/>
  <c r="D72" i="14" a="1"/>
  <c r="C72" i="19"/>
  <c r="D82" i="14" a="1"/>
  <c r="C82" i="14" s="1" a="1"/>
  <c r="C82" i="19"/>
  <c r="D92" i="14" a="1"/>
  <c r="C92" i="14" s="1" a="1"/>
  <c r="C92" i="19"/>
  <c r="D108" i="14" a="1"/>
  <c r="C108" i="14" s="1" a="1"/>
  <c r="C108" i="19"/>
  <c r="D113" i="14" a="1"/>
  <c r="C113" i="14" s="1" a="1"/>
  <c r="C113" i="19"/>
  <c r="D137" i="14" a="1"/>
  <c r="C137" i="14" s="1" a="1"/>
  <c r="C137" i="19"/>
  <c r="C144" i="19"/>
  <c r="D144" i="14" a="1"/>
  <c r="C144" i="14" s="1" a="1"/>
  <c r="D145" i="14" a="1"/>
  <c r="C145" i="14" s="1" a="1"/>
  <c r="C145" i="19"/>
  <c r="D146" i="14" a="1"/>
  <c r="C146" i="14" s="1" a="1"/>
  <c r="C146" i="19"/>
  <c r="D148" i="14" a="1"/>
  <c r="C148" i="14" s="1" a="1"/>
  <c r="C148" i="19"/>
  <c r="D155" i="14" a="1"/>
  <c r="C155" i="14" s="1" a="1"/>
  <c r="C155" i="19"/>
  <c r="C156" i="19"/>
  <c r="D156" i="14" a="1"/>
  <c r="C156" i="14" s="1" a="1"/>
  <c r="D160" i="14" a="1"/>
  <c r="C160" i="14" s="1" a="1"/>
  <c r="C160" i="19"/>
  <c r="C166" i="19"/>
  <c r="D166" i="14" a="1"/>
  <c r="C166" i="14" s="1" a="1"/>
  <c r="D172" i="14" a="1"/>
  <c r="C172" i="14" s="1" a="1"/>
  <c r="C172" i="19"/>
  <c r="D178" i="14" a="1"/>
  <c r="C178" i="19"/>
  <c r="D182" i="14" a="1"/>
  <c r="C182" i="14" s="1" a="1"/>
  <c r="C182" i="19"/>
  <c r="D183" i="14" a="1"/>
  <c r="C183" i="14" s="1" a="1"/>
  <c r="C183" i="19"/>
  <c r="D190" i="14" a="1"/>
  <c r="C190" i="14" s="1" a="1"/>
  <c r="C190" i="19"/>
  <c r="C192" i="19"/>
  <c r="D192" i="14" a="1"/>
  <c r="C192" i="14" s="1" a="1"/>
  <c r="C199" i="19"/>
  <c r="D199" i="14" a="1"/>
  <c r="C203" i="19"/>
  <c r="D203" i="14" a="1"/>
  <c r="C203" i="14" s="1" a="1"/>
  <c r="C208" i="19"/>
  <c r="D208" i="14" a="1"/>
  <c r="C208" i="14" s="1" a="1"/>
  <c r="C213" i="19"/>
  <c r="D213" i="14" a="1"/>
  <c r="C213" i="14" s="1" a="1"/>
  <c r="D236" i="14" a="1"/>
  <c r="C236" i="14" s="1" a="1"/>
  <c r="C236" i="19"/>
  <c r="C245" i="19"/>
  <c r="D245" i="14" a="1"/>
  <c r="C245" i="14" s="1" a="1"/>
  <c r="D246" i="14" a="1"/>
  <c r="C246" i="14" s="1" a="1"/>
  <c r="C246" i="19"/>
  <c r="D259" i="14" a="1"/>
  <c r="C259" i="19"/>
  <c r="C265" i="19"/>
  <c r="D265" i="14" a="1"/>
  <c r="C265" i="14" s="1" a="1"/>
  <c r="D266" i="14" a="1"/>
  <c r="C266" i="14" s="1" a="1"/>
  <c r="C266" i="19"/>
  <c r="C273" i="19"/>
  <c r="D273" i="14" a="1"/>
  <c r="C273" i="14" s="1" a="1"/>
  <c r="D274" i="14" a="1"/>
  <c r="C274" i="14" s="1" a="1"/>
  <c r="C274" i="19"/>
  <c r="D280" i="14" a="1"/>
  <c r="C280" i="14" s="1" a="1"/>
  <c r="C280" i="19"/>
  <c r="C286" i="19"/>
  <c r="D286" i="14" a="1"/>
  <c r="D301" i="14" a="1"/>
  <c r="C301" i="14" s="1" a="1"/>
  <c r="C301" i="19"/>
  <c r="D302" i="14" a="1"/>
  <c r="C302" i="14" s="1" a="1"/>
  <c r="C302" i="19"/>
  <c r="D303" i="14" a="1"/>
  <c r="C303" i="14" s="1" a="1"/>
  <c r="C303" i="19"/>
  <c r="D304" i="14" a="1"/>
  <c r="C304" i="14" s="1" a="1"/>
  <c r="C304" i="19"/>
  <c r="C310" i="19"/>
  <c r="D310" i="14" a="1"/>
  <c r="C310" i="14" s="1" a="1"/>
  <c r="D323" i="14" a="1"/>
  <c r="C323" i="14" s="1" a="1"/>
  <c r="C323" i="19"/>
  <c r="C324" i="19"/>
  <c r="D324" i="14" a="1"/>
  <c r="C324" i="14" s="1" a="1"/>
  <c r="D330" i="14" a="1"/>
  <c r="C330" i="14" s="1" a="1"/>
  <c r="C330" i="19"/>
  <c r="D334" i="14" a="1"/>
  <c r="C334" i="14" s="1" a="1"/>
  <c r="C334" i="19"/>
  <c r="C335" i="19"/>
  <c r="D335" i="14" a="1"/>
  <c r="C335" i="14" s="1" a="1"/>
  <c r="D336" i="14" a="1"/>
  <c r="C336" i="14" s="1" a="1"/>
  <c r="C336" i="19"/>
  <c r="D341" i="14" a="1"/>
  <c r="C341" i="14" s="1" a="1"/>
  <c r="C341" i="19"/>
  <c r="C342" i="19"/>
  <c r="D342" i="14" a="1"/>
  <c r="C342" i="14" s="1" a="1"/>
  <c r="D434" i="14" a="1"/>
  <c r="C434" i="14" s="1" a="1"/>
  <c r="C434" i="19"/>
  <c r="C438" i="19"/>
  <c r="D438" i="14" a="1"/>
  <c r="C438" i="14" s="1" a="1"/>
  <c r="C444" i="19"/>
  <c r="D444" i="14" a="1"/>
  <c r="C444" i="14" s="1" a="1"/>
  <c r="C452" i="19"/>
  <c r="D452" i="14" a="1"/>
  <c r="C452" i="14" s="1" a="1"/>
  <c r="C461" i="19"/>
  <c r="D461" i="14" a="1"/>
  <c r="C461" i="14" s="1" a="1"/>
  <c r="C473" i="19"/>
  <c r="D473" i="14" a="1"/>
  <c r="C474" i="19"/>
  <c r="D474" i="14" a="1"/>
  <c r="C474" i="14" s="1" a="1"/>
  <c r="C475" i="19"/>
  <c r="D475" i="14" a="1"/>
  <c r="C475" i="14" s="1" a="1"/>
  <c r="C482" i="19"/>
  <c r="D482" i="14" a="1"/>
  <c r="C482" i="14" s="1" a="1"/>
  <c r="D489" i="14" a="1"/>
  <c r="C489" i="14" s="1" a="1"/>
  <c r="C489" i="19"/>
  <c r="D495" i="14" a="1"/>
  <c r="C495" i="14" s="1" a="1"/>
  <c r="C495" i="19"/>
  <c r="D501" i="14" a="1"/>
  <c r="C501" i="14" s="1" a="1"/>
  <c r="C501" i="19"/>
  <c r="D515" i="14" a="1"/>
  <c r="C515" i="14" s="1" a="1"/>
  <c r="C515" i="19"/>
  <c r="D516" i="14" a="1"/>
  <c r="C516" i="14" s="1" a="1"/>
  <c r="C516" i="19"/>
  <c r="C521" i="19"/>
  <c r="D521" i="14" a="1"/>
  <c r="C521" i="14" s="1" a="1"/>
  <c r="D529" i="14" a="1"/>
  <c r="C529" i="19"/>
  <c r="C542" i="19"/>
  <c r="D542" i="14" a="1"/>
  <c r="C542" i="14" s="1" a="1"/>
  <c r="D551" i="14" a="1"/>
  <c r="C551" i="14" s="1" a="1"/>
  <c r="C551" i="19"/>
  <c r="C552" i="19"/>
  <c r="D552" i="14" a="1"/>
  <c r="C552" i="14" s="1" a="1"/>
  <c r="D564" i="14" a="1"/>
  <c r="C564" i="14" s="1" a="1"/>
  <c r="C564" i="19"/>
  <c r="D566" i="14" a="1"/>
  <c r="C566" i="14" s="1" a="1"/>
  <c r="C566" i="19"/>
  <c r="C603" i="19"/>
  <c r="D603" i="14" a="1"/>
  <c r="C603" i="14" s="1" a="1"/>
  <c r="C608" i="19"/>
  <c r="D608" i="14" a="1"/>
  <c r="C608" i="14" s="1" a="1"/>
  <c r="D620" i="14" a="1"/>
  <c r="C620" i="14" s="1" a="1"/>
  <c r="C620" i="19"/>
  <c r="D632" i="14" a="1"/>
  <c r="C632" i="14" s="1" a="1"/>
  <c r="C632" i="19"/>
  <c r="D633" i="14" a="1"/>
  <c r="C633" i="14" s="1" a="1"/>
  <c r="C633" i="19"/>
  <c r="D646" i="14" a="1"/>
  <c r="C646" i="14" s="1" a="1"/>
  <c r="C646" i="19"/>
  <c r="C666" i="19"/>
  <c r="D666" i="14" a="1"/>
  <c r="C666" i="14" s="1" a="1"/>
  <c r="D673" i="14" a="1"/>
  <c r="C673" i="14" s="1" a="1"/>
  <c r="C673" i="19"/>
  <c r="C683" i="19"/>
  <c r="D683" i="14" a="1"/>
  <c r="C683" i="14" s="1" a="1"/>
  <c r="D689" i="14" a="1"/>
  <c r="C689" i="14" s="1" a="1"/>
  <c r="C689" i="19"/>
  <c r="D695" i="14" a="1"/>
  <c r="C695" i="19"/>
  <c r="D819" i="14" a="1"/>
  <c r="C819" i="14" s="1" a="1"/>
  <c r="C819" i="19"/>
  <c r="C844" i="19"/>
  <c r="D844" i="14" a="1"/>
  <c r="C844" i="14" s="1" a="1"/>
  <c r="D845" i="14" a="1"/>
  <c r="C845" i="14" s="1" a="1"/>
  <c r="C845" i="19"/>
  <c r="C868" i="19"/>
  <c r="D868" i="14" a="1"/>
  <c r="C868" i="14" s="1" a="1"/>
  <c r="C904" i="19"/>
  <c r="D904" i="14" a="1"/>
  <c r="C904" i="14" s="1" a="1"/>
  <c r="D860" i="14" a="1"/>
  <c r="C860" i="14" s="1" a="1"/>
  <c r="C862" i="19"/>
  <c r="C898" i="19"/>
  <c r="D898" i="14" a="1"/>
  <c r="C898" i="14" s="1" a="1"/>
  <c r="D906" i="14" a="1"/>
  <c r="C906" i="14" s="1" a="1"/>
  <c r="C906" i="19"/>
  <c r="C360" i="14" s="1" a="1"/>
  <c r="C357" i="14" s="1" a="1"/>
  <c r="F898" i="19"/>
  <c r="F567" i="19"/>
  <c r="F536" i="19"/>
  <c r="F559" i="19"/>
  <c r="F529" i="19"/>
  <c r="F560" i="19"/>
  <c r="F527" i="19"/>
  <c r="F592" i="19"/>
  <c r="F570" i="19"/>
  <c r="F553" i="19"/>
  <c r="F528" i="19"/>
  <c r="F524" i="19"/>
  <c r="F554" i="19"/>
  <c r="F530" i="19"/>
  <c r="F533" i="19"/>
  <c r="F531" i="19"/>
  <c r="F446" i="19"/>
  <c r="F246" i="19"/>
  <c r="F59" i="19"/>
  <c r="F35" i="19"/>
  <c r="F904" i="19"/>
  <c r="U872" i="17"/>
  <c r="F449" i="19"/>
  <c r="F448" i="19"/>
  <c r="G907" i="24"/>
  <c r="M907" i="14"/>
  <c r="M908" i="14"/>
  <c r="U905" i="17"/>
  <c r="F901" i="19"/>
  <c r="F19" i="19"/>
  <c r="F27" i="19"/>
  <c r="AJ905" i="1"/>
  <c r="F896" i="19"/>
  <c r="F352" i="19"/>
  <c r="F349" i="19"/>
  <c r="F344" i="19"/>
  <c r="F259" i="19"/>
  <c r="F252" i="19"/>
  <c r="F251" i="19"/>
  <c r="F249" i="19"/>
  <c r="F144" i="19"/>
  <c r="F129" i="19"/>
  <c r="F128" i="19"/>
  <c r="F96" i="19"/>
  <c r="G905" i="24"/>
  <c r="G906" i="24"/>
  <c r="F354" i="19"/>
  <c r="F347" i="19"/>
  <c r="F800" i="19"/>
  <c r="F558" i="19"/>
  <c r="F642" i="19"/>
  <c r="F535" i="19"/>
  <c r="F504" i="19"/>
  <c r="F566" i="19"/>
  <c r="F494" i="19"/>
  <c r="F606" i="19"/>
  <c r="F620" i="19"/>
  <c r="F465" i="19"/>
  <c r="F525" i="19"/>
  <c r="F599" i="19"/>
  <c r="F469" i="19"/>
  <c r="F353" i="19"/>
  <c r="F351" i="19"/>
  <c r="F350" i="19"/>
  <c r="F348" i="19"/>
  <c r="F346" i="19"/>
  <c r="F345" i="19"/>
  <c r="F337" i="19"/>
  <c r="M905" i="14"/>
  <c r="M906" i="14"/>
  <c r="G904" i="24"/>
  <c r="F604" i="19"/>
  <c r="F489" i="19"/>
  <c r="F475" i="19"/>
  <c r="F455" i="19"/>
  <c r="F551" i="19"/>
  <c r="F539" i="19"/>
  <c r="F523" i="19"/>
  <c r="F644" i="19"/>
  <c r="F343" i="19"/>
  <c r="F342" i="19"/>
  <c r="F341" i="19"/>
  <c r="F340" i="19"/>
  <c r="F339" i="19"/>
  <c r="F338" i="19"/>
  <c r="F208" i="19"/>
  <c r="F187" i="19"/>
  <c r="F169" i="19"/>
  <c r="F167" i="19"/>
  <c r="F141" i="19"/>
  <c r="F127" i="19"/>
  <c r="F107" i="19"/>
  <c r="F106" i="19"/>
  <c r="F87" i="19"/>
  <c r="F71" i="19"/>
  <c r="F55" i="19"/>
  <c r="F24" i="19"/>
  <c r="F563" i="19"/>
  <c r="F336" i="19"/>
  <c r="F335" i="19"/>
  <c r="F334" i="19"/>
  <c r="F317" i="19"/>
  <c r="F275" i="19"/>
  <c r="F272" i="19"/>
  <c r="F270" i="19"/>
  <c r="F269" i="19"/>
  <c r="F266" i="19"/>
  <c r="F263" i="19"/>
  <c r="F262" i="19"/>
  <c r="F261" i="19"/>
  <c r="F260" i="19"/>
  <c r="F258" i="19"/>
  <c r="F257" i="19"/>
  <c r="F256" i="19"/>
  <c r="F254" i="19"/>
  <c r="F250" i="19"/>
  <c r="F333" i="19"/>
  <c r="F330" i="19"/>
  <c r="F329" i="19"/>
  <c r="F265" i="19"/>
  <c r="F264" i="19"/>
  <c r="U894" i="17"/>
  <c r="G903" i="24"/>
  <c r="AJ891" i="1"/>
  <c r="F514" i="19"/>
  <c r="F332" i="19"/>
  <c r="F331" i="19"/>
  <c r="F328" i="19"/>
  <c r="M903" i="14"/>
  <c r="M904" i="14"/>
  <c r="G902" i="24"/>
  <c r="G901" i="24"/>
  <c r="F327" i="19"/>
  <c r="F326" i="19"/>
  <c r="F324" i="19"/>
  <c r="F321" i="19"/>
  <c r="F319" i="19"/>
  <c r="F271" i="19"/>
  <c r="F268" i="19"/>
  <c r="F267" i="19"/>
  <c r="M901" i="14"/>
  <c r="M902" i="14"/>
  <c r="F325" i="19"/>
  <c r="F320" i="19"/>
  <c r="F316" i="19"/>
  <c r="F273" i="19"/>
  <c r="M900" i="14"/>
  <c r="G900" i="24"/>
  <c r="G899" i="24"/>
  <c r="G898" i="24"/>
  <c r="F508" i="19"/>
  <c r="F323" i="19"/>
  <c r="F322" i="19"/>
  <c r="F318" i="19"/>
  <c r="F315" i="19"/>
  <c r="F314" i="19"/>
  <c r="F313" i="19"/>
  <c r="F312" i="19"/>
  <c r="F311" i="19"/>
  <c r="F306" i="19"/>
  <c r="F305" i="19"/>
  <c r="F303" i="19"/>
  <c r="F299" i="19"/>
  <c r="F298" i="19"/>
  <c r="F297" i="19"/>
  <c r="F296" i="19"/>
  <c r="F281" i="19"/>
  <c r="F280" i="19"/>
  <c r="F279" i="19"/>
  <c r="F278" i="19"/>
  <c r="F276" i="19"/>
  <c r="F274" i="19"/>
  <c r="M898" i="14"/>
  <c r="M899" i="14"/>
  <c r="F883" i="19"/>
  <c r="F310" i="19"/>
  <c r="F309" i="19"/>
  <c r="F308" i="19"/>
  <c r="F307" i="19"/>
  <c r="F304" i="19"/>
  <c r="F302" i="19"/>
  <c r="F301" i="19"/>
  <c r="F300" i="19"/>
  <c r="F852" i="19"/>
  <c r="F861" i="19"/>
  <c r="F383" i="19"/>
  <c r="F375" i="19"/>
  <c r="F364" i="19"/>
  <c r="F47" i="19"/>
  <c r="F407" i="19"/>
  <c r="F387" i="19"/>
  <c r="F378" i="19"/>
  <c r="F371" i="19"/>
  <c r="F360" i="19"/>
  <c r="F402" i="19"/>
  <c r="F381" i="19"/>
  <c r="F374" i="19"/>
  <c r="F363" i="19"/>
  <c r="F405" i="19"/>
  <c r="F380" i="19"/>
  <c r="F368" i="19"/>
  <c r="F355" i="19"/>
  <c r="F68" i="19"/>
  <c r="F61" i="19"/>
  <c r="F386" i="19"/>
  <c r="F377" i="19"/>
  <c r="F366" i="19"/>
  <c r="F391" i="19"/>
  <c r="F84" i="19"/>
  <c r="F58" i="19"/>
  <c r="F385" i="19"/>
  <c r="F376" i="19"/>
  <c r="F365" i="19"/>
  <c r="F550" i="19"/>
  <c r="F549" i="19"/>
  <c r="F548" i="19"/>
  <c r="F547" i="19"/>
  <c r="F546" i="19"/>
  <c r="F545" i="19"/>
  <c r="F543" i="19"/>
  <c r="F403" i="19"/>
  <c r="F388" i="19"/>
  <c r="F379" i="19"/>
  <c r="F373" i="19"/>
  <c r="F372" i="19"/>
  <c r="F369" i="19"/>
  <c r="F361" i="19"/>
  <c r="F359" i="19"/>
  <c r="F31" i="19"/>
  <c r="F641" i="19"/>
  <c r="F640" i="19"/>
  <c r="F639" i="19"/>
  <c r="F638" i="19"/>
  <c r="F637" i="19"/>
  <c r="F636" i="19"/>
  <c r="F635" i="19"/>
  <c r="F634" i="19"/>
  <c r="F633" i="19"/>
  <c r="F77" i="19"/>
  <c r="F65" i="19"/>
  <c r="F40" i="19"/>
  <c r="F37" i="19"/>
  <c r="F34" i="19"/>
  <c r="F20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55" i="19"/>
  <c r="F253" i="19"/>
  <c r="F247" i="19"/>
  <c r="F51" i="19"/>
  <c r="F43" i="19"/>
  <c r="F29" i="19"/>
  <c r="F277" i="19"/>
  <c r="F890" i="19"/>
  <c r="F889" i="19"/>
  <c r="F887" i="19"/>
  <c r="F858" i="19"/>
  <c r="F856" i="19"/>
  <c r="F854" i="19"/>
  <c r="F834" i="19"/>
  <c r="F860" i="19"/>
  <c r="F859" i="19"/>
  <c r="F857" i="19"/>
  <c r="F855" i="19"/>
  <c r="F853" i="19"/>
  <c r="F836" i="19"/>
  <c r="F557" i="19"/>
  <c r="F565" i="19"/>
  <c r="F537" i="19"/>
  <c r="F522" i="19"/>
  <c r="F445" i="19"/>
  <c r="F444" i="19"/>
  <c r="F443" i="19"/>
  <c r="F439" i="19"/>
  <c r="F437" i="19"/>
  <c r="F436" i="19"/>
  <c r="F435" i="19"/>
  <c r="F434" i="19"/>
  <c r="F433" i="19"/>
  <c r="F432" i="19"/>
  <c r="F429" i="19"/>
  <c r="F428" i="19"/>
  <c r="F427" i="19"/>
  <c r="F426" i="19"/>
  <c r="F424" i="19"/>
  <c r="F423" i="19"/>
  <c r="F422" i="19"/>
  <c r="F421" i="19"/>
  <c r="F417" i="19"/>
  <c r="F416" i="19"/>
  <c r="F415" i="19"/>
  <c r="F414" i="19"/>
  <c r="F413" i="19"/>
  <c r="F412" i="19"/>
  <c r="F410" i="19"/>
  <c r="F409" i="19"/>
  <c r="F408" i="19"/>
  <c r="F16" i="19"/>
  <c r="F14" i="19"/>
  <c r="F12" i="19"/>
  <c r="F10" i="19"/>
  <c r="F9" i="19"/>
  <c r="F648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19" i="19"/>
  <c r="F216" i="19"/>
  <c r="F215" i="19"/>
  <c r="F214" i="19"/>
  <c r="F213" i="19"/>
  <c r="F212" i="19"/>
  <c r="F211" i="19"/>
  <c r="F210" i="19"/>
  <c r="F209" i="19"/>
  <c r="F207" i="19"/>
  <c r="F196" i="19"/>
  <c r="F195" i="19"/>
  <c r="F194" i="19"/>
  <c r="F193" i="19"/>
  <c r="F192" i="19"/>
  <c r="F191" i="19"/>
  <c r="F190" i="19"/>
  <c r="F189" i="19"/>
  <c r="F188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8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4" i="19"/>
  <c r="F153" i="19"/>
  <c r="F152" i="19"/>
  <c r="F151" i="19"/>
  <c r="F150" i="19"/>
  <c r="F149" i="19"/>
  <c r="F148" i="19"/>
  <c r="F147" i="19"/>
  <c r="F146" i="19"/>
  <c r="F145" i="19"/>
  <c r="F143" i="19"/>
  <c r="F142" i="19"/>
  <c r="F140" i="19"/>
  <c r="F139" i="19"/>
  <c r="F138" i="19"/>
  <c r="F137" i="19"/>
  <c r="F136" i="19"/>
  <c r="F135" i="19"/>
  <c r="F134" i="19"/>
  <c r="F133" i="19"/>
  <c r="F132" i="19"/>
  <c r="F131" i="19"/>
  <c r="F130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5" i="19"/>
  <c r="F104" i="19"/>
  <c r="F103" i="19"/>
  <c r="F102" i="19"/>
  <c r="F101" i="19"/>
  <c r="F100" i="19"/>
  <c r="F99" i="19"/>
  <c r="F98" i="19"/>
  <c r="F97" i="19"/>
  <c r="F95" i="19"/>
  <c r="F94" i="19"/>
  <c r="F93" i="19"/>
  <c r="F92" i="19"/>
  <c r="F91" i="19"/>
  <c r="F90" i="19"/>
  <c r="F89" i="19"/>
  <c r="F88" i="19"/>
  <c r="F86" i="19"/>
  <c r="F85" i="19"/>
  <c r="F83" i="19"/>
  <c r="F82" i="19"/>
  <c r="F81" i="19"/>
  <c r="F80" i="19"/>
  <c r="F79" i="19"/>
  <c r="F78" i="19"/>
  <c r="F75" i="19"/>
  <c r="F74" i="19"/>
  <c r="F67" i="19"/>
  <c r="AJ893" i="1"/>
  <c r="F888" i="19"/>
  <c r="F867" i="19"/>
  <c r="F384" i="19"/>
  <c r="F406" i="19"/>
  <c r="F389" i="19"/>
  <c r="F404" i="19"/>
  <c r="F382" i="19"/>
  <c r="F390" i="19"/>
  <c r="F520" i="19"/>
  <c r="F519" i="19"/>
  <c r="F518" i="19"/>
  <c r="F517" i="19"/>
  <c r="F516" i="19"/>
  <c r="F591" i="19"/>
  <c r="F442" i="19"/>
  <c r="F441" i="19"/>
  <c r="F440" i="19"/>
  <c r="F430" i="19"/>
  <c r="F425" i="19"/>
  <c r="F420" i="19"/>
  <c r="F419" i="19"/>
  <c r="F418" i="19"/>
  <c r="F411" i="19"/>
  <c r="F15" i="19"/>
  <c r="F13" i="19"/>
  <c r="F11" i="19"/>
  <c r="F7" i="19"/>
  <c r="F367" i="19"/>
  <c r="F362" i="19"/>
  <c r="F357" i="19"/>
  <c r="F4" i="19"/>
  <c r="F370" i="19"/>
  <c r="F358" i="19"/>
  <c r="F356" i="19"/>
  <c r="F6" i="19"/>
  <c r="F897" i="19"/>
  <c r="F891" i="19"/>
  <c r="F875" i="19"/>
  <c r="F871" i="19"/>
  <c r="F863" i="19"/>
  <c r="F862" i="19"/>
  <c r="F851" i="19"/>
  <c r="F850" i="19"/>
  <c r="F848" i="19"/>
  <c r="F849" i="19"/>
  <c r="F847" i="19"/>
  <c r="F846" i="19"/>
  <c r="F845" i="19"/>
  <c r="F844" i="19"/>
  <c r="F843" i="19"/>
  <c r="F842" i="19"/>
  <c r="F841" i="19"/>
  <c r="F840" i="19"/>
  <c r="F839" i="19"/>
  <c r="F838" i="19"/>
  <c r="F837" i="19"/>
  <c r="F824" i="19"/>
  <c r="F821" i="19"/>
  <c r="F799" i="19"/>
  <c r="F556" i="19"/>
  <c r="F8" i="19"/>
  <c r="F513" i="19"/>
  <c r="F555" i="19"/>
  <c r="F792" i="19"/>
  <c r="F791" i="19"/>
  <c r="F790" i="19"/>
  <c r="F515" i="19"/>
  <c r="F487" i="19"/>
  <c r="F486" i="19"/>
  <c r="F485" i="19"/>
  <c r="F484" i="19"/>
  <c r="F483" i="19"/>
  <c r="F482" i="19"/>
  <c r="F481" i="19"/>
  <c r="F480" i="19"/>
  <c r="F479" i="19"/>
  <c r="F230" i="19"/>
  <c r="F229" i="19"/>
  <c r="F228" i="19"/>
  <c r="F227" i="19"/>
  <c r="F226" i="19"/>
  <c r="F225" i="19"/>
  <c r="F224" i="19"/>
  <c r="F223" i="19"/>
  <c r="F222" i="19"/>
  <c r="F221" i="19"/>
  <c r="F220" i="19"/>
  <c r="F218" i="19"/>
  <c r="F217" i="19"/>
  <c r="G897" i="24"/>
  <c r="F874" i="19"/>
  <c r="F868" i="19"/>
  <c r="F865" i="19"/>
  <c r="F864" i="19"/>
  <c r="F870" i="19"/>
  <c r="AJ860" i="1"/>
  <c r="F835" i="19"/>
  <c r="F826" i="19"/>
  <c r="F512" i="19"/>
  <c r="F505" i="19"/>
  <c r="F589" i="19"/>
  <c r="F588" i="19"/>
  <c r="F401" i="19"/>
  <c r="F400" i="19"/>
  <c r="F399" i="19"/>
  <c r="F398" i="19"/>
  <c r="F397" i="19"/>
  <c r="F396" i="19"/>
  <c r="F395" i="19"/>
  <c r="F394" i="19"/>
  <c r="F393" i="19"/>
  <c r="F392" i="19"/>
  <c r="F206" i="19"/>
  <c r="F205" i="19"/>
  <c r="F204" i="19"/>
  <c r="F203" i="19"/>
  <c r="F202" i="19"/>
  <c r="F201" i="19"/>
  <c r="F200" i="19"/>
  <c r="F199" i="19"/>
  <c r="F198" i="19"/>
  <c r="F197" i="19"/>
  <c r="F893" i="19"/>
  <c r="F892" i="19"/>
  <c r="F885" i="19"/>
  <c r="F882" i="19"/>
  <c r="F879" i="19"/>
  <c r="F877" i="19"/>
  <c r="F869" i="19"/>
  <c r="F880" i="19"/>
  <c r="F878" i="19"/>
  <c r="F876" i="19"/>
  <c r="F873" i="19"/>
  <c r="F872" i="19"/>
  <c r="F866" i="19"/>
  <c r="G896" i="24"/>
  <c r="F832" i="19"/>
  <c r="F830" i="19"/>
  <c r="F825" i="19"/>
  <c r="F814" i="19"/>
  <c r="F822" i="19"/>
  <c r="F819" i="19"/>
  <c r="F823" i="19"/>
  <c r="F820" i="19"/>
  <c r="F818" i="19"/>
  <c r="F815" i="19"/>
  <c r="F797" i="19"/>
  <c r="F804" i="19"/>
  <c r="F793" i="19"/>
  <c r="F801" i="19"/>
  <c r="F794" i="19"/>
  <c r="F803" i="19"/>
  <c r="F796" i="19"/>
  <c r="F802" i="19"/>
  <c r="F798" i="19"/>
  <c r="F795" i="19"/>
  <c r="F511" i="19"/>
  <c r="F510" i="19"/>
  <c r="F509" i="19"/>
  <c r="F507" i="19"/>
  <c r="F506" i="19"/>
  <c r="F590" i="19"/>
  <c r="F587" i="19"/>
  <c r="M896" i="14"/>
  <c r="M897" i="14"/>
  <c r="AJ896" i="1"/>
  <c r="AJ894" i="1"/>
  <c r="AJ895" i="1"/>
  <c r="F881" i="19"/>
  <c r="F833" i="19"/>
  <c r="F831" i="19"/>
  <c r="F884" i="19"/>
  <c r="F829" i="19"/>
  <c r="F828" i="19"/>
  <c r="F827" i="19"/>
  <c r="F817" i="19"/>
  <c r="F816" i="19"/>
  <c r="F564" i="19"/>
  <c r="G895" i="24"/>
  <c r="M895" i="14"/>
  <c r="G894" i="24"/>
  <c r="M894" i="14"/>
  <c r="M893" i="14"/>
  <c r="AJ889" i="1"/>
  <c r="AJ892" i="1"/>
  <c r="G893" i="24"/>
  <c r="G892" i="24"/>
  <c r="G891" i="24"/>
  <c r="G890" i="24"/>
  <c r="M891" i="14"/>
  <c r="M892" i="14"/>
  <c r="D957" i="24"/>
  <c r="D958" i="24"/>
  <c r="D960" i="24"/>
  <c r="D959" i="24"/>
  <c r="M890" i="14"/>
  <c r="U822" i="17"/>
  <c r="M889" i="14"/>
  <c r="G889" i="24"/>
  <c r="G888" i="24"/>
  <c r="M886" i="14"/>
  <c r="AJ882" i="1"/>
  <c r="AJ879" i="1"/>
  <c r="AJ881" i="1"/>
  <c r="G887" i="24"/>
  <c r="L669" i="17"/>
  <c r="L668" i="17"/>
  <c r="L681" i="17"/>
  <c r="L682" i="17"/>
  <c r="L361" i="17"/>
  <c r="L362" i="17"/>
  <c r="L363" i="17"/>
  <c r="L364" i="17"/>
  <c r="L368" i="17"/>
  <c r="L677" i="17"/>
  <c r="L670" i="17"/>
  <c r="L679" i="17"/>
  <c r="L672" i="17"/>
  <c r="L675" i="17"/>
  <c r="L678" i="17"/>
  <c r="L119" i="17"/>
  <c r="L129" i="17"/>
  <c r="L153" i="17"/>
  <c r="L189" i="17"/>
  <c r="L190" i="17"/>
  <c r="L202" i="17"/>
  <c r="L258" i="17"/>
  <c r="L384" i="17"/>
  <c r="AJ883" i="1"/>
  <c r="M887" i="14"/>
  <c r="M888" i="14"/>
  <c r="L390" i="17"/>
  <c r="L400" i="17"/>
  <c r="L788" i="17"/>
  <c r="L84" i="17"/>
  <c r="L428" i="17"/>
  <c r="L442" i="17"/>
  <c r="L505" i="17"/>
  <c r="L528" i="17"/>
  <c r="L537" i="17"/>
  <c r="L809" i="17"/>
  <c r="L879" i="17"/>
  <c r="L405" i="17"/>
  <c r="L421" i="17"/>
  <c r="L491" i="17"/>
  <c r="L503" i="17"/>
  <c r="L518" i="17"/>
  <c r="L524" i="17"/>
  <c r="L704" i="17"/>
  <c r="L762" i="17"/>
  <c r="L816" i="17"/>
  <c r="L817" i="17"/>
  <c r="L763" i="17"/>
  <c r="G886" i="24"/>
  <c r="L717" i="17"/>
  <c r="G885" i="24"/>
  <c r="M885" i="14"/>
  <c r="L117" i="17"/>
  <c r="L278" i="17"/>
  <c r="L381" i="17"/>
  <c r="L720" i="17"/>
  <c r="L251" i="17"/>
  <c r="L490" i="17"/>
  <c r="L583" i="17"/>
  <c r="L690" i="17"/>
  <c r="L735" i="17"/>
  <c r="L109" i="17"/>
  <c r="L186" i="17"/>
  <c r="L266" i="17"/>
  <c r="L268" i="17"/>
  <c r="L410" i="17"/>
  <c r="L403" i="17"/>
  <c r="L837" i="17"/>
  <c r="L114" i="17"/>
  <c r="L115" i="17"/>
  <c r="L145" i="17"/>
  <c r="L146" i="17"/>
  <c r="L551" i="17"/>
  <c r="L559" i="17"/>
  <c r="L570" i="17"/>
  <c r="L696" i="17"/>
  <c r="L758" i="17"/>
  <c r="L482" i="17"/>
  <c r="L496" i="17"/>
  <c r="L790" i="17"/>
  <c r="L836" i="17"/>
  <c r="L856" i="17"/>
  <c r="L870" i="17"/>
  <c r="L871" i="17"/>
  <c r="L210" i="17"/>
  <c r="L265" i="17"/>
  <c r="L391" i="17"/>
  <c r="L426" i="17"/>
  <c r="L483" i="17"/>
  <c r="L526" i="17"/>
  <c r="L530" i="17"/>
  <c r="L546" i="17"/>
  <c r="L714" i="17"/>
  <c r="L131" i="17"/>
  <c r="L174" i="17"/>
  <c r="G884" i="24"/>
  <c r="M884" i="14"/>
  <c r="L130" i="17"/>
  <c r="L389" i="17"/>
  <c r="L715" i="17"/>
  <c r="L869" i="17"/>
  <c r="L694" i="17"/>
  <c r="L706" i="17"/>
  <c r="L830" i="17"/>
  <c r="L835" i="17"/>
  <c r="L877" i="17"/>
  <c r="L746" i="17"/>
  <c r="L823" i="17"/>
  <c r="L377" i="17"/>
  <c r="L61" i="17"/>
  <c r="L72" i="17"/>
  <c r="L142" i="17"/>
  <c r="L195" i="17"/>
  <c r="L295" i="17"/>
  <c r="L750" i="17"/>
  <c r="L833" i="17"/>
  <c r="L858" i="17"/>
  <c r="L867" i="17"/>
  <c r="L412" i="17"/>
  <c r="L441" i="17"/>
  <c r="L665" i="17"/>
  <c r="L611" i="17"/>
  <c r="L604" i="17"/>
  <c r="L610" i="17"/>
  <c r="L605" i="17"/>
  <c r="L607" i="17"/>
  <c r="L626" i="17"/>
  <c r="L613" i="17"/>
  <c r="L619" i="17"/>
  <c r="L624" i="17"/>
  <c r="L13" i="17"/>
  <c r="L8" i="17"/>
  <c r="L660" i="17"/>
  <c r="L603" i="17"/>
  <c r="L629" i="17"/>
  <c r="L614" i="17"/>
  <c r="L625" i="17"/>
  <c r="L608" i="17"/>
  <c r="L622" i="17"/>
  <c r="L612" i="17"/>
  <c r="L606" i="17"/>
  <c r="L609" i="17"/>
  <c r="L616" i="17"/>
  <c r="L617" i="17"/>
  <c r="L620" i="17"/>
  <c r="L306" i="17"/>
  <c r="G882" i="24"/>
  <c r="M883" i="14"/>
  <c r="L849" i="17"/>
  <c r="L881" i="17"/>
  <c r="L90" i="17"/>
  <c r="L103" i="17"/>
  <c r="L180" i="17"/>
  <c r="L204" i="17"/>
  <c r="L238" i="17"/>
  <c r="L742" i="17"/>
  <c r="L784" i="17"/>
  <c r="L786" i="17"/>
  <c r="L872" i="17"/>
  <c r="L59" i="17"/>
  <c r="L101" i="17"/>
  <c r="L179" i="17"/>
  <c r="L218" i="17"/>
  <c r="L219" i="17"/>
  <c r="L259" i="17"/>
  <c r="L380" i="17"/>
  <c r="L437" i="17"/>
  <c r="L474" i="17"/>
  <c r="L510" i="17"/>
  <c r="L514" i="17"/>
  <c r="L584" i="17"/>
  <c r="L824" i="17"/>
  <c r="L882" i="17"/>
  <c r="L455" i="17"/>
  <c r="L550" i="17"/>
  <c r="L697" i="17"/>
  <c r="L80" i="17"/>
  <c r="L81" i="17"/>
  <c r="L203" i="17"/>
  <c r="L283" i="17"/>
  <c r="L301" i="17"/>
  <c r="L692" i="17"/>
  <c r="L789" i="17"/>
  <c r="L808" i="17"/>
  <c r="L878" i="17"/>
  <c r="L880" i="17"/>
  <c r="L47" i="17"/>
  <c r="L74" i="17"/>
  <c r="L104" i="17"/>
  <c r="L106" i="17"/>
  <c r="L133" i="17"/>
  <c r="L134" i="17"/>
  <c r="L191" i="17"/>
  <c r="L423" i="17"/>
  <c r="L552" i="17"/>
  <c r="L705" i="17"/>
  <c r="L838" i="17"/>
  <c r="L87" i="17"/>
  <c r="L96" i="17"/>
  <c r="L192" i="17"/>
  <c r="L216" i="17"/>
  <c r="L264" i="17"/>
  <c r="L286" i="17"/>
  <c r="L476" i="17"/>
  <c r="L571" i="17"/>
  <c r="L572" i="17"/>
  <c r="L754" i="17"/>
  <c r="L874" i="17"/>
  <c r="L502" i="17"/>
  <c r="L701" i="17"/>
  <c r="L819" i="17"/>
  <c r="L75" i="17"/>
  <c r="L76" i="17"/>
  <c r="L97" i="17"/>
  <c r="L107" i="17"/>
  <c r="L118" i="17"/>
  <c r="L127" i="17"/>
  <c r="L151" i="17"/>
  <c r="L168" i="17"/>
  <c r="L169" i="17"/>
  <c r="L173" i="17"/>
  <c r="L466" i="17"/>
  <c r="L468" i="17"/>
  <c r="L805" i="17"/>
  <c r="L147" i="17"/>
  <c r="L223" i="17"/>
  <c r="L383" i="17"/>
  <c r="L413" i="17"/>
  <c r="L492" i="17"/>
  <c r="L818" i="17"/>
  <c r="L875" i="17"/>
  <c r="L255" i="17"/>
  <c r="L257" i="17"/>
  <c r="L270" i="17"/>
  <c r="L274" i="17"/>
  <c r="L406" i="17"/>
  <c r="L535" i="17"/>
  <c r="L542" i="17"/>
  <c r="L718" i="17"/>
  <c r="L757" i="17"/>
  <c r="L116" i="17"/>
  <c r="L182" i="17"/>
  <c r="L477" i="17"/>
  <c r="L719" i="17"/>
  <c r="L736" i="17"/>
  <c r="L806" i="17"/>
  <c r="L864" i="17"/>
  <c r="L150" i="17"/>
  <c r="L185" i="17"/>
  <c r="L386" i="17"/>
  <c r="L387" i="17"/>
  <c r="L416" i="17"/>
  <c r="L435" i="17"/>
  <c r="L436" i="17"/>
  <c r="L448" i="17"/>
  <c r="L465" i="17"/>
  <c r="L499" i="17"/>
  <c r="L538" i="17"/>
  <c r="L581" i="17"/>
  <c r="L582" i="17"/>
  <c r="L599" i="17"/>
  <c r="L814" i="17"/>
  <c r="L845" i="17"/>
  <c r="L291" i="17"/>
  <c r="L707" i="17"/>
  <c r="L803" i="17"/>
  <c r="L523" i="17"/>
  <c r="L680" i="17"/>
  <c r="L367" i="17"/>
  <c r="L369" i="17"/>
  <c r="L370" i="17"/>
  <c r="L375" i="17"/>
  <c r="L376" i="17"/>
  <c r="L372" i="17"/>
  <c r="L374" i="17"/>
  <c r="L44" i="17"/>
  <c r="L50" i="17"/>
  <c r="L56" i="17"/>
  <c r="L64" i="17"/>
  <c r="L66" i="17"/>
  <c r="L73" i="17"/>
  <c r="L83" i="17"/>
  <c r="L100" i="17"/>
  <c r="L110" i="17"/>
  <c r="L120" i="17"/>
  <c r="L171" i="17"/>
  <c r="L277" i="17"/>
  <c r="L296" i="17"/>
  <c r="L297" i="17"/>
  <c r="L397" i="17"/>
  <c r="L521" i="17"/>
  <c r="L724" i="17"/>
  <c r="L812" i="17"/>
  <c r="L531" i="17"/>
  <c r="L769" i="17"/>
  <c r="L12" i="17"/>
  <c r="L623" i="17"/>
  <c r="L11" i="17"/>
  <c r="L618" i="17"/>
  <c r="L627" i="17"/>
  <c r="L737" i="17"/>
  <c r="L767" i="17"/>
  <c r="L254" i="17"/>
  <c r="L213" i="17"/>
  <c r="L243" i="17"/>
  <c r="L621" i="17"/>
  <c r="L792" i="17"/>
  <c r="L228" i="17"/>
  <c r="L432" i="17"/>
  <c r="L452" i="17"/>
  <c r="L628" i="17"/>
  <c r="L240" i="17"/>
  <c r="L290" i="17"/>
  <c r="L422" i="17"/>
  <c r="L480" i="17"/>
  <c r="L543" i="17"/>
  <c r="L544" i="17"/>
  <c r="L554" i="17"/>
  <c r="L615" i="17"/>
  <c r="L739" i="17"/>
  <c r="L741" i="17"/>
  <c r="L760" i="17"/>
  <c r="L766" i="17"/>
  <c r="L794" i="17"/>
  <c r="L853" i="17"/>
  <c r="L163" i="17"/>
  <c r="L273" i="17"/>
  <c r="L393" i="17"/>
  <c r="L415" i="17"/>
  <c r="L205" i="17"/>
  <c r="L209" i="17"/>
  <c r="L729" i="17"/>
  <c r="L749" i="17"/>
  <c r="L42" i="17"/>
  <c r="L82" i="17"/>
  <c r="L121" i="17"/>
  <c r="L141" i="17"/>
  <c r="L181" i="17"/>
  <c r="L194" i="17"/>
  <c r="L226" i="17"/>
  <c r="L275" i="17"/>
  <c r="L396" i="17"/>
  <c r="L398" i="17"/>
  <c r="L522" i="17"/>
  <c r="L52" i="17"/>
  <c r="L91" i="17"/>
  <c r="L260" i="17"/>
  <c r="L261" i="17"/>
  <c r="L300" i="17"/>
  <c r="L460" i="17"/>
  <c r="L578" i="17"/>
  <c r="L844" i="17"/>
  <c r="L846" i="17"/>
  <c r="L727" i="17"/>
  <c r="L753" i="17"/>
  <c r="L43" i="17"/>
  <c r="L55" i="17"/>
  <c r="L69" i="17"/>
  <c r="L105" i="17"/>
  <c r="L125" i="17"/>
  <c r="L170" i="17"/>
  <c r="L244" i="17"/>
  <c r="L250" i="17"/>
  <c r="L282" i="17"/>
  <c r="L513" i="17"/>
  <c r="L602" i="17"/>
  <c r="L691" i="17"/>
  <c r="L802" i="17"/>
  <c r="L27" i="17"/>
  <c r="L41" i="17"/>
  <c r="L63" i="17"/>
  <c r="L93" i="17"/>
  <c r="L123" i="17"/>
  <c r="L161" i="17"/>
  <c r="L162" i="17"/>
  <c r="L199" i="17"/>
  <c r="L281" i="17"/>
  <c r="L549" i="17"/>
  <c r="L555" i="17"/>
  <c r="L693" i="17"/>
  <c r="L785" i="17"/>
  <c r="L795" i="17"/>
  <c r="L38" i="17"/>
  <c r="L108" i="17"/>
  <c r="L242" i="17"/>
  <c r="L471" i="17"/>
  <c r="L478" i="17"/>
  <c r="L481" i="17"/>
  <c r="L512" i="17"/>
  <c r="L527" i="17"/>
  <c r="L536" i="17"/>
  <c r="L588" i="17"/>
  <c r="L708" i="17"/>
  <c r="L726" i="17"/>
  <c r="L847" i="17"/>
  <c r="L852" i="17"/>
  <c r="L479" i="17"/>
  <c r="L493" i="17"/>
  <c r="L791" i="17"/>
  <c r="L811" i="17"/>
  <c r="L850" i="17"/>
  <c r="L88" i="17"/>
  <c r="L124" i="17"/>
  <c r="L224" i="17"/>
  <c r="L249" i="17"/>
  <c r="L287" i="17"/>
  <c r="L288" i="17"/>
  <c r="L429" i="17"/>
  <c r="L539" i="17"/>
  <c r="L800" i="17"/>
  <c r="L232" i="17"/>
  <c r="L414" i="17"/>
  <c r="L590" i="17"/>
  <c r="L346" i="17"/>
  <c r="L352" i="17"/>
  <c r="L634" i="17"/>
  <c r="L638" i="17"/>
  <c r="L642" i="17"/>
  <c r="L646" i="17"/>
  <c r="L650" i="17"/>
  <c r="L653" i="17"/>
  <c r="L658" i="17"/>
  <c r="L662" i="17"/>
  <c r="L659" i="17"/>
  <c r="L666" i="17"/>
  <c r="L14" i="17"/>
  <c r="L315" i="17"/>
  <c r="L349" i="17"/>
  <c r="L337" i="17"/>
  <c r="L341" i="17"/>
  <c r="L334" i="17"/>
  <c r="L338" i="17"/>
  <c r="L357" i="17"/>
  <c r="L664" i="17"/>
  <c r="L667" i="17"/>
  <c r="L360" i="17"/>
  <c r="L630" i="17"/>
  <c r="L631" i="17"/>
  <c r="L632" i="17"/>
  <c r="L633" i="17"/>
  <c r="L635" i="17"/>
  <c r="L636" i="17"/>
  <c r="L637" i="17"/>
  <c r="L639" i="17"/>
  <c r="L640" i="17"/>
  <c r="L641" i="17"/>
  <c r="L643" i="17"/>
  <c r="L644" i="17"/>
  <c r="L645" i="17"/>
  <c r="L647" i="17"/>
  <c r="L648" i="17"/>
  <c r="L649" i="17"/>
  <c r="L651" i="17"/>
  <c r="L652" i="17"/>
  <c r="L654" i="17"/>
  <c r="L655" i="17"/>
  <c r="L656" i="17"/>
  <c r="L663" i="17"/>
  <c r="L661" i="17"/>
  <c r="L657" i="17"/>
  <c r="L15" i="17"/>
  <c r="L303" i="17"/>
  <c r="L21" i="17"/>
  <c r="L382" i="17"/>
  <c r="L440" i="17"/>
  <c r="L449" i="17"/>
  <c r="L504" i="17"/>
  <c r="L517" i="17"/>
  <c r="L560" i="17"/>
  <c r="L587" i="17"/>
  <c r="L594" i="17"/>
  <c r="L738" i="17"/>
  <c r="L783" i="17"/>
  <c r="L876" i="17"/>
  <c r="L10" i="17"/>
  <c r="L16" i="17"/>
  <c r="L29" i="17"/>
  <c r="L45" i="17"/>
  <c r="L51" i="17"/>
  <c r="L58" i="17"/>
  <c r="L67" i="17"/>
  <c r="L78" i="17"/>
  <c r="L128" i="17"/>
  <c r="L143" i="17"/>
  <c r="L144" i="17"/>
  <c r="L234" i="17"/>
  <c r="L252" i="17"/>
  <c r="L292" i="17"/>
  <c r="L494" i="17"/>
  <c r="L497" i="17"/>
  <c r="L500" i="17"/>
  <c r="L547" i="17"/>
  <c r="L579" i="17"/>
  <c r="L779" i="17"/>
  <c r="L780" i="17"/>
  <c r="L865" i="17"/>
  <c r="L868" i="17"/>
  <c r="L9" i="17"/>
  <c r="L57" i="17"/>
  <c r="L92" i="17"/>
  <c r="L126" i="17"/>
  <c r="L136" i="17"/>
  <c r="L148" i="17"/>
  <c r="L149" i="17"/>
  <c r="L183" i="17"/>
  <c r="L235" i="17"/>
  <c r="L236" i="17"/>
  <c r="L299" i="17"/>
  <c r="L433" i="17"/>
  <c r="L443" i="17"/>
  <c r="L565" i="17"/>
  <c r="L568" i="17"/>
  <c r="L569" i="17"/>
  <c r="L873" i="17"/>
  <c r="L164" i="17"/>
  <c r="L165" i="17"/>
  <c r="L595" i="17"/>
  <c r="L215" i="17"/>
  <c r="L222" i="17"/>
  <c r="L245" i="17"/>
  <c r="L241" i="17"/>
  <c r="L312" i="17"/>
  <c r="L309" i="17"/>
  <c r="G883" i="24"/>
  <c r="L60" i="17"/>
  <c r="L419" i="17"/>
  <c r="L197" i="17"/>
  <c r="L28" i="17"/>
  <c r="L184" i="17"/>
  <c r="L176" i="17"/>
  <c r="L198" i="17"/>
  <c r="L314" i="17"/>
  <c r="L822" i="17"/>
  <c r="L515" i="17"/>
  <c r="L112" i="17"/>
  <c r="L267" i="17"/>
  <c r="L308" i="17"/>
  <c r="L801" i="17"/>
  <c r="L279" i="17"/>
  <c r="L438" i="17"/>
  <c r="L688" i="17"/>
  <c r="L730" i="17"/>
  <c r="L30" i="17"/>
  <c r="L94" i="17"/>
  <c r="L138" i="17"/>
  <c r="L211" i="17"/>
  <c r="L247" i="17"/>
  <c r="L408" i="17"/>
  <c r="L434" i="17"/>
  <c r="L451" i="17"/>
  <c r="L829" i="17"/>
  <c r="L17" i="17"/>
  <c r="L20" i="17"/>
  <c r="L23" i="17"/>
  <c r="L54" i="17"/>
  <c r="L298" i="17"/>
  <c r="L411" i="17"/>
  <c r="L485" i="17"/>
  <c r="L796" i="17"/>
  <c r="L77" i="17"/>
  <c r="L86" i="17"/>
  <c r="L122" i="17"/>
  <c r="L285" i="17"/>
  <c r="L302" i="17"/>
  <c r="L304" i="17"/>
  <c r="L534" i="17"/>
  <c r="L840" i="17"/>
  <c r="L866" i="17"/>
  <c r="L229" i="17"/>
  <c r="L269" i="17"/>
  <c r="L40" i="17"/>
  <c r="L53" i="17"/>
  <c r="L85" i="17"/>
  <c r="L529" i="17"/>
  <c r="L777" i="17"/>
  <c r="L305" i="17"/>
  <c r="L206" i="17"/>
  <c r="L498" i="17"/>
  <c r="L815" i="17"/>
  <c r="L828" i="17"/>
  <c r="L839" i="17"/>
  <c r="L841" i="17"/>
  <c r="L842" i="17"/>
  <c r="L848" i="17"/>
  <c r="L859" i="17"/>
  <c r="L212" i="17"/>
  <c r="L462" i="17"/>
  <c r="L463" i="17"/>
  <c r="L484" i="17"/>
  <c r="L520" i="17"/>
  <c r="L861" i="17"/>
  <c r="L863" i="17"/>
  <c r="M881" i="14"/>
  <c r="M882" i="14"/>
  <c r="L342" i="17"/>
  <c r="L347" i="17"/>
  <c r="L348" i="17"/>
  <c r="L332" i="17"/>
  <c r="L333" i="17"/>
  <c r="L336" i="17"/>
  <c r="L340" i="17"/>
  <c r="L335" i="17"/>
  <c r="L339" i="17"/>
  <c r="L350" i="17"/>
  <c r="L343" i="17"/>
  <c r="L344" i="17"/>
  <c r="L345" i="17"/>
  <c r="L25" i="17"/>
  <c r="L354" i="17"/>
  <c r="L355" i="17"/>
  <c r="L356" i="17"/>
  <c r="L685" i="17"/>
  <c r="L683" i="17"/>
  <c r="L358" i="17"/>
  <c r="L359" i="17"/>
  <c r="L365" i="17"/>
  <c r="L366" i="17"/>
  <c r="L371" i="17"/>
  <c r="L673" i="17"/>
  <c r="L671" i="17"/>
  <c r="L18" i="17"/>
  <c r="L19" i="17"/>
  <c r="L33" i="17"/>
  <c r="L37" i="17"/>
  <c r="L62" i="17"/>
  <c r="L89" i="17"/>
  <c r="L139" i="17"/>
  <c r="L239" i="17"/>
  <c r="L276" i="17"/>
  <c r="L392" i="17"/>
  <c r="L525" i="17"/>
  <c r="L782" i="17"/>
  <c r="L821" i="17"/>
  <c r="L832" i="17"/>
  <c r="L597" i="17"/>
  <c r="L702" i="17"/>
  <c r="L709" i="17"/>
  <c r="L711" i="17"/>
  <c r="L807" i="17"/>
  <c r="L378" i="17"/>
  <c r="L95" i="17"/>
  <c r="L196" i="17"/>
  <c r="L385" i="17"/>
  <c r="L467" i="17"/>
  <c r="L111" i="17"/>
  <c r="L233" i="17"/>
  <c r="L797" i="17"/>
  <c r="L855" i="17"/>
  <c r="L495" i="17"/>
  <c r="L576" i="17"/>
  <c r="L253" i="17"/>
  <c r="L310" i="17"/>
  <c r="L457" i="17"/>
  <c r="L532" i="17"/>
  <c r="L35" i="17"/>
  <c r="L155" i="17"/>
  <c r="L201" i="17"/>
  <c r="L225" i="17"/>
  <c r="L723" i="17"/>
  <c r="L765" i="17"/>
  <c r="L79" i="17"/>
  <c r="L220" i="17"/>
  <c r="L402" i="17"/>
  <c r="L566" i="17"/>
  <c r="L580" i="17"/>
  <c r="L509" i="17"/>
  <c r="L49" i="17"/>
  <c r="L684" i="17"/>
  <c r="L676" i="17"/>
  <c r="L373" i="17"/>
  <c r="L26" i="17"/>
  <c r="L65" i="17"/>
  <c r="L154" i="17"/>
  <c r="L388" i="17"/>
  <c r="L430" i="17"/>
  <c r="L431" i="17"/>
  <c r="L446" i="17"/>
  <c r="L447" i="17"/>
  <c r="L695" i="17"/>
  <c r="L826" i="17"/>
  <c r="L424" i="17"/>
  <c r="L533" i="17"/>
  <c r="L744" i="17"/>
  <c r="L831" i="17"/>
  <c r="L834" i="17"/>
  <c r="L379" i="17"/>
  <c r="L159" i="17"/>
  <c r="L177" i="17"/>
  <c r="L418" i="17"/>
  <c r="L469" i="17"/>
  <c r="L601" i="17"/>
  <c r="L857" i="17"/>
  <c r="L24" i="17"/>
  <c r="L34" i="17"/>
  <c r="L98" i="17"/>
  <c r="L99" i="17"/>
  <c r="L158" i="17"/>
  <c r="L214" i="17"/>
  <c r="L272" i="17"/>
  <c r="L420" i="17"/>
  <c r="L425" i="17"/>
  <c r="L475" i="17"/>
  <c r="L743" i="17"/>
  <c r="L862" i="17"/>
  <c r="L787" i="17"/>
  <c r="L687" i="17"/>
  <c r="L733" i="17"/>
  <c r="L761" i="17"/>
  <c r="L36" i="17"/>
  <c r="L48" i="17"/>
  <c r="L207" i="17"/>
  <c r="L293" i="17"/>
  <c r="L472" i="17"/>
  <c r="L31" i="17"/>
  <c r="L32" i="17"/>
  <c r="L70" i="17"/>
  <c r="L178" i="17"/>
  <c r="L473" i="17"/>
  <c r="L773" i="17"/>
  <c r="L722" i="17"/>
  <c r="L768" i="17"/>
  <c r="L770" i="17"/>
  <c r="L772" i="17"/>
  <c r="L774" i="17"/>
  <c r="L778" i="17"/>
  <c r="L71" i="17"/>
  <c r="L102" i="17"/>
  <c r="L280" i="17"/>
  <c r="L401" i="17"/>
  <c r="L407" i="17"/>
  <c r="L409" i="17"/>
  <c r="L444" i="17"/>
  <c r="L456" i="17"/>
  <c r="L459" i="17"/>
  <c r="L755" i="17"/>
  <c r="L781" i="17"/>
  <c r="L160" i="17"/>
  <c r="L271" i="17"/>
  <c r="L545" i="17"/>
  <c r="L553" i="17"/>
  <c r="L732" i="17"/>
  <c r="L745" i="17"/>
  <c r="L221" i="17"/>
  <c r="L246" i="17"/>
  <c r="L248" i="17"/>
  <c r="L262" i="17"/>
  <c r="L263" i="17"/>
  <c r="L427" i="17"/>
  <c r="L445" i="17"/>
  <c r="L486" i="17"/>
  <c r="L575" i="17"/>
  <c r="L813" i="17"/>
  <c r="L231" i="17"/>
  <c r="L574" i="17"/>
  <c r="L593" i="17"/>
  <c r="L596" i="17"/>
  <c r="L752" i="17"/>
  <c r="L311" i="17"/>
  <c r="L394" i="17"/>
  <c r="L395" i="17"/>
  <c r="L417" i="17"/>
  <c r="L450" i="17"/>
  <c r="L453" i="17"/>
  <c r="L548" i="17"/>
  <c r="L567" i="17"/>
  <c r="L230" i="17"/>
  <c r="L208" i="17"/>
  <c r="L22" i="17"/>
  <c r="L68" i="17"/>
  <c r="L470" i="17"/>
  <c r="L820" i="17"/>
  <c r="L843" i="17"/>
  <c r="L46" i="17"/>
  <c r="L217" i="17"/>
  <c r="L516" i="17"/>
  <c r="L573" i="17"/>
  <c r="L577" i="17"/>
  <c r="L591" i="17"/>
  <c r="L698" i="17"/>
  <c r="L699" i="17"/>
  <c r="L725" i="17"/>
  <c r="L734" i="17"/>
  <c r="L751" i="17"/>
  <c r="L775" i="17"/>
  <c r="L825" i="17"/>
  <c r="L851" i="17"/>
  <c r="L854" i="17"/>
  <c r="L713" i="17"/>
  <c r="L771" i="17"/>
  <c r="L810" i="17"/>
  <c r="L39" i="17"/>
  <c r="L137" i="17"/>
  <c r="L166" i="17"/>
  <c r="L167" i="17"/>
  <c r="L188" i="17"/>
  <c r="L507" i="17"/>
  <c r="L519" i="17"/>
  <c r="L540" i="17"/>
  <c r="L600" i="17"/>
  <c r="L716" i="17"/>
  <c r="L860" i="17"/>
  <c r="L187" i="17"/>
  <c r="L307" i="17"/>
  <c r="L487" i="17"/>
  <c r="L157" i="17"/>
  <c r="L175" i="17"/>
  <c r="L294" i="17"/>
  <c r="L313" i="17"/>
  <c r="L399" i="17"/>
  <c r="L501" i="17"/>
  <c r="L589" i="17"/>
  <c r="L700" i="17"/>
  <c r="L721" i="17"/>
  <c r="L740" i="17"/>
  <c r="L756" i="17"/>
  <c r="L798" i="17"/>
  <c r="L799" i="17"/>
  <c r="L132" i="17"/>
  <c r="L152" i="17"/>
  <c r="L289" i="17"/>
  <c r="L439" i="17"/>
  <c r="L556" i="17"/>
  <c r="L557" i="17"/>
  <c r="L558" i="17"/>
  <c r="L703" i="17"/>
  <c r="L759" i="17"/>
  <c r="L776" i="17"/>
  <c r="L804" i="17"/>
  <c r="L827" i="17"/>
  <c r="L113" i="17"/>
  <c r="L227" i="17"/>
  <c r="L461" i="17"/>
  <c r="L464" i="17"/>
  <c r="L561" i="17"/>
  <c r="L585" i="17"/>
  <c r="L598" i="17"/>
  <c r="L135" i="17"/>
  <c r="L284" i="17"/>
  <c r="L351" i="17"/>
  <c r="L353" i="17"/>
  <c r="L454" i="17"/>
  <c r="L458" i="17"/>
  <c r="L506" i="17"/>
  <c r="L586" i="17"/>
  <c r="L710" i="17"/>
  <c r="L508" i="17"/>
  <c r="L511" i="17"/>
  <c r="L541" i="17"/>
  <c r="L562" i="17"/>
  <c r="L563" i="17"/>
  <c r="L564" i="17"/>
  <c r="L592" i="17"/>
  <c r="L686" i="17"/>
  <c r="L689" i="17"/>
  <c r="L712" i="17"/>
  <c r="L728" i="17"/>
  <c r="L731" i="17"/>
  <c r="L747" i="17"/>
  <c r="L748" i="17"/>
  <c r="L764" i="17"/>
  <c r="L140" i="17"/>
  <c r="L172" i="17"/>
  <c r="L193" i="17"/>
  <c r="L200" i="17"/>
  <c r="L237" i="17"/>
  <c r="L256" i="17"/>
  <c r="L404" i="17"/>
  <c r="L488" i="17"/>
  <c r="L489" i="17"/>
  <c r="AJ874" i="1"/>
  <c r="AJ872" i="1"/>
  <c r="G881" i="24"/>
  <c r="G880" i="24"/>
  <c r="M880" i="14"/>
  <c r="G879" i="24"/>
  <c r="M879" i="14"/>
  <c r="G878" i="24"/>
  <c r="G877" i="24"/>
  <c r="M878" i="14"/>
  <c r="AJ132" i="1"/>
  <c r="M877" i="14"/>
  <c r="G876" i="24"/>
  <c r="G875" i="24"/>
  <c r="M875" i="14"/>
  <c r="M876" i="14"/>
  <c r="AJ831" i="1"/>
  <c r="G868" i="24"/>
  <c r="G874" i="24"/>
  <c r="M874" i="14"/>
  <c r="G873" i="24"/>
  <c r="M873" i="14"/>
  <c r="G872" i="24"/>
  <c r="M872" i="14"/>
  <c r="G871" i="24"/>
  <c r="G870" i="24"/>
  <c r="U816" i="17"/>
  <c r="G869" i="24"/>
  <c r="G867" i="24"/>
  <c r="G866" i="24"/>
  <c r="M870" i="14"/>
  <c r="M871" i="14"/>
  <c r="M869" i="14"/>
  <c r="G865" i="24"/>
  <c r="G864" i="24"/>
  <c r="M868" i="14"/>
  <c r="G861" i="24"/>
  <c r="G863" i="24"/>
  <c r="M867" i="14"/>
  <c r="M866" i="14"/>
  <c r="G859" i="24"/>
  <c r="G860" i="24"/>
  <c r="G862" i="24"/>
  <c r="M865" i="14"/>
  <c r="M863" i="14"/>
  <c r="M864" i="14"/>
  <c r="G854" i="24"/>
  <c r="G856" i="24"/>
  <c r="G853" i="24"/>
  <c r="G858" i="24"/>
  <c r="G857" i="24"/>
  <c r="M862" i="14"/>
  <c r="M860" i="14"/>
  <c r="M861" i="14"/>
  <c r="M859" i="14"/>
  <c r="G852" i="24"/>
  <c r="M858" i="14"/>
  <c r="G851" i="24"/>
  <c r="M857" i="14"/>
  <c r="AJ842" i="1"/>
  <c r="M856" i="14"/>
  <c r="G855" i="24"/>
  <c r="M855" i="14"/>
  <c r="M854" i="14"/>
  <c r="M853" i="14"/>
  <c r="M852" i="14"/>
  <c r="G850" i="24"/>
  <c r="G848" i="24"/>
  <c r="G849" i="24"/>
  <c r="I953" i="24"/>
  <c r="J953" i="24"/>
  <c r="L953" i="24"/>
  <c r="M953" i="24"/>
  <c r="O953" i="24"/>
  <c r="H953" i="24"/>
  <c r="K953" i="24"/>
  <c r="N953" i="24"/>
  <c r="P953" i="24"/>
  <c r="I950" i="24"/>
  <c r="K950" i="24"/>
  <c r="N950" i="24"/>
  <c r="P950" i="24"/>
  <c r="H950" i="24"/>
  <c r="J950" i="24"/>
  <c r="L950" i="24"/>
  <c r="M950" i="24"/>
  <c r="O950" i="24"/>
  <c r="H952" i="24"/>
  <c r="I952" i="24"/>
  <c r="J952" i="24"/>
  <c r="K952" i="24"/>
  <c r="L952" i="24"/>
  <c r="M952" i="24"/>
  <c r="N952" i="24"/>
  <c r="O952" i="24"/>
  <c r="P952" i="24"/>
  <c r="H954" i="24"/>
  <c r="I954" i="24"/>
  <c r="J954" i="24"/>
  <c r="K954" i="24"/>
  <c r="L954" i="24"/>
  <c r="M954" i="24"/>
  <c r="N954" i="24"/>
  <c r="O954" i="24"/>
  <c r="P954" i="24"/>
  <c r="J957" i="24"/>
  <c r="L957" i="24"/>
  <c r="M957" i="24"/>
  <c r="N957" i="24"/>
  <c r="P957" i="24"/>
  <c r="I957" i="24"/>
  <c r="K957" i="24"/>
  <c r="O957" i="24"/>
  <c r="H957" i="24"/>
  <c r="H949" i="24"/>
  <c r="I949" i="24"/>
  <c r="J949" i="24"/>
  <c r="K949" i="24"/>
  <c r="L949" i="24"/>
  <c r="M949" i="24"/>
  <c r="N949" i="24"/>
  <c r="O949" i="24"/>
  <c r="P949" i="24"/>
  <c r="H960" i="24"/>
  <c r="I960" i="24"/>
  <c r="J960" i="24"/>
  <c r="K960" i="24"/>
  <c r="L960" i="24"/>
  <c r="O960" i="24"/>
  <c r="N960" i="24"/>
  <c r="M960" i="24"/>
  <c r="P960" i="24"/>
  <c r="H959" i="24"/>
  <c r="I959" i="24"/>
  <c r="J959" i="24"/>
  <c r="K959" i="24"/>
  <c r="L959" i="24"/>
  <c r="M959" i="24"/>
  <c r="N959" i="24"/>
  <c r="O959" i="24"/>
  <c r="P959" i="24"/>
  <c r="H951" i="24"/>
  <c r="I951" i="24"/>
  <c r="J951" i="24"/>
  <c r="K951" i="24"/>
  <c r="L951" i="24"/>
  <c r="M951" i="24"/>
  <c r="N951" i="24"/>
  <c r="O951" i="24"/>
  <c r="P951" i="24"/>
  <c r="H958" i="24"/>
  <c r="I958" i="24"/>
  <c r="J958" i="24"/>
  <c r="K958" i="24"/>
  <c r="L958" i="24"/>
  <c r="M958" i="24"/>
  <c r="N958" i="24"/>
  <c r="O958" i="24"/>
  <c r="P958" i="24"/>
  <c r="I956" i="24"/>
  <c r="J956" i="24"/>
  <c r="K956" i="24"/>
  <c r="L956" i="24"/>
  <c r="M956" i="24"/>
  <c r="P956" i="24"/>
  <c r="N956" i="24"/>
  <c r="H956" i="24"/>
  <c r="O956" i="24"/>
  <c r="H955" i="24"/>
  <c r="I955" i="24"/>
  <c r="J955" i="24"/>
  <c r="K955" i="24"/>
  <c r="L955" i="24"/>
  <c r="M955" i="24"/>
  <c r="N955" i="24"/>
  <c r="O955" i="24"/>
  <c r="P955" i="24"/>
  <c r="AJ138" i="1"/>
  <c r="AJ137" i="1"/>
  <c r="M850" i="14"/>
  <c r="M851" i="14"/>
  <c r="AJ849" i="1"/>
  <c r="AJ145" i="1"/>
  <c r="AJ156" i="1"/>
  <c r="M848" i="14"/>
  <c r="M849" i="14"/>
  <c r="G847" i="24"/>
  <c r="G846" i="24"/>
  <c r="M847" i="14"/>
  <c r="M846" i="14"/>
  <c r="G845" i="24"/>
  <c r="G843" i="24"/>
  <c r="M845" i="14"/>
  <c r="AJ844" i="1"/>
  <c r="G844" i="24"/>
  <c r="G841" i="24"/>
  <c r="G842" i="24"/>
  <c r="M844" i="14"/>
  <c r="AJ829" i="1"/>
  <c r="G839" i="24"/>
  <c r="G840" i="24"/>
  <c r="G838" i="24"/>
  <c r="AJ830" i="1"/>
  <c r="M842" i="14"/>
  <c r="M843" i="14"/>
  <c r="M841" i="14"/>
  <c r="G837" i="24"/>
  <c r="M840" i="14"/>
  <c r="M839" i="14"/>
  <c r="M838" i="14"/>
  <c r="M837" i="14"/>
  <c r="G836" i="24"/>
  <c r="M836" i="14"/>
  <c r="G834" i="24"/>
  <c r="G835" i="24"/>
  <c r="M835" i="14"/>
  <c r="G833" i="24"/>
  <c r="M834" i="14"/>
  <c r="M833" i="14"/>
  <c r="G832" i="24"/>
  <c r="M832" i="14"/>
  <c r="AJ821" i="1"/>
  <c r="G829" i="24"/>
  <c r="G831" i="24"/>
  <c r="M831" i="14"/>
  <c r="AJ200" i="1"/>
  <c r="AJ224" i="1"/>
  <c r="AJ801" i="1"/>
  <c r="AJ797" i="1"/>
  <c r="AJ798" i="1"/>
  <c r="AJ800" i="1"/>
  <c r="AJ326" i="1"/>
  <c r="AJ799" i="1"/>
  <c r="AJ802" i="1"/>
  <c r="AJ791" i="1"/>
  <c r="G830" i="24"/>
  <c r="M830" i="14"/>
  <c r="AJ828" i="1"/>
  <c r="M829" i="14"/>
  <c r="G828" i="24"/>
  <c r="G827" i="24"/>
  <c r="G826" i="24"/>
  <c r="G825" i="24"/>
  <c r="M828" i="14"/>
  <c r="G823" i="24"/>
  <c r="G824" i="24"/>
  <c r="M826" i="14"/>
  <c r="M827" i="14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G822" i="24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M825" i="14"/>
  <c r="M824" i="14"/>
  <c r="M823" i="14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G820" i="24"/>
  <c r="G819" i="24"/>
  <c r="G821" i="24"/>
  <c r="M822" i="14"/>
  <c r="M821" i="14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M820" i="14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M819" i="14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M818" i="14"/>
  <c r="AJ203" i="1"/>
  <c r="AJ295" i="1"/>
  <c r="G818" i="24"/>
  <c r="G817" i="24"/>
  <c r="M817" i="14"/>
  <c r="G816" i="24"/>
  <c r="M816" i="14"/>
  <c r="M792" i="14"/>
  <c r="G811" i="24"/>
  <c r="G815" i="24"/>
  <c r="G810" i="24"/>
  <c r="G813" i="24"/>
  <c r="M815" i="14"/>
  <c r="G812" i="24"/>
  <c r="G814" i="24"/>
  <c r="G808" i="24"/>
  <c r="G807" i="24"/>
  <c r="G809" i="24"/>
  <c r="M813" i="14"/>
  <c r="M814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G806" i="24"/>
  <c r="G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G800" i="24"/>
  <c r="G795" i="24"/>
  <c r="G796" i="24"/>
  <c r="G801" i="24"/>
  <c r="G804" i="24"/>
  <c r="G803" i="24"/>
  <c r="G802" i="24"/>
  <c r="G799" i="24"/>
  <c r="G798" i="24"/>
  <c r="G797" i="24"/>
  <c r="G484" i="24"/>
  <c r="G794" i="24"/>
  <c r="G483" i="24"/>
  <c r="G686" i="24"/>
  <c r="G662" i="24"/>
  <c r="G702" i="24"/>
  <c r="G661" i="24"/>
  <c r="G663" i="24"/>
  <c r="G710" i="24"/>
  <c r="G652" i="24"/>
  <c r="G58" i="24"/>
  <c r="G668" i="24"/>
  <c r="G713" i="24"/>
  <c r="G670" i="24"/>
  <c r="G729" i="24"/>
  <c r="G461" i="24"/>
  <c r="G460" i="24"/>
  <c r="G459" i="24"/>
  <c r="G548" i="24"/>
  <c r="G376" i="24"/>
  <c r="G626" i="24"/>
  <c r="G696" i="24"/>
  <c r="G685" i="24"/>
  <c r="G667" i="24"/>
  <c r="G119" i="24"/>
  <c r="G690" i="24"/>
  <c r="G781" i="24"/>
  <c r="G694" i="24"/>
  <c r="G464" i="24"/>
  <c r="G754" i="24"/>
  <c r="G630" i="24"/>
  <c r="G610" i="24"/>
  <c r="G730" i="24"/>
  <c r="G760" i="24"/>
  <c r="G666" i="24"/>
  <c r="G738" i="24"/>
  <c r="G689" i="24"/>
  <c r="G721" i="24"/>
  <c r="G695" i="24"/>
  <c r="G660" i="24"/>
  <c r="G771" i="24"/>
  <c r="G728" i="24"/>
  <c r="G552" i="24"/>
  <c r="G473" i="24"/>
  <c r="G700" i="24"/>
  <c r="G326" i="24"/>
  <c r="G732" i="24"/>
  <c r="G679" i="24"/>
  <c r="G676" i="24"/>
  <c r="G712" i="24"/>
  <c r="G393" i="24"/>
  <c r="G680" i="24"/>
  <c r="G655" i="24"/>
  <c r="G560" i="24"/>
  <c r="G475" i="24"/>
  <c r="G573" i="24"/>
  <c r="N573" i="24" s="1"/>
  <c r="G366" i="24"/>
  <c r="G342" i="24"/>
  <c r="G477" i="24"/>
  <c r="G324" i="24"/>
  <c r="G395" i="24"/>
  <c r="G765" i="24"/>
  <c r="G714" i="24"/>
  <c r="G725" i="24"/>
  <c r="G634" i="24"/>
  <c r="G479" i="24"/>
  <c r="G693" i="24"/>
  <c r="G381" i="24"/>
  <c r="G551" i="24"/>
  <c r="G547" i="24"/>
  <c r="G126" i="24"/>
  <c r="G557" i="24"/>
  <c r="G612" i="24"/>
  <c r="G390" i="24"/>
  <c r="G675" i="24"/>
  <c r="G674" i="24"/>
  <c r="G5" i="24"/>
  <c r="G620" i="24"/>
  <c r="G611" i="24"/>
  <c r="G779" i="24"/>
  <c r="G216" i="24"/>
  <c r="G468" i="24"/>
  <c r="G453" i="24"/>
  <c r="G341" i="24"/>
  <c r="G466" i="24"/>
  <c r="G463" i="24"/>
  <c r="G3" i="24"/>
  <c r="G687" i="24"/>
  <c r="G684" i="24"/>
  <c r="G506" i="24"/>
  <c r="G79" i="24"/>
  <c r="G512" i="24"/>
  <c r="G742" i="24"/>
  <c r="G161" i="24"/>
  <c r="G583" i="24"/>
  <c r="G584" i="24"/>
  <c r="G588" i="24"/>
  <c r="G585" i="24"/>
  <c r="G504" i="24"/>
  <c r="G677" i="24"/>
  <c r="G764" i="24"/>
  <c r="G751" i="24"/>
  <c r="G747" i="24"/>
  <c r="G590" i="24"/>
  <c r="G727" i="24"/>
  <c r="G575" i="24"/>
  <c r="G672" i="24"/>
  <c r="G669" i="24"/>
  <c r="G237" i="24"/>
  <c r="G7" i="24"/>
  <c r="G323" i="24"/>
  <c r="G4" i="24"/>
  <c r="G478" i="24"/>
  <c r="G6" i="24"/>
  <c r="G167" i="24"/>
  <c r="G166" i="24"/>
  <c r="G766" i="24"/>
  <c r="G757" i="24"/>
  <c r="G755" i="24"/>
  <c r="G746" i="24"/>
  <c r="G705" i="24"/>
  <c r="G706" i="24"/>
  <c r="G701" i="24"/>
  <c r="G699" i="24"/>
  <c r="G697" i="24"/>
  <c r="G683" i="24"/>
  <c r="G682" i="24"/>
  <c r="G665" i="24"/>
  <c r="G658" i="24"/>
  <c r="G586" i="24"/>
  <c r="G582" i="24"/>
  <c r="G436" i="24"/>
  <c r="G704" i="24"/>
  <c r="G703" i="24"/>
  <c r="G688" i="24"/>
  <c r="G681" i="24"/>
  <c r="G659" i="24"/>
  <c r="G656" i="24"/>
  <c r="G692" i="24"/>
  <c r="G678" i="24"/>
  <c r="G775" i="24"/>
  <c r="G763" i="24"/>
  <c r="G762" i="24"/>
  <c r="G664" i="24"/>
  <c r="G413" i="24"/>
  <c r="G43" i="24"/>
  <c r="G30" i="24"/>
  <c r="G592" i="24"/>
  <c r="G415" i="24"/>
  <c r="G786" i="24"/>
  <c r="G739" i="24"/>
  <c r="G632" i="24"/>
  <c r="G60" i="24"/>
  <c r="I60" i="24" s="1"/>
  <c r="G608" i="24"/>
  <c r="G602" i="24"/>
  <c r="G354" i="24"/>
  <c r="G106" i="24"/>
  <c r="G614" i="24"/>
  <c r="G19" i="24"/>
  <c r="G359" i="24"/>
  <c r="G357" i="24"/>
  <c r="G329" i="24"/>
  <c r="G109" i="24"/>
  <c r="G457" i="24"/>
  <c r="G454" i="24"/>
  <c r="G8" i="24"/>
  <c r="G236" i="24"/>
  <c r="G231" i="24"/>
  <c r="G616" i="24"/>
  <c r="G777" i="24"/>
  <c r="G52" i="24"/>
  <c r="G225" i="24"/>
  <c r="G485" i="24"/>
  <c r="G13" i="24"/>
  <c r="G46" i="24"/>
  <c r="G9" i="24"/>
  <c r="G723" i="24"/>
  <c r="G724" i="24"/>
  <c r="G232" i="24"/>
  <c r="G230" i="24"/>
  <c r="G491" i="24"/>
  <c r="G10" i="24"/>
  <c r="G715" i="24"/>
  <c r="G513" i="24"/>
  <c r="G498" i="24"/>
  <c r="G618" i="24"/>
  <c r="G596" i="24"/>
  <c r="G580" i="24"/>
  <c r="G411" i="24"/>
  <c r="G200" i="24"/>
  <c r="G562" i="24"/>
  <c r="G353" i="24"/>
  <c r="G327" i="24"/>
  <c r="G397" i="24"/>
  <c r="G356" i="24"/>
  <c r="G12" i="24"/>
  <c r="G647" i="24"/>
  <c r="G228" i="24"/>
  <c r="G226" i="24"/>
  <c r="G589" i="24"/>
  <c r="G384" i="24"/>
  <c r="G339" i="24"/>
  <c r="G401" i="24"/>
  <c r="G400" i="24"/>
  <c r="G399" i="24"/>
  <c r="G346" i="24"/>
  <c r="G14" i="24"/>
  <c r="G720" i="24"/>
  <c r="G717" i="24"/>
  <c r="G719" i="24"/>
  <c r="G793" i="24"/>
  <c r="G716" i="24"/>
  <c r="G649" i="24"/>
  <c r="G607" i="24"/>
  <c r="G605" i="24"/>
  <c r="G599" i="24"/>
  <c r="G555" i="24"/>
  <c r="G532" i="24"/>
  <c r="G517" i="24"/>
  <c r="G613" i="24"/>
  <c r="G579" i="24"/>
  <c r="G554" i="24"/>
  <c r="G544" i="24"/>
  <c r="G537" i="24"/>
  <c r="G487" i="24"/>
  <c r="G494" i="24"/>
  <c r="G333" i="24"/>
  <c r="G325" i="24"/>
  <c r="N325" i="24" s="1"/>
  <c r="G525" i="24"/>
  <c r="G322" i="24"/>
  <c r="G25" i="24"/>
  <c r="G76" i="24"/>
  <c r="G84" i="24"/>
  <c r="G403" i="24"/>
  <c r="G568" i="24"/>
  <c r="G488" i="24"/>
  <c r="G29" i="24"/>
  <c r="G21" i="24"/>
  <c r="G20" i="24"/>
  <c r="G638" i="24"/>
  <c r="G571" i="24"/>
  <c r="G564" i="24"/>
  <c r="G447" i="24"/>
  <c r="G22" i="24"/>
  <c r="G407" i="24"/>
  <c r="G328" i="24"/>
  <c r="G26" i="24"/>
  <c r="G16" i="24"/>
  <c r="G758" i="24"/>
  <c r="G741" i="24"/>
  <c r="G726" i="24"/>
  <c r="G711" i="24"/>
  <c r="G707" i="24"/>
  <c r="G650" i="24"/>
  <c r="G639" i="24"/>
  <c r="G198" i="24"/>
  <c r="G619" i="24"/>
  <c r="G604" i="24"/>
  <c r="G601" i="24"/>
  <c r="M601" i="24" s="1"/>
  <c r="G597" i="24"/>
  <c r="G574" i="24"/>
  <c r="G434" i="24"/>
  <c r="G391" i="24"/>
  <c r="G744" i="24"/>
  <c r="G740" i="24"/>
  <c r="G735" i="24"/>
  <c r="G642" i="24"/>
  <c r="G227" i="24"/>
  <c r="G531" i="24"/>
  <c r="G470" i="24"/>
  <c r="G467" i="24"/>
  <c r="G455" i="24"/>
  <c r="L455" i="24" s="1"/>
  <c r="G355" i="24"/>
  <c r="G750" i="24"/>
  <c r="G736" i="24"/>
  <c r="G734" i="24"/>
  <c r="G718" i="24"/>
  <c r="G708" i="24"/>
  <c r="G644" i="24"/>
  <c r="G641" i="24"/>
  <c r="G628" i="24"/>
  <c r="G154" i="24"/>
  <c r="G148" i="24"/>
  <c r="G617" i="24"/>
  <c r="G609" i="24"/>
  <c r="G606" i="24"/>
  <c r="G603" i="24"/>
  <c r="G538" i="24"/>
  <c r="G493" i="24"/>
  <c r="G437" i="24"/>
  <c r="G709" i="24"/>
  <c r="G280" i="24"/>
  <c r="G558" i="24"/>
  <c r="G418" i="24"/>
  <c r="G792" i="24"/>
  <c r="G756" i="24"/>
  <c r="G653" i="24"/>
  <c r="G229" i="24"/>
  <c r="G615" i="24"/>
  <c r="G550" i="24"/>
  <c r="L550" i="24" s="1"/>
  <c r="G471" i="24"/>
  <c r="G469" i="24"/>
  <c r="G375" i="24"/>
  <c r="G363" i="24"/>
  <c r="G593" i="24"/>
  <c r="G492" i="24"/>
  <c r="G373" i="24"/>
  <c r="G369" i="24"/>
  <c r="G657" i="24"/>
  <c r="G654" i="24"/>
  <c r="G233" i="24"/>
  <c r="G572" i="24"/>
  <c r="G569" i="24"/>
  <c r="G556" i="24"/>
  <c r="G501" i="24"/>
  <c r="G465" i="24"/>
  <c r="G389" i="24"/>
  <c r="G387" i="24"/>
  <c r="G368" i="24"/>
  <c r="G352" i="24"/>
  <c r="G152" i="24"/>
  <c r="N152" i="24" s="1"/>
  <c r="G34" i="24"/>
  <c r="G559" i="24"/>
  <c r="G474" i="24"/>
  <c r="G344" i="24"/>
  <c r="G371" i="24"/>
  <c r="G330" i="24"/>
  <c r="G358" i="24"/>
  <c r="G45" i="24"/>
  <c r="G753" i="24"/>
  <c r="G651" i="24"/>
  <c r="G645" i="24"/>
  <c r="G282" i="24"/>
  <c r="G646" i="24"/>
  <c r="G643" i="24"/>
  <c r="G36" i="24"/>
  <c r="G490" i="24"/>
  <c r="G565" i="24"/>
  <c r="G417" i="24"/>
  <c r="G486" i="24"/>
  <c r="G432" i="24"/>
  <c r="G423" i="24"/>
  <c r="G350" i="24"/>
  <c r="G349" i="24"/>
  <c r="G331" i="24"/>
  <c r="G778" i="24"/>
  <c r="G784" i="24"/>
  <c r="G633" i="24"/>
  <c r="G419" i="24"/>
  <c r="G414" i="24"/>
  <c r="G443" i="24"/>
  <c r="G435" i="24"/>
  <c r="G431" i="24"/>
  <c r="G428" i="24"/>
  <c r="G421" i="24"/>
  <c r="G425" i="24"/>
  <c r="G422" i="24"/>
  <c r="G332" i="24"/>
  <c r="G791" i="24"/>
  <c r="G347" i="24"/>
  <c r="G336" i="24"/>
  <c r="G561" i="24"/>
  <c r="G450" i="24"/>
  <c r="G429" i="24"/>
  <c r="G427" i="24"/>
  <c r="G361" i="24"/>
  <c r="G348" i="24"/>
  <c r="G776" i="24"/>
  <c r="H776" i="24" s="1"/>
  <c r="G360" i="24"/>
  <c r="G409" i="24"/>
  <c r="G47" i="24"/>
  <c r="H47" i="24" s="1"/>
  <c r="G334" i="24"/>
  <c r="G772" i="24"/>
  <c r="G769" i="24"/>
  <c r="G789" i="24"/>
  <c r="G238" i="24"/>
  <c r="G180" i="24"/>
  <c r="G631" i="24"/>
  <c r="G91" i="24"/>
  <c r="G539" i="24"/>
  <c r="G489" i="24"/>
  <c r="G224" i="24"/>
  <c r="G38" i="24"/>
  <c r="G523" i="24"/>
  <c r="G511" i="24"/>
  <c r="G503" i="24"/>
  <c r="G499" i="24"/>
  <c r="G223" i="24"/>
  <c r="G785" i="24"/>
  <c r="G337" i="24"/>
  <c r="G267" i="24"/>
  <c r="G335" i="24"/>
  <c r="G790" i="24"/>
  <c r="G774" i="24"/>
  <c r="G782" i="24"/>
  <c r="G770" i="24"/>
  <c r="G222" i="24"/>
  <c r="G221" i="24"/>
  <c r="G220" i="24"/>
  <c r="G759" i="24"/>
  <c r="G188" i="24"/>
  <c r="G691" i="24"/>
  <c r="G163" i="24"/>
  <c r="G410" i="24"/>
  <c r="G340" i="24"/>
  <c r="G338" i="24"/>
  <c r="G622" i="24"/>
  <c r="G553" i="24"/>
  <c r="G430" i="24"/>
  <c r="G424" i="24"/>
  <c r="G351" i="24"/>
  <c r="G41" i="24"/>
  <c r="G412" i="24"/>
  <c r="G448" i="24"/>
  <c r="G446" i="24"/>
  <c r="G444" i="24"/>
  <c r="G442" i="24"/>
  <c r="G440" i="24"/>
  <c r="G433" i="24"/>
  <c r="G426" i="24"/>
  <c r="G420" i="24"/>
  <c r="G416" i="24"/>
  <c r="G345" i="24"/>
  <c r="G260" i="24"/>
  <c r="G445" i="24"/>
  <c r="G343" i="24"/>
  <c r="G406" i="24"/>
  <c r="G165" i="24"/>
  <c r="G164" i="24"/>
  <c r="G158" i="24"/>
  <c r="G241" i="24"/>
  <c r="G627" i="24"/>
  <c r="G625" i="24"/>
  <c r="G623" i="24"/>
  <c r="G624" i="24"/>
  <c r="G104" i="24"/>
  <c r="G482" i="24"/>
  <c r="G481" i="24"/>
  <c r="G452" i="24"/>
  <c r="G480" i="24"/>
  <c r="G515" i="24"/>
  <c r="G495" i="24"/>
  <c r="G476" i="24"/>
  <c r="G472" i="24"/>
  <c r="G462" i="24"/>
  <c r="G449" i="24"/>
  <c r="G15" i="24"/>
  <c r="G27" i="24"/>
  <c r="G23" i="24"/>
  <c r="G115" i="24"/>
  <c r="G37" i="24"/>
  <c r="G35" i="24"/>
  <c r="G11" i="24"/>
  <c r="G217" i="24"/>
  <c r="G722" i="24"/>
  <c r="G259" i="24"/>
  <c r="G540" i="24"/>
  <c r="G534" i="24"/>
  <c r="G530" i="24"/>
  <c r="G234" i="24"/>
  <c r="G595" i="24"/>
  <c r="G526" i="24"/>
  <c r="G125" i="24"/>
  <c r="G118" i="24"/>
  <c r="G117" i="24"/>
  <c r="G116" i="24"/>
  <c r="G114" i="24"/>
  <c r="G113" i="24"/>
  <c r="G112" i="24"/>
  <c r="G108" i="24"/>
  <c r="G107" i="24"/>
  <c r="I107" i="24" s="1"/>
  <c r="G105" i="24"/>
  <c r="G528" i="24"/>
  <c r="G48" i="24"/>
  <c r="G39" i="24"/>
  <c r="G32" i="24"/>
  <c r="G31" i="24"/>
  <c r="G28" i="24"/>
  <c r="G24" i="24"/>
  <c r="G600" i="24"/>
  <c r="G598" i="24"/>
  <c r="G543" i="24"/>
  <c r="G529" i="24"/>
  <c r="G527" i="24"/>
  <c r="G18" i="24"/>
  <c r="G535" i="24"/>
  <c r="G522" i="24"/>
  <c r="K522" i="24" s="1"/>
  <c r="G17" i="24"/>
  <c r="G451" i="24"/>
  <c r="G33" i="24"/>
  <c r="G673" i="24"/>
  <c r="H673" i="24" s="1"/>
  <c r="G671" i="24"/>
  <c r="H671" i="24" s="1"/>
  <c r="G636" i="24"/>
  <c r="G640" i="24"/>
  <c r="G637" i="24"/>
  <c r="G635" i="24"/>
  <c r="G629" i="24"/>
  <c r="G577" i="24"/>
  <c r="G294" i="24"/>
  <c r="G293" i="24"/>
  <c r="G292" i="24"/>
  <c r="G291" i="24"/>
  <c r="G289" i="24"/>
  <c r="G287" i="24"/>
  <c r="G284" i="24"/>
  <c r="G283" i="24"/>
  <c r="G279" i="24"/>
  <c r="G278" i="24"/>
  <c r="G277" i="24"/>
  <c r="G276" i="24"/>
  <c r="G275" i="24"/>
  <c r="G274" i="24"/>
  <c r="G264" i="24"/>
  <c r="G263" i="24"/>
  <c r="G262" i="24"/>
  <c r="G591" i="24"/>
  <c r="G581" i="24"/>
  <c r="G518" i="24"/>
  <c r="G516" i="24"/>
  <c r="G514" i="24"/>
  <c r="G594" i="24"/>
  <c r="G510" i="24"/>
  <c r="G215" i="24"/>
  <c r="G214" i="24"/>
  <c r="G207" i="24"/>
  <c r="G193" i="24"/>
  <c r="G186" i="24"/>
  <c r="G184" i="24"/>
  <c r="G183" i="24"/>
  <c r="G212" i="24"/>
  <c r="G208" i="24"/>
  <c r="G206" i="24"/>
  <c r="G205" i="24"/>
  <c r="G202" i="24"/>
  <c r="G199" i="24"/>
  <c r="G194" i="24"/>
  <c r="G192" i="24"/>
  <c r="G191" i="24"/>
  <c r="G187" i="24"/>
  <c r="G185" i="24"/>
  <c r="G182" i="24"/>
  <c r="G181" i="24"/>
  <c r="G179" i="24"/>
  <c r="G178" i="24"/>
  <c r="G177" i="24"/>
  <c r="G176" i="24"/>
  <c r="G175" i="24"/>
  <c r="G171" i="24"/>
  <c r="G170" i="24"/>
  <c r="G169" i="24"/>
  <c r="G168" i="24"/>
  <c r="G42" i="24"/>
  <c r="G40" i="24"/>
  <c r="G44" i="24"/>
  <c r="G768" i="24"/>
  <c r="G767" i="24"/>
  <c r="G648" i="24"/>
  <c r="G698" i="24"/>
  <c r="G587" i="24"/>
  <c r="G578" i="24"/>
  <c r="G570" i="24"/>
  <c r="G567" i="24"/>
  <c r="G563" i="24"/>
  <c r="G321" i="24"/>
  <c r="G320" i="24"/>
  <c r="G319" i="24"/>
  <c r="I319" i="24" s="1"/>
  <c r="G318" i="24"/>
  <c r="G317" i="24"/>
  <c r="G310" i="24"/>
  <c r="G305" i="24"/>
  <c r="G301" i="24"/>
  <c r="G300" i="24"/>
  <c r="G621" i="24"/>
  <c r="G566" i="24"/>
  <c r="G235" i="24"/>
  <c r="K235" i="24" s="1"/>
  <c r="G103" i="24"/>
  <c r="G102" i="24"/>
  <c r="G101" i="24"/>
  <c r="G100" i="24"/>
  <c r="G93" i="24"/>
  <c r="G90" i="24"/>
  <c r="G89" i="24"/>
  <c r="G87" i="24"/>
  <c r="G86" i="24"/>
  <c r="G83" i="24"/>
  <c r="G75" i="24"/>
  <c r="G74" i="24"/>
  <c r="G73" i="24"/>
  <c r="G72" i="24"/>
  <c r="G71" i="24"/>
  <c r="G70" i="24"/>
  <c r="G65" i="24"/>
  <c r="G64" i="24"/>
  <c r="G63" i="24"/>
  <c r="G62" i="24"/>
  <c r="G61" i="24"/>
  <c r="G59" i="24"/>
  <c r="G57" i="24"/>
  <c r="G56" i="24"/>
  <c r="G55" i="24"/>
  <c r="G54" i="24"/>
  <c r="G51" i="24"/>
  <c r="G50" i="24"/>
  <c r="G576" i="24"/>
  <c r="G456" i="24"/>
  <c r="G441" i="24"/>
  <c r="G439" i="24"/>
  <c r="G497" i="24"/>
  <c r="G458" i="24"/>
  <c r="G438" i="24"/>
  <c r="G253" i="24"/>
  <c r="L253" i="24" s="1"/>
  <c r="G252" i="24"/>
  <c r="G246" i="24"/>
  <c r="G244" i="24"/>
  <c r="G243" i="24"/>
  <c r="G242" i="24"/>
  <c r="G157" i="24"/>
  <c r="G156" i="24"/>
  <c r="G155" i="24"/>
  <c r="G151" i="24"/>
  <c r="G150" i="24"/>
  <c r="G149" i="24"/>
  <c r="G144" i="24"/>
  <c r="G142" i="24"/>
  <c r="G141" i="24"/>
  <c r="G140" i="24"/>
  <c r="G139" i="24"/>
  <c r="G137" i="24"/>
  <c r="G136" i="24"/>
  <c r="G135" i="24"/>
  <c r="G134" i="24"/>
  <c r="G133" i="24"/>
  <c r="G129" i="24"/>
  <c r="G128" i="24"/>
  <c r="G127" i="24"/>
  <c r="G362" i="24"/>
  <c r="G261" i="24"/>
  <c r="G258" i="24"/>
  <c r="G257" i="24"/>
  <c r="G256" i="24"/>
  <c r="G255" i="24"/>
  <c r="G254" i="24"/>
  <c r="G251" i="24"/>
  <c r="G250" i="24"/>
  <c r="G249" i="24"/>
  <c r="G248" i="24"/>
  <c r="G247" i="24"/>
  <c r="G245" i="24"/>
  <c r="G240" i="24"/>
  <c r="G239" i="24"/>
  <c r="G219" i="24"/>
  <c r="G218" i="24"/>
  <c r="G213" i="24"/>
  <c r="G211" i="24"/>
  <c r="G210" i="24"/>
  <c r="G209" i="24"/>
  <c r="G204" i="24"/>
  <c r="G203" i="24"/>
  <c r="G201" i="24"/>
  <c r="G197" i="24"/>
  <c r="G196" i="24"/>
  <c r="G195" i="24"/>
  <c r="G190" i="24"/>
  <c r="G189" i="24"/>
  <c r="G174" i="24"/>
  <c r="G173" i="24"/>
  <c r="G172" i="24"/>
  <c r="G160" i="24"/>
  <c r="G159" i="24"/>
  <c r="G153" i="24"/>
  <c r="G147" i="24"/>
  <c r="G146" i="24"/>
  <c r="G145" i="24"/>
  <c r="G143" i="24"/>
  <c r="G138" i="24"/>
  <c r="G132" i="24"/>
  <c r="G131" i="24"/>
  <c r="G130" i="24"/>
  <c r="G392" i="24"/>
  <c r="G378" i="24"/>
  <c r="G316" i="24"/>
  <c r="G315" i="24"/>
  <c r="G314" i="24"/>
  <c r="G313" i="24"/>
  <c r="G312" i="24"/>
  <c r="G311" i="24"/>
  <c r="G309" i="24"/>
  <c r="G308" i="24"/>
  <c r="G307" i="24"/>
  <c r="G306" i="24"/>
  <c r="G304" i="24"/>
  <c r="G303" i="24"/>
  <c r="G302" i="24"/>
  <c r="G299" i="24"/>
  <c r="G298" i="24"/>
  <c r="G297" i="24"/>
  <c r="G296" i="24"/>
  <c r="G295" i="24"/>
  <c r="G290" i="24"/>
  <c r="G288" i="24"/>
  <c r="G286" i="24"/>
  <c r="G285" i="24"/>
  <c r="G281" i="24"/>
  <c r="G273" i="24"/>
  <c r="G272" i="24"/>
  <c r="G271" i="24"/>
  <c r="G270" i="24"/>
  <c r="G269" i="24"/>
  <c r="G268" i="24"/>
  <c r="G266" i="24"/>
  <c r="G265" i="24"/>
  <c r="G124" i="24"/>
  <c r="G123" i="24"/>
  <c r="G122" i="24"/>
  <c r="G121" i="24"/>
  <c r="G120" i="24"/>
  <c r="G111" i="24"/>
  <c r="G110" i="24"/>
  <c r="G99" i="24"/>
  <c r="G98" i="24"/>
  <c r="G97" i="24"/>
  <c r="G96" i="24"/>
  <c r="G95" i="24"/>
  <c r="G94" i="24"/>
  <c r="G92" i="24"/>
  <c r="G88" i="24"/>
  <c r="G85" i="24"/>
  <c r="G82" i="24"/>
  <c r="G81" i="24"/>
  <c r="G80" i="24"/>
  <c r="G78" i="24"/>
  <c r="G77" i="24"/>
  <c r="G69" i="24"/>
  <c r="G68" i="24"/>
  <c r="G67" i="24"/>
  <c r="G66" i="24"/>
  <c r="G53" i="24"/>
  <c r="G49" i="24"/>
  <c r="G398" i="24"/>
  <c r="G374" i="24"/>
  <c r="G505" i="24"/>
  <c r="G502" i="24"/>
  <c r="G394" i="24"/>
  <c r="G162" i="24"/>
  <c r="G761" i="24"/>
  <c r="G752" i="24"/>
  <c r="G749" i="24"/>
  <c r="G520" i="24"/>
  <c r="G402" i="24"/>
  <c r="G733" i="24"/>
  <c r="G731" i="24"/>
  <c r="G549" i="24"/>
  <c r="G507" i="24"/>
  <c r="G500" i="24"/>
  <c r="G496" i="24"/>
  <c r="G542" i="24"/>
  <c r="G385" i="24"/>
  <c r="G380" i="24"/>
  <c r="G545" i="24"/>
  <c r="G541" i="24"/>
  <c r="G521" i="24"/>
  <c r="G509" i="24"/>
  <c r="G404" i="24"/>
  <c r="G383" i="24"/>
  <c r="G365" i="24"/>
  <c r="G524" i="24"/>
  <c r="G519" i="24"/>
  <c r="G508" i="24"/>
  <c r="G372" i="24"/>
  <c r="G533" i="24"/>
  <c r="G382" i="24"/>
  <c r="G370" i="24"/>
  <c r="G748" i="24"/>
  <c r="G396" i="24"/>
  <c r="G379" i="24"/>
  <c r="G377" i="24"/>
  <c r="G367" i="24"/>
  <c r="G745" i="24"/>
  <c r="G737" i="24"/>
  <c r="G536" i="24"/>
  <c r="G408" i="24"/>
  <c r="G405" i="24"/>
  <c r="G388" i="24"/>
  <c r="G386" i="24"/>
  <c r="G364" i="24"/>
  <c r="G788" i="24"/>
  <c r="G787" i="24"/>
  <c r="G783" i="24"/>
  <c r="G780" i="24"/>
  <c r="G773" i="24"/>
  <c r="G743" i="24"/>
  <c r="G546" i="24"/>
  <c r="F2" i="24"/>
  <c r="E2" i="24"/>
  <c r="C2" i="24"/>
  <c r="M2" i="14" s="1"/>
  <c r="H948" i="24" l="1"/>
  <c r="I948" i="24"/>
  <c r="J948" i="24"/>
  <c r="K948" i="24"/>
  <c r="L948" i="24"/>
  <c r="M948" i="24"/>
  <c r="N948" i="24"/>
  <c r="O948" i="24"/>
  <c r="P948" i="24"/>
  <c r="I947" i="24"/>
  <c r="J947" i="24"/>
  <c r="L947" i="24"/>
  <c r="H947" i="24"/>
  <c r="K947" i="24"/>
  <c r="M947" i="24"/>
  <c r="N947" i="24"/>
  <c r="O947" i="24"/>
  <c r="P947" i="24"/>
  <c r="H946" i="24"/>
  <c r="I946" i="24"/>
  <c r="J946" i="24"/>
  <c r="K946" i="24"/>
  <c r="L946" i="24"/>
  <c r="M946" i="24"/>
  <c r="N946" i="24"/>
  <c r="O946" i="24"/>
  <c r="P946" i="24"/>
  <c r="I945" i="24"/>
  <c r="L945" i="24"/>
  <c r="N945" i="24"/>
  <c r="H945" i="24"/>
  <c r="J945" i="24"/>
  <c r="K945" i="24"/>
  <c r="M945" i="24"/>
  <c r="O945" i="24"/>
  <c r="P945" i="24"/>
  <c r="J944" i="24"/>
  <c r="L944" i="24"/>
  <c r="N944" i="24"/>
  <c r="H944" i="24"/>
  <c r="P944" i="24"/>
  <c r="I944" i="24"/>
  <c r="K944" i="24"/>
  <c r="M944" i="24"/>
  <c r="O944" i="24"/>
  <c r="H943" i="24"/>
  <c r="I943" i="24"/>
  <c r="J943" i="24"/>
  <c r="K943" i="24"/>
  <c r="L943" i="24"/>
  <c r="M943" i="24"/>
  <c r="N943" i="24"/>
  <c r="O943" i="24"/>
  <c r="P943" i="24"/>
  <c r="AD924" i="17"/>
  <c r="AC924" i="17"/>
  <c r="AE924" i="17" s="1"/>
  <c r="AF924" i="17" a="1"/>
  <c r="D924" i="24" s="1"/>
  <c r="C653" i="14" s="1" a="1"/>
  <c r="K941" i="24"/>
  <c r="L941" i="24"/>
  <c r="P941" i="24"/>
  <c r="I941" i="24"/>
  <c r="O941" i="24"/>
  <c r="J941" i="24"/>
  <c r="M941" i="24"/>
  <c r="N941" i="24"/>
  <c r="H941" i="24"/>
  <c r="H942" i="24"/>
  <c r="I942" i="24"/>
  <c r="J942" i="24"/>
  <c r="K942" i="24"/>
  <c r="L942" i="24"/>
  <c r="M942" i="24"/>
  <c r="N942" i="24"/>
  <c r="O942" i="24"/>
  <c r="P942" i="24"/>
  <c r="H940" i="24"/>
  <c r="K940" i="24"/>
  <c r="I940" i="24"/>
  <c r="M940" i="24"/>
  <c r="O940" i="24"/>
  <c r="J940" i="24"/>
  <c r="L940" i="24"/>
  <c r="N940" i="24"/>
  <c r="P940" i="24"/>
  <c r="I938" i="24"/>
  <c r="J938" i="24"/>
  <c r="L938" i="24"/>
  <c r="M938" i="24"/>
  <c r="O938" i="24"/>
  <c r="H938" i="24"/>
  <c r="K938" i="24"/>
  <c r="N938" i="24"/>
  <c r="P938" i="24"/>
  <c r="H939" i="24"/>
  <c r="I939" i="24"/>
  <c r="J939" i="24"/>
  <c r="K939" i="24"/>
  <c r="L939" i="24"/>
  <c r="M939" i="24"/>
  <c r="N939" i="24"/>
  <c r="O939" i="24"/>
  <c r="P939" i="24"/>
  <c r="AD930" i="17"/>
  <c r="AC930" i="17"/>
  <c r="AE930" i="17" s="1"/>
  <c r="AF930" i="17" a="1"/>
  <c r="D930" i="24" s="1"/>
  <c r="AD929" i="17"/>
  <c r="AF929" i="17" a="1"/>
  <c r="D929" i="24" s="1"/>
  <c r="C929" i="14" a="1"/>
  <c r="AC929" i="17"/>
  <c r="AE929" i="17" s="1"/>
  <c r="AF928" i="17" a="1"/>
  <c r="D928" i="24" s="1"/>
  <c r="C649" i="14" s="1" a="1"/>
  <c r="C652" i="14" s="1" a="1"/>
  <c r="AD928" i="17"/>
  <c r="AC928" i="17"/>
  <c r="AE928" i="17" s="1"/>
  <c r="D937" i="24"/>
  <c r="AF912" i="17" a="1"/>
  <c r="AD912" i="17"/>
  <c r="AC912" i="17"/>
  <c r="AE912" i="17" s="1"/>
  <c r="H937" i="24"/>
  <c r="I937" i="24"/>
  <c r="J937" i="24"/>
  <c r="K937" i="24"/>
  <c r="L937" i="24"/>
  <c r="M937" i="24"/>
  <c r="N937" i="24"/>
  <c r="O937" i="24"/>
  <c r="P937" i="24"/>
  <c r="K936" i="24"/>
  <c r="N936" i="24"/>
  <c r="P936" i="24"/>
  <c r="M936" i="24"/>
  <c r="J936" i="24"/>
  <c r="L936" i="24"/>
  <c r="I936" i="24"/>
  <c r="O936" i="24"/>
  <c r="H936" i="24"/>
  <c r="K935" i="24"/>
  <c r="O935" i="24"/>
  <c r="H935" i="24"/>
  <c r="L935" i="24"/>
  <c r="N935" i="24"/>
  <c r="I935" i="24"/>
  <c r="J935" i="24"/>
  <c r="M935" i="24"/>
  <c r="P935" i="24"/>
  <c r="H933" i="24"/>
  <c r="I933" i="24"/>
  <c r="J933" i="24"/>
  <c r="K933" i="24"/>
  <c r="L933" i="24"/>
  <c r="M933" i="24"/>
  <c r="N933" i="24"/>
  <c r="O933" i="24"/>
  <c r="P933" i="24"/>
  <c r="H934" i="24"/>
  <c r="I934" i="24"/>
  <c r="J934" i="24"/>
  <c r="K934" i="24"/>
  <c r="L934" i="24"/>
  <c r="M934" i="24"/>
  <c r="N934" i="24"/>
  <c r="O934" i="24"/>
  <c r="P934" i="24"/>
  <c r="AF920" i="17" a="1"/>
  <c r="D932" i="24"/>
  <c r="J932" i="24"/>
  <c r="L932" i="24"/>
  <c r="N932" i="24"/>
  <c r="H932" i="24"/>
  <c r="M932" i="24"/>
  <c r="P932" i="24"/>
  <c r="I932" i="24"/>
  <c r="K932" i="24"/>
  <c r="O932" i="24"/>
  <c r="AD927" i="17"/>
  <c r="I931" i="24"/>
  <c r="L931" i="24"/>
  <c r="O931" i="24"/>
  <c r="H931" i="24"/>
  <c r="K931" i="24"/>
  <c r="M931" i="24"/>
  <c r="N931" i="24"/>
  <c r="P931" i="24"/>
  <c r="J931" i="24"/>
  <c r="AF927" i="17" a="1"/>
  <c r="AC927" i="17"/>
  <c r="AE927" i="17" s="1"/>
  <c r="AC931" i="17"/>
  <c r="AE931" i="17" s="1"/>
  <c r="AD931" i="17"/>
  <c r="C931" i="14" a="1"/>
  <c r="H930" i="24"/>
  <c r="M930" i="24"/>
  <c r="J930" i="24"/>
  <c r="L930" i="24"/>
  <c r="O930" i="24"/>
  <c r="P930" i="24"/>
  <c r="I930" i="24"/>
  <c r="N930" i="24"/>
  <c r="K930" i="24"/>
  <c r="D931" i="24"/>
  <c r="AD913" i="17"/>
  <c r="AF913" i="17" a="1"/>
  <c r="AD925" i="17"/>
  <c r="AF925" i="17" a="1"/>
  <c r="AC925" i="17"/>
  <c r="AE925" i="17" s="1"/>
  <c r="C924" i="14" a="1"/>
  <c r="AF926" i="17" a="1"/>
  <c r="AC926" i="17"/>
  <c r="AE926" i="17" s="1"/>
  <c r="AD926" i="17"/>
  <c r="H929" i="24"/>
  <c r="J929" i="24"/>
  <c r="K929" i="24"/>
  <c r="L929" i="24"/>
  <c r="N929" i="24"/>
  <c r="O929" i="24"/>
  <c r="I929" i="24"/>
  <c r="M929" i="24"/>
  <c r="P929" i="24"/>
  <c r="H926" i="24"/>
  <c r="I926" i="24"/>
  <c r="J926" i="24"/>
  <c r="K926" i="24"/>
  <c r="L926" i="24"/>
  <c r="M926" i="24"/>
  <c r="N926" i="24"/>
  <c r="O926" i="24"/>
  <c r="P926" i="24"/>
  <c r="J928" i="24"/>
  <c r="M928" i="24"/>
  <c r="O928" i="24"/>
  <c r="I928" i="24"/>
  <c r="L928" i="24"/>
  <c r="H928" i="24"/>
  <c r="K928" i="24"/>
  <c r="N928" i="24"/>
  <c r="P928" i="24"/>
  <c r="H927" i="24"/>
  <c r="J927" i="24"/>
  <c r="K927" i="24"/>
  <c r="N927" i="24"/>
  <c r="P927" i="24"/>
  <c r="I927" i="24"/>
  <c r="L927" i="24"/>
  <c r="M927" i="24"/>
  <c r="O927" i="24"/>
  <c r="AF923" i="17" a="1"/>
  <c r="AC923" i="17"/>
  <c r="AE923" i="17" s="1"/>
  <c r="AD923" i="17"/>
  <c r="C912" i="14" a="1"/>
  <c r="C651" i="14" s="1" a="1"/>
  <c r="AD917" i="17"/>
  <c r="AC917" i="17"/>
  <c r="AE917" i="17" s="1"/>
  <c r="AF917" i="17" a="1"/>
  <c r="C913" i="14" a="1"/>
  <c r="AD916" i="17"/>
  <c r="AF922" i="17" s="1" a="1"/>
  <c r="AC916" i="17"/>
  <c r="AE916" i="17" s="1"/>
  <c r="AF916" i="17" a="1"/>
  <c r="H925" i="24"/>
  <c r="I925" i="24"/>
  <c r="J925" i="24"/>
  <c r="K925" i="24"/>
  <c r="L925" i="24"/>
  <c r="M925" i="24"/>
  <c r="N925" i="24"/>
  <c r="O925" i="24"/>
  <c r="P925" i="24"/>
  <c r="AC919" i="17"/>
  <c r="AE919" i="17" s="1"/>
  <c r="AD919" i="17"/>
  <c r="AF919" i="17" a="1"/>
  <c r="C919" i="14" a="1"/>
  <c r="C922" i="14" a="1"/>
  <c r="AD922" i="17"/>
  <c r="AC922" i="17"/>
  <c r="AE922" i="17" s="1"/>
  <c r="N922" i="24"/>
  <c r="O922" i="24"/>
  <c r="I922" i="24"/>
  <c r="H922" i="24"/>
  <c r="J922" i="24"/>
  <c r="K922" i="24"/>
  <c r="L922" i="24"/>
  <c r="M922" i="24"/>
  <c r="P922" i="24"/>
  <c r="AC918" i="17"/>
  <c r="AE918" i="17" s="1"/>
  <c r="AD918" i="17"/>
  <c r="AF918" i="17" a="1"/>
  <c r="J924" i="24"/>
  <c r="M924" i="24"/>
  <c r="O924" i="24"/>
  <c r="H924" i="24"/>
  <c r="K924" i="24"/>
  <c r="L924" i="24"/>
  <c r="P924" i="24"/>
  <c r="I924" i="24"/>
  <c r="N924" i="24"/>
  <c r="I923" i="24"/>
  <c r="J923" i="24"/>
  <c r="K923" i="24"/>
  <c r="L923" i="24"/>
  <c r="M923" i="24"/>
  <c r="N923" i="24"/>
  <c r="O923" i="24"/>
  <c r="P923" i="24"/>
  <c r="H923" i="24"/>
  <c r="H921" i="24"/>
  <c r="I921" i="24"/>
  <c r="J921" i="24"/>
  <c r="K921" i="24"/>
  <c r="L921" i="24"/>
  <c r="M921" i="24"/>
  <c r="N921" i="24"/>
  <c r="O921" i="24"/>
  <c r="P921" i="24"/>
  <c r="C414" i="14" s="1" a="1"/>
  <c r="C379" i="14" s="1" a="1"/>
  <c r="AC806" i="17"/>
  <c r="C383" i="14" s="1" a="1"/>
  <c r="AC371" i="17"/>
  <c r="H920" i="24"/>
  <c r="I920" i="24"/>
  <c r="J920" i="24"/>
  <c r="M920" i="24"/>
  <c r="P920" i="24"/>
  <c r="N920" i="24"/>
  <c r="K920" i="24"/>
  <c r="L920" i="24"/>
  <c r="O920" i="24"/>
  <c r="H919" i="24"/>
  <c r="I919" i="24"/>
  <c r="J919" i="24"/>
  <c r="K919" i="24"/>
  <c r="L919" i="24"/>
  <c r="M919" i="24"/>
  <c r="N919" i="24"/>
  <c r="O919" i="24"/>
  <c r="P919" i="24"/>
  <c r="C920" i="14" a="1"/>
  <c r="AC920" i="17"/>
  <c r="AE920" i="17" s="1"/>
  <c r="AD920" i="17"/>
  <c r="C915" i="14" a="1"/>
  <c r="AF915" i="17" a="1"/>
  <c r="D915" i="24" s="1"/>
  <c r="AC915" i="17"/>
  <c r="AE915" i="17" s="1"/>
  <c r="AD915" i="17"/>
  <c r="I918" i="24"/>
  <c r="L918" i="24"/>
  <c r="N918" i="24"/>
  <c r="P918" i="24"/>
  <c r="J918" i="24"/>
  <c r="K918" i="24"/>
  <c r="M918" i="24"/>
  <c r="O918" i="24"/>
  <c r="H918" i="24"/>
  <c r="AC37" i="17"/>
  <c r="C380" i="14" s="1" a="1"/>
  <c r="AC345" i="17"/>
  <c r="AC727" i="17"/>
  <c r="AC139" i="17"/>
  <c r="AC118" i="17"/>
  <c r="AC168" i="17"/>
  <c r="H917" i="24"/>
  <c r="I917" i="24"/>
  <c r="J917" i="24"/>
  <c r="K917" i="24"/>
  <c r="L917" i="24"/>
  <c r="M917" i="24"/>
  <c r="N917" i="24"/>
  <c r="O917" i="24"/>
  <c r="P917" i="24"/>
  <c r="J916" i="24"/>
  <c r="N916" i="24"/>
  <c r="I916" i="24"/>
  <c r="L916" i="24"/>
  <c r="O916" i="24"/>
  <c r="H916" i="24"/>
  <c r="K916" i="24"/>
  <c r="M916" i="24"/>
  <c r="P916" i="24"/>
  <c r="H915" i="24"/>
  <c r="I915" i="24"/>
  <c r="J915" i="24"/>
  <c r="K915" i="24"/>
  <c r="L915" i="24"/>
  <c r="M915" i="24"/>
  <c r="N915" i="24"/>
  <c r="O915" i="24"/>
  <c r="P915" i="24"/>
  <c r="AF910" i="17" a="1"/>
  <c r="AD910" i="17"/>
  <c r="AC910" i="17"/>
  <c r="AE910" i="17" s="1"/>
  <c r="AD911" i="17"/>
  <c r="AD2" i="17"/>
  <c r="AC755" i="17"/>
  <c r="C2" i="14" a="1"/>
  <c r="AC2" i="17"/>
  <c r="AC4" i="17"/>
  <c r="AC756" i="17"/>
  <c r="AC911" i="17"/>
  <c r="AE911" i="17" s="1"/>
  <c r="J914" i="24"/>
  <c r="N914" i="24"/>
  <c r="H914" i="24"/>
  <c r="I914" i="24"/>
  <c r="K914" i="24"/>
  <c r="L914" i="24"/>
  <c r="M914" i="24"/>
  <c r="O914" i="24"/>
  <c r="P914" i="24"/>
  <c r="AF911" i="17" a="1"/>
  <c r="C914" i="14" a="1"/>
  <c r="AD914" i="17"/>
  <c r="AC914" i="17"/>
  <c r="AE914" i="17" s="1"/>
  <c r="AF914" i="17" a="1"/>
  <c r="AC440" i="17"/>
  <c r="AF2" i="17" a="1"/>
  <c r="AD375" i="17"/>
  <c r="AD653" i="17"/>
  <c r="AD371" i="17"/>
  <c r="AC854" i="17"/>
  <c r="AD837" i="17"/>
  <c r="AD786" i="17"/>
  <c r="AD813" i="17"/>
  <c r="AD841" i="17"/>
  <c r="AC867" i="17"/>
  <c r="AD392" i="17"/>
  <c r="AD402" i="17"/>
  <c r="H911" i="24"/>
  <c r="I911" i="24"/>
  <c r="J911" i="24"/>
  <c r="K911" i="24"/>
  <c r="L911" i="24"/>
  <c r="M911" i="24"/>
  <c r="N911" i="24"/>
  <c r="O911" i="24"/>
  <c r="P911" i="24"/>
  <c r="H912" i="24"/>
  <c r="J912" i="24"/>
  <c r="K912" i="24"/>
  <c r="L912" i="24"/>
  <c r="M912" i="24"/>
  <c r="N912" i="24"/>
  <c r="O912" i="24"/>
  <c r="P912" i="24"/>
  <c r="I912" i="24"/>
  <c r="H913" i="24"/>
  <c r="I913" i="24"/>
  <c r="L913" i="24"/>
  <c r="M913" i="24"/>
  <c r="N913" i="24"/>
  <c r="O913" i="24"/>
  <c r="P913" i="24"/>
  <c r="K913" i="24"/>
  <c r="J913" i="24"/>
  <c r="AC621" i="17"/>
  <c r="AC91" i="17"/>
  <c r="AC125" i="17"/>
  <c r="AC189" i="17"/>
  <c r="AD59" i="17"/>
  <c r="AD902" i="17"/>
  <c r="AF900" i="17" a="1"/>
  <c r="AC103" i="17"/>
  <c r="C907" i="14" a="1"/>
  <c r="AC133" i="17"/>
  <c r="AC244" i="17"/>
  <c r="AC298" i="17"/>
  <c r="AC421" i="17"/>
  <c r="AC507" i="17"/>
  <c r="AC229" i="17"/>
  <c r="AC491" i="17"/>
  <c r="AC709" i="17"/>
  <c r="AC758" i="17"/>
  <c r="AC752" i="17"/>
  <c r="AC354" i="17"/>
  <c r="AC398" i="17"/>
  <c r="AC215" i="17"/>
  <c r="AC415" i="17"/>
  <c r="AC370" i="17"/>
  <c r="AC395" i="17"/>
  <c r="AC416" i="17"/>
  <c r="AC389" i="17"/>
  <c r="AC358" i="17"/>
  <c r="AC403" i="17"/>
  <c r="AC6" i="17"/>
  <c r="AD900" i="17"/>
  <c r="AC900" i="17"/>
  <c r="AE900" i="17" s="1"/>
  <c r="AF899" i="17" a="1"/>
  <c r="AD899" i="17"/>
  <c r="AC899" i="17"/>
  <c r="AE899" i="17" s="1"/>
  <c r="AD5" i="17"/>
  <c r="AD3" i="17"/>
  <c r="AD6" i="17"/>
  <c r="AD4" i="17"/>
  <c r="AD7" i="17"/>
  <c r="AD702" i="17"/>
  <c r="AD739" i="17"/>
  <c r="AD726" i="17"/>
  <c r="AD733" i="17"/>
  <c r="AD751" i="17"/>
  <c r="AD820" i="17"/>
  <c r="AD839" i="17"/>
  <c r="AD858" i="17"/>
  <c r="AD630" i="17"/>
  <c r="AD725" i="17"/>
  <c r="AD711" i="17"/>
  <c r="AD720" i="17"/>
  <c r="AD712" i="17"/>
  <c r="AD730" i="17"/>
  <c r="AD749" i="17"/>
  <c r="AD861" i="17"/>
  <c r="AD197" i="17"/>
  <c r="AD757" i="17"/>
  <c r="AD810" i="17"/>
  <c r="AD856" i="17"/>
  <c r="AD533" i="17"/>
  <c r="AD547" i="17"/>
  <c r="AD699" i="17"/>
  <c r="AD731" i="17"/>
  <c r="AD65" i="17"/>
  <c r="AD93" i="17"/>
  <c r="AD167" i="17"/>
  <c r="AD700" i="17"/>
  <c r="AD788" i="17"/>
  <c r="AD836" i="17"/>
  <c r="AD388" i="17"/>
  <c r="AD60" i="17"/>
  <c r="AD705" i="17"/>
  <c r="AD791" i="17"/>
  <c r="AD370" i="17"/>
  <c r="AD785" i="17"/>
  <c r="AD863" i="17"/>
  <c r="AD352" i="17"/>
  <c r="AD397" i="17"/>
  <c r="AD803" i="17"/>
  <c r="AD887" i="17"/>
  <c r="AD410" i="17"/>
  <c r="AD455" i="17"/>
  <c r="AD368" i="17"/>
  <c r="AD503" i="17"/>
  <c r="AD22" i="17"/>
  <c r="AD358" i="17"/>
  <c r="AD403" i="17"/>
  <c r="AD28" i="17"/>
  <c r="AD373" i="17"/>
  <c r="AD415" i="17"/>
  <c r="AD64" i="17"/>
  <c r="AD351" i="17"/>
  <c r="AD400" i="17"/>
  <c r="AD424" i="17"/>
  <c r="AD723" i="17"/>
  <c r="AD29" i="17"/>
  <c r="AD200" i="17"/>
  <c r="AD224" i="17"/>
  <c r="AD386" i="17"/>
  <c r="AD407" i="17"/>
  <c r="AD85" i="17"/>
  <c r="AD367" i="17"/>
  <c r="AD394" i="17"/>
  <c r="AD831" i="17"/>
  <c r="AD225" i="17"/>
  <c r="AD387" i="17"/>
  <c r="AD409" i="17"/>
  <c r="AD14" i="17"/>
  <c r="AD24" i="17"/>
  <c r="AD404" i="17"/>
  <c r="AD68" i="17"/>
  <c r="AD354" i="17"/>
  <c r="AD398" i="17"/>
  <c r="AD800" i="17"/>
  <c r="AD76" i="17"/>
  <c r="AD372" i="17"/>
  <c r="AD393" i="17"/>
  <c r="AD734" i="17"/>
  <c r="AD804" i="17"/>
  <c r="AD504" i="17"/>
  <c r="AD835" i="17"/>
  <c r="AC128" i="17"/>
  <c r="AC232" i="17"/>
  <c r="AC207" i="17"/>
  <c r="AC249" i="17"/>
  <c r="AC327" i="17"/>
  <c r="AC449" i="17"/>
  <c r="AC590" i="17"/>
  <c r="AC733" i="17"/>
  <c r="AC402" i="17"/>
  <c r="AC239" i="17"/>
  <c r="AD678" i="17"/>
  <c r="AD118" i="17"/>
  <c r="AD770" i="17"/>
  <c r="AD593" i="17"/>
  <c r="AD756" i="17"/>
  <c r="AD727" i="17"/>
  <c r="AD170" i="17"/>
  <c r="AD196" i="17"/>
  <c r="AD616" i="17"/>
  <c r="AD654" i="17"/>
  <c r="AD686" i="17"/>
  <c r="AD382" i="17"/>
  <c r="AD570" i="17"/>
  <c r="AD362" i="17"/>
  <c r="AD569" i="17"/>
  <c r="AD658" i="17"/>
  <c r="AD718" i="17"/>
  <c r="AD737" i="17"/>
  <c r="AD874" i="17"/>
  <c r="AD537" i="17"/>
  <c r="AD581" i="17"/>
  <c r="AD629" i="17"/>
  <c r="AD507" i="17"/>
  <c r="AD470" i="17"/>
  <c r="AD512" i="17"/>
  <c r="AD508" i="17"/>
  <c r="AD477" i="17"/>
  <c r="AD307" i="17"/>
  <c r="AD496" i="17"/>
  <c r="AD517" i="17"/>
  <c r="AD235" i="17"/>
  <c r="AD605" i="17"/>
  <c r="AD531" i="17"/>
  <c r="AD499" i="17"/>
  <c r="AD239" i="17"/>
  <c r="AD481" i="17"/>
  <c r="AF4" i="17" a="1"/>
  <c r="AF3" i="17" a="1"/>
  <c r="AC702" i="17"/>
  <c r="AC726" i="17"/>
  <c r="AC382" i="17"/>
  <c r="AC725" i="17"/>
  <c r="AC540" i="17"/>
  <c r="AC362" i="17"/>
  <c r="AC895" i="17"/>
  <c r="AC578" i="17"/>
  <c r="AC363" i="17"/>
  <c r="AC34" i="17"/>
  <c r="AC390" i="17"/>
  <c r="AC754" i="17"/>
  <c r="AC688" i="17"/>
  <c r="AC779" i="17"/>
  <c r="AC572" i="17"/>
  <c r="AC19" i="17"/>
  <c r="AC406" i="17"/>
  <c r="AC643" i="17"/>
  <c r="AC426" i="17"/>
  <c r="AC397" i="17"/>
  <c r="AC618" i="17"/>
  <c r="AC656" i="17"/>
  <c r="AC404" i="17"/>
  <c r="AC734" i="17"/>
  <c r="AC712" i="17"/>
  <c r="AC730" i="17"/>
  <c r="AC757" i="17"/>
  <c r="AC50" i="17"/>
  <c r="AC401" i="17"/>
  <c r="AC410" i="17"/>
  <c r="AC753" i="17"/>
  <c r="AC744" i="17"/>
  <c r="AC396" i="17"/>
  <c r="AC812" i="17"/>
  <c r="AC8" i="17"/>
  <c r="AC29" i="17"/>
  <c r="AC407" i="17"/>
  <c r="AC367" i="17"/>
  <c r="AC394" i="17"/>
  <c r="AC430" i="17"/>
  <c r="AC654" i="17"/>
  <c r="AC724" i="17"/>
  <c r="AC858" i="17"/>
  <c r="AC361" i="17"/>
  <c r="AC408" i="17"/>
  <c r="AC717" i="17"/>
  <c r="AC460" i="17"/>
  <c r="AC703" i="17"/>
  <c r="AC429" i="17"/>
  <c r="AC366" i="17"/>
  <c r="AC17" i="17"/>
  <c r="AC732" i="17"/>
  <c r="AC26" i="17"/>
  <c r="AC420" i="17"/>
  <c r="AC71" i="17"/>
  <c r="AC7" i="17"/>
  <c r="AC763" i="17"/>
  <c r="AC369" i="17"/>
  <c r="AD17" i="17"/>
  <c r="AD56" i="17"/>
  <c r="AD71" i="17"/>
  <c r="AD389" i="17"/>
  <c r="AD600" i="17"/>
  <c r="AD682" i="17"/>
  <c r="AD747" i="17"/>
  <c r="AD860" i="17"/>
  <c r="AD361" i="17"/>
  <c r="AD408" i="17"/>
  <c r="AD429" i="17"/>
  <c r="AD472" i="17"/>
  <c r="AD592" i="17"/>
  <c r="AD635" i="17"/>
  <c r="AD636" i="17"/>
  <c r="AD688" i="17"/>
  <c r="AD717" i="17"/>
  <c r="AD738" i="17"/>
  <c r="AD763" i="17"/>
  <c r="AD558" i="17"/>
  <c r="AD568" i="17"/>
  <c r="AD579" i="17"/>
  <c r="AD637" i="17"/>
  <c r="AD685" i="17"/>
  <c r="AD759" i="17"/>
  <c r="AD779" i="17"/>
  <c r="AD795" i="17"/>
  <c r="AD619" i="17"/>
  <c r="AD716" i="17"/>
  <c r="AD550" i="17"/>
  <c r="AD560" i="17"/>
  <c r="AD613" i="17"/>
  <c r="AD648" i="17"/>
  <c r="AD742" i="17"/>
  <c r="AD768" i="17"/>
  <c r="AD623" i="17"/>
  <c r="AD701" i="17"/>
  <c r="AD549" i="17"/>
  <c r="AD573" i="17"/>
  <c r="AD583" i="17"/>
  <c r="AD612" i="17"/>
  <c r="AD640" i="17"/>
  <c r="AD694" i="17"/>
  <c r="AD728" i="17"/>
  <c r="AD778" i="17"/>
  <c r="AD557" i="17"/>
  <c r="AD567" i="17"/>
  <c r="AD586" i="17"/>
  <c r="AD595" i="17"/>
  <c r="AD823" i="17"/>
  <c r="AD626" i="17"/>
  <c r="H910" i="24"/>
  <c r="M910" i="24"/>
  <c r="L910" i="24"/>
  <c r="J910" i="24"/>
  <c r="N910" i="24"/>
  <c r="K910" i="24"/>
  <c r="P910" i="24"/>
  <c r="I910" i="24"/>
  <c r="O910" i="24"/>
  <c r="AC767" i="17"/>
  <c r="AC525" i="17"/>
  <c r="AC126" i="17"/>
  <c r="AC487" i="17"/>
  <c r="AC532" i="17"/>
  <c r="AC127" i="17"/>
  <c r="AC850" i="17"/>
  <c r="AC248" i="17"/>
  <c r="AC468" i="17"/>
  <c r="AC95" i="17"/>
  <c r="AC325" i="17"/>
  <c r="AC893" i="17"/>
  <c r="AC774" i="17"/>
  <c r="AC490" i="17"/>
  <c r="AC639" i="17"/>
  <c r="AC445" i="17"/>
  <c r="AC609" i="17"/>
  <c r="AC321" i="17"/>
  <c r="AC842" i="17"/>
  <c r="AC484" i="17"/>
  <c r="AC120" i="17"/>
  <c r="AC250" i="17"/>
  <c r="AC100" i="17"/>
  <c r="AC830" i="17"/>
  <c r="AC99" i="17"/>
  <c r="AC391" i="17"/>
  <c r="AC5" i="17"/>
  <c r="AC3" i="17"/>
  <c r="AD669" i="17"/>
  <c r="AD679" i="17"/>
  <c r="AD44" i="17"/>
  <c r="AD838" i="17"/>
  <c r="AD603" i="17"/>
  <c r="AD542" i="17"/>
  <c r="AD564" i="17"/>
  <c r="AD552" i="17"/>
  <c r="AD620" i="17"/>
  <c r="AD641" i="17"/>
  <c r="AD642" i="17"/>
  <c r="AD657" i="17"/>
  <c r="AD713" i="17"/>
  <c r="AD721" i="17"/>
  <c r="AD746" i="17"/>
  <c r="AD762" i="17"/>
  <c r="AD781" i="17"/>
  <c r="AD816" i="17"/>
  <c r="AD882" i="17"/>
  <c r="AD19" i="17"/>
  <c r="AD50" i="17"/>
  <c r="AD123" i="17"/>
  <c r="AD240" i="17"/>
  <c r="AD355" i="17"/>
  <c r="AD401" i="17"/>
  <c r="AD421" i="17"/>
  <c r="AD527" i="17"/>
  <c r="AD617" i="17"/>
  <c r="AD760" i="17"/>
  <c r="AD859" i="17"/>
  <c r="AD61" i="17"/>
  <c r="AD62" i="17"/>
  <c r="AD207" i="17"/>
  <c r="AD229" i="17"/>
  <c r="AD249" i="17"/>
  <c r="AD271" i="17"/>
  <c r="AD365" i="17"/>
  <c r="AD406" i="17"/>
  <c r="AD427" i="17"/>
  <c r="AD449" i="17"/>
  <c r="AD491" i="17"/>
  <c r="AD590" i="17"/>
  <c r="AD643" i="17"/>
  <c r="AD735" i="17"/>
  <c r="AD806" i="17"/>
  <c r="AD55" i="17"/>
  <c r="AD58" i="17"/>
  <c r="AD114" i="17"/>
  <c r="AD128" i="17"/>
  <c r="AD285" i="17"/>
  <c r="AD363" i="17"/>
  <c r="AD405" i="17"/>
  <c r="AD426" i="17"/>
  <c r="AD447" i="17"/>
  <c r="AD487" i="17"/>
  <c r="AD529" i="17"/>
  <c r="AD621" i="17"/>
  <c r="AD872" i="17"/>
  <c r="AD130" i="17"/>
  <c r="AD131" i="17"/>
  <c r="AD132" i="17"/>
  <c r="AD395" i="17"/>
  <c r="AD416" i="17"/>
  <c r="AD438" i="17"/>
  <c r="AD460" i="17"/>
  <c r="AD500" i="17"/>
  <c r="AD519" i="17"/>
  <c r="AD611" i="17"/>
  <c r="AD703" i="17"/>
  <c r="AD755" i="17"/>
  <c r="AD884" i="17"/>
  <c r="AD133" i="17"/>
  <c r="AD374" i="17"/>
  <c r="AD418" i="17"/>
  <c r="AD440" i="17"/>
  <c r="AD483" i="17"/>
  <c r="AD501" i="17"/>
  <c r="AD518" i="17"/>
  <c r="AD710" i="17"/>
  <c r="AD79" i="17"/>
  <c r="AD211" i="17"/>
  <c r="AD330" i="17"/>
  <c r="AD369" i="17"/>
  <c r="AD391" i="17"/>
  <c r="AD475" i="17"/>
  <c r="AD719" i="17"/>
  <c r="AD34" i="17"/>
  <c r="AD390" i="17"/>
  <c r="AD411" i="17"/>
  <c r="AD494" i="17"/>
  <c r="AD353" i="17"/>
  <c r="AD376" i="17"/>
  <c r="AD399" i="17"/>
  <c r="AD420" i="17"/>
  <c r="AD482" i="17"/>
  <c r="AD693" i="17"/>
  <c r="AD753" i="17"/>
  <c r="AD31" i="17"/>
  <c r="AD41" i="17"/>
  <c r="AD284" i="17"/>
  <c r="AD444" i="17"/>
  <c r="AD505" i="17"/>
  <c r="AD740" i="17"/>
  <c r="AD741" i="17"/>
  <c r="AD18" i="17"/>
  <c r="AD39" i="17"/>
  <c r="AD255" i="17"/>
  <c r="AD396" i="17"/>
  <c r="AD748" i="17"/>
  <c r="AD8" i="17"/>
  <c r="AD20" i="17"/>
  <c r="AD30" i="17"/>
  <c r="AD40" i="17"/>
  <c r="AD52" i="17"/>
  <c r="AD121" i="17"/>
  <c r="AD445" i="17"/>
  <c r="AD489" i="17"/>
  <c r="AD511" i="17"/>
  <c r="AD532" i="17"/>
  <c r="AD627" i="17"/>
  <c r="AD628" i="17"/>
  <c r="AD139" i="17"/>
  <c r="AD428" i="17"/>
  <c r="AD448" i="17"/>
  <c r="AD510" i="17"/>
  <c r="AD615" i="17"/>
  <c r="AD736" i="17"/>
  <c r="AD761" i="17"/>
  <c r="AD80" i="17"/>
  <c r="AD417" i="17"/>
  <c r="AD461" i="17"/>
  <c r="AD484" i="17"/>
  <c r="AD525" i="17"/>
  <c r="AD614" i="17"/>
  <c r="AD745" i="17"/>
  <c r="AD764" i="17"/>
  <c r="AD765" i="17"/>
  <c r="AD853" i="17"/>
  <c r="AD127" i="17"/>
  <c r="AD244" i="17"/>
  <c r="AD325" i="17"/>
  <c r="AD364" i="17"/>
  <c r="AD430" i="17"/>
  <c r="AD473" i="17"/>
  <c r="AD514" i="17"/>
  <c r="AD687" i="17"/>
  <c r="AD754" i="17"/>
  <c r="AD847" i="17"/>
  <c r="AD870" i="17"/>
  <c r="AD23" i="17"/>
  <c r="AD32" i="17"/>
  <c r="AD46" i="17"/>
  <c r="AD90" i="17"/>
  <c r="AD608" i="17"/>
  <c r="AD13" i="17"/>
  <c r="AD21" i="17"/>
  <c r="AD33" i="17"/>
  <c r="AD110" i="17"/>
  <c r="AD122" i="17"/>
  <c r="AD515" i="17"/>
  <c r="AD752" i="17"/>
  <c r="AD37" i="17"/>
  <c r="AD75" i="17"/>
  <c r="AD89" i="17"/>
  <c r="AD101" i="17"/>
  <c r="AD210" i="17"/>
  <c r="AD502" i="17"/>
  <c r="AD521" i="17"/>
  <c r="AD599" i="17"/>
  <c r="AD690" i="17"/>
  <c r="AD639" i="17"/>
  <c r="AD709" i="17"/>
  <c r="AD743" i="17"/>
  <c r="AD126" i="17"/>
  <c r="AD215" i="17"/>
  <c r="AD272" i="17"/>
  <c r="AD349" i="17"/>
  <c r="AD520" i="17"/>
  <c r="AD597" i="17"/>
  <c r="AD663" i="17"/>
  <c r="AD147" i="17"/>
  <c r="AD198" i="17"/>
  <c r="AD220" i="17"/>
  <c r="AD291" i="17"/>
  <c r="AD314" i="17"/>
  <c r="AD422" i="17"/>
  <c r="AD442" i="17"/>
  <c r="AD609" i="17"/>
  <c r="AD664" i="17"/>
  <c r="AD707" i="17"/>
  <c r="AD879" i="17"/>
  <c r="AD769" i="17"/>
  <c r="AD815" i="17"/>
  <c r="AD867" i="17"/>
  <c r="AD790" i="17"/>
  <c r="AF888" i="17" a="1"/>
  <c r="AF858" i="17" a="1"/>
  <c r="AF6" i="17" a="1"/>
  <c r="AF5" i="17" a="1"/>
  <c r="AC735" i="17"/>
  <c r="AC823" i="17"/>
  <c r="AC303" i="17"/>
  <c r="AC662" i="17"/>
  <c r="AC220" i="17"/>
  <c r="AC700" i="17"/>
  <c r="AC760" i="17"/>
  <c r="AC728" i="17"/>
  <c r="AC889" i="17"/>
  <c r="AC544" i="17"/>
  <c r="AC557" i="17"/>
  <c r="AC581" i="17"/>
  <c r="AC641" i="17"/>
  <c r="AC372" i="17"/>
  <c r="AC393" i="17"/>
  <c r="AC597" i="17"/>
  <c r="AC147" i="17"/>
  <c r="AC704" i="17"/>
  <c r="AC720" i="17"/>
  <c r="AC701" i="17"/>
  <c r="AC583" i="17"/>
  <c r="AC612" i="17"/>
  <c r="AC841" i="17"/>
  <c r="AC711" i="17"/>
  <c r="AC813" i="17"/>
  <c r="AC658" i="17"/>
  <c r="AC708" i="17"/>
  <c r="AC515" i="17"/>
  <c r="AC210" i="17"/>
  <c r="AC521" i="17"/>
  <c r="AC655" i="17"/>
  <c r="AC623" i="17"/>
  <c r="AC861" i="17"/>
  <c r="AC549" i="17"/>
  <c r="AC551" i="17"/>
  <c r="AC751" i="17"/>
  <c r="AC684" i="17"/>
  <c r="AC9" i="17"/>
  <c r="AC12" i="17"/>
  <c r="AC13" i="17"/>
  <c r="AC21" i="17"/>
  <c r="AC33" i="17"/>
  <c r="AC54" i="17"/>
  <c r="AC110" i="17"/>
  <c r="AC184" i="17"/>
  <c r="AC474" i="17"/>
  <c r="AC773" i="17"/>
  <c r="AC314" i="17"/>
  <c r="AC691" i="17"/>
  <c r="AC890" i="17"/>
  <c r="AC75" i="17"/>
  <c r="AC89" i="17"/>
  <c r="AC101" i="17"/>
  <c r="AC743" i="17"/>
  <c r="AC800" i="17"/>
  <c r="AC76" i="17"/>
  <c r="AC272" i="17"/>
  <c r="AC349" i="17"/>
  <c r="AC499" i="17"/>
  <c r="AC663" i="17"/>
  <c r="AC664" i="17"/>
  <c r="AC338" i="17"/>
  <c r="AC682" i="17"/>
  <c r="AC579" i="17"/>
  <c r="AC616" i="17"/>
  <c r="AC587" i="17"/>
  <c r="AC839" i="17"/>
  <c r="AC157" i="17"/>
  <c r="AC619" i="17"/>
  <c r="AC797" i="17"/>
  <c r="AC819" i="17"/>
  <c r="AC878" i="17"/>
  <c r="AC546" i="17"/>
  <c r="AC560" i="17"/>
  <c r="AC570" i="17"/>
  <c r="AC575" i="17"/>
  <c r="AC742" i="17"/>
  <c r="AC787" i="17"/>
  <c r="AC873" i="17"/>
  <c r="AC176" i="17"/>
  <c r="AC749" i="17"/>
  <c r="AC197" i="17"/>
  <c r="AC556" i="17"/>
  <c r="AC856" i="17"/>
  <c r="AC874" i="17"/>
  <c r="AC567" i="17"/>
  <c r="AC620" i="17"/>
  <c r="AC863" i="17"/>
  <c r="AC136" i="17"/>
  <c r="AC235" i="17"/>
  <c r="AC293" i="17"/>
  <c r="AC604" i="17"/>
  <c r="AC255" i="17"/>
  <c r="AC40" i="17"/>
  <c r="AC489" i="17"/>
  <c r="AC627" i="17"/>
  <c r="AC615" i="17"/>
  <c r="AC853" i="17"/>
  <c r="AC782" i="17"/>
  <c r="AC488" i="17"/>
  <c r="AC68" i="17"/>
  <c r="AC675" i="17"/>
  <c r="AC563" i="17"/>
  <c r="AC574" i="17"/>
  <c r="AC685" i="17"/>
  <c r="AC739" i="17"/>
  <c r="AC796" i="17"/>
  <c r="AC833" i="17"/>
  <c r="AC552" i="17"/>
  <c r="AC586" i="17"/>
  <c r="AC595" i="17"/>
  <c r="AC65" i="17"/>
  <c r="AC365" i="17"/>
  <c r="AC512" i="17"/>
  <c r="AC60" i="17"/>
  <c r="AC508" i="17"/>
  <c r="AC791" i="17"/>
  <c r="AC132" i="17"/>
  <c r="AC117" i="17"/>
  <c r="AC195" i="17"/>
  <c r="AC174" i="17"/>
  <c r="AC628" i="17"/>
  <c r="AC88" i="17"/>
  <c r="AC47" i="17"/>
  <c r="AC74" i="17"/>
  <c r="AC177" i="17"/>
  <c r="AC509" i="17"/>
  <c r="AC888" i="17"/>
  <c r="AC555" i="17"/>
  <c r="AC630" i="17"/>
  <c r="AC706" i="17"/>
  <c r="AC716" i="17"/>
  <c r="AC809" i="17"/>
  <c r="AC550" i="17"/>
  <c r="AC768" i="17"/>
  <c r="AC886" i="17"/>
  <c r="AC786" i="17"/>
  <c r="AC718" i="17"/>
  <c r="AC737" i="17"/>
  <c r="AC721" i="17"/>
  <c r="AC746" i="17"/>
  <c r="AC617" i="17"/>
  <c r="AC872" i="17"/>
  <c r="AC28" i="17"/>
  <c r="AC22" i="17"/>
  <c r="AC284" i="17"/>
  <c r="AC444" i="17"/>
  <c r="AC605" i="17"/>
  <c r="AC373" i="17"/>
  <c r="AC498" i="17"/>
  <c r="AC748" i="17"/>
  <c r="AC52" i="17"/>
  <c r="AC121" i="17"/>
  <c r="AC428" i="17"/>
  <c r="AC493" i="17"/>
  <c r="AC514" i="17"/>
  <c r="AC870" i="17"/>
  <c r="AC592" i="17"/>
  <c r="AC714" i="17"/>
  <c r="AC622" i="17"/>
  <c r="AC808" i="17"/>
  <c r="AC892" i="17"/>
  <c r="AC342" i="17"/>
  <c r="AC610" i="17"/>
  <c r="AC820" i="17"/>
  <c r="AC31" i="17"/>
  <c r="AC600" i="17"/>
  <c r="AC838" i="17"/>
  <c r="AC523" i="17"/>
  <c r="AC860" i="17"/>
  <c r="AC438" i="17"/>
  <c r="AC519" i="17"/>
  <c r="AC611" i="17"/>
  <c r="AC785" i="17"/>
  <c r="AC267" i="17"/>
  <c r="AC472" i="17"/>
  <c r="AC631" i="17"/>
  <c r="AC516" i="17"/>
  <c r="AC659" i="17"/>
  <c r="AC801" i="17"/>
  <c r="AC11" i="17"/>
  <c r="AC35" i="17"/>
  <c r="AC42" i="17"/>
  <c r="AC482" i="17"/>
  <c r="AC524" i="17"/>
  <c r="AC505" i="17"/>
  <c r="AC670" i="17"/>
  <c r="AC648" i="17"/>
  <c r="AC671" i="17"/>
  <c r="AC681" i="17"/>
  <c r="AC855" i="17"/>
  <c r="AC875" i="17"/>
  <c r="AC534" i="17"/>
  <c r="AC501" i="17"/>
  <c r="AC518" i="17"/>
  <c r="AC494" i="17"/>
  <c r="AC41" i="17"/>
  <c r="AC336" i="17"/>
  <c r="AC20" i="17"/>
  <c r="AC23" i="17"/>
  <c r="AC262" i="17"/>
  <c r="AC795" i="17"/>
  <c r="AC281" i="17"/>
  <c r="AC698" i="17"/>
  <c r="AC775" i="17"/>
  <c r="AC16" i="17"/>
  <c r="AC36" i="17"/>
  <c r="AC419" i="17"/>
  <c r="AC480" i="17"/>
  <c r="AC869" i="17"/>
  <c r="AC478" i="17"/>
  <c r="AC504" i="17"/>
  <c r="AC879" i="17"/>
  <c r="AC829" i="17"/>
  <c r="AC715" i="17"/>
  <c r="AC784" i="17"/>
  <c r="AC585" i="17"/>
  <c r="AC722" i="17"/>
  <c r="AC562" i="17"/>
  <c r="AC699" i="17"/>
  <c r="AC388" i="17"/>
  <c r="AC705" i="17"/>
  <c r="AC517" i="17"/>
  <c r="AC400" i="17"/>
  <c r="AC424" i="17"/>
  <c r="AC461" i="17"/>
  <c r="AC740" i="17"/>
  <c r="AC39" i="17"/>
  <c r="AC334" i="17"/>
  <c r="AC770" i="17"/>
  <c r="AC668" i="17"/>
  <c r="AC669" i="17"/>
  <c r="AC44" i="17"/>
  <c r="AC56" i="17"/>
  <c r="AC84" i="17"/>
  <c r="AC10" i="17"/>
  <c r="AC25" i="17"/>
  <c r="AC43" i="17"/>
  <c r="AC69" i="17"/>
  <c r="AC81" i="17"/>
  <c r="AC94" i="17"/>
  <c r="AC275" i="17"/>
  <c r="AC15" i="17"/>
  <c r="AC497" i="17"/>
  <c r="AC747" i="17"/>
  <c r="AC677" i="17"/>
  <c r="AC335" i="17"/>
  <c r="AC27" i="17"/>
  <c r="AC492" i="17"/>
  <c r="AC257" i="17"/>
  <c r="AC710" i="17"/>
  <c r="AC79" i="17"/>
  <c r="AC211" i="17"/>
  <c r="AC307" i="17"/>
  <c r="AC330" i="17"/>
  <c r="AC455" i="17"/>
  <c r="AC475" i="17"/>
  <c r="AC626" i="17"/>
  <c r="AC876" i="17"/>
  <c r="AC368" i="17"/>
  <c r="AC411" i="17"/>
  <c r="AD334" i="17"/>
  <c r="AD341" i="17"/>
  <c r="AD342" i="17"/>
  <c r="AD345" i="17"/>
  <c r="AD335" i="17"/>
  <c r="AD336" i="17"/>
  <c r="AD15" i="17"/>
  <c r="AD27" i="17"/>
  <c r="AD267" i="17"/>
  <c r="AD366" i="17"/>
  <c r="AD434" i="17"/>
  <c r="AD476" i="17"/>
  <c r="AD523" i="17"/>
  <c r="AD452" i="17"/>
  <c r="AD851" i="17"/>
  <c r="AD554" i="17"/>
  <c r="AD563" i="17"/>
  <c r="AD584" i="17"/>
  <c r="AD714" i="17"/>
  <c r="AD724" i="17"/>
  <c r="AD708" i="17"/>
  <c r="AD794" i="17"/>
  <c r="AD780" i="17"/>
  <c r="AD631" i="17"/>
  <c r="AD704" i="17"/>
  <c r="AD715" i="17"/>
  <c r="AD808" i="17"/>
  <c r="AD706" i="17"/>
  <c r="AD886" i="17"/>
  <c r="AD722" i="17"/>
  <c r="AD541" i="17"/>
  <c r="AD103" i="17"/>
  <c r="AD104" i="17"/>
  <c r="AD138" i="17"/>
  <c r="AD223" i="17"/>
  <c r="AD425" i="17"/>
  <c r="AD466" i="17"/>
  <c r="AD509" i="17"/>
  <c r="AD744" i="17"/>
  <c r="AD826" i="17"/>
  <c r="AD848" i="17"/>
  <c r="AD9" i="17"/>
  <c r="AD12" i="17"/>
  <c r="AD54" i="17"/>
  <c r="AD698" i="17"/>
  <c r="AD775" i="17"/>
  <c r="AD16" i="17"/>
  <c r="AD36" i="17"/>
  <c r="AD419" i="17"/>
  <c r="AD480" i="17"/>
  <c r="AD655" i="17"/>
  <c r="AD750" i="17"/>
  <c r="AD773" i="17"/>
  <c r="AD869" i="17"/>
  <c r="AD169" i="17"/>
  <c r="AD234" i="17"/>
  <c r="AD478" i="17"/>
  <c r="AD817" i="17"/>
  <c r="AD897" i="17"/>
  <c r="AD63" i="17"/>
  <c r="AD179" i="17"/>
  <c r="AD463" i="17"/>
  <c r="AD758" i="17"/>
  <c r="AD854" i="17"/>
  <c r="I908" i="24"/>
  <c r="K908" i="24"/>
  <c r="L908" i="24"/>
  <c r="M908" i="24"/>
  <c r="N908" i="24"/>
  <c r="P908" i="24"/>
  <c r="H908" i="24"/>
  <c r="J908" i="24"/>
  <c r="O908" i="24"/>
  <c r="I909" i="24"/>
  <c r="H909" i="24"/>
  <c r="J909" i="24"/>
  <c r="K909" i="24"/>
  <c r="L909" i="24"/>
  <c r="M909" i="24"/>
  <c r="N909" i="24"/>
  <c r="O909" i="24"/>
  <c r="P909" i="24"/>
  <c r="AF7" i="17" a="1"/>
  <c r="AC761" i="17"/>
  <c r="C761" i="14" a="1"/>
  <c r="AC719" i="17"/>
  <c r="C719" i="14" a="1"/>
  <c r="AC417" i="17"/>
  <c r="C417" i="14" a="1"/>
  <c r="AC364" i="17"/>
  <c r="C364" i="14" a="1"/>
  <c r="AC18" i="17"/>
  <c r="C18" i="14" a="1"/>
  <c r="AC427" i="17"/>
  <c r="C427" i="14" a="1"/>
  <c r="AC707" i="17"/>
  <c r="C707" i="14" a="1"/>
  <c r="AC422" i="17"/>
  <c r="C422" i="14" a="1"/>
  <c r="AC418" i="17"/>
  <c r="C418" i="14" a="1"/>
  <c r="AC723" i="17"/>
  <c r="C723" i="14" a="1"/>
  <c r="AC764" i="17"/>
  <c r="C764" i="14" a="1"/>
  <c r="AC745" i="17"/>
  <c r="C745" i="14" a="1"/>
  <c r="AC736" i="17"/>
  <c r="C736" i="14" a="1"/>
  <c r="AC750" i="17"/>
  <c r="AE750" i="17" s="1"/>
  <c r="C750" i="14" a="1"/>
  <c r="AC741" i="17"/>
  <c r="C741" i="14" a="1"/>
  <c r="AC425" i="17"/>
  <c r="C425" i="14" a="1"/>
  <c r="AC24" i="17"/>
  <c r="C24" i="14" a="1"/>
  <c r="AC387" i="17"/>
  <c r="C387" i="14" a="1"/>
  <c r="AC409" i="17"/>
  <c r="C409" i="14" a="1"/>
  <c r="AC353" i="17"/>
  <c r="C353" i="14" a="1"/>
  <c r="AC376" i="17"/>
  <c r="C376" i="14" a="1"/>
  <c r="AC399" i="17"/>
  <c r="C399" i="14" a="1"/>
  <c r="AC386" i="17"/>
  <c r="C386" i="14" a="1"/>
  <c r="AC405" i="17"/>
  <c r="C405" i="14" a="1"/>
  <c r="AC374" i="17"/>
  <c r="C374" i="14" a="1"/>
  <c r="AC375" i="17"/>
  <c r="AE375" i="17" s="1"/>
  <c r="C375" i="14" a="1"/>
  <c r="AC352" i="17"/>
  <c r="AC30" i="17"/>
  <c r="AC351" i="17"/>
  <c r="AC14" i="17"/>
  <c r="AC642" i="17"/>
  <c r="AC713" i="17"/>
  <c r="AC762" i="17"/>
  <c r="AC816" i="17"/>
  <c r="AC93" i="17"/>
  <c r="AC167" i="17"/>
  <c r="AC533" i="17"/>
  <c r="AC537" i="17"/>
  <c r="AC547" i="17"/>
  <c r="AC577" i="17"/>
  <c r="AC657" i="17"/>
  <c r="AC731" i="17"/>
  <c r="AC793" i="17"/>
  <c r="AC355" i="17"/>
  <c r="AC520" i="17"/>
  <c r="AC804" i="17"/>
  <c r="AC817" i="17"/>
  <c r="AC897" i="17"/>
  <c r="AE897" i="17" s="1"/>
  <c r="AC769" i="17"/>
  <c r="AC542" i="17"/>
  <c r="AC694" i="17"/>
  <c r="AC794" i="17"/>
  <c r="AC580" i="17"/>
  <c r="AC539" i="17"/>
  <c r="AC545" i="17"/>
  <c r="AC573" i="17"/>
  <c r="AC588" i="17"/>
  <c r="AC778" i="17"/>
  <c r="AC827" i="17"/>
  <c r="AC871" i="17"/>
  <c r="AC599" i="17"/>
  <c r="AC625" i="17"/>
  <c r="AC324" i="17"/>
  <c r="AC632" i="17"/>
  <c r="AC564" i="17"/>
  <c r="AC877" i="17"/>
  <c r="AC154" i="17"/>
  <c r="AC566" i="17"/>
  <c r="AC97" i="17"/>
  <c r="AC122" i="17"/>
  <c r="AC182" i="17"/>
  <c r="AC206" i="17"/>
  <c r="AC227" i="17"/>
  <c r="AC270" i="17"/>
  <c r="AC332" i="17"/>
  <c r="AC432" i="17"/>
  <c r="AC606" i="17"/>
  <c r="AC502" i="17"/>
  <c r="AC690" i="17"/>
  <c r="AC849" i="17"/>
  <c r="AC49" i="17"/>
  <c r="AC146" i="17"/>
  <c r="AC159" i="17"/>
  <c r="AC526" i="17"/>
  <c r="AC790" i="17"/>
  <c r="AF908" i="17" a="1"/>
  <c r="AC602" i="17"/>
  <c r="AC661" i="17"/>
  <c r="AC824" i="17"/>
  <c r="AC846" i="17"/>
  <c r="AC868" i="17"/>
  <c r="AC48" i="17"/>
  <c r="AC115" i="17"/>
  <c r="AC233" i="17"/>
  <c r="AC252" i="17"/>
  <c r="AC316" i="17"/>
  <c r="AC92" i="17"/>
  <c r="AC105" i="17"/>
  <c r="AC234" i="17"/>
  <c r="AC309" i="17"/>
  <c r="AC198" i="17"/>
  <c r="AC256" i="17"/>
  <c r="AD908" i="17"/>
  <c r="AC908" i="17"/>
  <c r="AE908" i="17" s="1"/>
  <c r="AC772" i="17"/>
  <c r="AC280" i="17"/>
  <c r="AC553" i="17"/>
  <c r="AC241" i="17"/>
  <c r="AC766" i="17"/>
  <c r="AC160" i="17"/>
  <c r="AC848" i="17"/>
  <c r="AC392" i="17"/>
  <c r="AC453" i="17"/>
  <c r="AC495" i="17"/>
  <c r="AC341" i="17"/>
  <c r="AC696" i="17"/>
  <c r="AC558" i="17"/>
  <c r="AC568" i="17"/>
  <c r="AC603" i="17"/>
  <c r="AC686" i="17"/>
  <c r="AC759" i="17"/>
  <c r="AC780" i="17"/>
  <c r="AC811" i="17"/>
  <c r="AC571" i="17"/>
  <c r="AC582" i="17"/>
  <c r="AC783" i="17"/>
  <c r="AC840" i="17"/>
  <c r="AC559" i="17"/>
  <c r="AC613" i="17"/>
  <c r="AC633" i="17"/>
  <c r="AC665" i="17"/>
  <c r="AC799" i="17"/>
  <c r="AC818" i="17"/>
  <c r="AC852" i="17"/>
  <c r="AC825" i="17"/>
  <c r="AC536" i="17"/>
  <c r="AC569" i="17"/>
  <c r="AC624" i="17"/>
  <c r="AC634" i="17"/>
  <c r="AC822" i="17"/>
  <c r="AC541" i="17"/>
  <c r="AC607" i="17"/>
  <c r="AC629" i="17"/>
  <c r="AC896" i="17"/>
  <c r="AC279" i="17"/>
  <c r="AC464" i="17"/>
  <c r="AC527" i="17"/>
  <c r="AC788" i="17"/>
  <c r="AC836" i="17"/>
  <c r="AC61" i="17"/>
  <c r="AC98" i="17"/>
  <c r="AC287" i="17"/>
  <c r="AC55" i="17"/>
  <c r="AC58" i="17"/>
  <c r="AC269" i="17"/>
  <c r="AC447" i="17"/>
  <c r="AC130" i="17"/>
  <c r="AC202" i="17"/>
  <c r="AC277" i="17"/>
  <c r="AC496" i="17"/>
  <c r="AC102" i="17"/>
  <c r="AC134" i="17"/>
  <c r="AC191" i="17"/>
  <c r="AC360" i="17"/>
  <c r="AC439" i="17"/>
  <c r="AC156" i="17"/>
  <c r="AC223" i="17"/>
  <c r="AC826" i="17"/>
  <c r="AC166" i="17"/>
  <c r="AC331" i="17"/>
  <c r="AC777" i="17"/>
  <c r="AC423" i="17"/>
  <c r="AC485" i="17"/>
  <c r="AC647" i="17"/>
  <c r="AC350" i="17"/>
  <c r="AC457" i="17"/>
  <c r="AC479" i="17"/>
  <c r="AC644" i="17"/>
  <c r="AC828" i="17"/>
  <c r="AC77" i="17"/>
  <c r="AC152" i="17"/>
  <c r="AC205" i="17"/>
  <c r="AC318" i="17"/>
  <c r="AC511" i="17"/>
  <c r="AC883" i="17"/>
  <c r="AC119" i="17"/>
  <c r="AC245" i="17"/>
  <c r="AC264" i="17"/>
  <c r="AC300" i="17"/>
  <c r="AC885" i="17"/>
  <c r="AC67" i="17"/>
  <c r="AC204" i="17"/>
  <c r="AC266" i="17"/>
  <c r="AC104" i="17"/>
  <c r="AC243" i="17"/>
  <c r="AC676" i="17"/>
  <c r="AC679" i="17"/>
  <c r="AC584" i="17"/>
  <c r="AC591" i="17"/>
  <c r="AC565" i="17"/>
  <c r="AC576" i="17"/>
  <c r="AC862" i="17"/>
  <c r="AC729" i="17"/>
  <c r="AC344" i="17"/>
  <c r="AC666" i="17"/>
  <c r="AC851" i="17"/>
  <c r="AC218" i="17"/>
  <c r="AC258" i="17"/>
  <c r="AC554" i="17"/>
  <c r="AC821" i="17"/>
  <c r="AC357" i="17"/>
  <c r="AC319" i="17"/>
  <c r="AC638" i="17"/>
  <c r="AC881" i="17"/>
  <c r="AC598" i="17"/>
  <c r="AF907" i="17" a="1"/>
  <c r="AD907" i="17"/>
  <c r="AC907" i="17"/>
  <c r="AE907" i="17" s="1"/>
  <c r="AC66" i="17"/>
  <c r="AC320" i="17"/>
  <c r="AC188" i="17"/>
  <c r="AC477" i="17"/>
  <c r="AC500" i="17"/>
  <c r="AC674" i="17"/>
  <c r="AC678" i="17"/>
  <c r="AC637" i="17"/>
  <c r="AC589" i="17"/>
  <c r="AC348" i="17"/>
  <c r="AC346" i="17"/>
  <c r="AC798" i="17"/>
  <c r="AC814" i="17"/>
  <c r="AC144" i="17"/>
  <c r="AC441" i="17"/>
  <c r="AC53" i="17"/>
  <c r="AC51" i="17"/>
  <c r="AC601" i="17"/>
  <c r="AC522" i="17"/>
  <c r="AC70" i="17"/>
  <c r="AC82" i="17"/>
  <c r="AC83" i="17"/>
  <c r="AC108" i="17"/>
  <c r="AC124" i="17"/>
  <c r="AC209" i="17"/>
  <c r="AC312" i="17"/>
  <c r="AC137" i="17"/>
  <c r="AC306" i="17"/>
  <c r="AC673" i="17"/>
  <c r="AC672" i="17"/>
  <c r="AC667" i="17"/>
  <c r="AC337" i="17"/>
  <c r="AC164" i="17"/>
  <c r="AC212" i="17"/>
  <c r="AC247" i="17"/>
  <c r="AD591" i="17"/>
  <c r="AD811" i="17"/>
  <c r="AD98" i="17"/>
  <c r="AD113" i="17"/>
  <c r="AD327" i="17"/>
  <c r="AD269" i="17"/>
  <c r="AD311" i="17"/>
  <c r="AD843" i="17"/>
  <c r="AD315" i="17"/>
  <c r="AD145" i="17"/>
  <c r="AD262" i="17"/>
  <c r="AD850" i="17"/>
  <c r="AD894" i="17"/>
  <c r="AD105" i="17"/>
  <c r="AD125" i="17"/>
  <c r="AD893" i="17"/>
  <c r="AC289" i="17"/>
  <c r="AC434" i="17"/>
  <c r="AC454" i="17"/>
  <c r="AC476" i="17"/>
  <c r="AC646" i="17"/>
  <c r="AC452" i="17"/>
  <c r="AC635" i="17"/>
  <c r="AC636" i="17"/>
  <c r="AC865" i="17"/>
  <c r="AC738" i="17"/>
  <c r="AC170" i="17"/>
  <c r="AC196" i="17"/>
  <c r="AC219" i="17"/>
  <c r="AC238" i="17"/>
  <c r="AC596" i="17"/>
  <c r="AC538" i="17"/>
  <c r="AC543" i="17"/>
  <c r="AC776" i="17"/>
  <c r="AC803" i="17"/>
  <c r="AC887" i="17"/>
  <c r="AC261" i="17"/>
  <c r="AC433" i="17"/>
  <c r="AC792" i="17"/>
  <c r="AC153" i="17"/>
  <c r="AC217" i="17"/>
  <c r="AC254" i="17"/>
  <c r="AC273" i="17"/>
  <c r="AD906" i="17"/>
  <c r="AC906" i="17"/>
  <c r="AE906" i="17" s="1"/>
  <c r="AF906" i="17" a="1"/>
  <c r="AD548" i="17"/>
  <c r="AD796" i="17"/>
  <c r="AD99" i="17"/>
  <c r="AD100" i="17"/>
  <c r="AD149" i="17"/>
  <c r="AD467" i="17"/>
  <c r="AD774" i="17"/>
  <c r="AD618" i="17"/>
  <c r="AD261" i="17"/>
  <c r="AD437" i="17"/>
  <c r="AD146" i="17"/>
  <c r="AD256" i="17"/>
  <c r="AD832" i="17"/>
  <c r="AF897" i="17" a="1"/>
  <c r="AD668" i="17"/>
  <c r="AD677" i="17"/>
  <c r="AD667" i="17"/>
  <c r="AD676" i="17"/>
  <c r="AD680" i="17"/>
  <c r="AD674" i="17"/>
  <c r="AD675" i="17"/>
  <c r="AD344" i="17"/>
  <c r="AD188" i="17"/>
  <c r="AD306" i="17"/>
  <c r="AD522" i="17"/>
  <c r="AD696" i="17"/>
  <c r="AD829" i="17"/>
  <c r="AD258" i="17"/>
  <c r="AD574" i="17"/>
  <c r="AD880" i="17"/>
  <c r="AD173" i="17"/>
  <c r="AD660" i="17"/>
  <c r="AD214" i="17"/>
  <c r="AD202" i="17"/>
  <c r="AD277" i="17"/>
  <c r="AD458" i="17"/>
  <c r="AD776" i="17"/>
  <c r="AD78" i="17"/>
  <c r="AD849" i="17"/>
  <c r="AD106" i="17"/>
  <c r="AD253" i="17"/>
  <c r="AD294" i="17"/>
  <c r="AD159" i="17"/>
  <c r="AD292" i="17"/>
  <c r="AD821" i="17"/>
  <c r="AD833" i="17"/>
  <c r="AD855" i="17"/>
  <c r="AD875" i="17"/>
  <c r="AD888" i="17"/>
  <c r="AD257" i="17"/>
  <c r="AD551" i="17"/>
  <c r="AD555" i="17"/>
  <c r="AD571" i="17"/>
  <c r="AD576" i="17"/>
  <c r="AD582" i="17"/>
  <c r="AD587" i="17"/>
  <c r="AD596" i="17"/>
  <c r="AD610" i="17"/>
  <c r="AD622" i="17"/>
  <c r="AD691" i="17"/>
  <c r="AD772" i="17"/>
  <c r="AD877" i="17"/>
  <c r="AD890" i="17"/>
  <c r="AD157" i="17"/>
  <c r="AD281" i="17"/>
  <c r="AD319" i="17"/>
  <c r="AD684" i="17"/>
  <c r="AD538" i="17"/>
  <c r="AD543" i="17"/>
  <c r="AD546" i="17"/>
  <c r="AD575" i="17"/>
  <c r="AD580" i="17"/>
  <c r="AD585" i="17"/>
  <c r="AD589" i="17"/>
  <c r="AD625" i="17"/>
  <c r="AD665" i="17"/>
  <c r="AD697" i="17"/>
  <c r="AD729" i="17"/>
  <c r="AD787" i="17"/>
  <c r="AD818" i="17"/>
  <c r="AD852" i="17"/>
  <c r="AD176" i="17"/>
  <c r="AD290" i="17"/>
  <c r="AD324" i="17"/>
  <c r="AD638" i="17"/>
  <c r="AD766" i="17"/>
  <c r="AD798" i="17"/>
  <c r="AD825" i="17"/>
  <c r="AD881" i="17"/>
  <c r="AD536" i="17"/>
  <c r="AD539" i="17"/>
  <c r="AD545" i="17"/>
  <c r="AD556" i="17"/>
  <c r="AD561" i="17"/>
  <c r="AD578" i="17"/>
  <c r="AD588" i="17"/>
  <c r="AD598" i="17"/>
  <c r="AD624" i="17"/>
  <c r="AD634" i="17"/>
  <c r="AD822" i="17"/>
  <c r="AD889" i="17"/>
  <c r="AD193" i="17"/>
  <c r="AD535" i="17"/>
  <c r="AD544" i="17"/>
  <c r="AD562" i="17"/>
  <c r="AD572" i="17"/>
  <c r="AD577" i="17"/>
  <c r="AD607" i="17"/>
  <c r="AD793" i="17"/>
  <c r="AD805" i="17"/>
  <c r="AD830" i="17"/>
  <c r="AD866" i="17"/>
  <c r="AD896" i="17"/>
  <c r="AD38" i="17"/>
  <c r="AD107" i="17"/>
  <c r="AD140" i="17"/>
  <c r="AD260" i="17"/>
  <c r="AD279" i="17"/>
  <c r="AD443" i="17"/>
  <c r="AD464" i="17"/>
  <c r="AD189" i="17"/>
  <c r="AD250" i="17"/>
  <c r="AD287" i="17"/>
  <c r="AD129" i="17"/>
  <c r="AD232" i="17"/>
  <c r="AD221" i="17"/>
  <c r="AD278" i="17"/>
  <c r="AD433" i="17"/>
  <c r="AD842" i="17"/>
  <c r="AD49" i="17"/>
  <c r="AD92" i="17"/>
  <c r="AD309" i="17"/>
  <c r="AD456" i="17"/>
  <c r="AD116" i="17"/>
  <c r="AD594" i="17"/>
  <c r="AD659" i="17"/>
  <c r="AD732" i="17"/>
  <c r="AD801" i="17"/>
  <c r="AD814" i="17"/>
  <c r="AD10" i="17"/>
  <c r="AD11" i="17"/>
  <c r="AD25" i="17"/>
  <c r="AD26" i="17"/>
  <c r="AD43" i="17"/>
  <c r="AD94" i="17"/>
  <c r="AD124" i="17"/>
  <c r="AD168" i="17"/>
  <c r="AD275" i="17"/>
  <c r="AD293" i="17"/>
  <c r="AD524" i="17"/>
  <c r="AD604" i="17"/>
  <c r="AD656" i="17"/>
  <c r="AD777" i="17"/>
  <c r="AD857" i="17"/>
  <c r="AD53" i="17"/>
  <c r="AD66" i="17"/>
  <c r="AD320" i="17"/>
  <c r="AD423" i="17"/>
  <c r="AD647" i="17"/>
  <c r="AD767" i="17"/>
  <c r="AD112" i="17"/>
  <c r="AD350" i="17"/>
  <c r="AD479" i="17"/>
  <c r="AD645" i="17"/>
  <c r="AD662" i="17"/>
  <c r="AD828" i="17"/>
  <c r="AD77" i="17"/>
  <c r="AD205" i="17"/>
  <c r="AD883" i="17"/>
  <c r="AD72" i="17"/>
  <c r="AD88" i="17"/>
  <c r="AD158" i="17"/>
  <c r="AD300" i="17"/>
  <c r="AD490" i="17"/>
  <c r="AD692" i="17"/>
  <c r="AD789" i="17"/>
  <c r="AD864" i="17"/>
  <c r="AD885" i="17"/>
  <c r="AD47" i="17"/>
  <c r="AD67" i="17"/>
  <c r="AD95" i="17"/>
  <c r="AD204" i="17"/>
  <c r="AD451" i="17"/>
  <c r="AD782" i="17"/>
  <c r="AD57" i="17"/>
  <c r="AD74" i="17"/>
  <c r="AD120" i="17"/>
  <c r="AD156" i="17"/>
  <c r="AD177" i="17"/>
  <c r="AD201" i="17"/>
  <c r="AD321" i="17"/>
  <c r="AD488" i="17"/>
  <c r="AD771" i="17"/>
  <c r="AD827" i="17"/>
  <c r="AD871" i="17"/>
  <c r="AD97" i="17"/>
  <c r="AD165" i="17"/>
  <c r="AD166" i="17"/>
  <c r="AD606" i="17"/>
  <c r="AD661" i="17"/>
  <c r="AD824" i="17"/>
  <c r="AD846" i="17"/>
  <c r="AD48" i="17"/>
  <c r="AD115" i="17"/>
  <c r="AD233" i="17"/>
  <c r="AD316" i="17"/>
  <c r="AD895" i="17"/>
  <c r="AF890" i="17" a="1"/>
  <c r="AF887" i="17" a="1"/>
  <c r="AF886" i="17" a="1"/>
  <c r="AF889" i="17" a="1"/>
  <c r="AF892" i="17" a="1"/>
  <c r="AF883" i="17" a="1"/>
  <c r="AF330" i="17" a="1"/>
  <c r="AF325" i="17" a="1"/>
  <c r="AF324" i="17" a="1"/>
  <c r="AC90" i="17"/>
  <c r="C90" i="14" a="1"/>
  <c r="AC158" i="17"/>
  <c r="C158" i="14" a="1"/>
  <c r="AC200" i="17"/>
  <c r="C200" i="14" a="1"/>
  <c r="AC448" i="17"/>
  <c r="C448" i="14" a="1"/>
  <c r="AC510" i="17"/>
  <c r="C510" i="14" a="1"/>
  <c r="AC687" i="17"/>
  <c r="C687" i="14" a="1"/>
  <c r="AC693" i="17"/>
  <c r="C693" i="14" a="1"/>
  <c r="AC847" i="17"/>
  <c r="C847" i="14" a="1"/>
  <c r="AC483" i="17"/>
  <c r="C483" i="14" a="1"/>
  <c r="AC831" i="17"/>
  <c r="C831" i="14" a="1"/>
  <c r="AC815" i="17"/>
  <c r="C815" i="14" a="1"/>
  <c r="AC884" i="17"/>
  <c r="C884" i="14" a="1"/>
  <c r="AC224" i="17"/>
  <c r="C224" i="14" a="1"/>
  <c r="AC225" i="17"/>
  <c r="C225" i="14" a="1"/>
  <c r="AC451" i="17"/>
  <c r="C451" i="14" a="1"/>
  <c r="AC463" i="17"/>
  <c r="C463" i="14" a="1"/>
  <c r="AC32" i="17"/>
  <c r="C32" i="14" a="1"/>
  <c r="AC59" i="17"/>
  <c r="C59" i="14" a="1"/>
  <c r="AC85" i="17"/>
  <c r="C85" i="14" a="1"/>
  <c r="AC112" i="17"/>
  <c r="C112" i="14" a="1"/>
  <c r="AC291" i="17"/>
  <c r="C291" i="14" a="1"/>
  <c r="AC765" i="17"/>
  <c r="C765" i="14" a="1"/>
  <c r="AC834" i="17"/>
  <c r="AE834" i="17" s="1"/>
  <c r="C834" i="14" a="1"/>
  <c r="AC131" i="17"/>
  <c r="C131" i="14" a="1"/>
  <c r="AC226" i="17"/>
  <c r="C226" i="14" a="1"/>
  <c r="AC278" i="17"/>
  <c r="C278" i="14" a="1"/>
  <c r="AC313" i="17"/>
  <c r="C313" i="14" a="1"/>
  <c r="AC442" i="17"/>
  <c r="C442" i="14" a="1"/>
  <c r="AC660" i="17"/>
  <c r="C660" i="14" a="1"/>
  <c r="AC645" i="17"/>
  <c r="C645" i="14" a="1"/>
  <c r="AC857" i="17"/>
  <c r="AE857" i="17" s="1"/>
  <c r="C857" i="14" a="1"/>
  <c r="AC106" i="17"/>
  <c r="C106" i="14" a="1"/>
  <c r="AC135" i="17"/>
  <c r="C135" i="14" a="1"/>
  <c r="AC149" i="17"/>
  <c r="C149" i="14" a="1"/>
  <c r="AC467" i="17"/>
  <c r="C467" i="14" a="1"/>
  <c r="AC506" i="17"/>
  <c r="AE506" i="17" s="1"/>
  <c r="C506" i="14" a="1"/>
  <c r="AC531" i="17"/>
  <c r="C531" i="14" a="1"/>
  <c r="AC802" i="17"/>
  <c r="C802" i="14" a="1"/>
  <c r="AC891" i="17"/>
  <c r="C891" i="14" a="1"/>
  <c r="AC62" i="17"/>
  <c r="C62" i="14" a="1"/>
  <c r="AC73" i="17"/>
  <c r="C73" i="14" a="1"/>
  <c r="AC114" i="17"/>
  <c r="C114" i="14" a="1"/>
  <c r="AC161" i="17"/>
  <c r="C161" i="14" a="1"/>
  <c r="AC180" i="17"/>
  <c r="C180" i="14" a="1"/>
  <c r="AC201" i="17"/>
  <c r="C201" i="14" a="1"/>
  <c r="AC297" i="17"/>
  <c r="AE297" i="17" s="1"/>
  <c r="C297" i="14" a="1"/>
  <c r="AC315" i="17"/>
  <c r="C315" i="14" a="1"/>
  <c r="AC443" i="17"/>
  <c r="C443" i="14" a="1"/>
  <c r="AC465" i="17"/>
  <c r="C465" i="14" a="1"/>
  <c r="AC503" i="17"/>
  <c r="C503" i="14" a="1"/>
  <c r="AC46" i="17"/>
  <c r="C46" i="14" a="1"/>
  <c r="AC141" i="17"/>
  <c r="AE141" i="17" s="1"/>
  <c r="C141" i="14" a="1"/>
  <c r="AC294" i="17"/>
  <c r="AE294" i="17" s="1"/>
  <c r="C294" i="14" a="1"/>
  <c r="AC864" i="17"/>
  <c r="C864" i="14" a="1"/>
  <c r="AC57" i="17"/>
  <c r="C57" i="14" a="1"/>
  <c r="AC86" i="17"/>
  <c r="C86" i="14" a="1"/>
  <c r="AC276" i="17"/>
  <c r="C276" i="14" a="1"/>
  <c r="AC299" i="17"/>
  <c r="AE299" i="17" s="1"/>
  <c r="C299" i="14" a="1"/>
  <c r="AC446" i="17"/>
  <c r="C446" i="14" a="1"/>
  <c r="AC469" i="17"/>
  <c r="C469" i="14" a="1"/>
  <c r="AC481" i="17"/>
  <c r="C481" i="14" a="1"/>
  <c r="AC594" i="17"/>
  <c r="C594" i="14" a="1"/>
  <c r="AC692" i="17"/>
  <c r="C692" i="14" a="1"/>
  <c r="AC843" i="17"/>
  <c r="C843" i="14" a="1"/>
  <c r="AC894" i="17"/>
  <c r="C894" i="14" a="1"/>
  <c r="AC322" i="17"/>
  <c r="C322" i="14" a="1"/>
  <c r="AC450" i="17"/>
  <c r="C450" i="14" a="1"/>
  <c r="AC462" i="17"/>
  <c r="C462" i="14" a="1"/>
  <c r="AC72" i="17"/>
  <c r="C72" i="14" a="1"/>
  <c r="AC178" i="17"/>
  <c r="C178" i="14" a="1"/>
  <c r="AC199" i="17"/>
  <c r="C199" i="14" a="1"/>
  <c r="AC259" i="17"/>
  <c r="C259" i="14" a="1"/>
  <c r="AC286" i="17"/>
  <c r="C286" i="14" a="1"/>
  <c r="AC473" i="17"/>
  <c r="C473" i="14" a="1"/>
  <c r="AC529" i="17"/>
  <c r="C529" i="14" a="1"/>
  <c r="AC695" i="17"/>
  <c r="C695" i="14" a="1"/>
  <c r="AC359" i="17"/>
  <c r="C359" i="14" a="1"/>
  <c r="C909" i="14" a="1"/>
  <c r="AC145" i="17"/>
  <c r="AC614" i="17"/>
  <c r="AC138" i="17"/>
  <c r="AC835" i="17"/>
  <c r="AC253" i="17"/>
  <c r="AE253" i="17" s="1"/>
  <c r="AC45" i="17"/>
  <c r="AC263" i="17"/>
  <c r="AE263" i="17" s="1"/>
  <c r="AC237" i="17"/>
  <c r="AC789" i="17"/>
  <c r="AC292" i="17"/>
  <c r="AE292" i="17" s="1"/>
  <c r="AC64" i="17"/>
  <c r="AC486" i="17"/>
  <c r="AE486" i="17" s="1"/>
  <c r="AC535" i="17"/>
  <c r="AC810" i="17"/>
  <c r="AE810" i="17" s="1"/>
  <c r="AC193" i="17"/>
  <c r="AC310" i="17"/>
  <c r="AE310" i="17" s="1"/>
  <c r="AC333" i="17"/>
  <c r="AE333" i="17" s="1"/>
  <c r="AC435" i="17"/>
  <c r="AC456" i="17"/>
  <c r="AC63" i="17"/>
  <c r="AC116" i="17"/>
  <c r="AC179" i="17"/>
  <c r="AE179" i="17" s="1"/>
  <c r="AC832" i="17"/>
  <c r="AF909" i="17" a="1"/>
  <c r="D909" i="24" s="1"/>
  <c r="AC683" i="17"/>
  <c r="AC162" i="17"/>
  <c r="AC561" i="17"/>
  <c r="AC807" i="17"/>
  <c r="AC608" i="17"/>
  <c r="AC689" i="17"/>
  <c r="AC771" i="17"/>
  <c r="AC150" i="17"/>
  <c r="AC274" i="17"/>
  <c r="AC295" i="17"/>
  <c r="AC437" i="17"/>
  <c r="AC459" i="17"/>
  <c r="AD909" i="17"/>
  <c r="AC909" i="17"/>
  <c r="AE909" i="17" s="1"/>
  <c r="AC183" i="17"/>
  <c r="AC246" i="17"/>
  <c r="AC781" i="17"/>
  <c r="AC805" i="17"/>
  <c r="AC866" i="17"/>
  <c r="AC882" i="17"/>
  <c r="AC38" i="17"/>
  <c r="AC107" i="17"/>
  <c r="AC140" i="17"/>
  <c r="AC216" i="17"/>
  <c r="AC240" i="17"/>
  <c r="AC317" i="17"/>
  <c r="AC859" i="17"/>
  <c r="AC113" i="17"/>
  <c r="AC271" i="17"/>
  <c r="AC304" i="17"/>
  <c r="AC129" i="17"/>
  <c r="AC214" i="17"/>
  <c r="AC285" i="17"/>
  <c r="AC78" i="17"/>
  <c r="AC175" i="17"/>
  <c r="AC305" i="17"/>
  <c r="AC155" i="17"/>
  <c r="AC222" i="17"/>
  <c r="AC282" i="17"/>
  <c r="AC142" i="17"/>
  <c r="AC143" i="17"/>
  <c r="AC326" i="17"/>
  <c r="AC109" i="17"/>
  <c r="AC283" i="17"/>
  <c r="AC169" i="17"/>
  <c r="AC123" i="17"/>
  <c r="AC185" i="17"/>
  <c r="AC260" i="17"/>
  <c r="AC880" i="17"/>
  <c r="AC173" i="17"/>
  <c r="AC208" i="17"/>
  <c r="AC470" i="17"/>
  <c r="AC221" i="17"/>
  <c r="AC458" i="17"/>
  <c r="AC87" i="17"/>
  <c r="AC288" i="17"/>
  <c r="AC329" i="17"/>
  <c r="AC431" i="17"/>
  <c r="AC296" i="17"/>
  <c r="AC242" i="17"/>
  <c r="AC80" i="17"/>
  <c r="AC213" i="17"/>
  <c r="AC466" i="17"/>
  <c r="AC165" i="17"/>
  <c r="AC308" i="17"/>
  <c r="AC190" i="17"/>
  <c r="AC192" i="17"/>
  <c r="AC339" i="17"/>
  <c r="AC845" i="17"/>
  <c r="AC163" i="17"/>
  <c r="AC151" i="17"/>
  <c r="AC323" i="17"/>
  <c r="AC302" i="17"/>
  <c r="AC528" i="17"/>
  <c r="AC436" i="17"/>
  <c r="AC265" i="17"/>
  <c r="AC181" i="17"/>
  <c r="AC697" i="17"/>
  <c r="AC837" i="17"/>
  <c r="AC290" i="17"/>
  <c r="AC640" i="17"/>
  <c r="AC680" i="17"/>
  <c r="AC347" i="17"/>
  <c r="AC593" i="17"/>
  <c r="AC844" i="17"/>
  <c r="AC171" i="17"/>
  <c r="AC172" i="17"/>
  <c r="AC236" i="17"/>
  <c r="AC548" i="17"/>
  <c r="AC96" i="17"/>
  <c r="AC111" i="17"/>
  <c r="AC148" i="17"/>
  <c r="AC186" i="17"/>
  <c r="AC231" i="17"/>
  <c r="AC268" i="17"/>
  <c r="AC301" i="17"/>
  <c r="AC513" i="17"/>
  <c r="AC311" i="17"/>
  <c r="AC340" i="17"/>
  <c r="AC187" i="17"/>
  <c r="AC194" i="17"/>
  <c r="AC343" i="17"/>
  <c r="AC228" i="17"/>
  <c r="AC203" i="17"/>
  <c r="AC471" i="17"/>
  <c r="AC328" i="17"/>
  <c r="AC230" i="17"/>
  <c r="AC251" i="17"/>
  <c r="AC898" i="17"/>
  <c r="AE898" i="17" s="1"/>
  <c r="AD898" i="17"/>
  <c r="AF898" i="17" a="1"/>
  <c r="D898" i="24" s="1"/>
  <c r="AF905" i="17" a="1"/>
  <c r="AD905" i="17"/>
  <c r="AC905" i="17"/>
  <c r="AE905" i="17" s="1"/>
  <c r="AF904" i="17" a="1"/>
  <c r="AD904" i="17"/>
  <c r="AC904" i="17"/>
  <c r="AE904" i="17" s="1"/>
  <c r="AF903" i="17" a="1"/>
  <c r="AD903" i="17"/>
  <c r="AC903" i="17"/>
  <c r="AE903" i="17" s="1"/>
  <c r="AF902" i="17" a="1"/>
  <c r="AC902" i="17"/>
  <c r="AE902" i="17" s="1"/>
  <c r="AF901" i="17" a="1"/>
  <c r="AD901" i="17"/>
  <c r="AC901" i="17"/>
  <c r="AE901" i="17" s="1"/>
  <c r="AD671" i="17"/>
  <c r="AD672" i="17"/>
  <c r="AD681" i="17"/>
  <c r="AD673" i="17"/>
  <c r="AD670" i="17"/>
  <c r="AD347" i="17"/>
  <c r="AD348" i="17"/>
  <c r="AD337" i="17"/>
  <c r="AD343" i="17"/>
  <c r="AD338" i="17"/>
  <c r="AD339" i="17"/>
  <c r="AD346" i="17"/>
  <c r="AD340" i="17"/>
  <c r="AD84" i="17"/>
  <c r="AD137" i="17"/>
  <c r="AD164" i="17"/>
  <c r="AD187" i="17"/>
  <c r="AD212" i="17"/>
  <c r="AD247" i="17"/>
  <c r="AD289" i="17"/>
  <c r="AD328" i="17"/>
  <c r="AD454" i="17"/>
  <c r="AD497" i="17"/>
  <c r="AD601" i="17"/>
  <c r="AD646" i="17"/>
  <c r="AD492" i="17"/>
  <c r="AD513" i="17"/>
  <c r="AD844" i="17"/>
  <c r="AD865" i="17"/>
  <c r="AD666" i="17"/>
  <c r="AD171" i="17"/>
  <c r="AD172" i="17"/>
  <c r="AD218" i="17"/>
  <c r="AD236" i="17"/>
  <c r="AD194" i="17"/>
  <c r="AD219" i="17"/>
  <c r="AD238" i="17"/>
  <c r="AD565" i="17"/>
  <c r="AD228" i="17"/>
  <c r="AD280" i="17"/>
  <c r="AD185" i="17"/>
  <c r="AD216" i="17"/>
  <c r="AD298" i="17"/>
  <c r="AD486" i="17"/>
  <c r="AD151" i="17"/>
  <c r="AD208" i="17"/>
  <c r="AD304" i="17"/>
  <c r="AD303" i="17"/>
  <c r="AD323" i="17"/>
  <c r="AD783" i="17"/>
  <c r="AD784" i="17"/>
  <c r="AD797" i="17"/>
  <c r="AD809" i="17"/>
  <c r="AD819" i="17"/>
  <c r="AD840" i="17"/>
  <c r="AD862" i="17"/>
  <c r="AD878" i="17"/>
  <c r="AD892" i="17"/>
  <c r="AD154" i="17"/>
  <c r="AD181" i="17"/>
  <c r="AD203" i="17"/>
  <c r="AD534" i="17"/>
  <c r="AD540" i="17"/>
  <c r="AD553" i="17"/>
  <c r="AD559" i="17"/>
  <c r="AD566" i="17"/>
  <c r="AD602" i="17"/>
  <c r="AD633" i="17"/>
  <c r="AD799" i="17"/>
  <c r="AD807" i="17"/>
  <c r="AD873" i="17"/>
  <c r="AD241" i="17"/>
  <c r="AD632" i="17"/>
  <c r="AD683" i="17"/>
  <c r="AD845" i="17"/>
  <c r="AD162" i="17"/>
  <c r="AD163" i="17"/>
  <c r="AD160" i="17"/>
  <c r="AD317" i="17"/>
  <c r="AD792" i="17"/>
  <c r="AD876" i="17"/>
  <c r="AD45" i="17"/>
  <c r="AD73" i="17"/>
  <c r="AD87" i="17"/>
  <c r="AD102" i="17"/>
  <c r="AD117" i="17"/>
  <c r="AD136" i="17"/>
  <c r="AD153" i="17"/>
  <c r="AD175" i="17"/>
  <c r="AD195" i="17"/>
  <c r="AD217" i="17"/>
  <c r="AD254" i="17"/>
  <c r="AD273" i="17"/>
  <c r="AD288" i="17"/>
  <c r="AD305" i="17"/>
  <c r="AD329" i="17"/>
  <c r="AD431" i="17"/>
  <c r="AD450" i="17"/>
  <c r="AD471" i="17"/>
  <c r="AD516" i="17"/>
  <c r="AD891" i="17"/>
  <c r="AD35" i="17"/>
  <c r="AD42" i="17"/>
  <c r="AD69" i="17"/>
  <c r="AD70" i="17"/>
  <c r="AD81" i="17"/>
  <c r="AD82" i="17"/>
  <c r="AD83" i="17"/>
  <c r="AD108" i="17"/>
  <c r="AD144" i="17"/>
  <c r="AD209" i="17"/>
  <c r="AD230" i="17"/>
  <c r="AD251" i="17"/>
  <c r="AD312" i="17"/>
  <c r="AD441" i="17"/>
  <c r="AD834" i="17"/>
  <c r="AD96" i="17"/>
  <c r="AD111" i="17"/>
  <c r="AD148" i="17"/>
  <c r="AD186" i="17"/>
  <c r="AD231" i="17"/>
  <c r="AD248" i="17"/>
  <c r="AD268" i="17"/>
  <c r="AD301" i="17"/>
  <c r="AD465" i="17"/>
  <c r="AD485" i="17"/>
  <c r="AD528" i="17"/>
  <c r="AD51" i="17"/>
  <c r="AD86" i="17"/>
  <c r="AD134" i="17"/>
  <c r="AD155" i="17"/>
  <c r="AD180" i="17"/>
  <c r="AD199" i="17"/>
  <c r="AD222" i="17"/>
  <c r="AD237" i="17"/>
  <c r="AD276" i="17"/>
  <c r="AD296" i="17"/>
  <c r="AD313" i="17"/>
  <c r="AD436" i="17"/>
  <c r="AD457" i="17"/>
  <c r="AD498" i="17"/>
  <c r="AD644" i="17"/>
  <c r="AD812" i="17"/>
  <c r="AD91" i="17"/>
  <c r="AD135" i="17"/>
  <c r="AD152" i="17"/>
  <c r="AD174" i="17"/>
  <c r="AD191" i="17"/>
  <c r="AD226" i="17"/>
  <c r="AD242" i="17"/>
  <c r="AD265" i="17"/>
  <c r="AD297" i="17"/>
  <c r="AD318" i="17"/>
  <c r="AD468" i="17"/>
  <c r="AD802" i="17"/>
  <c r="AD119" i="17"/>
  <c r="AD178" i="17"/>
  <c r="AD245" i="17"/>
  <c r="AD264" i="17"/>
  <c r="AD282" i="17"/>
  <c r="AD322" i="17"/>
  <c r="AD469" i="17"/>
  <c r="AD141" i="17"/>
  <c r="AD142" i="17"/>
  <c r="AD143" i="17"/>
  <c r="AD213" i="17"/>
  <c r="AD263" i="17"/>
  <c r="AD326" i="17"/>
  <c r="AD439" i="17"/>
  <c r="AD462" i="17"/>
  <c r="AD506" i="17"/>
  <c r="AD695" i="17"/>
  <c r="AD109" i="17"/>
  <c r="AD161" i="17"/>
  <c r="AD266" i="17"/>
  <c r="AD286" i="17"/>
  <c r="AD302" i="17"/>
  <c r="AD493" i="17"/>
  <c r="AD243" i="17"/>
  <c r="AD259" i="17"/>
  <c r="AD283" i="17"/>
  <c r="AD299" i="17"/>
  <c r="AD359" i="17"/>
  <c r="AD446" i="17"/>
  <c r="AD689" i="17"/>
  <c r="AD192" i="17"/>
  <c r="AD333" i="17"/>
  <c r="AD435" i="17"/>
  <c r="AD526" i="17"/>
  <c r="AD182" i="17"/>
  <c r="AD183" i="17"/>
  <c r="AD184" i="17"/>
  <c r="AD206" i="17"/>
  <c r="AD227" i="17"/>
  <c r="AD246" i="17"/>
  <c r="AD270" i="17"/>
  <c r="AD308" i="17"/>
  <c r="AD331" i="17"/>
  <c r="AD332" i="17"/>
  <c r="AD432" i="17"/>
  <c r="AD453" i="17"/>
  <c r="AD474" i="17"/>
  <c r="AD495" i="17"/>
  <c r="AD868" i="17"/>
  <c r="AD150" i="17"/>
  <c r="AD190" i="17"/>
  <c r="AD252" i="17"/>
  <c r="AD274" i="17"/>
  <c r="AD295" i="17"/>
  <c r="AD459" i="17"/>
  <c r="AD310" i="17"/>
  <c r="AF885" i="17" a="1"/>
  <c r="D885" i="24" s="1"/>
  <c r="AF884" i="17" a="1"/>
  <c r="AF894" i="17" a="1"/>
  <c r="AF895" i="17" a="1"/>
  <c r="AF896" i="17" a="1"/>
  <c r="AF875" i="17" a="1"/>
  <c r="AF865" i="17" a="1"/>
  <c r="AF866" i="17" a="1"/>
  <c r="AF857" i="17" a="1"/>
  <c r="AF876" i="17" a="1"/>
  <c r="AF873" i="17" a="1"/>
  <c r="AF859" i="17" a="1"/>
  <c r="AF320" i="17" a="1"/>
  <c r="AF317" i="17" a="1"/>
  <c r="AF329" i="17" a="1"/>
  <c r="AF318" i="17" a="1"/>
  <c r="AF327" i="17" a="1"/>
  <c r="AF316" i="17" a="1"/>
  <c r="AF674" i="17" a="1"/>
  <c r="AF322" i="17" a="1"/>
  <c r="AF319" i="17" a="1"/>
  <c r="AF328" i="17" a="1"/>
  <c r="AF321" i="17" a="1"/>
  <c r="AF331" i="17" a="1"/>
  <c r="AF323" i="17" a="1"/>
  <c r="AD357" i="17"/>
  <c r="AD356" i="17"/>
  <c r="AD360" i="17"/>
  <c r="AC356" i="17"/>
  <c r="C356" i="14" a="1"/>
  <c r="H907" i="24"/>
  <c r="I907" i="24"/>
  <c r="J907" i="24"/>
  <c r="K907" i="24"/>
  <c r="L907" i="24"/>
  <c r="M907" i="24"/>
  <c r="N907" i="24"/>
  <c r="O907" i="24"/>
  <c r="P907" i="24"/>
  <c r="AF893" i="17" a="1"/>
  <c r="I905" i="24"/>
  <c r="K905" i="24"/>
  <c r="L905" i="24"/>
  <c r="N905" i="24"/>
  <c r="O905" i="24"/>
  <c r="P905" i="24"/>
  <c r="H905" i="24"/>
  <c r="J905" i="24"/>
  <c r="M905" i="24"/>
  <c r="AF415" i="17" a="1"/>
  <c r="AF615" i="17" a="1"/>
  <c r="H906" i="24"/>
  <c r="I906" i="24"/>
  <c r="J906" i="24"/>
  <c r="K906" i="24"/>
  <c r="L906" i="24"/>
  <c r="M906" i="24"/>
  <c r="N906" i="24"/>
  <c r="O906" i="24"/>
  <c r="P906" i="24"/>
  <c r="AF627" i="17" a="1"/>
  <c r="H904" i="24"/>
  <c r="J904" i="24"/>
  <c r="L904" i="24"/>
  <c r="M904" i="24"/>
  <c r="N904" i="24"/>
  <c r="P904" i="24"/>
  <c r="I904" i="24"/>
  <c r="K904" i="24"/>
  <c r="O904" i="24"/>
  <c r="AF891" i="17" a="1"/>
  <c r="AF69" i="17" a="1"/>
  <c r="AF341" i="17" a="1"/>
  <c r="L903" i="24"/>
  <c r="O903" i="24"/>
  <c r="H903" i="24"/>
  <c r="J903" i="24"/>
  <c r="N903" i="24"/>
  <c r="K903" i="24"/>
  <c r="P903" i="24"/>
  <c r="I903" i="24"/>
  <c r="M903" i="24"/>
  <c r="L902" i="24"/>
  <c r="N902" i="24"/>
  <c r="M902" i="24"/>
  <c r="P902" i="24"/>
  <c r="O902" i="24"/>
  <c r="K902" i="24"/>
  <c r="I902" i="24"/>
  <c r="J902" i="24"/>
  <c r="H902" i="24"/>
  <c r="P901" i="24"/>
  <c r="J901" i="24"/>
  <c r="N901" i="24"/>
  <c r="M901" i="24"/>
  <c r="H901" i="24"/>
  <c r="K901" i="24"/>
  <c r="O901" i="24"/>
  <c r="L901" i="24"/>
  <c r="I901" i="24"/>
  <c r="AF591" i="17" a="1"/>
  <c r="AF664" i="17" a="1"/>
  <c r="AF693" i="17" a="1"/>
  <c r="AF708" i="17" a="1"/>
  <c r="AF288" i="17" a="1"/>
  <c r="AF287" i="17" a="1"/>
  <c r="AF481" i="17" a="1"/>
  <c r="AF507" i="17" a="1"/>
  <c r="AF304" i="17" a="1"/>
  <c r="AF313" i="17" a="1"/>
  <c r="H900" i="24"/>
  <c r="J900" i="24"/>
  <c r="K900" i="24"/>
  <c r="L900" i="24"/>
  <c r="M900" i="24"/>
  <c r="N900" i="24"/>
  <c r="O900" i="24"/>
  <c r="P900" i="24"/>
  <c r="I900" i="24"/>
  <c r="H899" i="24"/>
  <c r="I899" i="24"/>
  <c r="J899" i="24"/>
  <c r="K899" i="24"/>
  <c r="L899" i="24"/>
  <c r="M899" i="24"/>
  <c r="N899" i="24"/>
  <c r="O899" i="24"/>
  <c r="P899" i="24"/>
  <c r="H898" i="24"/>
  <c r="I898" i="24"/>
  <c r="J898" i="24"/>
  <c r="K898" i="24"/>
  <c r="L898" i="24"/>
  <c r="M898" i="24"/>
  <c r="N898" i="24"/>
  <c r="O898" i="24"/>
  <c r="P898" i="24"/>
  <c r="AF701" i="17" a="1"/>
  <c r="AF550" i="17" a="1"/>
  <c r="AF552" i="17" a="1"/>
  <c r="AF582" i="17" a="1"/>
  <c r="AF159" i="17" a="1"/>
  <c r="AF416" i="17" a="1"/>
  <c r="AF170" i="17" a="1"/>
  <c r="AF860" i="17" a="1"/>
  <c r="AF621" i="17" a="1"/>
  <c r="AF198" i="17" a="1"/>
  <c r="AF566" i="17" a="1"/>
  <c r="AF620" i="17" a="1"/>
  <c r="AF553" i="17" a="1"/>
  <c r="AF565" i="17" a="1"/>
  <c r="AF408" i="17" a="1"/>
  <c r="AF612" i="17" a="1"/>
  <c r="AF617" i="17" a="1"/>
  <c r="AF662" i="17" a="1"/>
  <c r="AF72" i="17" a="1"/>
  <c r="AF8" i="17" a="1"/>
  <c r="AF131" i="17" a="1"/>
  <c r="AF195" i="17" a="1"/>
  <c r="AF163" i="17" a="1"/>
  <c r="AF273" i="17" a="1"/>
  <c r="AF480" i="17" a="1"/>
  <c r="AF245" i="17" a="1"/>
  <c r="I897" i="24"/>
  <c r="J897" i="24"/>
  <c r="K897" i="24"/>
  <c r="L897" i="24"/>
  <c r="M897" i="24"/>
  <c r="N897" i="24"/>
  <c r="O897" i="24"/>
  <c r="P897" i="24"/>
  <c r="H897" i="24"/>
  <c r="H896" i="24"/>
  <c r="I896" i="24"/>
  <c r="J896" i="24"/>
  <c r="K896" i="24"/>
  <c r="L896" i="24"/>
  <c r="M896" i="24"/>
  <c r="N896" i="24"/>
  <c r="O896" i="24"/>
  <c r="P896" i="24"/>
  <c r="AF11" i="17" a="1"/>
  <c r="AF13" i="17" a="1"/>
  <c r="AF14" i="17" a="1"/>
  <c r="AF15" i="17" a="1"/>
  <c r="AF20" i="17" a="1"/>
  <c r="AF22" i="17" a="1"/>
  <c r="AF23" i="17" a="1"/>
  <c r="AF25" i="17" a="1"/>
  <c r="AF83" i="17" a="1"/>
  <c r="AF93" i="17" a="1"/>
  <c r="AF157" i="17" a="1"/>
  <c r="AF479" i="17" a="1"/>
  <c r="AF483" i="17" a="1"/>
  <c r="AF172" i="17" a="1"/>
  <c r="AF279" i="17" a="1"/>
  <c r="AF80" i="17" a="1"/>
  <c r="AF305" i="17" a="1"/>
  <c r="AF344" i="17" a="1"/>
  <c r="AF510" i="17" a="1"/>
  <c r="AF823" i="17" a="1"/>
  <c r="AF402" i="17" a="1"/>
  <c r="AF544" i="17" a="1"/>
  <c r="AF882" i="17" a="1"/>
  <c r="AF151" i="17" a="1"/>
  <c r="AF301" i="17" a="1"/>
  <c r="AF311" i="17" a="1"/>
  <c r="AF215" i="17" a="1"/>
  <c r="AF246" i="17" a="1"/>
  <c r="AF79" i="17" a="1"/>
  <c r="AF133" i="17" a="1"/>
  <c r="AF486" i="17" a="1"/>
  <c r="H895" i="24"/>
  <c r="J895" i="24"/>
  <c r="K895" i="24"/>
  <c r="I895" i="24"/>
  <c r="L895" i="24"/>
  <c r="M895" i="24"/>
  <c r="N895" i="24"/>
  <c r="O895" i="24"/>
  <c r="P895" i="24"/>
  <c r="AF655" i="17" a="1"/>
  <c r="AF660" i="17" a="1"/>
  <c r="AF652" i="17" a="1"/>
  <c r="AF656" i="17" a="1"/>
  <c r="AF487" i="17" a="1"/>
  <c r="AF206" i="17" a="1"/>
  <c r="AF220" i="17" a="1"/>
  <c r="AF428" i="17" a="1"/>
  <c r="AF670" i="17" a="1"/>
  <c r="AF551" i="17" a="1"/>
  <c r="P894" i="24"/>
  <c r="H894" i="24"/>
  <c r="AF698" i="17" a="1"/>
  <c r="AF306" i="17" a="1"/>
  <c r="AF86" i="17" a="1"/>
  <c r="I894" i="24"/>
  <c r="J894" i="24"/>
  <c r="K894" i="24"/>
  <c r="L894" i="24"/>
  <c r="M894" i="24"/>
  <c r="N894" i="24"/>
  <c r="O894" i="24"/>
  <c r="AF881" i="17" a="1"/>
  <c r="AF84" i="17" a="1"/>
  <c r="AF258" i="17" a="1"/>
  <c r="AF672" i="17" a="1"/>
  <c r="J893" i="24"/>
  <c r="L893" i="24"/>
  <c r="M893" i="24"/>
  <c r="N893" i="24"/>
  <c r="P893" i="24"/>
  <c r="K893" i="24"/>
  <c r="H893" i="24"/>
  <c r="I893" i="24"/>
  <c r="O893" i="24"/>
  <c r="AF42" i="17" a="1"/>
  <c r="AF38" i="17" a="1"/>
  <c r="AF657" i="17" a="1"/>
  <c r="AF654" i="17" a="1"/>
  <c r="H892" i="24"/>
  <c r="I892" i="24"/>
  <c r="J892" i="24"/>
  <c r="K892" i="24"/>
  <c r="L892" i="24"/>
  <c r="M892" i="24"/>
  <c r="N892" i="24"/>
  <c r="O892" i="24"/>
  <c r="P892" i="24"/>
  <c r="H891" i="24"/>
  <c r="I891" i="24"/>
  <c r="J891" i="24"/>
  <c r="K891" i="24"/>
  <c r="L891" i="24"/>
  <c r="M891" i="24"/>
  <c r="N891" i="24"/>
  <c r="O891" i="24"/>
  <c r="P891" i="24"/>
  <c r="AF243" i="17" a="1"/>
  <c r="AF527" i="17" a="1"/>
  <c r="AF29" i="17" a="1"/>
  <c r="AF702" i="17" a="1"/>
  <c r="H890" i="24"/>
  <c r="I890" i="24"/>
  <c r="J890" i="24"/>
  <c r="K890" i="24"/>
  <c r="L890" i="24"/>
  <c r="M890" i="24"/>
  <c r="N890" i="24"/>
  <c r="O890" i="24"/>
  <c r="P890" i="24"/>
  <c r="AF39" i="17" a="1"/>
  <c r="AF202" i="17" a="1"/>
  <c r="AF421" i="17" a="1"/>
  <c r="AF27" i="17" a="1"/>
  <c r="AF210" i="17" a="1"/>
  <c r="AF482" i="17" a="1"/>
  <c r="AF692" i="17" a="1"/>
  <c r="AF265" i="17" a="1"/>
  <c r="AF193" i="17" a="1"/>
  <c r="AF426" i="17" a="1"/>
  <c r="AF337" i="17" a="1"/>
  <c r="AF522" i="17" a="1"/>
  <c r="AF282" i="17" a="1"/>
  <c r="AF249" i="17" a="1"/>
  <c r="AF248" i="17" a="1"/>
  <c r="AF386" i="17" a="1"/>
  <c r="AF387" i="17" a="1"/>
  <c r="AF363" i="17" a="1"/>
  <c r="AF517" i="17" a="1"/>
  <c r="AF513" i="17" a="1"/>
  <c r="AF736" i="17" a="1"/>
  <c r="AF296" i="17" a="1"/>
  <c r="AF28" i="17" a="1"/>
  <c r="AF124" i="17" a="1"/>
  <c r="AF726" i="17" a="1"/>
  <c r="AF668" i="17" a="1"/>
  <c r="AF669" i="17" a="1"/>
  <c r="AF181" i="17" a="1"/>
  <c r="AF182" i="17" a="1"/>
  <c r="AF184" i="17" a="1"/>
  <c r="AF379" i="17" a="1"/>
  <c r="AF530" i="17" a="1"/>
  <c r="AF528" i="17" a="1"/>
  <c r="AF524" i="17" a="1"/>
  <c r="AF419" i="17" a="1"/>
  <c r="AF180" i="17" a="1"/>
  <c r="AF368" i="17" a="1"/>
  <c r="AF398" i="17" a="1"/>
  <c r="AF521" i="17" a="1"/>
  <c r="AF523" i="17" a="1"/>
  <c r="AF525" i="17" a="1"/>
  <c r="AF247" i="17" a="1"/>
  <c r="H889" i="24"/>
  <c r="J889" i="24"/>
  <c r="K889" i="24"/>
  <c r="L889" i="24"/>
  <c r="N889" i="24"/>
  <c r="P889" i="24"/>
  <c r="I889" i="24"/>
  <c r="M889" i="24"/>
  <c r="O889" i="24"/>
  <c r="AF820" i="17" a="1"/>
  <c r="AF48" i="17" a="1"/>
  <c r="AF850" i="17" a="1"/>
  <c r="AF712" i="17" a="1"/>
  <c r="AF186" i="17" a="1"/>
  <c r="AF187" i="17" a="1"/>
  <c r="AF188" i="17" a="1"/>
  <c r="AF189" i="17" a="1"/>
  <c r="AF106" i="17" a="1"/>
  <c r="AF432" i="17" a="1"/>
  <c r="AF501" i="17" a="1"/>
  <c r="AF346" i="17" a="1"/>
  <c r="AF178" i="17" a="1"/>
  <c r="AF338" i="17" a="1"/>
  <c r="AF214" i="17" a="1"/>
  <c r="AF217" i="17" a="1"/>
  <c r="AF546" i="17" a="1"/>
  <c r="AF549" i="17" a="1"/>
  <c r="AF55" i="17" a="1"/>
  <c r="AF665" i="17" a="1"/>
  <c r="AF666" i="17" a="1"/>
  <c r="AF667" i="17" a="1"/>
  <c r="AF862" i="17" a="1"/>
  <c r="AF537" i="17" a="1"/>
  <c r="AF349" i="17" a="1"/>
  <c r="AF352" i="17" a="1"/>
  <c r="AF190" i="17" a="1"/>
  <c r="AF540" i="17" a="1"/>
  <c r="AF547" i="17" a="1"/>
  <c r="AF548" i="17" a="1"/>
  <c r="AF658" i="17" a="1"/>
  <c r="AF434" i="17" a="1"/>
  <c r="AF502" i="17" a="1"/>
  <c r="AF205" i="17" a="1"/>
  <c r="AF795" i="17" a="1"/>
  <c r="AF630" i="17" a="1"/>
  <c r="AF165" i="17" a="1"/>
  <c r="AF404" i="17" a="1"/>
  <c r="AF373" i="17" a="1"/>
  <c r="AF460" i="17" a="1"/>
  <c r="AF461" i="17" a="1"/>
  <c r="AF542" i="17" a="1"/>
  <c r="AF543" i="17" a="1"/>
  <c r="AF545" i="17" a="1"/>
  <c r="AF252" i="17" a="1"/>
  <c r="AF241" i="17" a="1"/>
  <c r="AF339" i="17" a="1"/>
  <c r="AF397" i="17" a="1"/>
  <c r="AF405" i="17" a="1"/>
  <c r="AF380" i="17" a="1"/>
  <c r="AF292" i="17" a="1"/>
  <c r="AF393" i="17" a="1"/>
  <c r="AF365" i="17" a="1"/>
  <c r="AF376" i="17" a="1"/>
  <c r="AF390" i="17" a="1"/>
  <c r="AF375" i="17" a="1"/>
  <c r="AF394" i="17" a="1"/>
  <c r="AF372" i="17" a="1"/>
  <c r="AF389" i="17" a="1"/>
  <c r="AF400" i="17" a="1"/>
  <c r="AF447" i="17" a="1"/>
  <c r="AF519" i="17" a="1"/>
  <c r="AF520" i="17" a="1"/>
  <c r="AF109" i="17" a="1"/>
  <c r="AF113" i="17" a="1"/>
  <c r="AF116" i="17" a="1"/>
  <c r="AF57" i="17" a="1"/>
  <c r="AF58" i="17" a="1"/>
  <c r="AF67" i="17" a="1"/>
  <c r="AF560" i="17" a="1"/>
  <c r="K868" i="24"/>
  <c r="H868" i="24"/>
  <c r="O868" i="24"/>
  <c r="M868" i="24"/>
  <c r="AF851" i="17" a="1"/>
  <c r="AF136" i="17" a="1"/>
  <c r="AF126" i="17" a="1"/>
  <c r="AF420" i="17" a="1"/>
  <c r="P868" i="24"/>
  <c r="N868" i="24"/>
  <c r="L868" i="24"/>
  <c r="J868" i="24"/>
  <c r="I868" i="24"/>
  <c r="AF716" i="17" a="1"/>
  <c r="H888" i="24"/>
  <c r="I888" i="24"/>
  <c r="J888" i="24"/>
  <c r="K888" i="24"/>
  <c r="L888" i="24"/>
  <c r="M888" i="24"/>
  <c r="N888" i="24"/>
  <c r="O888" i="24"/>
  <c r="P888" i="24"/>
  <c r="AF516" i="17" a="1"/>
  <c r="AF734" i="17" a="1"/>
  <c r="AF732" i="17" a="1"/>
  <c r="AF718" i="17" a="1"/>
  <c r="AF561" i="17" a="1"/>
  <c r="AF562" i="17" a="1"/>
  <c r="AF792" i="17" a="1"/>
  <c r="AF604" i="17" a="1"/>
  <c r="AF608" i="17" a="1"/>
  <c r="AF609" i="17" a="1"/>
  <c r="AF618" i="17" a="1"/>
  <c r="AF374" i="17" a="1"/>
  <c r="AF367" i="17" a="1"/>
  <c r="AF769" i="17" a="1"/>
  <c r="AF775" i="17" a="1"/>
  <c r="AF739" i="17" a="1"/>
  <c r="AF407" i="17" a="1"/>
  <c r="AF409" i="17" a="1"/>
  <c r="AF824" i="17" a="1"/>
  <c r="AF696" i="17" a="1"/>
  <c r="AF154" i="17" a="1"/>
  <c r="AF505" i="17" a="1"/>
  <c r="AF506" i="17" a="1"/>
  <c r="AF661" i="17" a="1"/>
  <c r="AF715" i="17" a="1"/>
  <c r="AF194" i="17" a="1"/>
  <c r="AF579" i="17" a="1"/>
  <c r="J863" i="24"/>
  <c r="O863" i="24"/>
  <c r="AF845" i="17" a="1"/>
  <c r="AF471" i="17" a="1"/>
  <c r="AF478" i="17" a="1"/>
  <c r="AF499" i="17" a="1"/>
  <c r="AF56" i="17" a="1"/>
  <c r="AF695" i="17" a="1"/>
  <c r="AF536" i="17" a="1"/>
  <c r="AF585" i="17" a="1"/>
  <c r="AF593" i="17" a="1"/>
  <c r="AF597" i="17" a="1"/>
  <c r="AF602" i="17" a="1"/>
  <c r="AF605" i="17" a="1"/>
  <c r="AF610" i="17" a="1"/>
  <c r="AF614" i="17" a="1"/>
  <c r="AF623" i="17" a="1"/>
  <c r="AF628" i="17" a="1"/>
  <c r="AF631" i="17" a="1"/>
  <c r="AF539" i="17" a="1"/>
  <c r="AF569" i="17" a="1"/>
  <c r="AF574" i="17" a="1"/>
  <c r="AF575" i="17" a="1"/>
  <c r="AF584" i="17" a="1"/>
  <c r="AF595" i="17" a="1"/>
  <c r="AF600" i="17" a="1"/>
  <c r="AF853" i="17" a="1"/>
  <c r="AF515" i="17" a="1"/>
  <c r="AF164" i="17" a="1"/>
  <c r="AF509" i="17" a="1"/>
  <c r="AF60" i="17" a="1"/>
  <c r="AF176" i="17" a="1"/>
  <c r="AF633" i="17" a="1"/>
  <c r="AF493" i="17" a="1"/>
  <c r="AF105" i="17" a="1"/>
  <c r="AF108" i="17" a="1"/>
  <c r="AF120" i="17" a="1"/>
  <c r="AF128" i="17" a="1"/>
  <c r="AF148" i="17" a="1"/>
  <c r="AF581" i="17" a="1"/>
  <c r="AF796" i="17" a="1"/>
  <c r="AF10" i="17" a="1"/>
  <c r="AF17" i="17" a="1"/>
  <c r="AF33" i="17" a="1"/>
  <c r="AF278" i="17" a="1"/>
  <c r="AF266" i="17" a="1"/>
  <c r="L793" i="17"/>
  <c r="AF817" i="17" a="1"/>
  <c r="AF807" i="17" a="1"/>
  <c r="AF65" i="17" a="1"/>
  <c r="AF826" i="17" a="1"/>
  <c r="AF717" i="17" a="1"/>
  <c r="AF518" i="17" a="1"/>
  <c r="AF514" i="17" a="1"/>
  <c r="AF253" i="17" a="1"/>
  <c r="AF723" i="17" a="1"/>
  <c r="AF34" i="17" a="1"/>
  <c r="AF98" i="17" a="1"/>
  <c r="AF310" i="17" a="1"/>
  <c r="AF335" i="17" a="1"/>
  <c r="AF204" i="17" a="1"/>
  <c r="AF624" i="17" a="1"/>
  <c r="AF92" i="17" a="1"/>
  <c r="AF115" i="17" a="1"/>
  <c r="AF286" i="17" a="1"/>
  <c r="AF572" i="17" a="1"/>
  <c r="AF576" i="17" a="1"/>
  <c r="M863" i="24"/>
  <c r="P863" i="24"/>
  <c r="AF861" i="17" a="1"/>
  <c r="AF788" i="17" a="1"/>
  <c r="H887" i="24"/>
  <c r="I887" i="24"/>
  <c r="J887" i="24"/>
  <c r="K887" i="24"/>
  <c r="L887" i="24"/>
  <c r="M887" i="24"/>
  <c r="N887" i="24"/>
  <c r="O887" i="24"/>
  <c r="P887" i="24"/>
  <c r="AF679" i="17" a="1"/>
  <c r="AF677" i="17" a="1"/>
  <c r="AF681" i="17" a="1"/>
  <c r="AF678" i="17" a="1"/>
  <c r="AF682" i="17" a="1"/>
  <c r="AF675" i="17" a="1"/>
  <c r="AF59" i="17" a="1"/>
  <c r="AF174" i="17" a="1"/>
  <c r="AF138" i="17" a="1"/>
  <c r="AF251" i="17" a="1"/>
  <c r="AF73" i="17" a="1"/>
  <c r="AF90" i="17" a="1"/>
  <c r="AF100" i="17" a="1"/>
  <c r="AF755" i="17" a="1"/>
  <c r="AF763" i="17" a="1"/>
  <c r="AF410" i="17" a="1"/>
  <c r="AF44" i="17" a="1"/>
  <c r="AF50" i="17" a="1"/>
  <c r="AF52" i="17" a="1"/>
  <c r="AF64" i="17" a="1"/>
  <c r="AF66" i="17" a="1"/>
  <c r="AF75" i="17" a="1"/>
  <c r="AF81" i="17" a="1"/>
  <c r="AF91" i="17" a="1"/>
  <c r="AF99" i="17" a="1"/>
  <c r="AF804" i="17" a="1"/>
  <c r="AF785" i="17" a="1"/>
  <c r="AF814" i="17" a="1"/>
  <c r="AF713" i="17" a="1"/>
  <c r="AF314" i="17" a="1"/>
  <c r="AF297" i="17" a="1"/>
  <c r="AF299" i="17" a="1"/>
  <c r="AF302" i="17" a="1"/>
  <c r="AF442" i="17" a="1"/>
  <c r="AF68" i="17" a="1"/>
  <c r="AF82" i="17" a="1"/>
  <c r="AF85" i="17" a="1"/>
  <c r="AF87" i="17" a="1"/>
  <c r="AF97" i="17" a="1"/>
  <c r="AF41" i="17" a="1"/>
  <c r="AF110" i="17" a="1"/>
  <c r="AF89" i="17" a="1"/>
  <c r="AF129" i="17" a="1"/>
  <c r="AF816" i="17" a="1"/>
  <c r="AF255" i="17" a="1"/>
  <c r="AF293" i="17" a="1"/>
  <c r="AF822" i="17" a="1"/>
  <c r="AF179" i="17" a="1"/>
  <c r="AF811" i="17" a="1"/>
  <c r="AF361" i="17" a="1"/>
  <c r="AF491" i="17" a="1"/>
  <c r="AF753" i="17" a="1"/>
  <c r="AF384" i="17" a="1"/>
  <c r="AF388" i="17" a="1"/>
  <c r="AF774" i="17" a="1"/>
  <c r="AF749" i="17" a="1"/>
  <c r="AF353" i="17" a="1"/>
  <c r="AF357" i="17" a="1"/>
  <c r="AF742" i="17" a="1"/>
  <c r="AF438" i="17" a="1"/>
  <c r="AF443" i="17" a="1"/>
  <c r="AF444" i="17" a="1"/>
  <c r="AF445" i="17" a="1"/>
  <c r="AF446" i="17" a="1"/>
  <c r="AF495" i="17" a="1"/>
  <c r="AF469" i="17" a="1"/>
  <c r="AF222" i="17" a="1"/>
  <c r="AF439" i="17" a="1"/>
  <c r="AF440" i="17" a="1"/>
  <c r="AF114" i="17" a="1"/>
  <c r="AF119" i="17" a="1"/>
  <c r="AF121" i="17" a="1"/>
  <c r="AF123" i="17" a="1"/>
  <c r="AF127" i="17" a="1"/>
  <c r="AF135" i="17" a="1"/>
  <c r="AF137" i="17" a="1"/>
  <c r="AF153" i="17" a="1"/>
  <c r="AF161" i="17" a="1"/>
  <c r="AF704" i="17" a="1"/>
  <c r="AF705" i="17" a="1"/>
  <c r="AF706" i="17" a="1"/>
  <c r="AF9" i="17" a="1"/>
  <c r="AF16" i="17" a="1"/>
  <c r="AF122" i="17" a="1"/>
  <c r="AF772" i="17" a="1"/>
  <c r="AF794" i="17" a="1"/>
  <c r="AF815" i="17" a="1"/>
  <c r="AF526" i="17" a="1"/>
  <c r="AF535" i="17" a="1"/>
  <c r="AF538" i="17" a="1"/>
  <c r="AF809" i="17" a="1"/>
  <c r="AF784" i="17" a="1"/>
  <c r="AF779" i="17" a="1"/>
  <c r="AF863" i="17" a="1"/>
  <c r="AF827" i="17" a="1"/>
  <c r="AF825" i="17" a="1"/>
  <c r="AF777" i="17" a="1"/>
  <c r="AF789" i="17" a="1"/>
  <c r="AF776" i="17" a="1"/>
  <c r="AF840" i="17" a="1"/>
  <c r="AF874" i="17" a="1"/>
  <c r="AF872" i="17" a="1"/>
  <c r="AF856" i="17" a="1"/>
  <c r="AF837" i="17" a="1"/>
  <c r="AF836" i="17" a="1"/>
  <c r="AF835" i="17" a="1"/>
  <c r="AF735" i="17" a="1"/>
  <c r="AF475" i="17" a="1"/>
  <c r="AF588" i="17" a="1"/>
  <c r="AF634" i="17" a="1"/>
  <c r="AF587" i="17" a="1"/>
  <c r="AF601" i="17" a="1"/>
  <c r="AF401" i="17" a="1"/>
  <c r="AF746" i="17" a="1"/>
  <c r="AF741" i="17" a="1"/>
  <c r="AF750" i="17" a="1"/>
  <c r="AF463" i="17" a="1"/>
  <c r="AF295" i="17" a="1"/>
  <c r="I863" i="24"/>
  <c r="AF839" i="17" a="1"/>
  <c r="AF45" i="17" a="1"/>
  <c r="AF738" i="17" a="1"/>
  <c r="AF359" i="17" a="1"/>
  <c r="AF740" i="17" a="1"/>
  <c r="AF643" i="17" a="1"/>
  <c r="AF648" i="17" a="1"/>
  <c r="AF759" i="17" a="1"/>
  <c r="AF761" i="17" a="1"/>
  <c r="AF760" i="17" a="1"/>
  <c r="AF203" i="17" a="1"/>
  <c r="AF844" i="17" a="1"/>
  <c r="AF690" i="17" a="1"/>
  <c r="AF720" i="17" a="1"/>
  <c r="AF691" i="17" a="1"/>
  <c r="AF737" i="17" a="1"/>
  <c r="AF727" i="17" a="1"/>
  <c r="AF694" i="17" a="1"/>
  <c r="AF801" i="17" a="1"/>
  <c r="AF192" i="17" a="1"/>
  <c r="AF534" i="17" a="1"/>
  <c r="AF864" i="17" a="1"/>
  <c r="AF833" i="17" a="1"/>
  <c r="AF805" i="17" a="1"/>
  <c r="AF818" i="17" a="1"/>
  <c r="AF808" i="17" a="1"/>
  <c r="AF790" i="17" a="1"/>
  <c r="AF786" i="17" a="1"/>
  <c r="AF842" i="17" a="1"/>
  <c r="AF841" i="17" a="1"/>
  <c r="AF838" i="17" a="1"/>
  <c r="AF228" i="17" a="1"/>
  <c r="AF583" i="17" a="1"/>
  <c r="AF559" i="17" a="1"/>
  <c r="AF570" i="17" a="1"/>
  <c r="AF571" i="17" a="1"/>
  <c r="AF578" i="17" a="1"/>
  <c r="AF580" i="17" a="1"/>
  <c r="AF589" i="17" a="1"/>
  <c r="AF599" i="17" a="1"/>
  <c r="AF616" i="17" a="1"/>
  <c r="AF592" i="17" a="1"/>
  <c r="D883" i="24"/>
  <c r="AF638" i="17" a="1"/>
  <c r="AF879" i="17" a="1"/>
  <c r="AF869" i="17" a="1"/>
  <c r="AF867" i="17" a="1"/>
  <c r="AF871" i="17" a="1"/>
  <c r="AF870" i="17" a="1"/>
  <c r="AF843" i="17" a="1"/>
  <c r="AF771" i="17" a="1"/>
  <c r="AF803" i="17" a="1"/>
  <c r="AF780" i="17" a="1"/>
  <c r="AF806" i="17" a="1"/>
  <c r="H886" i="24"/>
  <c r="I886" i="24"/>
  <c r="J886" i="24"/>
  <c r="K886" i="24"/>
  <c r="L886" i="24"/>
  <c r="M886" i="24"/>
  <c r="N886" i="24"/>
  <c r="O886" i="24"/>
  <c r="P886" i="24"/>
  <c r="H885" i="24"/>
  <c r="I885" i="24"/>
  <c r="J885" i="24"/>
  <c r="K885" i="24"/>
  <c r="L885" i="24"/>
  <c r="M885" i="24"/>
  <c r="N885" i="24"/>
  <c r="O885" i="24"/>
  <c r="P885" i="24"/>
  <c r="H884" i="24"/>
  <c r="I884" i="24"/>
  <c r="J884" i="24"/>
  <c r="K884" i="24"/>
  <c r="L884" i="24"/>
  <c r="M884" i="24"/>
  <c r="N884" i="24"/>
  <c r="O884" i="24"/>
  <c r="P884" i="24"/>
  <c r="AF61" i="17" a="1"/>
  <c r="AF250" i="17" a="1"/>
  <c r="AF26" i="17" a="1"/>
  <c r="AF36" i="17" a="1"/>
  <c r="AF707" i="17" a="1"/>
  <c r="AF714" i="17" a="1"/>
  <c r="AF797" i="17" a="1"/>
  <c r="AF800" i="17" a="1"/>
  <c r="AF799" i="17" a="1"/>
  <c r="AF802" i="17" a="1"/>
  <c r="AF791" i="17" a="1"/>
  <c r="AF332" i="17" a="1"/>
  <c r="AF197" i="17" a="1"/>
  <c r="AF663" i="17" a="1"/>
  <c r="AF185" i="17" a="1"/>
  <c r="AF554" i="17" a="1"/>
  <c r="AF226" i="17" a="1"/>
  <c r="AF227" i="17" a="1"/>
  <c r="AF503" i="17" a="1"/>
  <c r="AF391" i="17" a="1"/>
  <c r="AF613" i="17" a="1"/>
  <c r="AF622" i="17" a="1"/>
  <c r="AF117" i="17" a="1"/>
  <c r="AF762" i="17" a="1"/>
  <c r="AF268" i="17" a="1"/>
  <c r="AF639" i="17" a="1"/>
  <c r="AF635" i="17" a="1"/>
  <c r="AF646" i="17" a="1"/>
  <c r="AF636" i="17" a="1"/>
  <c r="AF111" i="17" a="1"/>
  <c r="AF637" i="17" a="1"/>
  <c r="AF641" i="17" a="1"/>
  <c r="AF645" i="17" a="1"/>
  <c r="AF640" i="17" a="1"/>
  <c r="AF644" i="17" a="1"/>
  <c r="AF107" i="17" a="1"/>
  <c r="AF125" i="17" a="1"/>
  <c r="AF230" i="17" a="1"/>
  <c r="AF221" i="17" a="1"/>
  <c r="AF642" i="17" a="1"/>
  <c r="AF855" i="17" a="1"/>
  <c r="AF854" i="17" a="1"/>
  <c r="AF284" i="17" a="1"/>
  <c r="AF291" i="17" a="1"/>
  <c r="AF307" i="17" a="1"/>
  <c r="AF333" i="17" a="1"/>
  <c r="AF531" i="17" a="1"/>
  <c r="AF403" i="17" a="1"/>
  <c r="AF406" i="17" a="1"/>
  <c r="AF828" i="17" a="1"/>
  <c r="AF436" i="17" a="1"/>
  <c r="AF303" i="17" a="1"/>
  <c r="AF298" i="17" a="1"/>
  <c r="AF183" i="17" a="1"/>
  <c r="AF533" i="17" a="1"/>
  <c r="AF223" i="17" a="1"/>
  <c r="AF555" i="17" a="1"/>
  <c r="AF130" i="17" a="1"/>
  <c r="AF146" i="17" a="1"/>
  <c r="AF606" i="17" a="1"/>
  <c r="AF611" i="17" a="1"/>
  <c r="AF629" i="17" a="1"/>
  <c r="AF143" i="17" a="1"/>
  <c r="AF142" i="17" a="1"/>
  <c r="AF751" i="17" a="1"/>
  <c r="AF773" i="17" a="1"/>
  <c r="AF745" i="17" a="1"/>
  <c r="AF470" i="17" a="1"/>
  <c r="AF768" i="17" a="1"/>
  <c r="AF852" i="17" a="1"/>
  <c r="AF733" i="17" a="1"/>
  <c r="AF300" i="17" a="1"/>
  <c r="AF309" i="17" a="1"/>
  <c r="AF334" i="17" a="1"/>
  <c r="AF213" i="17" a="1"/>
  <c r="AF168" i="17" a="1"/>
  <c r="AF281" i="17" a="1"/>
  <c r="AF78" i="17" a="1"/>
  <c r="AF104" i="17" a="1"/>
  <c r="AF512" i="17" a="1"/>
  <c r="AF76" i="17" a="1"/>
  <c r="AF94" i="17" a="1"/>
  <c r="AF102" i="17" a="1"/>
  <c r="AF177" i="17" a="1"/>
  <c r="AF556" i="17" a="1"/>
  <c r="AF563" i="17" a="1"/>
  <c r="AF564" i="17" a="1"/>
  <c r="AF567" i="17" a="1"/>
  <c r="AF196" i="17" a="1"/>
  <c r="AF207" i="17" a="1"/>
  <c r="AF219" i="17" a="1"/>
  <c r="AF134" i="17" a="1"/>
  <c r="AF139" i="17" a="1"/>
  <c r="AF199" i="17" a="1"/>
  <c r="AF473" i="17" a="1"/>
  <c r="AF366" i="17" a="1"/>
  <c r="AF370" i="17" a="1"/>
  <c r="AF360" i="17" a="1"/>
  <c r="AF356" i="17" a="1"/>
  <c r="AF819" i="17" a="1"/>
  <c r="AF676" i="17" a="1"/>
  <c r="AF719" i="17" a="1"/>
  <c r="AF264" i="17" a="1"/>
  <c r="AF449" i="17" a="1"/>
  <c r="AF412" i="17" a="1"/>
  <c r="AF74" i="17" a="1"/>
  <c r="AF647" i="17" a="1"/>
  <c r="AF77" i="17" a="1"/>
  <c r="AF118" i="17" a="1"/>
  <c r="AF680" i="17" a="1"/>
  <c r="AF729" i="17" a="1"/>
  <c r="AF166" i="17" a="1"/>
  <c r="AF700" i="17" a="1"/>
  <c r="AF51" i="17" a="1"/>
  <c r="AF88" i="17" a="1"/>
  <c r="AF476" i="17" a="1"/>
  <c r="AF257" i="17" a="1"/>
  <c r="AF261" i="17" a="1"/>
  <c r="AF342" i="17" a="1"/>
  <c r="AF877" i="17" a="1"/>
  <c r="AF724" i="17" a="1"/>
  <c r="AF697" i="17" a="1"/>
  <c r="AF30" i="17" a="1"/>
  <c r="AF308" i="17" a="1"/>
  <c r="AF312" i="17" a="1"/>
  <c r="AF212" i="17" a="1"/>
  <c r="AF216" i="17" a="1"/>
  <c r="AF433" i="17" a="1"/>
  <c r="AF437" i="17" a="1"/>
  <c r="AF541" i="17" a="1"/>
  <c r="AF150" i="17" a="1"/>
  <c r="AF218" i="17" a="1"/>
  <c r="AF294" i="17" a="1"/>
  <c r="AF626" i="17" a="1"/>
  <c r="AF474" i="17" a="1"/>
  <c r="AF435" i="17" a="1"/>
  <c r="AF441" i="17" a="1"/>
  <c r="AF112" i="17" a="1"/>
  <c r="AF103" i="17" a="1"/>
  <c r="AF95" i="17" a="1"/>
  <c r="AF382" i="17" a="1"/>
  <c r="AF411" i="17" a="1"/>
  <c r="AF417" i="17" a="1"/>
  <c r="AF46" i="17" a="1"/>
  <c r="AF878" i="17" a="1"/>
  <c r="D878" i="24" s="1"/>
  <c r="AF880" i="17" a="1"/>
  <c r="D880" i="24" s="1"/>
  <c r="L156" i="17"/>
  <c r="AF781" i="17" a="1"/>
  <c r="AF787" i="17" a="1"/>
  <c r="AF849" i="17" a="1"/>
  <c r="AF725" i="17" a="1"/>
  <c r="AF167" i="17" a="1"/>
  <c r="AF285" i="17" a="1"/>
  <c r="AF290" i="17" a="1"/>
  <c r="AF457" i="17" a="1"/>
  <c r="AF229" i="17" a="1"/>
  <c r="AF625" i="17" a="1"/>
  <c r="AF259" i="17" a="1"/>
  <c r="AF260" i="17" a="1"/>
  <c r="AF274" i="17" a="1"/>
  <c r="AF276" i="17" a="1"/>
  <c r="AF766" i="17" a="1"/>
  <c r="AF345" i="17" a="1"/>
  <c r="AF336" i="17" a="1"/>
  <c r="AF812" i="17" a="1"/>
  <c r="AF63" i="17" a="1"/>
  <c r="AF152" i="17" a="1"/>
  <c r="AF162" i="17" a="1"/>
  <c r="AF53" i="17" a="1"/>
  <c r="AF160" i="17" a="1"/>
  <c r="AF254" i="17" a="1"/>
  <c r="AF280" i="17" a="1"/>
  <c r="AF71" i="17" a="1"/>
  <c r="AF101" i="17" a="1"/>
  <c r="AF500" i="17" a="1"/>
  <c r="AF450" i="17" a="1"/>
  <c r="AF455" i="17" a="1"/>
  <c r="AF234" i="17" a="1"/>
  <c r="AF239" i="17" a="1"/>
  <c r="AF231" i="17" a="1"/>
  <c r="AF238" i="17" a="1"/>
  <c r="AF452" i="17" a="1"/>
  <c r="AF236" i="17" a="1"/>
  <c r="AF240" i="17" a="1"/>
  <c r="AF456" i="17" a="1"/>
  <c r="AF237" i="17" a="1"/>
  <c r="AF347" i="17" a="1"/>
  <c r="AF351" i="17" a="1"/>
  <c r="AF348" i="17" a="1"/>
  <c r="AF350" i="17" a="1"/>
  <c r="AF191" i="17" a="1"/>
  <c r="AF209" i="17" a="1"/>
  <c r="AF399" i="17" a="1"/>
  <c r="AF671" i="17" a="1"/>
  <c r="AF673" i="17" a="1"/>
  <c r="AF427" i="17" a="1"/>
  <c r="AF392" i="17" a="1"/>
  <c r="AF659" i="17" a="1"/>
  <c r="AF396" i="17" a="1"/>
  <c r="AF477" i="17" a="1"/>
  <c r="AF232" i="17" a="1"/>
  <c r="AF244" i="17" a="1"/>
  <c r="AF283" i="17" a="1"/>
  <c r="AF383" i="17" a="1"/>
  <c r="AF414" i="17" a="1"/>
  <c r="AF423" i="17" a="1"/>
  <c r="AF484" i="17" a="1"/>
  <c r="AF485" i="17" a="1"/>
  <c r="AF488" i="17" a="1"/>
  <c r="AF358" i="17" a="1"/>
  <c r="AF385" i="17" a="1"/>
  <c r="AF492" i="17" a="1"/>
  <c r="AF494" i="17" a="1"/>
  <c r="AF632" i="17" a="1"/>
  <c r="AF468" i="17" a="1"/>
  <c r="AF355" i="17" a="1"/>
  <c r="AF754" i="17" a="1"/>
  <c r="AF752" i="17" a="1"/>
  <c r="AF466" i="17" a="1"/>
  <c r="AF418" i="17" a="1"/>
  <c r="AF422" i="17" a="1"/>
  <c r="AF169" i="17" a="1"/>
  <c r="AF171" i="17" a="1"/>
  <c r="AF173" i="17" a="1"/>
  <c r="AF175" i="17" a="1"/>
  <c r="AF504" i="17" a="1"/>
  <c r="AF267" i="17" a="1"/>
  <c r="AF277" i="17" a="1"/>
  <c r="AF275" i="17" a="1"/>
  <c r="AF315" i="17" a="1"/>
  <c r="AF12" i="17" a="1"/>
  <c r="AF269" i="17" a="1"/>
  <c r="AF272" i="17" a="1"/>
  <c r="AF271" i="17" a="1"/>
  <c r="H882" i="24"/>
  <c r="I882" i="24"/>
  <c r="J882" i="24"/>
  <c r="K882" i="24"/>
  <c r="L882" i="24"/>
  <c r="M882" i="24"/>
  <c r="N882" i="24"/>
  <c r="O882" i="24"/>
  <c r="P882" i="24"/>
  <c r="D875" i="24" s="1"/>
  <c r="AF132" i="17" a="1"/>
  <c r="AF783" i="17" a="1"/>
  <c r="AF256" i="17" a="1"/>
  <c r="AF242" i="17" a="1"/>
  <c r="AF429" i="17" a="1"/>
  <c r="AF453" i="17" a="1"/>
  <c r="AF233" i="17" a="1"/>
  <c r="AF454" i="17" a="1"/>
  <c r="AF747" i="17" a="1"/>
  <c r="AF270" i="17" a="1"/>
  <c r="AF847" i="17" a="1"/>
  <c r="AF846" i="17" a="1"/>
  <c r="AF43" i="17" a="1"/>
  <c r="AF709" i="17" a="1"/>
  <c r="AF395" i="17" a="1"/>
  <c r="AF70" i="17" a="1"/>
  <c r="AF467" i="17" a="1"/>
  <c r="AF770" i="17" a="1"/>
  <c r="AF868" i="17" a="1"/>
  <c r="AF21" i="17" a="1"/>
  <c r="AF451" i="17" a="1"/>
  <c r="AF462" i="17" a="1"/>
  <c r="AF340" i="17" a="1"/>
  <c r="AF144" i="17" a="1"/>
  <c r="AF62" i="17" a="1"/>
  <c r="AF848" i="17" a="1"/>
  <c r="AF31" i="17" a="1"/>
  <c r="AF703" i="17" a="1"/>
  <c r="AF235" i="17" a="1"/>
  <c r="D857" i="24" s="1"/>
  <c r="AF810" i="17" a="1"/>
  <c r="H883" i="24"/>
  <c r="J883" i="24"/>
  <c r="K883" i="24"/>
  <c r="I883" i="24"/>
  <c r="AF721" i="17" a="1"/>
  <c r="AF35" i="17" a="1"/>
  <c r="AF24" i="17" a="1"/>
  <c r="AF834" i="17" a="1"/>
  <c r="L883" i="24"/>
  <c r="M883" i="24"/>
  <c r="N883" i="24"/>
  <c r="O883" i="24"/>
  <c r="P883" i="24"/>
  <c r="AF687" i="17" a="1"/>
  <c r="AF688" i="17" a="1"/>
  <c r="AF532" i="17" a="1"/>
  <c r="AF343" i="17" a="1"/>
  <c r="AF529" i="17" a="1"/>
  <c r="AF699" i="17" a="1"/>
  <c r="AF711" i="17" a="1"/>
  <c r="AF201" i="17" a="1"/>
  <c r="AF155" i="17" a="1"/>
  <c r="AF430" i="17" a="1"/>
  <c r="AF211" i="17" a="1"/>
  <c r="AF596" i="17" a="1"/>
  <c r="AF557" i="17" a="1"/>
  <c r="AF558" i="17" a="1"/>
  <c r="AF225" i="17" a="1"/>
  <c r="AF289" i="17" a="1"/>
  <c r="AF744" i="17" a="1"/>
  <c r="AF49" i="17" a="1"/>
  <c r="AF764" i="17" a="1"/>
  <c r="AF782" i="17" a="1"/>
  <c r="AF778" i="17" a="1"/>
  <c r="D866" i="24"/>
  <c r="AF40" i="17" a="1"/>
  <c r="AF19" i="17" a="1"/>
  <c r="AF32" i="17" a="1"/>
  <c r="AF685" i="17" a="1"/>
  <c r="AF37" i="17" a="1"/>
  <c r="AF683" i="17" a="1"/>
  <c r="AF832" i="17" a="1"/>
  <c r="AF722" i="17" a="1"/>
  <c r="AF730" i="17" a="1"/>
  <c r="AF158" i="17" a="1"/>
  <c r="AF262" i="17" a="1"/>
  <c r="AF263" i="17" a="1"/>
  <c r="AF18" i="17" a="1"/>
  <c r="AF511" i="17" a="1"/>
  <c r="AF798" i="17" a="1"/>
  <c r="AF586" i="17" a="1"/>
  <c r="AF459" i="17" a="1"/>
  <c r="AF813" i="17" a="1"/>
  <c r="AF831" i="17" a="1"/>
  <c r="AF686" i="17" a="1"/>
  <c r="AF731" i="17" a="1"/>
  <c r="AF684" i="17" a="1"/>
  <c r="AF710" i="17" a="1"/>
  <c r="AF472" i="17" a="1"/>
  <c r="AF458" i="17" a="1"/>
  <c r="AF208" i="17" a="1"/>
  <c r="AF431" i="17" a="1"/>
  <c r="AF743" i="17" a="1"/>
  <c r="AF464" i="17" a="1"/>
  <c r="AF689" i="17" a="1"/>
  <c r="AF728" i="17" a="1"/>
  <c r="AF508" i="17" a="1"/>
  <c r="AF489" i="17" a="1"/>
  <c r="AF748" i="17" a="1"/>
  <c r="H881" i="24"/>
  <c r="I881" i="24"/>
  <c r="J881" i="24"/>
  <c r="K881" i="24"/>
  <c r="L881" i="24"/>
  <c r="M881" i="24"/>
  <c r="N881" i="24"/>
  <c r="O881" i="24"/>
  <c r="P881" i="24"/>
  <c r="H880" i="24"/>
  <c r="I880" i="24"/>
  <c r="K880" i="24"/>
  <c r="L880" i="24"/>
  <c r="M880" i="24"/>
  <c r="N880" i="24"/>
  <c r="O880" i="24"/>
  <c r="J880" i="24"/>
  <c r="P880" i="24"/>
  <c r="H879" i="24"/>
  <c r="I879" i="24"/>
  <c r="J879" i="24"/>
  <c r="K879" i="24"/>
  <c r="L879" i="24"/>
  <c r="M879" i="24"/>
  <c r="N879" i="24"/>
  <c r="O879" i="24"/>
  <c r="P879" i="24"/>
  <c r="P860" i="24"/>
  <c r="H878" i="24"/>
  <c r="I878" i="24"/>
  <c r="J878" i="24"/>
  <c r="K878" i="24"/>
  <c r="L878" i="24"/>
  <c r="M878" i="24"/>
  <c r="N878" i="24"/>
  <c r="O878" i="24"/>
  <c r="P878" i="24"/>
  <c r="H877" i="24"/>
  <c r="I877" i="24"/>
  <c r="J877" i="24"/>
  <c r="K877" i="24"/>
  <c r="L877" i="24"/>
  <c r="M877" i="24"/>
  <c r="N877" i="24"/>
  <c r="O877" i="24"/>
  <c r="P877" i="24"/>
  <c r="H876" i="24"/>
  <c r="J876" i="24"/>
  <c r="K876" i="24"/>
  <c r="L876" i="24"/>
  <c r="M876" i="24"/>
  <c r="N876" i="24"/>
  <c r="O876" i="24"/>
  <c r="P876" i="24"/>
  <c r="I876" i="24"/>
  <c r="H875" i="24"/>
  <c r="I875" i="24"/>
  <c r="J875" i="24"/>
  <c r="K875" i="24"/>
  <c r="L875" i="24"/>
  <c r="M875" i="24"/>
  <c r="N875" i="24"/>
  <c r="O875" i="24"/>
  <c r="P875" i="24"/>
  <c r="AF145" i="17" a="1"/>
  <c r="H874" i="24"/>
  <c r="I874" i="24"/>
  <c r="J874" i="24"/>
  <c r="K874" i="24"/>
  <c r="L874" i="24"/>
  <c r="M874" i="24"/>
  <c r="N874" i="24"/>
  <c r="O874" i="24"/>
  <c r="P874" i="24"/>
  <c r="H873" i="24"/>
  <c r="J873" i="24"/>
  <c r="K873" i="24"/>
  <c r="L873" i="24"/>
  <c r="M873" i="24"/>
  <c r="N873" i="24"/>
  <c r="P873" i="24"/>
  <c r="I873" i="24"/>
  <c r="O873" i="24"/>
  <c r="AF830" i="17" a="1"/>
  <c r="I872" i="24"/>
  <c r="J872" i="24"/>
  <c r="K872" i="24"/>
  <c r="L872" i="24"/>
  <c r="M872" i="24"/>
  <c r="N872" i="24"/>
  <c r="O872" i="24"/>
  <c r="P872" i="24"/>
  <c r="H872" i="24"/>
  <c r="J871" i="24"/>
  <c r="K871" i="24"/>
  <c r="L871" i="24"/>
  <c r="M871" i="24"/>
  <c r="N871" i="24"/>
  <c r="O871" i="24"/>
  <c r="P871" i="24"/>
  <c r="I871" i="24"/>
  <c r="H871" i="24"/>
  <c r="J870" i="24"/>
  <c r="L870" i="24"/>
  <c r="N870" i="24"/>
  <c r="O870" i="24"/>
  <c r="P870" i="24"/>
  <c r="H870" i="24"/>
  <c r="I870" i="24"/>
  <c r="K870" i="24"/>
  <c r="M870" i="24"/>
  <c r="AF829" i="17" a="1"/>
  <c r="L869" i="24"/>
  <c r="N869" i="24"/>
  <c r="O869" i="24"/>
  <c r="H869" i="24"/>
  <c r="J869" i="24"/>
  <c r="M869" i="24"/>
  <c r="K869" i="24"/>
  <c r="P869" i="24"/>
  <c r="I869" i="24"/>
  <c r="I867" i="24"/>
  <c r="L867" i="24"/>
  <c r="N867" i="24"/>
  <c r="P867" i="24"/>
  <c r="K867" i="24"/>
  <c r="H867" i="24"/>
  <c r="J867" i="24"/>
  <c r="M867" i="24"/>
  <c r="O867" i="24"/>
  <c r="I866" i="24"/>
  <c r="J866" i="24"/>
  <c r="L866" i="24"/>
  <c r="N866" i="24"/>
  <c r="O866" i="24"/>
  <c r="P866" i="24"/>
  <c r="M866" i="24"/>
  <c r="H866" i="24"/>
  <c r="K866" i="24"/>
  <c r="I865" i="24"/>
  <c r="K865" i="24"/>
  <c r="N865" i="24"/>
  <c r="O865" i="24"/>
  <c r="L865" i="24"/>
  <c r="H865" i="24"/>
  <c r="J865" i="24"/>
  <c r="M865" i="24"/>
  <c r="P865" i="24"/>
  <c r="M864" i="24"/>
  <c r="O864" i="24"/>
  <c r="K864" i="24"/>
  <c r="P864" i="24"/>
  <c r="H864" i="24"/>
  <c r="J864" i="24"/>
  <c r="L864" i="24"/>
  <c r="I864" i="24"/>
  <c r="N864" i="24"/>
  <c r="K861" i="24"/>
  <c r="N861" i="24"/>
  <c r="P861" i="24"/>
  <c r="H861" i="24"/>
  <c r="J861" i="24"/>
  <c r="L861" i="24"/>
  <c r="I861" i="24"/>
  <c r="M861" i="24"/>
  <c r="O861" i="24"/>
  <c r="L863" i="24"/>
  <c r="N863" i="24"/>
  <c r="H863" i="24"/>
  <c r="K863" i="24"/>
  <c r="I859" i="24"/>
  <c r="J859" i="24"/>
  <c r="L859" i="24"/>
  <c r="N859" i="24"/>
  <c r="K859" i="24"/>
  <c r="O859" i="24"/>
  <c r="P859" i="24"/>
  <c r="H859" i="24"/>
  <c r="M859" i="24"/>
  <c r="H862" i="24"/>
  <c r="J862" i="24"/>
  <c r="L862" i="24"/>
  <c r="I862" i="24"/>
  <c r="K862" i="24"/>
  <c r="M862" i="24"/>
  <c r="N862" i="24"/>
  <c r="O862" i="24"/>
  <c r="P862" i="24"/>
  <c r="H860" i="24"/>
  <c r="O860" i="24"/>
  <c r="J860" i="24"/>
  <c r="N860" i="24"/>
  <c r="L860" i="24"/>
  <c r="I860" i="24"/>
  <c r="M860" i="24"/>
  <c r="K860" i="24"/>
  <c r="L856" i="24"/>
  <c r="P856" i="24"/>
  <c r="H856" i="24"/>
  <c r="J856" i="24"/>
  <c r="M856" i="24"/>
  <c r="O856" i="24"/>
  <c r="K856" i="24"/>
  <c r="N856" i="24"/>
  <c r="I856" i="24"/>
  <c r="I854" i="24"/>
  <c r="K854" i="24"/>
  <c r="L854" i="24"/>
  <c r="N854" i="24"/>
  <c r="O854" i="24"/>
  <c r="P854" i="24"/>
  <c r="H854" i="24"/>
  <c r="J854" i="24"/>
  <c r="M854" i="24"/>
  <c r="J853" i="24"/>
  <c r="L853" i="24"/>
  <c r="H853" i="24"/>
  <c r="M853" i="24"/>
  <c r="K853" i="24"/>
  <c r="N853" i="24"/>
  <c r="O853" i="24"/>
  <c r="P853" i="24"/>
  <c r="K858" i="24"/>
  <c r="M858" i="24"/>
  <c r="I853" i="24"/>
  <c r="O858" i="24"/>
  <c r="I858" i="24"/>
  <c r="L858" i="24"/>
  <c r="N858" i="24"/>
  <c r="P858" i="24"/>
  <c r="H858" i="24"/>
  <c r="J858" i="24"/>
  <c r="H857" i="24"/>
  <c r="J857" i="24"/>
  <c r="K857" i="24"/>
  <c r="M857" i="24"/>
  <c r="N857" i="24"/>
  <c r="P857" i="24"/>
  <c r="I857" i="24"/>
  <c r="L857" i="24"/>
  <c r="O857" i="24"/>
  <c r="J852" i="24"/>
  <c r="L852" i="24"/>
  <c r="N852" i="24"/>
  <c r="O852" i="24"/>
  <c r="P852" i="24"/>
  <c r="H852" i="24"/>
  <c r="K852" i="24"/>
  <c r="M852" i="24"/>
  <c r="I852" i="24"/>
  <c r="O851" i="24"/>
  <c r="H851" i="24"/>
  <c r="M851" i="24"/>
  <c r="P851" i="24"/>
  <c r="I851" i="24"/>
  <c r="N851" i="24"/>
  <c r="L851" i="24"/>
  <c r="K851" i="24"/>
  <c r="J851" i="24"/>
  <c r="N855" i="24"/>
  <c r="K855" i="24"/>
  <c r="H855" i="24"/>
  <c r="J855" i="24"/>
  <c r="L855" i="24"/>
  <c r="P855" i="24"/>
  <c r="I855" i="24"/>
  <c r="M855" i="24"/>
  <c r="O855" i="24"/>
  <c r="K846" i="24"/>
  <c r="H845" i="24"/>
  <c r="J845" i="24"/>
  <c r="K845" i="24"/>
  <c r="L845" i="24"/>
  <c r="N845" i="24"/>
  <c r="P845" i="24"/>
  <c r="H850" i="24"/>
  <c r="L850" i="24"/>
  <c r="N850" i="24"/>
  <c r="H849" i="24"/>
  <c r="J849" i="24"/>
  <c r="N849" i="24"/>
  <c r="M846" i="24"/>
  <c r="O846" i="24"/>
  <c r="N847" i="24"/>
  <c r="I845" i="24"/>
  <c r="M845" i="24"/>
  <c r="O845" i="24"/>
  <c r="I850" i="24"/>
  <c r="M850" i="24"/>
  <c r="O850" i="24"/>
  <c r="I849" i="24"/>
  <c r="M849" i="24"/>
  <c r="O849" i="24"/>
  <c r="H848" i="24"/>
  <c r="J848" i="24"/>
  <c r="K848" i="24"/>
  <c r="L848" i="24"/>
  <c r="M848" i="24"/>
  <c r="N848" i="24"/>
  <c r="O848" i="24"/>
  <c r="I847" i="24"/>
  <c r="J847" i="24"/>
  <c r="L847" i="24"/>
  <c r="H847" i="24"/>
  <c r="K847" i="24"/>
  <c r="M847" i="24"/>
  <c r="J850" i="24"/>
  <c r="P850" i="24"/>
  <c r="K849" i="24"/>
  <c r="L846" i="24"/>
  <c r="N846" i="24"/>
  <c r="P846" i="24"/>
  <c r="K850" i="24"/>
  <c r="L849" i="24"/>
  <c r="P849" i="24"/>
  <c r="I848" i="24"/>
  <c r="P848" i="24"/>
  <c r="P847" i="24"/>
  <c r="O847" i="24"/>
  <c r="H844" i="24"/>
  <c r="I844" i="24"/>
  <c r="J844" i="24"/>
  <c r="K844" i="24"/>
  <c r="L844" i="24"/>
  <c r="M844" i="24"/>
  <c r="N844" i="24"/>
  <c r="O844" i="24"/>
  <c r="P844" i="24"/>
  <c r="J846" i="24"/>
  <c r="H846" i="24"/>
  <c r="I846" i="24"/>
  <c r="H843" i="24"/>
  <c r="I843" i="24"/>
  <c r="J843" i="24"/>
  <c r="K843" i="24"/>
  <c r="L843" i="24"/>
  <c r="O843" i="24"/>
  <c r="P843" i="24"/>
  <c r="N843" i="24"/>
  <c r="M843" i="24"/>
  <c r="H842" i="24"/>
  <c r="I842" i="24"/>
  <c r="J842" i="24"/>
  <c r="K842" i="24"/>
  <c r="L842" i="24"/>
  <c r="M842" i="24"/>
  <c r="N842" i="24"/>
  <c r="O842" i="24"/>
  <c r="P842" i="24"/>
  <c r="H841" i="24"/>
  <c r="J841" i="24"/>
  <c r="L841" i="24"/>
  <c r="N841" i="24"/>
  <c r="P841" i="24"/>
  <c r="I841" i="24"/>
  <c r="K841" i="24"/>
  <c r="M841" i="24"/>
  <c r="O841" i="24"/>
  <c r="H840" i="24"/>
  <c r="J840" i="24"/>
  <c r="K840" i="24"/>
  <c r="L840" i="24"/>
  <c r="N840" i="24"/>
  <c r="P840" i="24"/>
  <c r="I840" i="24"/>
  <c r="M840" i="24"/>
  <c r="O840" i="24"/>
  <c r="H839" i="24"/>
  <c r="I839" i="24"/>
  <c r="H838" i="24"/>
  <c r="I838" i="24"/>
  <c r="J838" i="24"/>
  <c r="K838" i="24"/>
  <c r="L838" i="24"/>
  <c r="M838" i="24"/>
  <c r="N838" i="24"/>
  <c r="O838" i="24"/>
  <c r="P838" i="24"/>
  <c r="J839" i="24"/>
  <c r="K839" i="24"/>
  <c r="L839" i="24"/>
  <c r="M839" i="24"/>
  <c r="N839" i="24"/>
  <c r="O839" i="24"/>
  <c r="P839" i="24"/>
  <c r="H835" i="24"/>
  <c r="I835" i="24"/>
  <c r="J835" i="24"/>
  <c r="K835" i="24"/>
  <c r="L835" i="24"/>
  <c r="H837" i="24"/>
  <c r="I837" i="24"/>
  <c r="J837" i="24"/>
  <c r="K837" i="24"/>
  <c r="L837" i="24"/>
  <c r="M837" i="24"/>
  <c r="N837" i="24"/>
  <c r="O837" i="24"/>
  <c r="P837" i="24"/>
  <c r="H832" i="24"/>
  <c r="I832" i="24"/>
  <c r="I836" i="24"/>
  <c r="J836" i="24"/>
  <c r="H836" i="24"/>
  <c r="L834" i="24"/>
  <c r="N834" i="24"/>
  <c r="H834" i="24"/>
  <c r="K834" i="24"/>
  <c r="P834" i="24"/>
  <c r="M834" i="24"/>
  <c r="I834" i="24"/>
  <c r="J834" i="24"/>
  <c r="O834" i="24"/>
  <c r="K836" i="24"/>
  <c r="L836" i="24"/>
  <c r="M836" i="24"/>
  <c r="N836" i="24"/>
  <c r="O836" i="24"/>
  <c r="P836" i="24"/>
  <c r="M835" i="24"/>
  <c r="N835" i="24"/>
  <c r="K830" i="24"/>
  <c r="M830" i="24"/>
  <c r="P830" i="24"/>
  <c r="I830" i="24"/>
  <c r="H830" i="24"/>
  <c r="O835" i="24"/>
  <c r="P835" i="24"/>
  <c r="J832" i="24"/>
  <c r="K832" i="24"/>
  <c r="L832" i="24"/>
  <c r="M832" i="24"/>
  <c r="N832" i="24"/>
  <c r="O832" i="24"/>
  <c r="P832" i="24"/>
  <c r="M831" i="24"/>
  <c r="N831" i="24"/>
  <c r="O831" i="24"/>
  <c r="P831" i="24"/>
  <c r="H833" i="24"/>
  <c r="I833" i="24"/>
  <c r="J833" i="24"/>
  <c r="K833" i="24"/>
  <c r="L833" i="24"/>
  <c r="M833" i="24"/>
  <c r="N833" i="24"/>
  <c r="O833" i="24"/>
  <c r="P833" i="24"/>
  <c r="AF200" i="17" a="1"/>
  <c r="AF326" i="17" a="1"/>
  <c r="AF821" i="17" a="1"/>
  <c r="AF364" i="17" a="1"/>
  <c r="AF371" i="17" a="1"/>
  <c r="H831" i="24"/>
  <c r="I831" i="24"/>
  <c r="J831" i="24"/>
  <c r="K831" i="24"/>
  <c r="L831" i="24"/>
  <c r="N830" i="24"/>
  <c r="L830" i="24"/>
  <c r="J830" i="24"/>
  <c r="O830" i="24"/>
  <c r="H829" i="24"/>
  <c r="I829" i="24"/>
  <c r="J829" i="24"/>
  <c r="K829" i="24"/>
  <c r="L829" i="24"/>
  <c r="M829" i="24"/>
  <c r="H828" i="24"/>
  <c r="I828" i="24"/>
  <c r="J828" i="24"/>
  <c r="K828" i="24"/>
  <c r="N829" i="24"/>
  <c r="O829" i="24"/>
  <c r="P829" i="24"/>
  <c r="L828" i="24"/>
  <c r="M828" i="24"/>
  <c r="N828" i="24"/>
  <c r="O828" i="24"/>
  <c r="P828" i="24"/>
  <c r="AF224" i="17" a="1"/>
  <c r="I827" i="24"/>
  <c r="K827" i="24"/>
  <c r="M827" i="24"/>
  <c r="O827" i="24"/>
  <c r="H827" i="24"/>
  <c r="J827" i="24"/>
  <c r="L827" i="24"/>
  <c r="N827" i="24"/>
  <c r="P827" i="24"/>
  <c r="AF448" i="17" a="1"/>
  <c r="H825" i="24"/>
  <c r="I825" i="24"/>
  <c r="J825" i="24"/>
  <c r="K825" i="24"/>
  <c r="AF425" i="17" a="1"/>
  <c r="H823" i="24"/>
  <c r="I823" i="24"/>
  <c r="J823" i="24"/>
  <c r="K823" i="24"/>
  <c r="L823" i="24"/>
  <c r="M823" i="24"/>
  <c r="N823" i="24"/>
  <c r="L825" i="24"/>
  <c r="M825" i="24"/>
  <c r="N825" i="24"/>
  <c r="O825" i="24"/>
  <c r="AF568" i="17" a="1"/>
  <c r="AF590" i="17" a="1"/>
  <c r="AF594" i="17" a="1"/>
  <c r="AF603" i="17" a="1"/>
  <c r="AF607" i="17" a="1"/>
  <c r="AF598" i="17" a="1"/>
  <c r="AF758" i="17" a="1"/>
  <c r="H826" i="24"/>
  <c r="I826" i="24"/>
  <c r="J826" i="24"/>
  <c r="K826" i="24"/>
  <c r="L826" i="24"/>
  <c r="M826" i="24"/>
  <c r="N826" i="24"/>
  <c r="O826" i="24"/>
  <c r="P826" i="24"/>
  <c r="P825" i="24"/>
  <c r="H824" i="24"/>
  <c r="I824" i="24"/>
  <c r="J824" i="24"/>
  <c r="K824" i="24"/>
  <c r="L824" i="24"/>
  <c r="M824" i="24"/>
  <c r="N824" i="24"/>
  <c r="O824" i="24"/>
  <c r="P824" i="24"/>
  <c r="H822" i="24"/>
  <c r="I822" i="24"/>
  <c r="AF498" i="17" a="1"/>
  <c r="AF141" i="17" a="1"/>
  <c r="AF149" i="17" a="1"/>
  <c r="AF757" i="17" a="1"/>
  <c r="O823" i="24"/>
  <c r="P823" i="24"/>
  <c r="J822" i="24"/>
  <c r="K822" i="24"/>
  <c r="L822" i="24"/>
  <c r="M822" i="24"/>
  <c r="N822" i="24"/>
  <c r="O822" i="24"/>
  <c r="P822" i="24"/>
  <c r="AF573" i="17" a="1"/>
  <c r="AF577" i="17" a="1"/>
  <c r="AF140" i="17" a="1"/>
  <c r="AF424" i="17" a="1"/>
  <c r="AF496" i="17" a="1"/>
  <c r="AF756" i="17" a="1"/>
  <c r="AF497" i="17" a="1"/>
  <c r="AF147" i="17" a="1"/>
  <c r="AF765" i="17" a="1"/>
  <c r="AF619" i="17" a="1"/>
  <c r="AF465" i="17" a="1"/>
  <c r="AF490" i="17" a="1"/>
  <c r="AF362" i="17" a="1"/>
  <c r="AF354" i="17" a="1"/>
  <c r="AF369" i="17" a="1"/>
  <c r="K820" i="24"/>
  <c r="N820" i="24"/>
  <c r="I820" i="24"/>
  <c r="O820" i="24"/>
  <c r="J820" i="24"/>
  <c r="M820" i="24"/>
  <c r="L820" i="24"/>
  <c r="H820" i="24"/>
  <c r="P820" i="24"/>
  <c r="I819" i="24"/>
  <c r="L819" i="24"/>
  <c r="N819" i="24"/>
  <c r="H819" i="24"/>
  <c r="J819" i="24"/>
  <c r="K819" i="24"/>
  <c r="M819" i="24"/>
  <c r="O819" i="24"/>
  <c r="P819" i="24"/>
  <c r="H821" i="24"/>
  <c r="M821" i="24"/>
  <c r="K821" i="24"/>
  <c r="P821" i="24"/>
  <c r="J821" i="24"/>
  <c r="N821" i="24"/>
  <c r="I821" i="24"/>
  <c r="L821" i="24"/>
  <c r="O821" i="24"/>
  <c r="AF47" i="17" a="1"/>
  <c r="AF54" i="17" a="1"/>
  <c r="AF96" i="17" a="1"/>
  <c r="K818" i="24"/>
  <c r="H817" i="24"/>
  <c r="I817" i="24"/>
  <c r="J817" i="24"/>
  <c r="K817" i="24"/>
  <c r="L817" i="24"/>
  <c r="M817" i="24"/>
  <c r="N817" i="24"/>
  <c r="O817" i="24"/>
  <c r="P817" i="24"/>
  <c r="H818" i="24"/>
  <c r="I818" i="24"/>
  <c r="J818" i="24"/>
  <c r="L818" i="24"/>
  <c r="M818" i="24"/>
  <c r="N818" i="24"/>
  <c r="O818" i="24"/>
  <c r="P818" i="24"/>
  <c r="AF767" i="17" a="1"/>
  <c r="H816" i="24"/>
  <c r="K816" i="24"/>
  <c r="L816" i="24"/>
  <c r="N816" i="24"/>
  <c r="P816" i="24"/>
  <c r="J816" i="24"/>
  <c r="I816" i="24"/>
  <c r="M816" i="24"/>
  <c r="O816" i="24"/>
  <c r="I812" i="24"/>
  <c r="J812" i="24"/>
  <c r="K812" i="24"/>
  <c r="L812" i="24"/>
  <c r="M812" i="24"/>
  <c r="N812" i="24"/>
  <c r="O812" i="24"/>
  <c r="P812" i="24"/>
  <c r="H812" i="24"/>
  <c r="I811" i="24"/>
  <c r="J811" i="24"/>
  <c r="K811" i="24"/>
  <c r="L811" i="24"/>
  <c r="M811" i="24"/>
  <c r="N811" i="24"/>
  <c r="O811" i="24"/>
  <c r="P811" i="24"/>
  <c r="H810" i="24"/>
  <c r="I810" i="24"/>
  <c r="J810" i="24"/>
  <c r="K810" i="24"/>
  <c r="L810" i="24"/>
  <c r="M810" i="24"/>
  <c r="N810" i="24"/>
  <c r="P810" i="24"/>
  <c r="O810" i="24"/>
  <c r="H811" i="24"/>
  <c r="H815" i="24"/>
  <c r="I815" i="24"/>
  <c r="J815" i="24"/>
  <c r="K815" i="24"/>
  <c r="L815" i="24"/>
  <c r="M815" i="24"/>
  <c r="N815" i="24"/>
  <c r="O815" i="24"/>
  <c r="P815" i="24"/>
  <c r="H813" i="24"/>
  <c r="I813" i="24"/>
  <c r="J813" i="24"/>
  <c r="K813" i="24"/>
  <c r="L813" i="24"/>
  <c r="M813" i="24"/>
  <c r="N813" i="24"/>
  <c r="O813" i="24"/>
  <c r="P813" i="24"/>
  <c r="I814" i="24"/>
  <c r="M814" i="24"/>
  <c r="P814" i="24"/>
  <c r="H814" i="24"/>
  <c r="J814" i="24"/>
  <c r="L814" i="24"/>
  <c r="O814" i="24"/>
  <c r="K814" i="24"/>
  <c r="N814" i="24"/>
  <c r="H808" i="24"/>
  <c r="I808" i="24"/>
  <c r="J808" i="24"/>
  <c r="K808" i="24"/>
  <c r="L808" i="24"/>
  <c r="M808" i="24"/>
  <c r="N808" i="24"/>
  <c r="O808" i="24"/>
  <c r="P808" i="24"/>
  <c r="I809" i="24"/>
  <c r="K809" i="24"/>
  <c r="M809" i="24"/>
  <c r="P809" i="24"/>
  <c r="H809" i="24"/>
  <c r="J809" i="24"/>
  <c r="L809" i="24"/>
  <c r="N809" i="24"/>
  <c r="O809" i="24"/>
  <c r="H807" i="24"/>
  <c r="J807" i="24"/>
  <c r="K807" i="24"/>
  <c r="L807" i="24"/>
  <c r="M807" i="24"/>
  <c r="N807" i="24"/>
  <c r="O807" i="24"/>
  <c r="P807" i="24"/>
  <c r="I807" i="24"/>
  <c r="H806" i="24"/>
  <c r="I806" i="24"/>
  <c r="J806" i="24"/>
  <c r="K806" i="24"/>
  <c r="L806" i="24"/>
  <c r="M806" i="24"/>
  <c r="N806" i="24"/>
  <c r="O806" i="24"/>
  <c r="P806" i="24"/>
  <c r="H805" i="24"/>
  <c r="I805" i="24"/>
  <c r="J805" i="24"/>
  <c r="K805" i="24"/>
  <c r="L805" i="24"/>
  <c r="M805" i="24"/>
  <c r="N805" i="24"/>
  <c r="O805" i="24"/>
  <c r="P805" i="24"/>
  <c r="H800" i="24"/>
  <c r="I800" i="24"/>
  <c r="J800" i="24"/>
  <c r="K800" i="24"/>
  <c r="L800" i="24"/>
  <c r="M800" i="24"/>
  <c r="N800" i="24"/>
  <c r="O800" i="24"/>
  <c r="P800" i="24"/>
  <c r="I795" i="24"/>
  <c r="J795" i="24"/>
  <c r="L795" i="24"/>
  <c r="M795" i="24"/>
  <c r="N795" i="24"/>
  <c r="O795" i="24"/>
  <c r="P795" i="24"/>
  <c r="H795" i="24"/>
  <c r="K795" i="24"/>
  <c r="H796" i="24"/>
  <c r="I796" i="24"/>
  <c r="J796" i="24"/>
  <c r="K796" i="24"/>
  <c r="L796" i="24"/>
  <c r="M796" i="24"/>
  <c r="N796" i="24"/>
  <c r="O796" i="24"/>
  <c r="P796" i="24"/>
  <c r="I801" i="24"/>
  <c r="J801" i="24"/>
  <c r="L801" i="24"/>
  <c r="M801" i="24"/>
  <c r="O801" i="24"/>
  <c r="H801" i="24"/>
  <c r="K801" i="24"/>
  <c r="N801" i="24"/>
  <c r="P801" i="24"/>
  <c r="H804" i="24"/>
  <c r="I804" i="24"/>
  <c r="J804" i="24"/>
  <c r="K804" i="24"/>
  <c r="L804" i="24"/>
  <c r="M804" i="24"/>
  <c r="N804" i="24"/>
  <c r="O804" i="24"/>
  <c r="P804" i="24"/>
  <c r="H803" i="24"/>
  <c r="I803" i="24"/>
  <c r="J803" i="24"/>
  <c r="K803" i="24"/>
  <c r="L803" i="24"/>
  <c r="P803" i="24"/>
  <c r="M803" i="24"/>
  <c r="N803" i="24"/>
  <c r="O803" i="24"/>
  <c r="H802" i="24"/>
  <c r="I802" i="24"/>
  <c r="J802" i="24"/>
  <c r="K802" i="24"/>
  <c r="L802" i="24"/>
  <c r="M802" i="24"/>
  <c r="N802" i="24"/>
  <c r="O802" i="24"/>
  <c r="P802" i="24"/>
  <c r="H799" i="24"/>
  <c r="I799" i="24"/>
  <c r="J799" i="24"/>
  <c r="K799" i="24"/>
  <c r="L799" i="24"/>
  <c r="M799" i="24"/>
  <c r="N799" i="24"/>
  <c r="O799" i="24"/>
  <c r="P799" i="24"/>
  <c r="H798" i="24"/>
  <c r="I798" i="24"/>
  <c r="J798" i="24"/>
  <c r="K798" i="24"/>
  <c r="L798" i="24"/>
  <c r="M798" i="24"/>
  <c r="N798" i="24"/>
  <c r="O798" i="24"/>
  <c r="P798" i="24"/>
  <c r="H797" i="24"/>
  <c r="I797" i="24"/>
  <c r="J797" i="24"/>
  <c r="K797" i="24"/>
  <c r="L797" i="24"/>
  <c r="M797" i="24"/>
  <c r="N797" i="24"/>
  <c r="O797" i="24"/>
  <c r="P797" i="24"/>
  <c r="K484" i="24"/>
  <c r="J484" i="24"/>
  <c r="N484" i="24"/>
  <c r="M484" i="24"/>
  <c r="I484" i="24"/>
  <c r="L484" i="24"/>
  <c r="P484" i="24"/>
  <c r="H484" i="24"/>
  <c r="O484" i="24"/>
  <c r="P794" i="24"/>
  <c r="N794" i="24"/>
  <c r="M794" i="24"/>
  <c r="K794" i="24"/>
  <c r="I794" i="24"/>
  <c r="H794" i="24"/>
  <c r="J794" i="24"/>
  <c r="L794" i="24"/>
  <c r="O794" i="24"/>
  <c r="K483" i="24"/>
  <c r="M483" i="24"/>
  <c r="P483" i="24"/>
  <c r="O483" i="24"/>
  <c r="H483" i="24"/>
  <c r="J483" i="24"/>
  <c r="N483" i="24"/>
  <c r="L483" i="24"/>
  <c r="I483" i="24"/>
  <c r="L686" i="24"/>
  <c r="P686" i="24"/>
  <c r="H686" i="24"/>
  <c r="I686" i="24"/>
  <c r="N686" i="24"/>
  <c r="J686" i="24"/>
  <c r="K686" i="24"/>
  <c r="M686" i="24"/>
  <c r="O686" i="24"/>
  <c r="M662" i="24"/>
  <c r="L662" i="24"/>
  <c r="K662" i="24"/>
  <c r="J662" i="24"/>
  <c r="H662" i="24"/>
  <c r="I662" i="24"/>
  <c r="P662" i="24"/>
  <c r="O662" i="24"/>
  <c r="N662" i="24"/>
  <c r="P702" i="24"/>
  <c r="O702" i="24"/>
  <c r="M702" i="24"/>
  <c r="K702" i="24"/>
  <c r="J702" i="24"/>
  <c r="I702" i="24"/>
  <c r="H702" i="24"/>
  <c r="N702" i="24"/>
  <c r="L702" i="24"/>
  <c r="P661" i="24"/>
  <c r="N661" i="24"/>
  <c r="O661" i="24"/>
  <c r="L661" i="24"/>
  <c r="K661" i="24"/>
  <c r="J661" i="24"/>
  <c r="I661" i="24"/>
  <c r="H661" i="24"/>
  <c r="M661" i="24"/>
  <c r="O663" i="24"/>
  <c r="P663" i="24"/>
  <c r="H663" i="24"/>
  <c r="I663" i="24"/>
  <c r="J663" i="24"/>
  <c r="K663" i="24"/>
  <c r="L663" i="24"/>
  <c r="M663" i="24"/>
  <c r="N663" i="24"/>
  <c r="J710" i="24"/>
  <c r="L710" i="24"/>
  <c r="H710" i="24"/>
  <c r="I710" i="24"/>
  <c r="K710" i="24"/>
  <c r="M710" i="24"/>
  <c r="N710" i="24"/>
  <c r="O710" i="24"/>
  <c r="P710" i="24"/>
  <c r="I652" i="24"/>
  <c r="K652" i="24"/>
  <c r="M652" i="24"/>
  <c r="P652" i="24"/>
  <c r="N652" i="24"/>
  <c r="H652" i="24"/>
  <c r="J652" i="24"/>
  <c r="L652" i="24"/>
  <c r="O652" i="24"/>
  <c r="L58" i="24"/>
  <c r="M58" i="24"/>
  <c r="O58" i="24"/>
  <c r="H58" i="24"/>
  <c r="P58" i="24"/>
  <c r="N58" i="24"/>
  <c r="K58" i="24"/>
  <c r="J58" i="24"/>
  <c r="I58" i="24"/>
  <c r="N668" i="24"/>
  <c r="L668" i="24"/>
  <c r="M668" i="24"/>
  <c r="O668" i="24"/>
  <c r="P668" i="24"/>
  <c r="K668" i="24"/>
  <c r="J668" i="24"/>
  <c r="I668" i="24"/>
  <c r="H668" i="24"/>
  <c r="K713" i="24"/>
  <c r="P713" i="24"/>
  <c r="O713" i="24"/>
  <c r="N713" i="24"/>
  <c r="M713" i="24"/>
  <c r="H713" i="24"/>
  <c r="I713" i="24"/>
  <c r="L713" i="24"/>
  <c r="J713" i="24"/>
  <c r="H670" i="24"/>
  <c r="O670" i="24"/>
  <c r="P670" i="24"/>
  <c r="I670" i="24"/>
  <c r="L670" i="24"/>
  <c r="N670" i="24"/>
  <c r="M670" i="24"/>
  <c r="K670" i="24"/>
  <c r="J670" i="24"/>
  <c r="H729" i="24"/>
  <c r="J729" i="24"/>
  <c r="I729" i="24"/>
  <c r="O729" i="24"/>
  <c r="N729" i="24"/>
  <c r="K729" i="24"/>
  <c r="P729" i="24"/>
  <c r="M729" i="24"/>
  <c r="L729" i="24"/>
  <c r="J461" i="24"/>
  <c r="K461" i="24"/>
  <c r="P461" i="24"/>
  <c r="N461" i="24"/>
  <c r="O461" i="24"/>
  <c r="M461" i="24"/>
  <c r="L461" i="24"/>
  <c r="I461" i="24"/>
  <c r="H461" i="24"/>
  <c r="L460" i="24"/>
  <c r="P460" i="24"/>
  <c r="N548" i="24"/>
  <c r="I548" i="24"/>
  <c r="P548" i="24"/>
  <c r="K548" i="24"/>
  <c r="J548" i="24"/>
  <c r="M548" i="24"/>
  <c r="H548" i="24"/>
  <c r="L548" i="24"/>
  <c r="O548" i="24"/>
  <c r="O626" i="24"/>
  <c r="J626" i="24"/>
  <c r="M626" i="24"/>
  <c r="P626" i="24"/>
  <c r="L626" i="24"/>
  <c r="H626" i="24"/>
  <c r="K626" i="24"/>
  <c r="I626" i="24"/>
  <c r="N626" i="24"/>
  <c r="J460" i="24"/>
  <c r="I460" i="24"/>
  <c r="O460" i="24"/>
  <c r="H460" i="24"/>
  <c r="N460" i="24"/>
  <c r="K460" i="24"/>
  <c r="M460" i="24"/>
  <c r="J459" i="24"/>
  <c r="I459" i="24"/>
  <c r="H459" i="24"/>
  <c r="N459" i="24"/>
  <c r="K459" i="24"/>
  <c r="M459" i="24"/>
  <c r="L459" i="24"/>
  <c r="O459" i="24"/>
  <c r="P459" i="24"/>
  <c r="O376" i="24"/>
  <c r="H376" i="24"/>
  <c r="I376" i="24"/>
  <c r="J376" i="24"/>
  <c r="K376" i="24"/>
  <c r="L376" i="24"/>
  <c r="M376" i="24"/>
  <c r="N376" i="24"/>
  <c r="P376" i="24"/>
  <c r="H24" i="24"/>
  <c r="I24" i="24"/>
  <c r="H696" i="24"/>
  <c r="I696" i="24"/>
  <c r="J696" i="24"/>
  <c r="K696" i="24"/>
  <c r="L696" i="24"/>
  <c r="M696" i="24"/>
  <c r="N696" i="24"/>
  <c r="O696" i="24"/>
  <c r="P696" i="24"/>
  <c r="K685" i="24"/>
  <c r="H685" i="24"/>
  <c r="P685" i="24"/>
  <c r="N685" i="24"/>
  <c r="M685" i="24"/>
  <c r="L685" i="24"/>
  <c r="J685" i="24"/>
  <c r="I685" i="24"/>
  <c r="O685" i="24"/>
  <c r="H667" i="24"/>
  <c r="P667" i="24"/>
  <c r="O667" i="24"/>
  <c r="N667" i="24"/>
  <c r="L667" i="24"/>
  <c r="K667" i="24"/>
  <c r="M667" i="24"/>
  <c r="I667" i="24"/>
  <c r="J667" i="24"/>
  <c r="M119" i="24"/>
  <c r="K119" i="24"/>
  <c r="N119" i="24"/>
  <c r="J119" i="24"/>
  <c r="I119" i="24"/>
  <c r="H119" i="24"/>
  <c r="P119" i="24"/>
  <c r="L119" i="24"/>
  <c r="O119" i="24"/>
  <c r="I690" i="24"/>
  <c r="P690" i="24"/>
  <c r="J690" i="24"/>
  <c r="N690" i="24"/>
  <c r="L690" i="24"/>
  <c r="O690" i="24"/>
  <c r="H690" i="24"/>
  <c r="K690" i="24"/>
  <c r="M690" i="24"/>
  <c r="H781" i="24"/>
  <c r="P781" i="24"/>
  <c r="N781" i="24"/>
  <c r="M781" i="24"/>
  <c r="L781" i="24"/>
  <c r="K781" i="24"/>
  <c r="J781" i="24"/>
  <c r="I781" i="24"/>
  <c r="O781" i="24"/>
  <c r="J694" i="24"/>
  <c r="I694" i="24"/>
  <c r="P694" i="24"/>
  <c r="O694" i="24"/>
  <c r="N694" i="24"/>
  <c r="M694" i="24"/>
  <c r="H694" i="24"/>
  <c r="L694" i="24"/>
  <c r="K694" i="24"/>
  <c r="M464" i="24"/>
  <c r="O464" i="24"/>
  <c r="H464" i="24"/>
  <c r="K464" i="24"/>
  <c r="L464" i="24"/>
  <c r="P464" i="24"/>
  <c r="J464" i="24"/>
  <c r="N464" i="24"/>
  <c r="I464" i="24"/>
  <c r="I754" i="24"/>
  <c r="K754" i="24"/>
  <c r="N754" i="24"/>
  <c r="P754" i="24"/>
  <c r="H754" i="24"/>
  <c r="J754" i="24"/>
  <c r="L754" i="24"/>
  <c r="M754" i="24"/>
  <c r="O754" i="24"/>
  <c r="P630" i="24"/>
  <c r="H630" i="24"/>
  <c r="K630" i="24"/>
  <c r="I630" i="24"/>
  <c r="L630" i="24"/>
  <c r="M630" i="24"/>
  <c r="O630" i="24"/>
  <c r="J630" i="24"/>
  <c r="N630" i="24"/>
  <c r="M610" i="24"/>
  <c r="P610" i="24"/>
  <c r="N610" i="24"/>
  <c r="O610" i="24"/>
  <c r="K610" i="24"/>
  <c r="H610" i="24"/>
  <c r="J610" i="24"/>
  <c r="L610" i="24"/>
  <c r="I610" i="24"/>
  <c r="M730" i="24"/>
  <c r="L730" i="24"/>
  <c r="K730" i="24"/>
  <c r="J730" i="24"/>
  <c r="I730" i="24"/>
  <c r="H730" i="24"/>
  <c r="P730" i="24"/>
  <c r="O730" i="24"/>
  <c r="N730" i="24"/>
  <c r="I760" i="24"/>
  <c r="H760" i="24"/>
  <c r="O760" i="24"/>
  <c r="P760" i="24"/>
  <c r="M760" i="24"/>
  <c r="N760" i="24"/>
  <c r="J760" i="24"/>
  <c r="K760" i="24"/>
  <c r="L760" i="24"/>
  <c r="P666" i="24"/>
  <c r="M666" i="24"/>
  <c r="K666" i="24"/>
  <c r="I666" i="24"/>
  <c r="N666" i="24"/>
  <c r="L666" i="24"/>
  <c r="H666" i="24"/>
  <c r="J666" i="24"/>
  <c r="O666" i="24"/>
  <c r="L738" i="24"/>
  <c r="P738" i="24"/>
  <c r="H738" i="24"/>
  <c r="J738" i="24"/>
  <c r="K738" i="24"/>
  <c r="M738" i="24"/>
  <c r="N738" i="24"/>
  <c r="O738" i="24"/>
  <c r="I738" i="24"/>
  <c r="O689" i="24"/>
  <c r="N689" i="24"/>
  <c r="M689" i="24"/>
  <c r="K689" i="24"/>
  <c r="P689" i="24"/>
  <c r="L689" i="24"/>
  <c r="H689" i="24"/>
  <c r="J689" i="24"/>
  <c r="I689" i="24"/>
  <c r="P721" i="24"/>
  <c r="N721" i="24"/>
  <c r="L721" i="24"/>
  <c r="I721" i="24"/>
  <c r="O721" i="24"/>
  <c r="K721" i="24"/>
  <c r="H721" i="24"/>
  <c r="M721" i="24"/>
  <c r="J721" i="24"/>
  <c r="M695" i="24"/>
  <c r="L695" i="24"/>
  <c r="N695" i="24"/>
  <c r="J695" i="24"/>
  <c r="O695" i="24"/>
  <c r="P695" i="24"/>
  <c r="K695" i="24"/>
  <c r="I695" i="24"/>
  <c r="H695" i="24"/>
  <c r="J771" i="24"/>
  <c r="I771" i="24"/>
  <c r="O771" i="24"/>
  <c r="L771" i="24"/>
  <c r="P771" i="24"/>
  <c r="H771" i="24"/>
  <c r="K771" i="24"/>
  <c r="N771" i="24"/>
  <c r="M771" i="24"/>
  <c r="M728" i="24"/>
  <c r="O728" i="24"/>
  <c r="P728" i="24"/>
  <c r="N728" i="24"/>
  <c r="K728" i="24"/>
  <c r="I728" i="24"/>
  <c r="H728" i="24"/>
  <c r="J728" i="24"/>
  <c r="L728" i="24"/>
  <c r="N552" i="24"/>
  <c r="M552" i="24"/>
  <c r="P552" i="24"/>
  <c r="K552" i="24"/>
  <c r="J552" i="24"/>
  <c r="H552" i="24"/>
  <c r="I552" i="24"/>
  <c r="O552" i="24"/>
  <c r="L552" i="24"/>
  <c r="M473" i="24"/>
  <c r="I473" i="24"/>
  <c r="P473" i="24"/>
  <c r="O473" i="24"/>
  <c r="K473" i="24"/>
  <c r="N473" i="24"/>
  <c r="H473" i="24"/>
  <c r="J473" i="24"/>
  <c r="L473" i="24"/>
  <c r="L700" i="24"/>
  <c r="I700" i="24"/>
  <c r="K700" i="24"/>
  <c r="O700" i="24"/>
  <c r="H700" i="24"/>
  <c r="M700" i="24"/>
  <c r="N700" i="24"/>
  <c r="J700" i="24"/>
  <c r="P700" i="24"/>
  <c r="L326" i="24"/>
  <c r="K326" i="24"/>
  <c r="J326" i="24"/>
  <c r="I326" i="24"/>
  <c r="H326" i="24"/>
  <c r="P326" i="24"/>
  <c r="O326" i="24"/>
  <c r="M326" i="24"/>
  <c r="N326" i="24"/>
  <c r="H732" i="24"/>
  <c r="O732" i="24"/>
  <c r="K732" i="24"/>
  <c r="N732" i="24"/>
  <c r="M732" i="24"/>
  <c r="I732" i="24"/>
  <c r="P732" i="24"/>
  <c r="L732" i="24"/>
  <c r="J732" i="24"/>
  <c r="M679" i="24"/>
  <c r="P679" i="24"/>
  <c r="K679" i="24"/>
  <c r="I679" i="24"/>
  <c r="J679" i="24"/>
  <c r="L679" i="24"/>
  <c r="O679" i="24"/>
  <c r="N679" i="24"/>
  <c r="H679" i="24"/>
  <c r="P676" i="24"/>
  <c r="H676" i="24"/>
  <c r="J676" i="24"/>
  <c r="L676" i="24"/>
  <c r="N676" i="24"/>
  <c r="I676" i="24"/>
  <c r="K676" i="24"/>
  <c r="O676" i="24"/>
  <c r="M676" i="24"/>
  <c r="O712" i="24"/>
  <c r="N712" i="24"/>
  <c r="M712" i="24"/>
  <c r="I712" i="24"/>
  <c r="K712" i="24"/>
  <c r="L712" i="24"/>
  <c r="H712" i="24"/>
  <c r="J712" i="24"/>
  <c r="P712" i="24"/>
  <c r="I393" i="24"/>
  <c r="H393" i="24"/>
  <c r="J393" i="24"/>
  <c r="I46" i="24"/>
  <c r="J46" i="24"/>
  <c r="H46" i="24"/>
  <c r="K393" i="24"/>
  <c r="P393" i="24"/>
  <c r="O393" i="24"/>
  <c r="N393" i="24"/>
  <c r="M393" i="24"/>
  <c r="L393" i="24"/>
  <c r="P384" i="24"/>
  <c r="L384" i="24"/>
  <c r="K384" i="24"/>
  <c r="J384" i="24"/>
  <c r="I384" i="24"/>
  <c r="H384" i="24"/>
  <c r="H660" i="24"/>
  <c r="I660" i="24"/>
  <c r="J660" i="24"/>
  <c r="K660" i="24"/>
  <c r="L660" i="24"/>
  <c r="N660" i="24"/>
  <c r="O660" i="24"/>
  <c r="P660" i="24"/>
  <c r="M660" i="24"/>
  <c r="M384" i="24"/>
  <c r="N384" i="24"/>
  <c r="O384" i="24"/>
  <c r="K680" i="24"/>
  <c r="J680" i="24"/>
  <c r="H680" i="24"/>
  <c r="I680" i="24"/>
  <c r="L680" i="24"/>
  <c r="M680" i="24"/>
  <c r="N680" i="24"/>
  <c r="O680" i="24"/>
  <c r="P680" i="24"/>
  <c r="L655" i="24"/>
  <c r="P655" i="24"/>
  <c r="H655" i="24"/>
  <c r="J655" i="24"/>
  <c r="M655" i="24"/>
  <c r="O655" i="24"/>
  <c r="I655" i="24"/>
  <c r="K655" i="24"/>
  <c r="N655" i="24"/>
  <c r="N560" i="24"/>
  <c r="L560" i="24"/>
  <c r="I560" i="24"/>
  <c r="P560" i="24"/>
  <c r="K560" i="24"/>
  <c r="J560" i="24"/>
  <c r="O560" i="24"/>
  <c r="H560" i="24"/>
  <c r="M560" i="24"/>
  <c r="J475" i="24"/>
  <c r="H475" i="24"/>
  <c r="K475" i="24"/>
  <c r="P475" i="24"/>
  <c r="N475" i="24"/>
  <c r="L475" i="24"/>
  <c r="I475" i="24"/>
  <c r="O475" i="24"/>
  <c r="M475" i="24"/>
  <c r="P366" i="24"/>
  <c r="M366" i="24"/>
  <c r="H366" i="24"/>
  <c r="I366" i="24"/>
  <c r="J366" i="24"/>
  <c r="L366" i="24"/>
  <c r="O366" i="24"/>
  <c r="N366" i="24"/>
  <c r="K366" i="24"/>
  <c r="P477" i="24"/>
  <c r="M477" i="24"/>
  <c r="J477" i="24"/>
  <c r="K477" i="24"/>
  <c r="N477" i="24"/>
  <c r="L477" i="24"/>
  <c r="O477" i="24"/>
  <c r="H477" i="24"/>
  <c r="I477" i="24"/>
  <c r="M324" i="24"/>
  <c r="L324" i="24"/>
  <c r="I324" i="24"/>
  <c r="N324" i="24"/>
  <c r="K324" i="24"/>
  <c r="J324" i="24"/>
  <c r="P324" i="24"/>
  <c r="O324" i="24"/>
  <c r="H324" i="24"/>
  <c r="P395" i="24"/>
  <c r="H395" i="24"/>
  <c r="J395" i="24"/>
  <c r="O395" i="24"/>
  <c r="I395" i="24"/>
  <c r="L359" i="24"/>
  <c r="K359" i="24"/>
  <c r="I359" i="24"/>
  <c r="H359" i="24"/>
  <c r="J359" i="24"/>
  <c r="P359" i="24"/>
  <c r="I457" i="24"/>
  <c r="H457" i="24"/>
  <c r="J457" i="24"/>
  <c r="H573" i="24"/>
  <c r="P573" i="24"/>
  <c r="K573" i="24"/>
  <c r="O573" i="24"/>
  <c r="M573" i="24"/>
  <c r="J573" i="24"/>
  <c r="L573" i="24"/>
  <c r="I573" i="24"/>
  <c r="O342" i="24"/>
  <c r="L342" i="24"/>
  <c r="P342" i="24"/>
  <c r="K342" i="24"/>
  <c r="N342" i="24"/>
  <c r="J342" i="24"/>
  <c r="M342" i="24"/>
  <c r="I342" i="24"/>
  <c r="H342" i="24"/>
  <c r="N395" i="24"/>
  <c r="M395" i="24"/>
  <c r="L395" i="24"/>
  <c r="K395" i="24"/>
  <c r="M765" i="24"/>
  <c r="I765" i="24"/>
  <c r="K765" i="24"/>
  <c r="H765" i="24"/>
  <c r="L765" i="24"/>
  <c r="N765" i="24"/>
  <c r="O765" i="24"/>
  <c r="P765" i="24"/>
  <c r="J765" i="24"/>
  <c r="O714" i="24"/>
  <c r="N714" i="24"/>
  <c r="M714" i="24"/>
  <c r="L714" i="24"/>
  <c r="K714" i="24"/>
  <c r="J714" i="24"/>
  <c r="H714" i="24"/>
  <c r="I714" i="24"/>
  <c r="P714" i="24"/>
  <c r="H725" i="24"/>
  <c r="N725" i="24"/>
  <c r="L725" i="24"/>
  <c r="P725" i="24"/>
  <c r="O725" i="24"/>
  <c r="M725" i="24"/>
  <c r="J725" i="24"/>
  <c r="K725" i="24"/>
  <c r="I725" i="24"/>
  <c r="K634" i="24"/>
  <c r="H634" i="24"/>
  <c r="J634" i="24"/>
  <c r="M634" i="24"/>
  <c r="P634" i="24"/>
  <c r="N634" i="24"/>
  <c r="L634" i="24"/>
  <c r="I634" i="24"/>
  <c r="O634" i="24"/>
  <c r="H479" i="24"/>
  <c r="I479" i="24"/>
  <c r="K479" i="24"/>
  <c r="L479" i="24"/>
  <c r="N479" i="24"/>
  <c r="M479" i="24"/>
  <c r="O479" i="24"/>
  <c r="J479" i="24"/>
  <c r="P479" i="24"/>
  <c r="L693" i="24"/>
  <c r="M693" i="24"/>
  <c r="I693" i="24"/>
  <c r="K693" i="24"/>
  <c r="H693" i="24"/>
  <c r="J693" i="24"/>
  <c r="J381" i="24"/>
  <c r="N381" i="24"/>
  <c r="O381" i="24"/>
  <c r="I381" i="24"/>
  <c r="H381" i="24"/>
  <c r="P381" i="24"/>
  <c r="M381" i="24"/>
  <c r="L381" i="24"/>
  <c r="K381" i="24"/>
  <c r="P557" i="24"/>
  <c r="K557" i="24"/>
  <c r="J557" i="24"/>
  <c r="L557" i="24"/>
  <c r="O557" i="24"/>
  <c r="I557" i="24"/>
  <c r="N557" i="24"/>
  <c r="H557" i="24"/>
  <c r="M557" i="24"/>
  <c r="N612" i="24"/>
  <c r="K612" i="24"/>
  <c r="O612" i="24"/>
  <c r="N390" i="24"/>
  <c r="O390" i="24"/>
  <c r="L390" i="24"/>
  <c r="P390" i="24"/>
  <c r="M390" i="24"/>
  <c r="J390" i="24"/>
  <c r="I390" i="24"/>
  <c r="K390" i="24"/>
  <c r="H390" i="24"/>
  <c r="N693" i="24"/>
  <c r="O693" i="24"/>
  <c r="P693" i="24"/>
  <c r="P551" i="24"/>
  <c r="O551" i="24"/>
  <c r="N551" i="24"/>
  <c r="M551" i="24"/>
  <c r="K551" i="24"/>
  <c r="H551" i="24"/>
  <c r="L551" i="24"/>
  <c r="I551" i="24"/>
  <c r="J551" i="24"/>
  <c r="L126" i="24"/>
  <c r="J126" i="24"/>
  <c r="K126" i="24"/>
  <c r="I126" i="24"/>
  <c r="H126" i="24"/>
  <c r="P126" i="24"/>
  <c r="O126" i="24"/>
  <c r="N126" i="24"/>
  <c r="M126" i="24"/>
  <c r="P612" i="24"/>
  <c r="J612" i="24"/>
  <c r="I612" i="24"/>
  <c r="H612" i="24"/>
  <c r="M612" i="24"/>
  <c r="L612" i="24"/>
  <c r="O678" i="24"/>
  <c r="J678" i="24"/>
  <c r="P678" i="24"/>
  <c r="L678" i="24"/>
  <c r="I678" i="24"/>
  <c r="N678" i="24"/>
  <c r="K678" i="24"/>
  <c r="M678" i="24"/>
  <c r="H678" i="24"/>
  <c r="J547" i="24"/>
  <c r="M547" i="24"/>
  <c r="L547" i="24"/>
  <c r="H547" i="24"/>
  <c r="O547" i="24"/>
  <c r="P547" i="24"/>
  <c r="K547" i="24"/>
  <c r="I547" i="24"/>
  <c r="N547" i="24"/>
  <c r="L675" i="24"/>
  <c r="N675" i="24"/>
  <c r="P675" i="24"/>
  <c r="J675" i="24"/>
  <c r="K675" i="24"/>
  <c r="M675" i="24"/>
  <c r="O675" i="24"/>
  <c r="I675" i="24"/>
  <c r="H675" i="24"/>
  <c r="I674" i="24"/>
  <c r="K674" i="24"/>
  <c r="L674" i="24"/>
  <c r="M674" i="24"/>
  <c r="O674" i="24"/>
  <c r="H674" i="24"/>
  <c r="P674" i="24"/>
  <c r="N674" i="24"/>
  <c r="J674" i="24"/>
  <c r="I506" i="24"/>
  <c r="K506" i="24"/>
  <c r="J506" i="24"/>
  <c r="M506" i="24"/>
  <c r="N506" i="24"/>
  <c r="L506" i="24"/>
  <c r="O506" i="24"/>
  <c r="H506" i="24"/>
  <c r="P506" i="24"/>
  <c r="M512" i="24"/>
  <c r="I512" i="24"/>
  <c r="N512" i="24"/>
  <c r="O512" i="24"/>
  <c r="P512" i="24"/>
  <c r="J512" i="24"/>
  <c r="K512" i="24"/>
  <c r="L512" i="24"/>
  <c r="H512" i="24"/>
  <c r="P504" i="24"/>
  <c r="N504" i="24"/>
  <c r="O504" i="24"/>
  <c r="J504" i="24"/>
  <c r="M504" i="24"/>
  <c r="K504" i="24"/>
  <c r="I504" i="24"/>
  <c r="L504" i="24"/>
  <c r="H504" i="24"/>
  <c r="L436" i="24"/>
  <c r="K436" i="24"/>
  <c r="J436" i="24"/>
  <c r="I436" i="24"/>
  <c r="M436" i="24"/>
  <c r="H329" i="24"/>
  <c r="P329" i="24"/>
  <c r="N329" i="24"/>
  <c r="M329" i="24"/>
  <c r="I329" i="24"/>
  <c r="J329" i="24"/>
  <c r="K329" i="24"/>
  <c r="L329" i="24"/>
  <c r="O329" i="24"/>
  <c r="K457" i="24"/>
  <c r="L457" i="24"/>
  <c r="M457" i="24"/>
  <c r="N457" i="24"/>
  <c r="O457" i="24"/>
  <c r="P457" i="24"/>
  <c r="J454" i="24"/>
  <c r="N454" i="24"/>
  <c r="H454" i="24"/>
  <c r="P454" i="24"/>
  <c r="O454" i="24"/>
  <c r="M454" i="24"/>
  <c r="L454" i="24"/>
  <c r="K454" i="24"/>
  <c r="I454" i="24"/>
  <c r="J327" i="24"/>
  <c r="I327" i="24"/>
  <c r="K327" i="24"/>
  <c r="H327" i="24"/>
  <c r="O327" i="24"/>
  <c r="P327" i="24"/>
  <c r="M327" i="24"/>
  <c r="N327" i="24"/>
  <c r="L327" i="24"/>
  <c r="K503" i="24"/>
  <c r="H503" i="24"/>
  <c r="I503" i="24"/>
  <c r="J503" i="24"/>
  <c r="O503" i="24"/>
  <c r="L503" i="24"/>
  <c r="P503" i="24"/>
  <c r="M503" i="24"/>
  <c r="N503" i="24"/>
  <c r="I499" i="24"/>
  <c r="M499" i="24"/>
  <c r="I5" i="24"/>
  <c r="O5" i="24"/>
  <c r="N5" i="24"/>
  <c r="M5" i="24"/>
  <c r="L5" i="24"/>
  <c r="K5" i="24"/>
  <c r="J5" i="24"/>
  <c r="P5" i="24"/>
  <c r="H5" i="24"/>
  <c r="N620" i="24"/>
  <c r="M620" i="24"/>
  <c r="L620" i="24"/>
  <c r="K620" i="24"/>
  <c r="J620" i="24"/>
  <c r="H620" i="24"/>
  <c r="I620" i="24"/>
  <c r="O620" i="24"/>
  <c r="P620" i="24"/>
  <c r="L611" i="24"/>
  <c r="K611" i="24"/>
  <c r="H611" i="24"/>
  <c r="I611" i="24"/>
  <c r="J611" i="24"/>
  <c r="M611" i="24"/>
  <c r="N611" i="24"/>
  <c r="P611" i="24"/>
  <c r="O611" i="24"/>
  <c r="N453" i="24"/>
  <c r="K453" i="24"/>
  <c r="P453" i="24"/>
  <c r="M453" i="24"/>
  <c r="O453" i="24"/>
  <c r="J453" i="24"/>
  <c r="I453" i="24"/>
  <c r="H453" i="24"/>
  <c r="L453" i="24"/>
  <c r="J341" i="24"/>
  <c r="P341" i="24"/>
  <c r="N341" i="24"/>
  <c r="K341" i="24"/>
  <c r="H341" i="24"/>
  <c r="L341" i="24"/>
  <c r="M341" i="24"/>
  <c r="I341" i="24"/>
  <c r="O341" i="24"/>
  <c r="N687" i="24"/>
  <c r="M687" i="24"/>
  <c r="K687" i="24"/>
  <c r="I687" i="24"/>
  <c r="L687" i="24"/>
  <c r="O687" i="24"/>
  <c r="J687" i="24"/>
  <c r="H687" i="24"/>
  <c r="P687" i="24"/>
  <c r="L684" i="24"/>
  <c r="O684" i="24"/>
  <c r="P684" i="24"/>
  <c r="K684" i="24"/>
  <c r="N684" i="24"/>
  <c r="J684" i="24"/>
  <c r="M684" i="24"/>
  <c r="I684" i="24"/>
  <c r="H684" i="24"/>
  <c r="I79" i="24"/>
  <c r="P79" i="24"/>
  <c r="H79" i="24"/>
  <c r="J79" i="24"/>
  <c r="L79" i="24"/>
  <c r="K79" i="24"/>
  <c r="M79" i="24"/>
  <c r="N79" i="24"/>
  <c r="O79" i="24"/>
  <c r="H588" i="24"/>
  <c r="J588" i="24"/>
  <c r="P588" i="24"/>
  <c r="N588" i="24"/>
  <c r="M588" i="24"/>
  <c r="L588" i="24"/>
  <c r="K588" i="24"/>
  <c r="I588" i="24"/>
  <c r="O588" i="24"/>
  <c r="H585" i="24"/>
  <c r="I585" i="24"/>
  <c r="O672" i="24"/>
  <c r="N672" i="24"/>
  <c r="H672" i="24"/>
  <c r="P672" i="24"/>
  <c r="M672" i="24"/>
  <c r="J672" i="24"/>
  <c r="I672" i="24"/>
  <c r="L672" i="24"/>
  <c r="K672" i="24"/>
  <c r="I669" i="24"/>
  <c r="O669" i="24"/>
  <c r="P669" i="24"/>
  <c r="N669" i="24"/>
  <c r="M669" i="24"/>
  <c r="L669" i="24"/>
  <c r="K669" i="24"/>
  <c r="J669" i="24"/>
  <c r="H669" i="24"/>
  <c r="M323" i="24"/>
  <c r="P323" i="24"/>
  <c r="I323" i="24"/>
  <c r="J323" i="24"/>
  <c r="L323" i="24"/>
  <c r="N323" i="24"/>
  <c r="H323" i="24"/>
  <c r="K323" i="24"/>
  <c r="O323" i="24"/>
  <c r="P167" i="24"/>
  <c r="N167" i="24"/>
  <c r="L167" i="24"/>
  <c r="K167" i="24"/>
  <c r="J167" i="24"/>
  <c r="I167" i="24"/>
  <c r="H167" i="24"/>
  <c r="O167" i="24"/>
  <c r="M167" i="24"/>
  <c r="N166" i="24"/>
  <c r="O166" i="24"/>
  <c r="I166" i="24"/>
  <c r="P166" i="24"/>
  <c r="H166" i="24"/>
  <c r="L166" i="24"/>
  <c r="K166" i="24"/>
  <c r="J166" i="24"/>
  <c r="M166" i="24"/>
  <c r="I779" i="24"/>
  <c r="K779" i="24"/>
  <c r="M779" i="24"/>
  <c r="N779" i="24"/>
  <c r="O779" i="24"/>
  <c r="H779" i="24"/>
  <c r="J779" i="24"/>
  <c r="L779" i="24"/>
  <c r="P779" i="24"/>
  <c r="N216" i="24"/>
  <c r="M216" i="24"/>
  <c r="I216" i="24"/>
  <c r="J216" i="24"/>
  <c r="L216" i="24"/>
  <c r="P216" i="24"/>
  <c r="H216" i="24"/>
  <c r="O216" i="24"/>
  <c r="K216" i="24"/>
  <c r="H468" i="24"/>
  <c r="I468" i="24"/>
  <c r="K468" i="24"/>
  <c r="O468" i="24"/>
  <c r="L468" i="24"/>
  <c r="N468" i="24"/>
  <c r="J468" i="24"/>
  <c r="M468" i="24"/>
  <c r="P468" i="24"/>
  <c r="K466" i="24"/>
  <c r="O466" i="24"/>
  <c r="M466" i="24"/>
  <c r="N466" i="24"/>
  <c r="J466" i="24"/>
  <c r="I466" i="24"/>
  <c r="P466" i="24"/>
  <c r="L466" i="24"/>
  <c r="H466" i="24"/>
  <c r="K463" i="24"/>
  <c r="O463" i="24"/>
  <c r="P463" i="24"/>
  <c r="H463" i="24"/>
  <c r="L463" i="24"/>
  <c r="I463" i="24"/>
  <c r="M463" i="24"/>
  <c r="N463" i="24"/>
  <c r="J463" i="24"/>
  <c r="O3" i="24"/>
  <c r="P3" i="24"/>
  <c r="H3" i="24"/>
  <c r="I3" i="24"/>
  <c r="J3" i="24"/>
  <c r="K3" i="24"/>
  <c r="L3" i="24"/>
  <c r="M3" i="24"/>
  <c r="N3" i="24"/>
  <c r="N583" i="24"/>
  <c r="P583" i="24"/>
  <c r="M583" i="24"/>
  <c r="N584" i="24"/>
  <c r="O584" i="24"/>
  <c r="P584" i="24"/>
  <c r="H584" i="24"/>
  <c r="I584" i="24"/>
  <c r="J584" i="24"/>
  <c r="K584" i="24"/>
  <c r="L584" i="24"/>
  <c r="M584" i="24"/>
  <c r="L585" i="24"/>
  <c r="M585" i="24"/>
  <c r="N585" i="24"/>
  <c r="O585" i="24"/>
  <c r="P585" i="24"/>
  <c r="J585" i="24"/>
  <c r="K585" i="24"/>
  <c r="H677" i="24"/>
  <c r="P677" i="24"/>
  <c r="O677" i="24"/>
  <c r="N677" i="24"/>
  <c r="M677" i="24"/>
  <c r="L677" i="24"/>
  <c r="I677" i="24"/>
  <c r="J677" i="24"/>
  <c r="K677" i="24"/>
  <c r="J237" i="24"/>
  <c r="M237" i="24"/>
  <c r="O237" i="24"/>
  <c r="K237" i="24"/>
  <c r="I237" i="24"/>
  <c r="N237" i="24"/>
  <c r="L237" i="24"/>
  <c r="H237" i="24"/>
  <c r="P237" i="24"/>
  <c r="P4" i="24"/>
  <c r="H4" i="24"/>
  <c r="I4" i="24"/>
  <c r="J4" i="24"/>
  <c r="K4" i="24"/>
  <c r="L4" i="24"/>
  <c r="M4" i="24"/>
  <c r="N4" i="24"/>
  <c r="O4" i="24"/>
  <c r="O43" i="24"/>
  <c r="N43" i="24"/>
  <c r="M43" i="24"/>
  <c r="L43" i="24"/>
  <c r="K43" i="24"/>
  <c r="J43" i="24"/>
  <c r="H43" i="24"/>
  <c r="P43" i="24"/>
  <c r="I43" i="24"/>
  <c r="H30" i="24"/>
  <c r="O30" i="24"/>
  <c r="N30" i="24"/>
  <c r="M30" i="24"/>
  <c r="L30" i="24"/>
  <c r="K30" i="24"/>
  <c r="J30" i="24"/>
  <c r="I30" i="24"/>
  <c r="P30" i="24"/>
  <c r="O359" i="24"/>
  <c r="N359" i="24"/>
  <c r="M359" i="24"/>
  <c r="L357" i="24"/>
  <c r="H357" i="24"/>
  <c r="O357" i="24"/>
  <c r="N357" i="24"/>
  <c r="P357" i="24"/>
  <c r="K357" i="24"/>
  <c r="J357" i="24"/>
  <c r="I357" i="24"/>
  <c r="M357" i="24"/>
  <c r="J236" i="24"/>
  <c r="H236" i="24"/>
  <c r="I236" i="24"/>
  <c r="N236" i="24"/>
  <c r="K236" i="24"/>
  <c r="P236" i="24"/>
  <c r="M236" i="24"/>
  <c r="L236" i="24"/>
  <c r="O236" i="24"/>
  <c r="I231" i="24"/>
  <c r="M231" i="24"/>
  <c r="J231" i="24"/>
  <c r="K231" i="24"/>
  <c r="L231" i="24"/>
  <c r="N231" i="24"/>
  <c r="P231" i="24"/>
  <c r="O231" i="24"/>
  <c r="H231" i="24"/>
  <c r="P46" i="24"/>
  <c r="O46" i="24"/>
  <c r="N46" i="24"/>
  <c r="M46" i="24"/>
  <c r="K46" i="24"/>
  <c r="L46" i="24"/>
  <c r="I325" i="24"/>
  <c r="J325" i="24"/>
  <c r="L325" i="24"/>
  <c r="O325" i="24"/>
  <c r="K325" i="24"/>
  <c r="P325" i="24"/>
  <c r="H325" i="24"/>
  <c r="M325" i="24"/>
  <c r="I742" i="24"/>
  <c r="J742" i="24"/>
  <c r="M742" i="24"/>
  <c r="L742" i="24"/>
  <c r="N742" i="24"/>
  <c r="P742" i="24"/>
  <c r="O742" i="24"/>
  <c r="H742" i="24"/>
  <c r="K742" i="24"/>
  <c r="J161" i="24"/>
  <c r="P161" i="24"/>
  <c r="O161" i="24"/>
  <c r="N161" i="24"/>
  <c r="M161" i="24"/>
  <c r="L161" i="24"/>
  <c r="K161" i="24"/>
  <c r="I161" i="24"/>
  <c r="H161" i="24"/>
  <c r="L583" i="24"/>
  <c r="K583" i="24"/>
  <c r="J583" i="24"/>
  <c r="I583" i="24"/>
  <c r="H583" i="24"/>
  <c r="O583" i="24"/>
  <c r="K764" i="24"/>
  <c r="M764" i="24"/>
  <c r="N764" i="24"/>
  <c r="O764" i="24"/>
  <c r="H764" i="24"/>
  <c r="P764" i="24"/>
  <c r="L764" i="24"/>
  <c r="I764" i="24"/>
  <c r="J764" i="24"/>
  <c r="P751" i="24"/>
  <c r="I751" i="24"/>
  <c r="N751" i="24"/>
  <c r="J751" i="24"/>
  <c r="H751" i="24"/>
  <c r="L751" i="24"/>
  <c r="K751" i="24"/>
  <c r="M751" i="24"/>
  <c r="O751" i="24"/>
  <c r="K727" i="24"/>
  <c r="N727" i="24"/>
  <c r="M727" i="24"/>
  <c r="I727" i="24"/>
  <c r="H727" i="24"/>
  <c r="J727" i="24"/>
  <c r="L727" i="24"/>
  <c r="P727" i="24"/>
  <c r="O727" i="24"/>
  <c r="M575" i="24"/>
  <c r="H575" i="24"/>
  <c r="L575" i="24"/>
  <c r="J575" i="24"/>
  <c r="I575" i="24"/>
  <c r="N575" i="24"/>
  <c r="O575" i="24"/>
  <c r="P575" i="24"/>
  <c r="K575" i="24"/>
  <c r="J766" i="24"/>
  <c r="H766" i="24"/>
  <c r="K766" i="24"/>
  <c r="L766" i="24"/>
  <c r="M766" i="24"/>
  <c r="P766" i="24"/>
  <c r="O766" i="24"/>
  <c r="I766" i="24"/>
  <c r="N766" i="24"/>
  <c r="J757" i="24"/>
  <c r="K757" i="24"/>
  <c r="M757" i="24"/>
  <c r="P757" i="24"/>
  <c r="O757" i="24"/>
  <c r="I757" i="24"/>
  <c r="L757" i="24"/>
  <c r="N757" i="24"/>
  <c r="H757" i="24"/>
  <c r="H755" i="24"/>
  <c r="L755" i="24"/>
  <c r="I755" i="24"/>
  <c r="P755" i="24"/>
  <c r="O755" i="24"/>
  <c r="N755" i="24"/>
  <c r="M755" i="24"/>
  <c r="K755" i="24"/>
  <c r="J755" i="24"/>
  <c r="K705" i="24"/>
  <c r="H705" i="24"/>
  <c r="I705" i="24"/>
  <c r="P705" i="24"/>
  <c r="J705" i="24"/>
  <c r="O705" i="24"/>
  <c r="N705" i="24"/>
  <c r="M705" i="24"/>
  <c r="L705" i="24"/>
  <c r="K706" i="24"/>
  <c r="P706" i="24"/>
  <c r="O706" i="24"/>
  <c r="M706" i="24"/>
  <c r="I706" i="24"/>
  <c r="N706" i="24"/>
  <c r="L706" i="24"/>
  <c r="J706" i="24"/>
  <c r="H706" i="24"/>
  <c r="H701" i="24"/>
  <c r="I701" i="24"/>
  <c r="J701" i="24"/>
  <c r="P701" i="24"/>
  <c r="M701" i="24"/>
  <c r="N701" i="24"/>
  <c r="O701" i="24"/>
  <c r="L701" i="24"/>
  <c r="K701" i="24"/>
  <c r="N699" i="24"/>
  <c r="O699" i="24"/>
  <c r="H699" i="24"/>
  <c r="J699" i="24"/>
  <c r="P699" i="24"/>
  <c r="I699" i="24"/>
  <c r="K699" i="24"/>
  <c r="L699" i="24"/>
  <c r="M699" i="24"/>
  <c r="P697" i="24"/>
  <c r="N697" i="24"/>
  <c r="O697" i="24"/>
  <c r="M697" i="24"/>
  <c r="L697" i="24"/>
  <c r="J697" i="24"/>
  <c r="H697" i="24"/>
  <c r="I697" i="24"/>
  <c r="K697" i="24"/>
  <c r="L704" i="24"/>
  <c r="N704" i="24"/>
  <c r="H704" i="24"/>
  <c r="I704" i="24"/>
  <c r="J704" i="24"/>
  <c r="K704" i="24"/>
  <c r="M704" i="24"/>
  <c r="O704" i="24"/>
  <c r="P704" i="24"/>
  <c r="K703" i="24"/>
  <c r="H703" i="24"/>
  <c r="J703" i="24"/>
  <c r="L703" i="24"/>
  <c r="N703" i="24"/>
  <c r="P703" i="24"/>
  <c r="I703" i="24"/>
  <c r="M703" i="24"/>
  <c r="O703" i="24"/>
  <c r="I775" i="24"/>
  <c r="H775" i="24"/>
  <c r="K775" i="24"/>
  <c r="O775" i="24"/>
  <c r="P775" i="24"/>
  <c r="N775" i="24"/>
  <c r="M775" i="24"/>
  <c r="L775" i="24"/>
  <c r="J775" i="24"/>
  <c r="J763" i="24"/>
  <c r="I763" i="24"/>
  <c r="H763" i="24"/>
  <c r="O762" i="24"/>
  <c r="L762" i="24"/>
  <c r="P762" i="24"/>
  <c r="H106" i="24"/>
  <c r="I106" i="24"/>
  <c r="K106" i="24"/>
  <c r="M106" i="24"/>
  <c r="N106" i="24"/>
  <c r="P106" i="24"/>
  <c r="O106" i="24"/>
  <c r="J106" i="24"/>
  <c r="L106" i="24"/>
  <c r="H109" i="24"/>
  <c r="M109" i="24"/>
  <c r="N109" i="24"/>
  <c r="L109" i="24"/>
  <c r="P109" i="24"/>
  <c r="O109" i="24"/>
  <c r="J109" i="24"/>
  <c r="I109" i="24"/>
  <c r="K109" i="24"/>
  <c r="M777" i="24"/>
  <c r="L777" i="24"/>
  <c r="J777" i="24"/>
  <c r="I777" i="24"/>
  <c r="O777" i="24"/>
  <c r="K777" i="24"/>
  <c r="H777" i="24"/>
  <c r="P777" i="24"/>
  <c r="N777" i="24"/>
  <c r="P723" i="24"/>
  <c r="K723" i="24"/>
  <c r="J723" i="24"/>
  <c r="L723" i="24"/>
  <c r="M723" i="24"/>
  <c r="N723" i="24"/>
  <c r="O723" i="24"/>
  <c r="I723" i="24"/>
  <c r="H723" i="24"/>
  <c r="K724" i="24"/>
  <c r="J724" i="24"/>
  <c r="I724" i="24"/>
  <c r="M724" i="24"/>
  <c r="H724" i="24"/>
  <c r="L724" i="24"/>
  <c r="P724" i="24"/>
  <c r="O724" i="24"/>
  <c r="N724" i="24"/>
  <c r="J753" i="24"/>
  <c r="K753" i="24"/>
  <c r="L753" i="24"/>
  <c r="H753" i="24"/>
  <c r="I753" i="24"/>
  <c r="J722" i="24"/>
  <c r="I722" i="24"/>
  <c r="H722" i="24"/>
  <c r="H720" i="24"/>
  <c r="I720" i="24"/>
  <c r="J720" i="24"/>
  <c r="K720" i="24"/>
  <c r="O747" i="24"/>
  <c r="P747" i="24"/>
  <c r="I747" i="24"/>
  <c r="L747" i="24"/>
  <c r="H747" i="24"/>
  <c r="J747" i="24"/>
  <c r="K747" i="24"/>
  <c r="M747" i="24"/>
  <c r="N747" i="24"/>
  <c r="L746" i="24"/>
  <c r="J746" i="24"/>
  <c r="N746" i="24"/>
  <c r="H746" i="24"/>
  <c r="P746" i="24"/>
  <c r="O746" i="24"/>
  <c r="M746" i="24"/>
  <c r="K746" i="24"/>
  <c r="I746" i="24"/>
  <c r="L683" i="24"/>
  <c r="M683" i="24"/>
  <c r="O683" i="24"/>
  <c r="P683" i="24"/>
  <c r="I683" i="24"/>
  <c r="K683" i="24"/>
  <c r="J683" i="24"/>
  <c r="N683" i="24"/>
  <c r="H683" i="24"/>
  <c r="H682" i="24"/>
  <c r="J682" i="24"/>
  <c r="M682" i="24"/>
  <c r="L682" i="24"/>
  <c r="K682" i="24"/>
  <c r="O682" i="24"/>
  <c r="I682" i="24"/>
  <c r="N682" i="24"/>
  <c r="P682" i="24"/>
  <c r="P436" i="24"/>
  <c r="N436" i="24"/>
  <c r="H436" i="24"/>
  <c r="O436" i="24"/>
  <c r="I681" i="24"/>
  <c r="J681" i="24"/>
  <c r="K681" i="24"/>
  <c r="L681" i="24"/>
  <c r="M681" i="24"/>
  <c r="H681" i="24"/>
  <c r="O681" i="24"/>
  <c r="P681" i="24"/>
  <c r="N681" i="24"/>
  <c r="O763" i="24"/>
  <c r="P763" i="24"/>
  <c r="K763" i="24"/>
  <c r="L763" i="24"/>
  <c r="M763" i="24"/>
  <c r="N763" i="24"/>
  <c r="H762" i="24"/>
  <c r="M762" i="24"/>
  <c r="I762" i="24"/>
  <c r="K762" i="24"/>
  <c r="J762" i="24"/>
  <c r="N762" i="24"/>
  <c r="O413" i="24"/>
  <c r="K413" i="24"/>
  <c r="P413" i="24"/>
  <c r="I413" i="24"/>
  <c r="M413" i="24"/>
  <c r="L413" i="24"/>
  <c r="H413" i="24"/>
  <c r="N413" i="24"/>
  <c r="J413" i="24"/>
  <c r="I415" i="24"/>
  <c r="J415" i="24"/>
  <c r="H415" i="24"/>
  <c r="P415" i="24"/>
  <c r="O415" i="24"/>
  <c r="L415" i="24"/>
  <c r="N415" i="24"/>
  <c r="K415" i="24"/>
  <c r="M415" i="24"/>
  <c r="J590" i="24"/>
  <c r="I590" i="24"/>
  <c r="H590" i="24"/>
  <c r="P590" i="24"/>
  <c r="O590" i="24"/>
  <c r="N590" i="24"/>
  <c r="M590" i="24"/>
  <c r="L590" i="24"/>
  <c r="K590" i="24"/>
  <c r="L7" i="24"/>
  <c r="H7" i="24"/>
  <c r="I7" i="24"/>
  <c r="J7" i="24"/>
  <c r="K7" i="24"/>
  <c r="M7" i="24"/>
  <c r="N7" i="24"/>
  <c r="O7" i="24"/>
  <c r="P7" i="24"/>
  <c r="P478" i="24"/>
  <c r="I478" i="24"/>
  <c r="H478" i="24"/>
  <c r="K478" i="24"/>
  <c r="M478" i="24"/>
  <c r="O478" i="24"/>
  <c r="L478" i="24"/>
  <c r="N478" i="24"/>
  <c r="J478" i="24"/>
  <c r="J6" i="24"/>
  <c r="O6" i="24"/>
  <c r="P6" i="24"/>
  <c r="H6" i="24"/>
  <c r="I6" i="24"/>
  <c r="N6" i="24"/>
  <c r="M6" i="24"/>
  <c r="L6" i="24"/>
  <c r="K6" i="24"/>
  <c r="I665" i="24"/>
  <c r="P665" i="24"/>
  <c r="O665" i="24"/>
  <c r="M665" i="24"/>
  <c r="J665" i="24"/>
  <c r="H665" i="24"/>
  <c r="N665" i="24"/>
  <c r="L665" i="24"/>
  <c r="K665" i="24"/>
  <c r="N658" i="24"/>
  <c r="H658" i="24"/>
  <c r="I658" i="24"/>
  <c r="J658" i="24"/>
  <c r="K658" i="24"/>
  <c r="L658" i="24"/>
  <c r="M658" i="24"/>
  <c r="O658" i="24"/>
  <c r="P658" i="24"/>
  <c r="L586" i="24"/>
  <c r="K586" i="24"/>
  <c r="J586" i="24"/>
  <c r="H586" i="24"/>
  <c r="I586" i="24"/>
  <c r="P586" i="24"/>
  <c r="O586" i="24"/>
  <c r="N586" i="24"/>
  <c r="M586" i="24"/>
  <c r="K582" i="24"/>
  <c r="O582" i="24"/>
  <c r="P582" i="24"/>
  <c r="H582" i="24"/>
  <c r="I582" i="24"/>
  <c r="N582" i="24"/>
  <c r="M582" i="24"/>
  <c r="J582" i="24"/>
  <c r="L582" i="24"/>
  <c r="K688" i="24"/>
  <c r="L688" i="24"/>
  <c r="P688" i="24"/>
  <c r="H688" i="24"/>
  <c r="N688" i="24"/>
  <c r="J688" i="24"/>
  <c r="M688" i="24"/>
  <c r="O688" i="24"/>
  <c r="I688" i="24"/>
  <c r="H659" i="24"/>
  <c r="I659" i="24"/>
  <c r="K659" i="24"/>
  <c r="J659" i="24"/>
  <c r="P659" i="24"/>
  <c r="O659" i="24"/>
  <c r="N659" i="24"/>
  <c r="M659" i="24"/>
  <c r="L659" i="24"/>
  <c r="P656" i="24"/>
  <c r="O656" i="24"/>
  <c r="N656" i="24"/>
  <c r="M656" i="24"/>
  <c r="K656" i="24"/>
  <c r="J656" i="24"/>
  <c r="I656" i="24"/>
  <c r="H656" i="24"/>
  <c r="L656" i="24"/>
  <c r="I692" i="24"/>
  <c r="P692" i="24"/>
  <c r="O692" i="24"/>
  <c r="N692" i="24"/>
  <c r="H692" i="24"/>
  <c r="M692" i="24"/>
  <c r="L692" i="24"/>
  <c r="K692" i="24"/>
  <c r="J692" i="24"/>
  <c r="K664" i="24"/>
  <c r="L664" i="24"/>
  <c r="M664" i="24"/>
  <c r="N664" i="24"/>
  <c r="O664" i="24"/>
  <c r="P664" i="24"/>
  <c r="J664" i="24"/>
  <c r="I664" i="24"/>
  <c r="H664" i="24"/>
  <c r="M60" i="24"/>
  <c r="L60" i="24"/>
  <c r="K60" i="24"/>
  <c r="J60" i="24"/>
  <c r="N60" i="24"/>
  <c r="O60" i="24"/>
  <c r="P60" i="24"/>
  <c r="H60" i="24"/>
  <c r="I608" i="24"/>
  <c r="P608" i="24"/>
  <c r="O608" i="24"/>
  <c r="N608" i="24"/>
  <c r="M608" i="24"/>
  <c r="L608" i="24"/>
  <c r="K608" i="24"/>
  <c r="J608" i="24"/>
  <c r="H608" i="24"/>
  <c r="N602" i="24"/>
  <c r="P602" i="24"/>
  <c r="O602" i="24"/>
  <c r="H602" i="24"/>
  <c r="I602" i="24"/>
  <c r="J602" i="24"/>
  <c r="K602" i="24"/>
  <c r="L602" i="24"/>
  <c r="M602" i="24"/>
  <c r="O354" i="24"/>
  <c r="K354" i="24"/>
  <c r="I354" i="24"/>
  <c r="H354" i="24"/>
  <c r="N354" i="24"/>
  <c r="L354" i="24"/>
  <c r="M354" i="24"/>
  <c r="P354" i="24"/>
  <c r="J354" i="24"/>
  <c r="N614" i="24"/>
  <c r="P614" i="24"/>
  <c r="O614" i="24"/>
  <c r="J614" i="24"/>
  <c r="K614" i="24"/>
  <c r="H614" i="24"/>
  <c r="I614" i="24"/>
  <c r="L614" i="24"/>
  <c r="M614" i="24"/>
  <c r="M19" i="24"/>
  <c r="N19" i="24"/>
  <c r="O19" i="24"/>
  <c r="H19" i="24"/>
  <c r="I19" i="24"/>
  <c r="P19" i="24"/>
  <c r="J19" i="24"/>
  <c r="K19" i="24"/>
  <c r="L19" i="24"/>
  <c r="I8" i="24"/>
  <c r="O8" i="24"/>
  <c r="N8" i="24"/>
  <c r="M8" i="24"/>
  <c r="L8" i="24"/>
  <c r="K8" i="24"/>
  <c r="J8" i="24"/>
  <c r="H8" i="24"/>
  <c r="P8" i="24"/>
  <c r="L616" i="24"/>
  <c r="J616" i="24"/>
  <c r="M616" i="24"/>
  <c r="I616" i="24"/>
  <c r="P616" i="24"/>
  <c r="H616" i="24"/>
  <c r="O616" i="24"/>
  <c r="K616" i="24"/>
  <c r="N616" i="24"/>
  <c r="H13" i="24"/>
  <c r="K13" i="24"/>
  <c r="J13" i="24"/>
  <c r="I13" i="24"/>
  <c r="H491" i="24"/>
  <c r="K491" i="24"/>
  <c r="L498" i="24"/>
  <c r="N498" i="24"/>
  <c r="J498" i="24"/>
  <c r="P498" i="24"/>
  <c r="H498" i="24"/>
  <c r="M498" i="24"/>
  <c r="I498" i="24"/>
  <c r="O498" i="24"/>
  <c r="K498" i="24"/>
  <c r="I562" i="24"/>
  <c r="J562" i="24"/>
  <c r="P562" i="24"/>
  <c r="K562" i="24"/>
  <c r="M562" i="24"/>
  <c r="H562" i="24"/>
  <c r="O562" i="24"/>
  <c r="N562" i="24"/>
  <c r="L562" i="24"/>
  <c r="M356" i="24"/>
  <c r="O356" i="24"/>
  <c r="J356" i="24"/>
  <c r="I356" i="24"/>
  <c r="P356" i="24"/>
  <c r="L356" i="24"/>
  <c r="N356" i="24"/>
  <c r="H356" i="24"/>
  <c r="K356" i="24"/>
  <c r="H14" i="24"/>
  <c r="I14" i="24"/>
  <c r="J14" i="24"/>
  <c r="N605" i="24"/>
  <c r="I605" i="24"/>
  <c r="P605" i="24"/>
  <c r="O605" i="24"/>
  <c r="K605" i="24"/>
  <c r="J605" i="24"/>
  <c r="L605" i="24"/>
  <c r="H605" i="24"/>
  <c r="M605" i="24"/>
  <c r="H494" i="24"/>
  <c r="K494" i="24"/>
  <c r="I494" i="24"/>
  <c r="P494" i="24"/>
  <c r="L494" i="24"/>
  <c r="O494" i="24"/>
  <c r="J494" i="24"/>
  <c r="N494" i="24"/>
  <c r="M494" i="24"/>
  <c r="M606" i="24"/>
  <c r="N606" i="24"/>
  <c r="P606" i="24"/>
  <c r="H606" i="24"/>
  <c r="I606" i="24"/>
  <c r="J606" i="24"/>
  <c r="K606" i="24"/>
  <c r="L606" i="24"/>
  <c r="O606" i="24"/>
  <c r="H615" i="24"/>
  <c r="M615" i="24"/>
  <c r="K615" i="24"/>
  <c r="J615" i="24"/>
  <c r="I615" i="24"/>
  <c r="N499" i="24"/>
  <c r="L499" i="24"/>
  <c r="K499" i="24"/>
  <c r="O499" i="24"/>
  <c r="P499" i="24"/>
  <c r="H499" i="24"/>
  <c r="J499" i="24"/>
  <c r="M476" i="24"/>
  <c r="O476" i="24"/>
  <c r="H476" i="24"/>
  <c r="J476" i="24"/>
  <c r="K476" i="24"/>
  <c r="I476" i="24"/>
  <c r="P476" i="24"/>
  <c r="L476" i="24"/>
  <c r="N476" i="24"/>
  <c r="L592" i="24"/>
  <c r="P592" i="24"/>
  <c r="H592" i="24"/>
  <c r="I592" i="24"/>
  <c r="J592" i="24"/>
  <c r="K592" i="24"/>
  <c r="M592" i="24"/>
  <c r="N592" i="24"/>
  <c r="O592" i="24"/>
  <c r="H786" i="24"/>
  <c r="I786" i="24"/>
  <c r="J786" i="24"/>
  <c r="K786" i="24"/>
  <c r="L786" i="24"/>
  <c r="N786" i="24"/>
  <c r="O786" i="24"/>
  <c r="P786" i="24"/>
  <c r="M786" i="24"/>
  <c r="H739" i="24"/>
  <c r="P739" i="24"/>
  <c r="O739" i="24"/>
  <c r="N739" i="24"/>
  <c r="M739" i="24"/>
  <c r="L739" i="24"/>
  <c r="K739" i="24"/>
  <c r="J739" i="24"/>
  <c r="I739" i="24"/>
  <c r="L632" i="24"/>
  <c r="K632" i="24"/>
  <c r="J632" i="24"/>
  <c r="I632" i="24"/>
  <c r="M632" i="24"/>
  <c r="N632" i="24"/>
  <c r="O632" i="24"/>
  <c r="H632" i="24"/>
  <c r="P632" i="24"/>
  <c r="P485" i="24"/>
  <c r="O485" i="24"/>
  <c r="N485" i="24"/>
  <c r="M485" i="24"/>
  <c r="L485" i="24"/>
  <c r="H485" i="24"/>
  <c r="I485" i="24"/>
  <c r="J485" i="24"/>
  <c r="K485" i="24"/>
  <c r="P491" i="24"/>
  <c r="N491" i="24"/>
  <c r="I491" i="24"/>
  <c r="J491" i="24"/>
  <c r="L491" i="24"/>
  <c r="O491" i="24"/>
  <c r="M491" i="24"/>
  <c r="O513" i="24"/>
  <c r="N513" i="24"/>
  <c r="K513" i="24"/>
  <c r="M513" i="24"/>
  <c r="H513" i="24"/>
  <c r="P513" i="24"/>
  <c r="L513" i="24"/>
  <c r="I513" i="24"/>
  <c r="J513" i="24"/>
  <c r="M488" i="24"/>
  <c r="H488" i="24"/>
  <c r="L488" i="24"/>
  <c r="I488" i="24"/>
  <c r="P488" i="24"/>
  <c r="O488" i="24"/>
  <c r="J488" i="24"/>
  <c r="N488" i="24"/>
  <c r="K488" i="24"/>
  <c r="J758" i="24"/>
  <c r="I758" i="24"/>
  <c r="N758" i="24"/>
  <c r="P758" i="24"/>
  <c r="O758" i="24"/>
  <c r="M758" i="24"/>
  <c r="L758" i="24"/>
  <c r="K758" i="24"/>
  <c r="H758" i="24"/>
  <c r="H601" i="24"/>
  <c r="P601" i="24"/>
  <c r="O601" i="24"/>
  <c r="N601" i="24"/>
  <c r="L744" i="24"/>
  <c r="J744" i="24"/>
  <c r="P744" i="24"/>
  <c r="N744" i="24"/>
  <c r="K744" i="24"/>
  <c r="M744" i="24"/>
  <c r="H744" i="24"/>
  <c r="O744" i="24"/>
  <c r="I744" i="24"/>
  <c r="L735" i="24"/>
  <c r="M735" i="24"/>
  <c r="N735" i="24"/>
  <c r="I735" i="24"/>
  <c r="H735" i="24"/>
  <c r="J735" i="24"/>
  <c r="K735" i="24"/>
  <c r="H467" i="24"/>
  <c r="O467" i="24"/>
  <c r="L467" i="24"/>
  <c r="K467" i="24"/>
  <c r="J467" i="24"/>
  <c r="M467" i="24"/>
  <c r="P467" i="24"/>
  <c r="I467" i="24"/>
  <c r="N467" i="24"/>
  <c r="L756" i="24"/>
  <c r="M756" i="24"/>
  <c r="I756" i="24"/>
  <c r="P756" i="24"/>
  <c r="O756" i="24"/>
  <c r="N756" i="24"/>
  <c r="K756" i="24"/>
  <c r="J756" i="24"/>
  <c r="H756" i="24"/>
  <c r="P615" i="24"/>
  <c r="O615" i="24"/>
  <c r="N615" i="24"/>
  <c r="L615" i="24"/>
  <c r="K267" i="24"/>
  <c r="I267" i="24"/>
  <c r="J267" i="24"/>
  <c r="M267" i="24"/>
  <c r="O267" i="24"/>
  <c r="L267" i="24"/>
  <c r="H267" i="24"/>
  <c r="N267" i="24"/>
  <c r="P267" i="24"/>
  <c r="P759" i="24"/>
  <c r="O759" i="24"/>
  <c r="N759" i="24"/>
  <c r="M759" i="24"/>
  <c r="H759" i="24"/>
  <c r="I759" i="24"/>
  <c r="J759" i="24"/>
  <c r="L759" i="24"/>
  <c r="K759" i="24"/>
  <c r="L260" i="24"/>
  <c r="N260" i="24"/>
  <c r="J260" i="24"/>
  <c r="H260" i="24"/>
  <c r="O260" i="24"/>
  <c r="J24" i="24"/>
  <c r="K24" i="24"/>
  <c r="L24" i="24"/>
  <c r="K52" i="24"/>
  <c r="J52" i="24"/>
  <c r="L52" i="24"/>
  <c r="M52" i="24"/>
  <c r="O52" i="24"/>
  <c r="I52" i="24"/>
  <c r="H52" i="24"/>
  <c r="N52" i="24"/>
  <c r="P52" i="24"/>
  <c r="M225" i="24"/>
  <c r="P225" i="24"/>
  <c r="H225" i="24"/>
  <c r="N225" i="24"/>
  <c r="I225" i="24"/>
  <c r="L225" i="24"/>
  <c r="K225" i="24"/>
  <c r="J225" i="24"/>
  <c r="O225" i="24"/>
  <c r="N13" i="24"/>
  <c r="M13" i="24"/>
  <c r="L13" i="24"/>
  <c r="P13" i="24"/>
  <c r="O13" i="24"/>
  <c r="O9" i="24"/>
  <c r="N9" i="24"/>
  <c r="H9" i="24"/>
  <c r="P9" i="24"/>
  <c r="I9" i="24"/>
  <c r="J9" i="24"/>
  <c r="K9" i="24"/>
  <c r="L9" i="24"/>
  <c r="M9" i="24"/>
  <c r="M232" i="24"/>
  <c r="N232" i="24"/>
  <c r="P232" i="24"/>
  <c r="O232" i="24"/>
  <c r="J232" i="24"/>
  <c r="L232" i="24"/>
  <c r="H232" i="24"/>
  <c r="K232" i="24"/>
  <c r="I232" i="24"/>
  <c r="I10" i="24"/>
  <c r="K10" i="24"/>
  <c r="J10" i="24"/>
  <c r="H10" i="24"/>
  <c r="O10" i="24"/>
  <c r="N10" i="24"/>
  <c r="M10" i="24"/>
  <c r="L10" i="24"/>
  <c r="P10" i="24"/>
  <c r="O618" i="24"/>
  <c r="N618" i="24"/>
  <c r="M618" i="24"/>
  <c r="L618" i="24"/>
  <c r="K618" i="24"/>
  <c r="P618" i="24"/>
  <c r="H618" i="24"/>
  <c r="I618" i="24"/>
  <c r="J618" i="24"/>
  <c r="L647" i="24"/>
  <c r="J647" i="24"/>
  <c r="K647" i="24"/>
  <c r="H647" i="24"/>
  <c r="I647" i="24"/>
  <c r="J589" i="24"/>
  <c r="I589" i="24"/>
  <c r="H589" i="24"/>
  <c r="K589" i="24"/>
  <c r="L589" i="24"/>
  <c r="M589" i="24"/>
  <c r="N589" i="24"/>
  <c r="O589" i="24"/>
  <c r="P589" i="24"/>
  <c r="I649" i="24"/>
  <c r="K649" i="24"/>
  <c r="M649" i="24"/>
  <c r="O649" i="24"/>
  <c r="H649" i="24"/>
  <c r="J649" i="24"/>
  <c r="N649" i="24"/>
  <c r="P649" i="24"/>
  <c r="L649" i="24"/>
  <c r="M613" i="24"/>
  <c r="H613" i="24"/>
  <c r="I487" i="24"/>
  <c r="M487" i="24"/>
  <c r="L487" i="24"/>
  <c r="K487" i="24"/>
  <c r="H487" i="24"/>
  <c r="P487" i="24"/>
  <c r="O487" i="24"/>
  <c r="I84" i="24"/>
  <c r="J84" i="24"/>
  <c r="H84" i="24"/>
  <c r="O735" i="24"/>
  <c r="P735" i="24"/>
  <c r="I750" i="24"/>
  <c r="J750" i="24"/>
  <c r="L750" i="24"/>
  <c r="N750" i="24"/>
  <c r="O750" i="24"/>
  <c r="P750" i="24"/>
  <c r="H750" i="24"/>
  <c r="M750" i="24"/>
  <c r="K750" i="24"/>
  <c r="N734" i="24"/>
  <c r="P734" i="24"/>
  <c r="H734" i="24"/>
  <c r="I734" i="24"/>
  <c r="K734" i="24"/>
  <c r="M734" i="24"/>
  <c r="O734" i="24"/>
  <c r="N753" i="24"/>
  <c r="M753" i="24"/>
  <c r="L631" i="24"/>
  <c r="H631" i="24"/>
  <c r="I631" i="24"/>
  <c r="K631" i="24"/>
  <c r="M631" i="24"/>
  <c r="P631" i="24"/>
  <c r="O631" i="24"/>
  <c r="N631" i="24"/>
  <c r="J631" i="24"/>
  <c r="K260" i="24"/>
  <c r="I260" i="24"/>
  <c r="P260" i="24"/>
  <c r="M260" i="24"/>
  <c r="J627" i="24"/>
  <c r="I627" i="24"/>
  <c r="H627" i="24"/>
  <c r="K230" i="24"/>
  <c r="L230" i="24"/>
  <c r="O230" i="24"/>
  <c r="M230" i="24"/>
  <c r="N230" i="24"/>
  <c r="I230" i="24"/>
  <c r="J230" i="24"/>
  <c r="H230" i="24"/>
  <c r="P230" i="24"/>
  <c r="O715" i="24"/>
  <c r="J715" i="24"/>
  <c r="K715" i="24"/>
  <c r="I715" i="24"/>
  <c r="L715" i="24"/>
  <c r="M715" i="24"/>
  <c r="N715" i="24"/>
  <c r="P715" i="24"/>
  <c r="H715" i="24"/>
  <c r="H596" i="24"/>
  <c r="I596" i="24"/>
  <c r="N596" i="24"/>
  <c r="M596" i="24"/>
  <c r="J596" i="24"/>
  <c r="K596" i="24"/>
  <c r="L596" i="24"/>
  <c r="P596" i="24"/>
  <c r="O596" i="24"/>
  <c r="M580" i="24"/>
  <c r="L580" i="24"/>
  <c r="K580" i="24"/>
  <c r="I580" i="24"/>
  <c r="H580" i="24"/>
  <c r="P580" i="24"/>
  <c r="O580" i="24"/>
  <c r="N580" i="24"/>
  <c r="J580" i="24"/>
  <c r="P411" i="24"/>
  <c r="H411" i="24"/>
  <c r="I411" i="24"/>
  <c r="N411" i="24"/>
  <c r="O411" i="24"/>
  <c r="K411" i="24"/>
  <c r="M411" i="24"/>
  <c r="J411" i="24"/>
  <c r="L411" i="24"/>
  <c r="P200" i="24"/>
  <c r="K200" i="24"/>
  <c r="O200" i="24"/>
  <c r="J200" i="24"/>
  <c r="N200" i="24"/>
  <c r="I200" i="24"/>
  <c r="H200" i="24"/>
  <c r="L200" i="24"/>
  <c r="M200" i="24"/>
  <c r="O397" i="24"/>
  <c r="P397" i="24"/>
  <c r="I397" i="24"/>
  <c r="M397" i="24"/>
  <c r="K397" i="24"/>
  <c r="H397" i="24"/>
  <c r="L397" i="24"/>
  <c r="J397" i="24"/>
  <c r="N397" i="24"/>
  <c r="O647" i="24"/>
  <c r="M647" i="24"/>
  <c r="N647" i="24"/>
  <c r="P647" i="24"/>
  <c r="N228" i="24"/>
  <c r="H228" i="24"/>
  <c r="J228" i="24"/>
  <c r="L228" i="24"/>
  <c r="O228" i="24"/>
  <c r="P228" i="24"/>
  <c r="K228" i="24"/>
  <c r="M228" i="24"/>
  <c r="I228" i="24"/>
  <c r="O226" i="24"/>
  <c r="H226" i="24"/>
  <c r="J226" i="24"/>
  <c r="I226" i="24"/>
  <c r="L226" i="24"/>
  <c r="N226" i="24"/>
  <c r="P226" i="24"/>
  <c r="K226" i="24"/>
  <c r="M226" i="24"/>
  <c r="L339" i="24"/>
  <c r="O339" i="24"/>
  <c r="M339" i="24"/>
  <c r="N339" i="24"/>
  <c r="K339" i="24"/>
  <c r="J339" i="24"/>
  <c r="I339" i="24"/>
  <c r="P339" i="24"/>
  <c r="H339" i="24"/>
  <c r="H401" i="24"/>
  <c r="L401" i="24"/>
  <c r="J401" i="24"/>
  <c r="P401" i="24"/>
  <c r="O401" i="24"/>
  <c r="I401" i="24"/>
  <c r="M401" i="24"/>
  <c r="K401" i="24"/>
  <c r="N401" i="24"/>
  <c r="J400" i="24"/>
  <c r="N400" i="24"/>
  <c r="L400" i="24"/>
  <c r="O400" i="24"/>
  <c r="P400" i="24"/>
  <c r="M400" i="24"/>
  <c r="K400" i="24"/>
  <c r="H400" i="24"/>
  <c r="I400" i="24"/>
  <c r="L399" i="24"/>
  <c r="K399" i="24"/>
  <c r="I399" i="24"/>
  <c r="P399" i="24"/>
  <c r="J399" i="24"/>
  <c r="N399" i="24"/>
  <c r="M399" i="24"/>
  <c r="H399" i="24"/>
  <c r="O399" i="24"/>
  <c r="M14" i="24"/>
  <c r="L14" i="24"/>
  <c r="K14" i="24"/>
  <c r="N14" i="24"/>
  <c r="L720" i="24"/>
  <c r="M720" i="24"/>
  <c r="N720" i="24"/>
  <c r="O720" i="24"/>
  <c r="P720" i="24"/>
  <c r="P717" i="24"/>
  <c r="O717" i="24"/>
  <c r="M717" i="24"/>
  <c r="J717" i="24"/>
  <c r="H717" i="24"/>
  <c r="L717" i="24"/>
  <c r="K717" i="24"/>
  <c r="N717" i="24"/>
  <c r="I717" i="24"/>
  <c r="P719" i="24"/>
  <c r="L719" i="24"/>
  <c r="H719" i="24"/>
  <c r="N719" i="24"/>
  <c r="J719" i="24"/>
  <c r="I719" i="24"/>
  <c r="K719" i="24"/>
  <c r="M719" i="24"/>
  <c r="O719" i="24"/>
  <c r="K607" i="24"/>
  <c r="L607" i="24"/>
  <c r="M607" i="24"/>
  <c r="P607" i="24"/>
  <c r="J607" i="24"/>
  <c r="I607" i="24"/>
  <c r="H607" i="24"/>
  <c r="O607" i="24"/>
  <c r="N607" i="24"/>
  <c r="K599" i="24"/>
  <c r="P599" i="24"/>
  <c r="O599" i="24"/>
  <c r="N599" i="24"/>
  <c r="M599" i="24"/>
  <c r="H599" i="24"/>
  <c r="L599" i="24"/>
  <c r="J599" i="24"/>
  <c r="I599" i="24"/>
  <c r="N555" i="24"/>
  <c r="O555" i="24"/>
  <c r="P555" i="24"/>
  <c r="K555" i="24"/>
  <c r="L555" i="24"/>
  <c r="H555" i="24"/>
  <c r="I555" i="24"/>
  <c r="M555" i="24"/>
  <c r="J555" i="24"/>
  <c r="I613" i="24"/>
  <c r="P613" i="24"/>
  <c r="O613" i="24"/>
  <c r="N613" i="24"/>
  <c r="L613" i="24"/>
  <c r="K613" i="24"/>
  <c r="J613" i="24"/>
  <c r="K579" i="24"/>
  <c r="L579" i="24"/>
  <c r="M579" i="24"/>
  <c r="N579" i="24"/>
  <c r="P579" i="24"/>
  <c r="O579" i="24"/>
  <c r="H579" i="24"/>
  <c r="I579" i="24"/>
  <c r="J579" i="24"/>
  <c r="H554" i="24"/>
  <c r="J554" i="24"/>
  <c r="N554" i="24"/>
  <c r="O554" i="24"/>
  <c r="M554" i="24"/>
  <c r="I554" i="24"/>
  <c r="L554" i="24"/>
  <c r="P554" i="24"/>
  <c r="K554" i="24"/>
  <c r="J711" i="24"/>
  <c r="P711" i="24"/>
  <c r="O711" i="24"/>
  <c r="N711" i="24"/>
  <c r="M711" i="24"/>
  <c r="K711" i="24"/>
  <c r="J198" i="24"/>
  <c r="M198" i="24"/>
  <c r="J601" i="24"/>
  <c r="I601" i="24"/>
  <c r="L601" i="24"/>
  <c r="K601" i="24"/>
  <c r="K597" i="24"/>
  <c r="J597" i="24"/>
  <c r="L597" i="24"/>
  <c r="M597" i="24"/>
  <c r="N597" i="24"/>
  <c r="O597" i="24"/>
  <c r="P597" i="24"/>
  <c r="I597" i="24"/>
  <c r="H597" i="24"/>
  <c r="L734" i="24"/>
  <c r="J734" i="24"/>
  <c r="L609" i="24"/>
  <c r="K609" i="24"/>
  <c r="J609" i="24"/>
  <c r="I609" i="24"/>
  <c r="P753" i="24"/>
  <c r="O753" i="24"/>
  <c r="K633" i="24"/>
  <c r="I633" i="24"/>
  <c r="M633" i="24"/>
  <c r="O633" i="24"/>
  <c r="H633" i="24"/>
  <c r="L633" i="24"/>
  <c r="P633" i="24"/>
  <c r="N633" i="24"/>
  <c r="J633" i="24"/>
  <c r="L553" i="24"/>
  <c r="N553" i="24"/>
  <c r="I553" i="24"/>
  <c r="M553" i="24"/>
  <c r="J553" i="24"/>
  <c r="K553" i="24"/>
  <c r="H553" i="24"/>
  <c r="P553" i="24"/>
  <c r="O553" i="24"/>
  <c r="I673" i="24"/>
  <c r="K673" i="24"/>
  <c r="M673" i="24"/>
  <c r="N673" i="24"/>
  <c r="L673" i="24"/>
  <c r="O673" i="24"/>
  <c r="P673" i="24"/>
  <c r="J673" i="24"/>
  <c r="K581" i="24"/>
  <c r="J581" i="24"/>
  <c r="I581" i="24"/>
  <c r="H581" i="24"/>
  <c r="M581" i="24"/>
  <c r="N581" i="24"/>
  <c r="O581" i="24"/>
  <c r="P581" i="24"/>
  <c r="L581" i="24"/>
  <c r="O253" i="24"/>
  <c r="N253" i="24"/>
  <c r="K253" i="24"/>
  <c r="P253" i="24"/>
  <c r="I253" i="24"/>
  <c r="J253" i="24"/>
  <c r="H253" i="24"/>
  <c r="M253" i="24"/>
  <c r="L353" i="24"/>
  <c r="J353" i="24"/>
  <c r="N353" i="24"/>
  <c r="K353" i="24"/>
  <c r="O353" i="24"/>
  <c r="M353" i="24"/>
  <c r="I353" i="24"/>
  <c r="H353" i="24"/>
  <c r="P353" i="24"/>
  <c r="J12" i="24"/>
  <c r="K12" i="24"/>
  <c r="L12" i="24"/>
  <c r="N12" i="24"/>
  <c r="O12" i="24"/>
  <c r="P12" i="24"/>
  <c r="H12" i="24"/>
  <c r="I12" i="24"/>
  <c r="M12" i="24"/>
  <c r="H346" i="24"/>
  <c r="J346" i="24"/>
  <c r="P346" i="24"/>
  <c r="I346" i="24"/>
  <c r="N346" i="24"/>
  <c r="L346" i="24"/>
  <c r="K346" i="24"/>
  <c r="O346" i="24"/>
  <c r="M346" i="24"/>
  <c r="K741" i="24"/>
  <c r="I741" i="24"/>
  <c r="P741" i="24"/>
  <c r="O741" i="24"/>
  <c r="L741" i="24"/>
  <c r="J741" i="24"/>
  <c r="M741" i="24"/>
  <c r="H741" i="24"/>
  <c r="N741" i="24"/>
  <c r="L198" i="24"/>
  <c r="O198" i="24"/>
  <c r="I198" i="24"/>
  <c r="H198" i="24"/>
  <c r="P198" i="24"/>
  <c r="N198" i="24"/>
  <c r="K198" i="24"/>
  <c r="N619" i="24"/>
  <c r="P619" i="24"/>
  <c r="O619" i="24"/>
  <c r="M619" i="24"/>
  <c r="P740" i="24"/>
  <c r="O740" i="24"/>
  <c r="J740" i="24"/>
  <c r="H740" i="24"/>
  <c r="N740" i="24"/>
  <c r="I740" i="24"/>
  <c r="K740" i="24"/>
  <c r="L740" i="24"/>
  <c r="M740" i="24"/>
  <c r="I736" i="24"/>
  <c r="N736" i="24"/>
  <c r="K736" i="24"/>
  <c r="M736" i="24"/>
  <c r="P736" i="24"/>
  <c r="H736" i="24"/>
  <c r="J736" i="24"/>
  <c r="L736" i="24"/>
  <c r="O736" i="24"/>
  <c r="K154" i="24"/>
  <c r="H154" i="24"/>
  <c r="L154" i="24"/>
  <c r="P154" i="24"/>
  <c r="O154" i="24"/>
  <c r="N154" i="24"/>
  <c r="M154" i="24"/>
  <c r="J154" i="24"/>
  <c r="I154" i="24"/>
  <c r="H148" i="24"/>
  <c r="M148" i="24"/>
  <c r="N148" i="24"/>
  <c r="P148" i="24"/>
  <c r="O148" i="24"/>
  <c r="L148" i="24"/>
  <c r="K148" i="24"/>
  <c r="J148" i="24"/>
  <c r="I148" i="24"/>
  <c r="J653" i="24"/>
  <c r="H653" i="24"/>
  <c r="K654" i="24"/>
  <c r="P654" i="24"/>
  <c r="H654" i="24"/>
  <c r="N654" i="24"/>
  <c r="I654" i="24"/>
  <c r="M654" i="24"/>
  <c r="O654" i="24"/>
  <c r="J654" i="24"/>
  <c r="L654" i="24"/>
  <c r="K350" i="24"/>
  <c r="O350" i="24"/>
  <c r="H350" i="24"/>
  <c r="I350" i="24"/>
  <c r="N350" i="24"/>
  <c r="J350" i="24"/>
  <c r="M350" i="24"/>
  <c r="P350" i="24"/>
  <c r="L350" i="24"/>
  <c r="H349" i="24"/>
  <c r="P349" i="24"/>
  <c r="O349" i="24"/>
  <c r="L349" i="24"/>
  <c r="M349" i="24"/>
  <c r="K349" i="24"/>
  <c r="J349" i="24"/>
  <c r="N349" i="24"/>
  <c r="I349" i="24"/>
  <c r="K348" i="24"/>
  <c r="P348" i="24"/>
  <c r="L348" i="24"/>
  <c r="J348" i="24"/>
  <c r="I348" i="24"/>
  <c r="O770" i="24"/>
  <c r="I770" i="24"/>
  <c r="J770" i="24"/>
  <c r="L770" i="24"/>
  <c r="K351" i="24"/>
  <c r="O351" i="24"/>
  <c r="H351" i="24"/>
  <c r="N351" i="24"/>
  <c r="P351" i="24"/>
  <c r="L351" i="24"/>
  <c r="M351" i="24"/>
  <c r="J351" i="24"/>
  <c r="I351" i="24"/>
  <c r="L345" i="24"/>
  <c r="I345" i="24"/>
  <c r="H345" i="24"/>
  <c r="J345" i="24"/>
  <c r="O345" i="24"/>
  <c r="P345" i="24"/>
  <c r="K345" i="24"/>
  <c r="M345" i="24"/>
  <c r="N345" i="24"/>
  <c r="H165" i="24"/>
  <c r="I165" i="24"/>
  <c r="J165" i="24"/>
  <c r="K165" i="24"/>
  <c r="L165" i="24"/>
  <c r="N165" i="24"/>
  <c r="P165" i="24"/>
  <c r="M165" i="24"/>
  <c r="O165" i="24"/>
  <c r="J164" i="24"/>
  <c r="L164" i="24"/>
  <c r="M164" i="24"/>
  <c r="N164" i="24"/>
  <c r="H164" i="24"/>
  <c r="O164" i="24"/>
  <c r="P164" i="24"/>
  <c r="K164" i="24"/>
  <c r="I164" i="24"/>
  <c r="M158" i="24"/>
  <c r="N158" i="24"/>
  <c r="O158" i="24"/>
  <c r="P158" i="24"/>
  <c r="I158" i="24"/>
  <c r="H158" i="24"/>
  <c r="J158" i="24"/>
  <c r="K158" i="24"/>
  <c r="L158" i="24"/>
  <c r="L627" i="24"/>
  <c r="K627" i="24"/>
  <c r="O14" i="24"/>
  <c r="P14" i="24"/>
  <c r="J487" i="24"/>
  <c r="N487" i="24"/>
  <c r="H726" i="24"/>
  <c r="I726" i="24"/>
  <c r="K726" i="24"/>
  <c r="L726" i="24"/>
  <c r="M726" i="24"/>
  <c r="N726" i="24"/>
  <c r="O726" i="24"/>
  <c r="J726" i="24"/>
  <c r="P726" i="24"/>
  <c r="I455" i="24"/>
  <c r="P455" i="24"/>
  <c r="O455" i="24"/>
  <c r="N455" i="24"/>
  <c r="M455" i="24"/>
  <c r="H455" i="24"/>
  <c r="J455" i="24"/>
  <c r="K455" i="24"/>
  <c r="J486" i="24"/>
  <c r="I486" i="24"/>
  <c r="P486" i="24"/>
  <c r="O486" i="24"/>
  <c r="K486" i="24"/>
  <c r="H486" i="24"/>
  <c r="N486" i="24"/>
  <c r="M486" i="24"/>
  <c r="L486" i="24"/>
  <c r="H778" i="24"/>
  <c r="I778" i="24"/>
  <c r="J778" i="24"/>
  <c r="L769" i="24"/>
  <c r="H769" i="24"/>
  <c r="I769" i="24"/>
  <c r="J769" i="24"/>
  <c r="K769" i="24"/>
  <c r="M769" i="24"/>
  <c r="N769" i="24"/>
  <c r="P769" i="24"/>
  <c r="O769" i="24"/>
  <c r="N770" i="24"/>
  <c r="H770" i="24"/>
  <c r="M770" i="24"/>
  <c r="K770" i="24"/>
  <c r="P770" i="24"/>
  <c r="L482" i="24"/>
  <c r="N482" i="24"/>
  <c r="P482" i="24"/>
  <c r="J482" i="24"/>
  <c r="M482" i="24"/>
  <c r="H482" i="24"/>
  <c r="O482" i="24"/>
  <c r="I482" i="24"/>
  <c r="K482" i="24"/>
  <c r="I481" i="24"/>
  <c r="K481" i="24"/>
  <c r="J481" i="24"/>
  <c r="N481" i="24"/>
  <c r="M481" i="24"/>
  <c r="O481" i="24"/>
  <c r="L481" i="24"/>
  <c r="O768" i="24"/>
  <c r="M768" i="24"/>
  <c r="K768" i="24"/>
  <c r="I768" i="24"/>
  <c r="L768" i="24"/>
  <c r="H768" i="24"/>
  <c r="P768" i="24"/>
  <c r="P793" i="24"/>
  <c r="O793" i="24"/>
  <c r="N793" i="24"/>
  <c r="M793" i="24"/>
  <c r="L793" i="24"/>
  <c r="K793" i="24"/>
  <c r="J793" i="24"/>
  <c r="I793" i="24"/>
  <c r="H793" i="24"/>
  <c r="K716" i="24"/>
  <c r="J716" i="24"/>
  <c r="L716" i="24"/>
  <c r="N716" i="24"/>
  <c r="O716" i="24"/>
  <c r="P716" i="24"/>
  <c r="H716" i="24"/>
  <c r="M716" i="24"/>
  <c r="I716" i="24"/>
  <c r="L532" i="24"/>
  <c r="M532" i="24"/>
  <c r="N532" i="24"/>
  <c r="I532" i="24"/>
  <c r="J532" i="24"/>
  <c r="O532" i="24"/>
  <c r="K532" i="24"/>
  <c r="H532" i="24"/>
  <c r="P532" i="24"/>
  <c r="H517" i="24"/>
  <c r="I517" i="24"/>
  <c r="M517" i="24"/>
  <c r="J517" i="24"/>
  <c r="N517" i="24"/>
  <c r="K517" i="24"/>
  <c r="O517" i="24"/>
  <c r="L517" i="24"/>
  <c r="P517" i="24"/>
  <c r="I544" i="24"/>
  <c r="J544" i="24"/>
  <c r="L544" i="24"/>
  <c r="P544" i="24"/>
  <c r="N544" i="24"/>
  <c r="H544" i="24"/>
  <c r="O544" i="24"/>
  <c r="K544" i="24"/>
  <c r="M544" i="24"/>
  <c r="P537" i="24"/>
  <c r="H537" i="24"/>
  <c r="L537" i="24"/>
  <c r="K537" i="24"/>
  <c r="J537" i="24"/>
  <c r="O537" i="24"/>
  <c r="I537" i="24"/>
  <c r="M537" i="24"/>
  <c r="N537" i="24"/>
  <c r="O447" i="24"/>
  <c r="N447" i="24"/>
  <c r="P447" i="24"/>
  <c r="I447" i="24"/>
  <c r="H447" i="24"/>
  <c r="M447" i="24"/>
  <c r="K447" i="24"/>
  <c r="L447" i="24"/>
  <c r="J447" i="24"/>
  <c r="H609" i="24"/>
  <c r="M609" i="24"/>
  <c r="N609" i="24"/>
  <c r="P609" i="24"/>
  <c r="O609" i="24"/>
  <c r="J538" i="24"/>
  <c r="M538" i="24"/>
  <c r="K538" i="24"/>
  <c r="P538" i="24"/>
  <c r="H538" i="24"/>
  <c r="I538" i="24"/>
  <c r="L538" i="24"/>
  <c r="N538" i="24"/>
  <c r="O538" i="24"/>
  <c r="K437" i="24"/>
  <c r="I437" i="24"/>
  <c r="O437" i="24"/>
  <c r="N437" i="24"/>
  <c r="M437" i="24"/>
  <c r="L437" i="24"/>
  <c r="K331" i="24"/>
  <c r="P331" i="24"/>
  <c r="N331" i="24"/>
  <c r="I331" i="24"/>
  <c r="H331" i="24"/>
  <c r="L331" i="24"/>
  <c r="O331" i="24"/>
  <c r="J331" i="24"/>
  <c r="M331" i="24"/>
  <c r="J443" i="24"/>
  <c r="H443" i="24"/>
  <c r="I443" i="24"/>
  <c r="O443" i="24"/>
  <c r="N443" i="24"/>
  <c r="M443" i="24"/>
  <c r="K443" i="24"/>
  <c r="P443" i="24"/>
  <c r="L443" i="24"/>
  <c r="K435" i="24"/>
  <c r="M435" i="24"/>
  <c r="J435" i="24"/>
  <c r="L435" i="24"/>
  <c r="P435" i="24"/>
  <c r="O435" i="24"/>
  <c r="N435" i="24"/>
  <c r="H435" i="24"/>
  <c r="I435" i="24"/>
  <c r="J180" i="24"/>
  <c r="K180" i="24"/>
  <c r="P180" i="24"/>
  <c r="L180" i="24"/>
  <c r="O180" i="24"/>
  <c r="M180" i="24"/>
  <c r="I180" i="24"/>
  <c r="H180" i="24"/>
  <c r="N180" i="24"/>
  <c r="O539" i="24"/>
  <c r="J539" i="24"/>
  <c r="L539" i="24"/>
  <c r="N539" i="24"/>
  <c r="P539" i="24"/>
  <c r="K539" i="24"/>
  <c r="M539" i="24"/>
  <c r="I539" i="24"/>
  <c r="H539" i="24"/>
  <c r="O523" i="24"/>
  <c r="P523" i="24"/>
  <c r="N523" i="24"/>
  <c r="H523" i="24"/>
  <c r="M523" i="24"/>
  <c r="L523" i="24"/>
  <c r="K523" i="24"/>
  <c r="J523" i="24"/>
  <c r="I523" i="24"/>
  <c r="H511" i="24"/>
  <c r="K511" i="24"/>
  <c r="M511" i="24"/>
  <c r="J511" i="24"/>
  <c r="N511" i="24"/>
  <c r="I511" i="24"/>
  <c r="O511" i="24"/>
  <c r="P511" i="24"/>
  <c r="L511" i="24"/>
  <c r="O691" i="24"/>
  <c r="P691" i="24"/>
  <c r="H691" i="24"/>
  <c r="I691" i="24"/>
  <c r="J691" i="24"/>
  <c r="K691" i="24"/>
  <c r="L691" i="24"/>
  <c r="M691" i="24"/>
  <c r="N691" i="24"/>
  <c r="O163" i="24"/>
  <c r="J163" i="24"/>
  <c r="N163" i="24"/>
  <c r="K163" i="24"/>
  <c r="M163" i="24"/>
  <c r="L163" i="24"/>
  <c r="P163" i="24"/>
  <c r="H163" i="24"/>
  <c r="I163" i="24"/>
  <c r="N440" i="24"/>
  <c r="O440" i="24"/>
  <c r="P627" i="24"/>
  <c r="O627" i="24"/>
  <c r="N627" i="24"/>
  <c r="M627" i="24"/>
  <c r="J515" i="24"/>
  <c r="K515" i="24"/>
  <c r="P515" i="24"/>
  <c r="H515" i="24"/>
  <c r="I515" i="24"/>
  <c r="M515" i="24"/>
  <c r="O515" i="24"/>
  <c r="N515" i="24"/>
  <c r="L515" i="24"/>
  <c r="N514" i="24"/>
  <c r="J514" i="24"/>
  <c r="O514" i="24"/>
  <c r="I514" i="24"/>
  <c r="P514" i="24"/>
  <c r="H514" i="24"/>
  <c r="L514" i="24"/>
  <c r="K514" i="24"/>
  <c r="M514" i="24"/>
  <c r="J510" i="24"/>
  <c r="K510" i="24"/>
  <c r="I510" i="24"/>
  <c r="P510" i="24"/>
  <c r="L510" i="24"/>
  <c r="M510" i="24"/>
  <c r="O510" i="24"/>
  <c r="H510" i="24"/>
  <c r="N510" i="24"/>
  <c r="H441" i="24"/>
  <c r="P441" i="24"/>
  <c r="N441" i="24"/>
  <c r="M441" i="24"/>
  <c r="K441" i="24"/>
  <c r="O441" i="24"/>
  <c r="I441" i="24"/>
  <c r="J441" i="24"/>
  <c r="L441" i="24"/>
  <c r="P333" i="24"/>
  <c r="M333" i="24"/>
  <c r="K333" i="24"/>
  <c r="J333" i="24"/>
  <c r="H333" i="24"/>
  <c r="N333" i="24"/>
  <c r="I333" i="24"/>
  <c r="O333" i="24"/>
  <c r="L333" i="24"/>
  <c r="N525" i="24"/>
  <c r="P525" i="24"/>
  <c r="O525" i="24"/>
  <c r="K525" i="24"/>
  <c r="L525" i="24"/>
  <c r="M525" i="24"/>
  <c r="J525" i="24"/>
  <c r="I525" i="24"/>
  <c r="H525" i="24"/>
  <c r="I322" i="24"/>
  <c r="K322" i="24"/>
  <c r="L322" i="24"/>
  <c r="N322" i="24"/>
  <c r="J322" i="24"/>
  <c r="O322" i="24"/>
  <c r="M322" i="24"/>
  <c r="H322" i="24"/>
  <c r="P322" i="24"/>
  <c r="I25" i="24"/>
  <c r="J25" i="24"/>
  <c r="H25" i="24"/>
  <c r="P25" i="24"/>
  <c r="K25" i="24"/>
  <c r="L25" i="24"/>
  <c r="M25" i="24"/>
  <c r="N25" i="24"/>
  <c r="O25" i="24"/>
  <c r="M403" i="24"/>
  <c r="K403" i="24"/>
  <c r="N403" i="24"/>
  <c r="J403" i="24"/>
  <c r="H403" i="24"/>
  <c r="P403" i="24"/>
  <c r="O403" i="24"/>
  <c r="I403" i="24"/>
  <c r="L403" i="24"/>
  <c r="K568" i="24"/>
  <c r="P568" i="24"/>
  <c r="N568" i="24"/>
  <c r="L568" i="24"/>
  <c r="O568" i="24"/>
  <c r="H568" i="24"/>
  <c r="M568" i="24"/>
  <c r="I568" i="24"/>
  <c r="J568" i="24"/>
  <c r="M29" i="24"/>
  <c r="I29" i="24"/>
  <c r="P29" i="24"/>
  <c r="K29" i="24"/>
  <c r="J29" i="24"/>
  <c r="O29" i="24"/>
  <c r="L29" i="24"/>
  <c r="N29" i="24"/>
  <c r="H29" i="24"/>
  <c r="M21" i="24"/>
  <c r="P21" i="24"/>
  <c r="O21" i="24"/>
  <c r="N21" i="24"/>
  <c r="L21" i="24"/>
  <c r="K21" i="24"/>
  <c r="I21" i="24"/>
  <c r="H21" i="24"/>
  <c r="J21" i="24"/>
  <c r="P20" i="24"/>
  <c r="K20" i="24"/>
  <c r="J20" i="24"/>
  <c r="H20" i="24"/>
  <c r="L20" i="24"/>
  <c r="I20" i="24"/>
  <c r="O20" i="24"/>
  <c r="N20" i="24"/>
  <c r="M20" i="24"/>
  <c r="P638" i="24"/>
  <c r="O638" i="24"/>
  <c r="H638" i="24"/>
  <c r="I638" i="24"/>
  <c r="J638" i="24"/>
  <c r="K638" i="24"/>
  <c r="L638" i="24"/>
  <c r="M638" i="24"/>
  <c r="N638" i="24"/>
  <c r="O571" i="24"/>
  <c r="N571" i="24"/>
  <c r="P571" i="24"/>
  <c r="I571" i="24"/>
  <c r="L571" i="24"/>
  <c r="J571" i="24"/>
  <c r="H571" i="24"/>
  <c r="K571" i="24"/>
  <c r="M571" i="24"/>
  <c r="I564" i="24"/>
  <c r="J564" i="24"/>
  <c r="L564" i="24"/>
  <c r="P564" i="24"/>
  <c r="K564" i="24"/>
  <c r="M564" i="24"/>
  <c r="N564" i="24"/>
  <c r="O564" i="24"/>
  <c r="H564" i="24"/>
  <c r="P22" i="24"/>
  <c r="O22" i="24"/>
  <c r="N22" i="24"/>
  <c r="M22" i="24"/>
  <c r="L22" i="24"/>
  <c r="K22" i="24"/>
  <c r="J22" i="24"/>
  <c r="I22" i="24"/>
  <c r="H22" i="24"/>
  <c r="M407" i="24"/>
  <c r="I407" i="24"/>
  <c r="K407" i="24"/>
  <c r="H407" i="24"/>
  <c r="P407" i="24"/>
  <c r="O407" i="24"/>
  <c r="J407" i="24"/>
  <c r="N407" i="24"/>
  <c r="L407" i="24"/>
  <c r="H328" i="24"/>
  <c r="K328" i="24"/>
  <c r="J328" i="24"/>
  <c r="I328" i="24"/>
  <c r="M328" i="24"/>
  <c r="P328" i="24"/>
  <c r="O328" i="24"/>
  <c r="N328" i="24"/>
  <c r="L328" i="24"/>
  <c r="P26" i="24"/>
  <c r="O26" i="24"/>
  <c r="N26" i="24"/>
  <c r="M26" i="24"/>
  <c r="L26" i="24"/>
  <c r="K26" i="24"/>
  <c r="J26" i="24"/>
  <c r="I26" i="24"/>
  <c r="H26" i="24"/>
  <c r="M16" i="24"/>
  <c r="H16" i="24"/>
  <c r="I16" i="24"/>
  <c r="K16" i="24"/>
  <c r="L16" i="24"/>
  <c r="N16" i="24"/>
  <c r="O16" i="24"/>
  <c r="P16" i="24"/>
  <c r="J16" i="24"/>
  <c r="H711" i="24"/>
  <c r="I711" i="24"/>
  <c r="L711" i="24"/>
  <c r="N650" i="24"/>
  <c r="O650" i="24"/>
  <c r="P650" i="24"/>
  <c r="L650" i="24"/>
  <c r="H650" i="24"/>
  <c r="J650" i="24"/>
  <c r="M650" i="24"/>
  <c r="I650" i="24"/>
  <c r="K650" i="24"/>
  <c r="N639" i="24"/>
  <c r="I639" i="24"/>
  <c r="M639" i="24"/>
  <c r="L639" i="24"/>
  <c r="K639" i="24"/>
  <c r="P639" i="24"/>
  <c r="H639" i="24"/>
  <c r="O639" i="24"/>
  <c r="J639" i="24"/>
  <c r="P574" i="24"/>
  <c r="I574" i="24"/>
  <c r="M574" i="24"/>
  <c r="J574" i="24"/>
  <c r="N574" i="24"/>
  <c r="L574" i="24"/>
  <c r="O574" i="24"/>
  <c r="K574" i="24"/>
  <c r="H574" i="24"/>
  <c r="I434" i="24"/>
  <c r="J434" i="24"/>
  <c r="K434" i="24"/>
  <c r="N434" i="24"/>
  <c r="O434" i="24"/>
  <c r="P434" i="24"/>
  <c r="L434" i="24"/>
  <c r="H434" i="24"/>
  <c r="M434" i="24"/>
  <c r="N391" i="24"/>
  <c r="H391" i="24"/>
  <c r="I391" i="24"/>
  <c r="K391" i="24"/>
  <c r="L391" i="24"/>
  <c r="M391" i="24"/>
  <c r="O391" i="24"/>
  <c r="P391" i="24"/>
  <c r="J391" i="24"/>
  <c r="O642" i="24"/>
  <c r="N642" i="24"/>
  <c r="M642" i="24"/>
  <c r="P642" i="24"/>
  <c r="K642" i="24"/>
  <c r="J642" i="24"/>
  <c r="I642" i="24"/>
  <c r="L642" i="24"/>
  <c r="H642" i="24"/>
  <c r="M227" i="24"/>
  <c r="H227" i="24"/>
  <c r="I227" i="24"/>
  <c r="P227" i="24"/>
  <c r="K227" i="24"/>
  <c r="H531" i="24"/>
  <c r="I531" i="24"/>
  <c r="M531" i="24"/>
  <c r="J531" i="24"/>
  <c r="L531" i="24"/>
  <c r="P531" i="24"/>
  <c r="K531" i="24"/>
  <c r="N531" i="24"/>
  <c r="O531" i="24"/>
  <c r="M470" i="24"/>
  <c r="H470" i="24"/>
  <c r="P470" i="24"/>
  <c r="L470" i="24"/>
  <c r="J470" i="24"/>
  <c r="N470" i="24"/>
  <c r="I470" i="24"/>
  <c r="O470" i="24"/>
  <c r="K470" i="24"/>
  <c r="K355" i="24"/>
  <c r="I355" i="24"/>
  <c r="O355" i="24"/>
  <c r="L355" i="24"/>
  <c r="N355" i="24"/>
  <c r="J355" i="24"/>
  <c r="P355" i="24"/>
  <c r="H355" i="24"/>
  <c r="M355" i="24"/>
  <c r="H718" i="24"/>
  <c r="P718" i="24"/>
  <c r="O718" i="24"/>
  <c r="M718" i="24"/>
  <c r="L718" i="24"/>
  <c r="K718" i="24"/>
  <c r="J718" i="24"/>
  <c r="I718" i="24"/>
  <c r="N718" i="24"/>
  <c r="I708" i="24"/>
  <c r="K708" i="24"/>
  <c r="M644" i="24"/>
  <c r="O644" i="24"/>
  <c r="H644" i="24"/>
  <c r="J644" i="24"/>
  <c r="L644" i="24"/>
  <c r="P644" i="24"/>
  <c r="N644" i="24"/>
  <c r="I644" i="24"/>
  <c r="K644" i="24"/>
  <c r="O641" i="24"/>
  <c r="L641" i="24"/>
  <c r="H641" i="24"/>
  <c r="J641" i="24"/>
  <c r="K641" i="24"/>
  <c r="M641" i="24"/>
  <c r="N641" i="24"/>
  <c r="P641" i="24"/>
  <c r="I641" i="24"/>
  <c r="K628" i="24"/>
  <c r="O628" i="24"/>
  <c r="L628" i="24"/>
  <c r="P628" i="24"/>
  <c r="I628" i="24"/>
  <c r="N628" i="24"/>
  <c r="M628" i="24"/>
  <c r="H628" i="24"/>
  <c r="J628" i="24"/>
  <c r="P437" i="24"/>
  <c r="H437" i="24"/>
  <c r="J437" i="24"/>
  <c r="I709" i="24"/>
  <c r="J709" i="24"/>
  <c r="K709" i="24"/>
  <c r="L709" i="24"/>
  <c r="M709" i="24"/>
  <c r="N709" i="24"/>
  <c r="O709" i="24"/>
  <c r="H709" i="24"/>
  <c r="P709" i="24"/>
  <c r="N280" i="24"/>
  <c r="H280" i="24"/>
  <c r="L280" i="24"/>
  <c r="I280" i="24"/>
  <c r="O280" i="24"/>
  <c r="K280" i="24"/>
  <c r="P280" i="24"/>
  <c r="M280" i="24"/>
  <c r="J280" i="24"/>
  <c r="P558" i="24"/>
  <c r="O558" i="24"/>
  <c r="N558" i="24"/>
  <c r="M558" i="24"/>
  <c r="L558" i="24"/>
  <c r="K558" i="24"/>
  <c r="H558" i="24"/>
  <c r="I558" i="24"/>
  <c r="J558" i="24"/>
  <c r="N653" i="24"/>
  <c r="P653" i="24"/>
  <c r="L653" i="24"/>
  <c r="O653" i="24"/>
  <c r="M653" i="24"/>
  <c r="K653" i="24"/>
  <c r="I653" i="24"/>
  <c r="L229" i="24"/>
  <c r="O229" i="24"/>
  <c r="M229" i="24"/>
  <c r="H229" i="24"/>
  <c r="J229" i="24"/>
  <c r="K229" i="24"/>
  <c r="P229" i="24"/>
  <c r="I229" i="24"/>
  <c r="N229" i="24"/>
  <c r="M471" i="24"/>
  <c r="I471" i="24"/>
  <c r="P471" i="24"/>
  <c r="K471" i="24"/>
  <c r="H471" i="24"/>
  <c r="J471" i="24"/>
  <c r="O471" i="24"/>
  <c r="N471" i="24"/>
  <c r="L471" i="24"/>
  <c r="H469" i="24"/>
  <c r="L469" i="24"/>
  <c r="I469" i="24"/>
  <c r="P469" i="24"/>
  <c r="N469" i="24"/>
  <c r="J469" i="24"/>
  <c r="K469" i="24"/>
  <c r="O469" i="24"/>
  <c r="M469" i="24"/>
  <c r="N375" i="24"/>
  <c r="O375" i="24"/>
  <c r="I375" i="24"/>
  <c r="M375" i="24"/>
  <c r="J375" i="24"/>
  <c r="L375" i="24"/>
  <c r="K375" i="24"/>
  <c r="H375" i="24"/>
  <c r="P375" i="24"/>
  <c r="J363" i="24"/>
  <c r="I363" i="24"/>
  <c r="H363" i="24"/>
  <c r="N593" i="24"/>
  <c r="M593" i="24"/>
  <c r="O593" i="24"/>
  <c r="P593" i="24"/>
  <c r="H593" i="24"/>
  <c r="J593" i="24"/>
  <c r="K593" i="24"/>
  <c r="L593" i="24"/>
  <c r="I593" i="24"/>
  <c r="K373" i="24"/>
  <c r="I373" i="24"/>
  <c r="J373" i="24"/>
  <c r="L373" i="24"/>
  <c r="M373" i="24"/>
  <c r="N373" i="24"/>
  <c r="O373" i="24"/>
  <c r="P373" i="24"/>
  <c r="H373" i="24"/>
  <c r="I569" i="24"/>
  <c r="M569" i="24"/>
  <c r="P569" i="24"/>
  <c r="L569" i="24"/>
  <c r="H569" i="24"/>
  <c r="K569" i="24"/>
  <c r="O569" i="24"/>
  <c r="J569" i="24"/>
  <c r="N569" i="24"/>
  <c r="H556" i="24"/>
  <c r="P556" i="24"/>
  <c r="L556" i="24"/>
  <c r="O556" i="24"/>
  <c r="M556" i="24"/>
  <c r="K556" i="24"/>
  <c r="I556" i="24"/>
  <c r="N556" i="24"/>
  <c r="J556" i="24"/>
  <c r="K501" i="24"/>
  <c r="H501" i="24"/>
  <c r="O501" i="24"/>
  <c r="J501" i="24"/>
  <c r="I501" i="24"/>
  <c r="L501" i="24"/>
  <c r="M501" i="24"/>
  <c r="N501" i="24"/>
  <c r="P501" i="24"/>
  <c r="O389" i="24"/>
  <c r="N389" i="24"/>
  <c r="M389" i="24"/>
  <c r="L389" i="24"/>
  <c r="K389" i="24"/>
  <c r="I389" i="24"/>
  <c r="H389" i="24"/>
  <c r="J389" i="24"/>
  <c r="P389" i="24"/>
  <c r="M387" i="24"/>
  <c r="H387" i="24"/>
  <c r="K387" i="24"/>
  <c r="I387" i="24"/>
  <c r="J387" i="24"/>
  <c r="L387" i="24"/>
  <c r="P387" i="24"/>
  <c r="N387" i="24"/>
  <c r="O387" i="24"/>
  <c r="P352" i="24"/>
  <c r="N352" i="24"/>
  <c r="I352" i="24"/>
  <c r="L352" i="24"/>
  <c r="H352" i="24"/>
  <c r="J352" i="24"/>
  <c r="K352" i="24"/>
  <c r="O352" i="24"/>
  <c r="M352" i="24"/>
  <c r="P34" i="24"/>
  <c r="M34" i="24"/>
  <c r="O34" i="24"/>
  <c r="N34" i="24"/>
  <c r="H34" i="24"/>
  <c r="I34" i="24"/>
  <c r="K34" i="24"/>
  <c r="J34" i="24"/>
  <c r="L34" i="24"/>
  <c r="L559" i="24"/>
  <c r="M559" i="24"/>
  <c r="I559" i="24"/>
  <c r="K559" i="24"/>
  <c r="O559" i="24"/>
  <c r="P559" i="24"/>
  <c r="H559" i="24"/>
  <c r="J559" i="24"/>
  <c r="N559" i="24"/>
  <c r="M474" i="24"/>
  <c r="K474" i="24"/>
  <c r="J474" i="24"/>
  <c r="L474" i="24"/>
  <c r="I474" i="24"/>
  <c r="N474" i="24"/>
  <c r="H474" i="24"/>
  <c r="P474" i="24"/>
  <c r="O474" i="24"/>
  <c r="J344" i="24"/>
  <c r="P344" i="24"/>
  <c r="M344" i="24"/>
  <c r="L344" i="24"/>
  <c r="H344" i="24"/>
  <c r="N344" i="24"/>
  <c r="O344" i="24"/>
  <c r="I344" i="24"/>
  <c r="K344" i="24"/>
  <c r="P371" i="24"/>
  <c r="L371" i="24"/>
  <c r="M371" i="24"/>
  <c r="O371" i="24"/>
  <c r="I371" i="24"/>
  <c r="K371" i="24"/>
  <c r="N371" i="24"/>
  <c r="J371" i="24"/>
  <c r="H371" i="24"/>
  <c r="K330" i="24"/>
  <c r="N330" i="24"/>
  <c r="H330" i="24"/>
  <c r="L330" i="24"/>
  <c r="P330" i="24"/>
  <c r="I330" i="24"/>
  <c r="J330" i="24"/>
  <c r="M330" i="24"/>
  <c r="O330" i="24"/>
  <c r="M45" i="24"/>
  <c r="P45" i="24"/>
  <c r="O45" i="24"/>
  <c r="K45" i="24"/>
  <c r="N45" i="24"/>
  <c r="H45" i="24"/>
  <c r="I45" i="24"/>
  <c r="J45" i="24"/>
  <c r="L45" i="24"/>
  <c r="I651" i="24"/>
  <c r="H651" i="24"/>
  <c r="P651" i="24"/>
  <c r="J651" i="24"/>
  <c r="M651" i="24"/>
  <c r="L651" i="24"/>
  <c r="K651" i="24"/>
  <c r="O651" i="24"/>
  <c r="N651" i="24"/>
  <c r="I645" i="24"/>
  <c r="M645" i="24"/>
  <c r="J645" i="24"/>
  <c r="H645" i="24"/>
  <c r="P645" i="24"/>
  <c r="O645" i="24"/>
  <c r="N645" i="24"/>
  <c r="L645" i="24"/>
  <c r="K645" i="24"/>
  <c r="J282" i="24"/>
  <c r="P282" i="24"/>
  <c r="N282" i="24"/>
  <c r="H282" i="24"/>
  <c r="K282" i="24"/>
  <c r="M282" i="24"/>
  <c r="L282" i="24"/>
  <c r="I282" i="24"/>
  <c r="O282" i="24"/>
  <c r="L646" i="24"/>
  <c r="K646" i="24"/>
  <c r="H646" i="24"/>
  <c r="P646" i="24"/>
  <c r="O646" i="24"/>
  <c r="N646" i="24"/>
  <c r="M646" i="24"/>
  <c r="J646" i="24"/>
  <c r="I646" i="24"/>
  <c r="J643" i="24"/>
  <c r="K643" i="24"/>
  <c r="M643" i="24"/>
  <c r="I643" i="24"/>
  <c r="H643" i="24"/>
  <c r="P643" i="24"/>
  <c r="O643" i="24"/>
  <c r="N643" i="24"/>
  <c r="L643" i="24"/>
  <c r="K36" i="24"/>
  <c r="I36" i="24"/>
  <c r="P36" i="24"/>
  <c r="H36" i="24"/>
  <c r="O36" i="24"/>
  <c r="J36" i="24"/>
  <c r="N36" i="24"/>
  <c r="M36" i="24"/>
  <c r="L36" i="24"/>
  <c r="N565" i="24"/>
  <c r="J565" i="24"/>
  <c r="K565" i="24"/>
  <c r="L565" i="24"/>
  <c r="M565" i="24"/>
  <c r="O565" i="24"/>
  <c r="P565" i="24"/>
  <c r="I565" i="24"/>
  <c r="H565" i="24"/>
  <c r="K432" i="24"/>
  <c r="L432" i="24"/>
  <c r="I432" i="24"/>
  <c r="J432" i="24"/>
  <c r="N432" i="24"/>
  <c r="O432" i="24"/>
  <c r="M432" i="24"/>
  <c r="H432" i="24"/>
  <c r="P432" i="24"/>
  <c r="L423" i="24"/>
  <c r="O423" i="24"/>
  <c r="N423" i="24"/>
  <c r="K423" i="24"/>
  <c r="N462" i="24"/>
  <c r="J462" i="24"/>
  <c r="P462" i="24"/>
  <c r="M462" i="24"/>
  <c r="L462" i="24"/>
  <c r="H462" i="24"/>
  <c r="K462" i="24"/>
  <c r="O462" i="24"/>
  <c r="I462" i="24"/>
  <c r="J40" i="24"/>
  <c r="I40" i="24"/>
  <c r="H40" i="24"/>
  <c r="L40" i="24"/>
  <c r="K40" i="24"/>
  <c r="N40" i="24"/>
  <c r="M40" i="24"/>
  <c r="H570" i="24"/>
  <c r="J570" i="24"/>
  <c r="K570" i="24"/>
  <c r="L570" i="24"/>
  <c r="M570" i="24"/>
  <c r="N570" i="24"/>
  <c r="O570" i="24"/>
  <c r="P570" i="24"/>
  <c r="I570" i="24"/>
  <c r="I76" i="24"/>
  <c r="P76" i="24"/>
  <c r="M76" i="24"/>
  <c r="N76" i="24"/>
  <c r="O76" i="24"/>
  <c r="J76" i="24"/>
  <c r="K76" i="24"/>
  <c r="L76" i="24"/>
  <c r="H76" i="24"/>
  <c r="P84" i="24"/>
  <c r="O84" i="24"/>
  <c r="N84" i="24"/>
  <c r="L84" i="24"/>
  <c r="K84" i="24"/>
  <c r="M84" i="24"/>
  <c r="M707" i="24"/>
  <c r="O707" i="24"/>
  <c r="K707" i="24"/>
  <c r="N707" i="24"/>
  <c r="L707" i="24"/>
  <c r="H707" i="24"/>
  <c r="P707" i="24"/>
  <c r="J707" i="24"/>
  <c r="I707" i="24"/>
  <c r="O227" i="24"/>
  <c r="J227" i="24"/>
  <c r="L227" i="24"/>
  <c r="N227" i="24"/>
  <c r="M708" i="24"/>
  <c r="P708" i="24"/>
  <c r="N708" i="24"/>
  <c r="J708" i="24"/>
  <c r="O708" i="24"/>
  <c r="H708" i="24"/>
  <c r="L708" i="24"/>
  <c r="K493" i="24"/>
  <c r="O493" i="24"/>
  <c r="L493" i="24"/>
  <c r="J493" i="24"/>
  <c r="I493" i="24"/>
  <c r="M493" i="24"/>
  <c r="H493" i="24"/>
  <c r="P493" i="24"/>
  <c r="N493" i="24"/>
  <c r="O792" i="24"/>
  <c r="N792" i="24"/>
  <c r="M792" i="24"/>
  <c r="L792" i="24"/>
  <c r="K792" i="24"/>
  <c r="J792" i="24"/>
  <c r="I792" i="24"/>
  <c r="P792" i="24"/>
  <c r="H792" i="24"/>
  <c r="I492" i="24"/>
  <c r="N492" i="24"/>
  <c r="L492" i="24"/>
  <c r="H492" i="24"/>
  <c r="K492" i="24"/>
  <c r="J492" i="24"/>
  <c r="P492" i="24"/>
  <c r="O369" i="24"/>
  <c r="P369" i="24"/>
  <c r="H369" i="24"/>
  <c r="I369" i="24"/>
  <c r="J369" i="24"/>
  <c r="K369" i="24"/>
  <c r="L369" i="24"/>
  <c r="M369" i="24"/>
  <c r="N369" i="24"/>
  <c r="M572" i="24"/>
  <c r="K572" i="24"/>
  <c r="I572" i="24"/>
  <c r="P572" i="24"/>
  <c r="N572" i="24"/>
  <c r="L572" i="24"/>
  <c r="J572" i="24"/>
  <c r="H572" i="24"/>
  <c r="O572" i="24"/>
  <c r="O465" i="24"/>
  <c r="I465" i="24"/>
  <c r="J465" i="24"/>
  <c r="M465" i="24"/>
  <c r="N465" i="24"/>
  <c r="K465" i="24"/>
  <c r="P465" i="24"/>
  <c r="L465" i="24"/>
  <c r="H465" i="24"/>
  <c r="K368" i="24"/>
  <c r="J368" i="24"/>
  <c r="I368" i="24"/>
  <c r="H368" i="24"/>
  <c r="O368" i="24"/>
  <c r="P368" i="24"/>
  <c r="N368" i="24"/>
  <c r="M368" i="24"/>
  <c r="L368" i="24"/>
  <c r="K778" i="24"/>
  <c r="L778" i="24"/>
  <c r="P778" i="24"/>
  <c r="M778" i="24"/>
  <c r="N778" i="24"/>
  <c r="O778" i="24"/>
  <c r="K784" i="24"/>
  <c r="O784" i="24"/>
  <c r="P784" i="24"/>
  <c r="M784" i="24"/>
  <c r="J784" i="24"/>
  <c r="I784" i="24"/>
  <c r="L784" i="24"/>
  <c r="N784" i="24"/>
  <c r="H784" i="24"/>
  <c r="H481" i="24"/>
  <c r="P481" i="24"/>
  <c r="N480" i="24"/>
  <c r="J480" i="24"/>
  <c r="P480" i="24"/>
  <c r="L480" i="24"/>
  <c r="M480" i="24"/>
  <c r="K480" i="24"/>
  <c r="O480" i="24"/>
  <c r="H480" i="24"/>
  <c r="I480" i="24"/>
  <c r="H495" i="24"/>
  <c r="P495" i="24"/>
  <c r="O495" i="24"/>
  <c r="M495" i="24"/>
  <c r="L495" i="24"/>
  <c r="K495" i="24"/>
  <c r="I495" i="24"/>
  <c r="N495" i="24"/>
  <c r="J495" i="24"/>
  <c r="H57" i="24"/>
  <c r="I57" i="24"/>
  <c r="J57" i="24"/>
  <c r="K51" i="24"/>
  <c r="H51" i="24"/>
  <c r="I51" i="24"/>
  <c r="J51" i="24"/>
  <c r="L51" i="24"/>
  <c r="M51" i="24"/>
  <c r="N51" i="24"/>
  <c r="O51" i="24"/>
  <c r="P51" i="24"/>
  <c r="H50" i="24"/>
  <c r="I50" i="24"/>
  <c r="M497" i="24"/>
  <c r="J497" i="24"/>
  <c r="L497" i="24"/>
  <c r="O497" i="24"/>
  <c r="H497" i="24"/>
  <c r="P497" i="24"/>
  <c r="I497" i="24"/>
  <c r="N497" i="24"/>
  <c r="K497" i="24"/>
  <c r="K619" i="24"/>
  <c r="J619" i="24"/>
  <c r="I619" i="24"/>
  <c r="L619" i="24"/>
  <c r="H619" i="24"/>
  <c r="P604" i="24"/>
  <c r="H604" i="24"/>
  <c r="I604" i="24"/>
  <c r="J604" i="24"/>
  <c r="K604" i="24"/>
  <c r="L604" i="24"/>
  <c r="M604" i="24"/>
  <c r="N604" i="24"/>
  <c r="O604" i="24"/>
  <c r="H617" i="24"/>
  <c r="N617" i="24"/>
  <c r="M617" i="24"/>
  <c r="O617" i="24"/>
  <c r="L617" i="24"/>
  <c r="K617" i="24"/>
  <c r="J617" i="24"/>
  <c r="I617" i="24"/>
  <c r="P617" i="24"/>
  <c r="K603" i="24"/>
  <c r="L603" i="24"/>
  <c r="M603" i="24"/>
  <c r="N603" i="24"/>
  <c r="O603" i="24"/>
  <c r="P603" i="24"/>
  <c r="H603" i="24"/>
  <c r="I603" i="24"/>
  <c r="J603" i="24"/>
  <c r="I418" i="24"/>
  <c r="J418" i="24"/>
  <c r="K418" i="24"/>
  <c r="L418" i="24"/>
  <c r="M418" i="24"/>
  <c r="P418" i="24"/>
  <c r="O418" i="24"/>
  <c r="H418" i="24"/>
  <c r="N418" i="24"/>
  <c r="O550" i="24"/>
  <c r="H550" i="24"/>
  <c r="N550" i="24"/>
  <c r="P550" i="24"/>
  <c r="I550" i="24"/>
  <c r="M550" i="24"/>
  <c r="J550" i="24"/>
  <c r="K550" i="24"/>
  <c r="O363" i="24"/>
  <c r="N363" i="24"/>
  <c r="L363" i="24"/>
  <c r="K363" i="24"/>
  <c r="M363" i="24"/>
  <c r="P363" i="24"/>
  <c r="O492" i="24"/>
  <c r="M492" i="24"/>
  <c r="H657" i="24"/>
  <c r="I657" i="24"/>
  <c r="J657" i="24"/>
  <c r="K657" i="24"/>
  <c r="O657" i="24"/>
  <c r="P657" i="24"/>
  <c r="N657" i="24"/>
  <c r="M657" i="24"/>
  <c r="L657" i="24"/>
  <c r="O233" i="24"/>
  <c r="N233" i="24"/>
  <c r="L233" i="24"/>
  <c r="J233" i="24"/>
  <c r="H233" i="24"/>
  <c r="K233" i="24"/>
  <c r="I233" i="24"/>
  <c r="P233" i="24"/>
  <c r="M233" i="24"/>
  <c r="L152" i="24"/>
  <c r="I152" i="24"/>
  <c r="P152" i="24"/>
  <c r="J152" i="24"/>
  <c r="O152" i="24"/>
  <c r="K152" i="24"/>
  <c r="H152" i="24"/>
  <c r="M152" i="24"/>
  <c r="I358" i="24"/>
  <c r="H358" i="24"/>
  <c r="J358" i="24"/>
  <c r="P358" i="24"/>
  <c r="O358" i="24"/>
  <c r="N358" i="24"/>
  <c r="M358" i="24"/>
  <c r="L358" i="24"/>
  <c r="K358" i="24"/>
  <c r="M417" i="24"/>
  <c r="O417" i="24"/>
  <c r="I417" i="24"/>
  <c r="P417" i="24"/>
  <c r="K417" i="24"/>
  <c r="J417" i="24"/>
  <c r="N417" i="24"/>
  <c r="H417" i="24"/>
  <c r="L417" i="24"/>
  <c r="I423" i="24"/>
  <c r="H423" i="24"/>
  <c r="P423" i="24"/>
  <c r="M423" i="24"/>
  <c r="J423" i="24"/>
  <c r="K414" i="24"/>
  <c r="I414" i="24"/>
  <c r="L414" i="24"/>
  <c r="P414" i="24"/>
  <c r="N414" i="24"/>
  <c r="H414" i="24"/>
  <c r="O414" i="24"/>
  <c r="J414" i="24"/>
  <c r="M414" i="24"/>
  <c r="I347" i="24"/>
  <c r="O347" i="24"/>
  <c r="P347" i="24"/>
  <c r="H347" i="24"/>
  <c r="K347" i="24"/>
  <c r="L347" i="24"/>
  <c r="N347" i="24"/>
  <c r="M347" i="24"/>
  <c r="J347" i="24"/>
  <c r="K361" i="24"/>
  <c r="L361" i="24"/>
  <c r="N361" i="24"/>
  <c r="O361" i="24"/>
  <c r="P361" i="24"/>
  <c r="I361" i="24"/>
  <c r="M361" i="24"/>
  <c r="J361" i="24"/>
  <c r="H361" i="24"/>
  <c r="N348" i="24"/>
  <c r="H348" i="24"/>
  <c r="O348" i="24"/>
  <c r="M348" i="24"/>
  <c r="N360" i="24"/>
  <c r="P360" i="24"/>
  <c r="H360" i="24"/>
  <c r="O360" i="24"/>
  <c r="I360" i="24"/>
  <c r="J360" i="24"/>
  <c r="K360" i="24"/>
  <c r="L360" i="24"/>
  <c r="M360" i="24"/>
  <c r="I412" i="24"/>
  <c r="K412" i="24"/>
  <c r="M412" i="24"/>
  <c r="N412" i="24"/>
  <c r="L412" i="24"/>
  <c r="O412" i="24"/>
  <c r="J600" i="24"/>
  <c r="K600" i="24"/>
  <c r="L600" i="24"/>
  <c r="I600" i="24"/>
  <c r="H600" i="24"/>
  <c r="P600" i="24"/>
  <c r="O600" i="24"/>
  <c r="N600" i="24"/>
  <c r="M600" i="24"/>
  <c r="M598" i="24"/>
  <c r="N598" i="24"/>
  <c r="P598" i="24"/>
  <c r="O598" i="24"/>
  <c r="P490" i="24"/>
  <c r="J490" i="24"/>
  <c r="H490" i="24"/>
  <c r="K490" i="24"/>
  <c r="N490" i="24"/>
  <c r="I490" i="24"/>
  <c r="M490" i="24"/>
  <c r="O490" i="24"/>
  <c r="L490" i="24"/>
  <c r="I671" i="24"/>
  <c r="J671" i="24"/>
  <c r="K671" i="24"/>
  <c r="L671" i="24"/>
  <c r="M671" i="24"/>
  <c r="N671" i="24"/>
  <c r="O671" i="24"/>
  <c r="P671" i="24"/>
  <c r="H534" i="24"/>
  <c r="J534" i="24"/>
  <c r="P534" i="24"/>
  <c r="M534" i="24"/>
  <c r="N534" i="24"/>
  <c r="L534" i="24"/>
  <c r="O534" i="24"/>
  <c r="I534" i="24"/>
  <c r="K534" i="24"/>
  <c r="H598" i="24"/>
  <c r="L598" i="24"/>
  <c r="K598" i="24"/>
  <c r="J598" i="24"/>
  <c r="I598" i="24"/>
  <c r="J535" i="24"/>
  <c r="O535" i="24"/>
  <c r="H535" i="24"/>
  <c r="L535" i="24"/>
  <c r="N535" i="24"/>
  <c r="K535" i="24"/>
  <c r="P535" i="24"/>
  <c r="M535" i="24"/>
  <c r="I535" i="24"/>
  <c r="K451" i="24"/>
  <c r="M451" i="24"/>
  <c r="N451" i="24"/>
  <c r="O451" i="24"/>
  <c r="P451" i="24"/>
  <c r="L451" i="24"/>
  <c r="H451" i="24"/>
  <c r="I451" i="24"/>
  <c r="J451" i="24"/>
  <c r="I577" i="24"/>
  <c r="O577" i="24"/>
  <c r="H648" i="24"/>
  <c r="J648" i="24"/>
  <c r="I648" i="24"/>
  <c r="M419" i="24"/>
  <c r="L419" i="24"/>
  <c r="O419" i="24"/>
  <c r="H419" i="24"/>
  <c r="I419" i="24"/>
  <c r="K419" i="24"/>
  <c r="N419" i="24"/>
  <c r="J419" i="24"/>
  <c r="P419" i="24"/>
  <c r="H431" i="24"/>
  <c r="P431" i="24"/>
  <c r="M431" i="24"/>
  <c r="O431" i="24"/>
  <c r="L431" i="24"/>
  <c r="J431" i="24"/>
  <c r="N431" i="24"/>
  <c r="I431" i="24"/>
  <c r="K431" i="24"/>
  <c r="N428" i="24"/>
  <c r="O428" i="24"/>
  <c r="P428" i="24"/>
  <c r="L428" i="24"/>
  <c r="I428" i="24"/>
  <c r="J428" i="24"/>
  <c r="K428" i="24"/>
  <c r="H428" i="24"/>
  <c r="M428" i="24"/>
  <c r="I421" i="24"/>
  <c r="M421" i="24"/>
  <c r="O421" i="24"/>
  <c r="N421" i="24"/>
  <c r="H421" i="24"/>
  <c r="L421" i="24"/>
  <c r="K421" i="24"/>
  <c r="J421" i="24"/>
  <c r="P421" i="24"/>
  <c r="P425" i="24"/>
  <c r="O425" i="24"/>
  <c r="H425" i="24"/>
  <c r="I425" i="24"/>
  <c r="J425" i="24"/>
  <c r="M425" i="24"/>
  <c r="K425" i="24"/>
  <c r="L425" i="24"/>
  <c r="N425" i="24"/>
  <c r="O422" i="24"/>
  <c r="L422" i="24"/>
  <c r="H422" i="24"/>
  <c r="I422" i="24"/>
  <c r="J422" i="24"/>
  <c r="K422" i="24"/>
  <c r="N422" i="24"/>
  <c r="P422" i="24"/>
  <c r="M422" i="24"/>
  <c r="P332" i="24"/>
  <c r="H332" i="24"/>
  <c r="K332" i="24"/>
  <c r="L332" i="24"/>
  <c r="N332" i="24"/>
  <c r="O332" i="24"/>
  <c r="J332" i="24"/>
  <c r="M332" i="24"/>
  <c r="I332" i="24"/>
  <c r="H791" i="24"/>
  <c r="J791" i="24"/>
  <c r="K791" i="24"/>
  <c r="M791" i="24"/>
  <c r="N791" i="24"/>
  <c r="P791" i="24"/>
  <c r="I791" i="24"/>
  <c r="O791" i="24"/>
  <c r="L791" i="24"/>
  <c r="I336" i="24"/>
  <c r="M336" i="24"/>
  <c r="O336" i="24"/>
  <c r="P336" i="24"/>
  <c r="N336" i="24"/>
  <c r="L336" i="24"/>
  <c r="H336" i="24"/>
  <c r="K336" i="24"/>
  <c r="J336" i="24"/>
  <c r="L561" i="24"/>
  <c r="O561" i="24"/>
  <c r="J561" i="24"/>
  <c r="I561" i="24"/>
  <c r="N561" i="24"/>
  <c r="H561" i="24"/>
  <c r="P561" i="24"/>
  <c r="M561" i="24"/>
  <c r="K561" i="24"/>
  <c r="N450" i="24"/>
  <c r="L450" i="24"/>
  <c r="K450" i="24"/>
  <c r="J450" i="24"/>
  <c r="M450" i="24"/>
  <c r="I450" i="24"/>
  <c r="P450" i="24"/>
  <c r="H450" i="24"/>
  <c r="O450" i="24"/>
  <c r="N427" i="24"/>
  <c r="K427" i="24"/>
  <c r="L427" i="24"/>
  <c r="M427" i="24"/>
  <c r="J427" i="24"/>
  <c r="I427" i="24"/>
  <c r="H427" i="24"/>
  <c r="O427" i="24"/>
  <c r="P427" i="24"/>
  <c r="J776" i="24"/>
  <c r="K776" i="24"/>
  <c r="L776" i="24"/>
  <c r="M776" i="24"/>
  <c r="N776" i="24"/>
  <c r="O776" i="24"/>
  <c r="P776" i="24"/>
  <c r="I776" i="24"/>
  <c r="O409" i="24"/>
  <c r="L409" i="24"/>
  <c r="I409" i="24"/>
  <c r="J409" i="24"/>
  <c r="M409" i="24"/>
  <c r="P409" i="24"/>
  <c r="N409" i="24"/>
  <c r="K409" i="24"/>
  <c r="H409" i="24"/>
  <c r="L334" i="24"/>
  <c r="K334" i="24"/>
  <c r="I334" i="24"/>
  <c r="J334" i="24"/>
  <c r="M334" i="24"/>
  <c r="P334" i="24"/>
  <c r="O334" i="24"/>
  <c r="N334" i="24"/>
  <c r="H334" i="24"/>
  <c r="O772" i="24"/>
  <c r="N772" i="24"/>
  <c r="M772" i="24"/>
  <c r="L772" i="24"/>
  <c r="K772" i="24"/>
  <c r="J772" i="24"/>
  <c r="I772" i="24"/>
  <c r="H772" i="24"/>
  <c r="P772" i="24"/>
  <c r="H789" i="24"/>
  <c r="M789" i="24"/>
  <c r="J789" i="24"/>
  <c r="O789" i="24"/>
  <c r="P789" i="24"/>
  <c r="L789" i="24"/>
  <c r="I789" i="24"/>
  <c r="N789" i="24"/>
  <c r="K789" i="24"/>
  <c r="P38" i="24"/>
  <c r="H38" i="24"/>
  <c r="I38" i="24"/>
  <c r="J38" i="24"/>
  <c r="K38" i="24"/>
  <c r="L38" i="24"/>
  <c r="M38" i="24"/>
  <c r="N38" i="24"/>
  <c r="O38" i="24"/>
  <c r="I337" i="24"/>
  <c r="J337" i="24"/>
  <c r="H337" i="24"/>
  <c r="M337" i="24"/>
  <c r="N337" i="24"/>
  <c r="L337" i="24"/>
  <c r="P337" i="24"/>
  <c r="K337" i="24"/>
  <c r="O337" i="24"/>
  <c r="L335" i="24"/>
  <c r="H335" i="24"/>
  <c r="P335" i="24"/>
  <c r="I335" i="24"/>
  <c r="K335" i="24"/>
  <c r="J335" i="24"/>
  <c r="O335" i="24"/>
  <c r="N335" i="24"/>
  <c r="M335" i="24"/>
  <c r="H790" i="24"/>
  <c r="I790" i="24"/>
  <c r="L790" i="24"/>
  <c r="M790" i="24"/>
  <c r="O790" i="24"/>
  <c r="J790" i="24"/>
  <c r="K790" i="24"/>
  <c r="N790" i="24"/>
  <c r="P790" i="24"/>
  <c r="M774" i="24"/>
  <c r="I774" i="24"/>
  <c r="J774" i="24"/>
  <c r="K774" i="24"/>
  <c r="L774" i="24"/>
  <c r="H774" i="24"/>
  <c r="P774" i="24"/>
  <c r="O774" i="24"/>
  <c r="N774" i="24"/>
  <c r="K410" i="24"/>
  <c r="I410" i="24"/>
  <c r="I340" i="24"/>
  <c r="K340" i="24"/>
  <c r="P340" i="24"/>
  <c r="H340" i="24"/>
  <c r="M340" i="24"/>
  <c r="O340" i="24"/>
  <c r="N340" i="24"/>
  <c r="L340" i="24"/>
  <c r="J340" i="24"/>
  <c r="P338" i="24"/>
  <c r="I338" i="24"/>
  <c r="M338" i="24"/>
  <c r="L338" i="24"/>
  <c r="N338" i="24"/>
  <c r="H338" i="24"/>
  <c r="O338" i="24"/>
  <c r="J338" i="24"/>
  <c r="K338" i="24"/>
  <c r="N424" i="24"/>
  <c r="H424" i="24"/>
  <c r="M424" i="24"/>
  <c r="P424" i="24"/>
  <c r="I424" i="24"/>
  <c r="L424" i="24"/>
  <c r="O424" i="24"/>
  <c r="J424" i="24"/>
  <c r="K424" i="24"/>
  <c r="H41" i="24"/>
  <c r="K41" i="24"/>
  <c r="P41" i="24"/>
  <c r="O41" i="24"/>
  <c r="N41" i="24"/>
  <c r="M41" i="24"/>
  <c r="L41" i="24"/>
  <c r="J41" i="24"/>
  <c r="I41" i="24"/>
  <c r="P412" i="24"/>
  <c r="H412" i="24"/>
  <c r="J412" i="24"/>
  <c r="M406" i="24"/>
  <c r="L406" i="24"/>
  <c r="I406" i="24"/>
  <c r="N406" i="24"/>
  <c r="J406" i="24"/>
  <c r="H406" i="24"/>
  <c r="P406" i="24"/>
  <c r="O406" i="24"/>
  <c r="K406" i="24"/>
  <c r="K452" i="24"/>
  <c r="J452" i="24"/>
  <c r="I452" i="24"/>
  <c r="M452" i="24"/>
  <c r="P452" i="24"/>
  <c r="H452" i="24"/>
  <c r="O452" i="24"/>
  <c r="N452" i="24"/>
  <c r="L452" i="24"/>
  <c r="M472" i="24"/>
  <c r="K472" i="24"/>
  <c r="I472" i="24"/>
  <c r="N472" i="24"/>
  <c r="J472" i="24"/>
  <c r="P472" i="24"/>
  <c r="O472" i="24"/>
  <c r="L472" i="24"/>
  <c r="H472" i="24"/>
  <c r="O449" i="24"/>
  <c r="N449" i="24"/>
  <c r="M449" i="24"/>
  <c r="P449" i="24"/>
  <c r="H449" i="24"/>
  <c r="H125" i="24"/>
  <c r="J125" i="24"/>
  <c r="L125" i="24"/>
  <c r="K125" i="24"/>
  <c r="N125" i="24"/>
  <c r="M125" i="24"/>
  <c r="G2" i="24"/>
  <c r="H429" i="24"/>
  <c r="L429" i="24"/>
  <c r="N429" i="24"/>
  <c r="J429" i="24"/>
  <c r="M429" i="24"/>
  <c r="O429" i="24"/>
  <c r="I429" i="24"/>
  <c r="P429" i="24"/>
  <c r="K429" i="24"/>
  <c r="L47" i="24"/>
  <c r="J47" i="24"/>
  <c r="I47" i="24"/>
  <c r="K47" i="24"/>
  <c r="P47" i="24"/>
  <c r="O47" i="24"/>
  <c r="N47" i="24"/>
  <c r="M47" i="24"/>
  <c r="O489" i="24"/>
  <c r="L489" i="24"/>
  <c r="K489" i="24"/>
  <c r="J489" i="24"/>
  <c r="N489" i="24"/>
  <c r="P489" i="24"/>
  <c r="I489" i="24"/>
  <c r="H489" i="24"/>
  <c r="M489" i="24"/>
  <c r="K622" i="24"/>
  <c r="L622" i="24"/>
  <c r="M622" i="24"/>
  <c r="N622" i="24"/>
  <c r="O622" i="24"/>
  <c r="P622" i="24"/>
  <c r="I622" i="24"/>
  <c r="H622" i="24"/>
  <c r="J622" i="24"/>
  <c r="H430" i="24"/>
  <c r="N430" i="24"/>
  <c r="P430" i="24"/>
  <c r="I430" i="24"/>
  <c r="K430" i="24"/>
  <c r="L430" i="24"/>
  <c r="J430" i="24"/>
  <c r="O430" i="24"/>
  <c r="M430" i="24"/>
  <c r="N433" i="24"/>
  <c r="O433" i="24"/>
  <c r="H433" i="24"/>
  <c r="M433" i="24"/>
  <c r="I433" i="24"/>
  <c r="P433" i="24"/>
  <c r="L433" i="24"/>
  <c r="K433" i="24"/>
  <c r="J433" i="24"/>
  <c r="I625" i="24"/>
  <c r="J625" i="24"/>
  <c r="K625" i="24"/>
  <c r="L625" i="24"/>
  <c r="M625" i="24"/>
  <c r="O625" i="24"/>
  <c r="P625" i="24"/>
  <c r="N625" i="24"/>
  <c r="H625" i="24"/>
  <c r="H624" i="24"/>
  <c r="I624" i="24"/>
  <c r="J624" i="24"/>
  <c r="K624" i="24"/>
  <c r="L624" i="24"/>
  <c r="M624" i="24"/>
  <c r="P125" i="24"/>
  <c r="O125" i="24"/>
  <c r="I125" i="24"/>
  <c r="H118" i="24"/>
  <c r="K118" i="24"/>
  <c r="J118" i="24"/>
  <c r="N118" i="24"/>
  <c r="I118" i="24"/>
  <c r="L118" i="24"/>
  <c r="O118" i="24"/>
  <c r="P118" i="24"/>
  <c r="M118" i="24"/>
  <c r="P117" i="24"/>
  <c r="L117" i="24"/>
  <c r="H117" i="24"/>
  <c r="I117" i="24"/>
  <c r="J117" i="24"/>
  <c r="K117" i="24"/>
  <c r="N117" i="24"/>
  <c r="O117" i="24"/>
  <c r="M117" i="24"/>
  <c r="K116" i="24"/>
  <c r="H116" i="24"/>
  <c r="I116" i="24"/>
  <c r="J116" i="24"/>
  <c r="P116" i="24"/>
  <c r="L116" i="24"/>
  <c r="M116" i="24"/>
  <c r="N116" i="24"/>
  <c r="O116" i="24"/>
  <c r="H114" i="24"/>
  <c r="J114" i="24"/>
  <c r="P114" i="24"/>
  <c r="K114" i="24"/>
  <c r="I114" i="24"/>
  <c r="O114" i="24"/>
  <c r="M114" i="24"/>
  <c r="N114" i="24"/>
  <c r="L114" i="24"/>
  <c r="L113" i="24"/>
  <c r="K113" i="24"/>
  <c r="H113" i="24"/>
  <c r="I113" i="24"/>
  <c r="O113" i="24"/>
  <c r="M113" i="24"/>
  <c r="N113" i="24"/>
  <c r="P113" i="24"/>
  <c r="J113" i="24"/>
  <c r="P112" i="24"/>
  <c r="H112" i="24"/>
  <c r="N112" i="24"/>
  <c r="O112" i="24"/>
  <c r="J112" i="24"/>
  <c r="M112" i="24"/>
  <c r="L112" i="24"/>
  <c r="K112" i="24"/>
  <c r="I112" i="24"/>
  <c r="N294" i="24"/>
  <c r="I294" i="24"/>
  <c r="M294" i="24"/>
  <c r="P294" i="24"/>
  <c r="O294" i="24"/>
  <c r="H294" i="24"/>
  <c r="L294" i="24"/>
  <c r="J294" i="24"/>
  <c r="K294" i="24"/>
  <c r="I293" i="24"/>
  <c r="P293" i="24"/>
  <c r="N293" i="24"/>
  <c r="H293" i="24"/>
  <c r="M293" i="24"/>
  <c r="O293" i="24"/>
  <c r="K293" i="24"/>
  <c r="L293" i="24"/>
  <c r="J293" i="24"/>
  <c r="I292" i="24"/>
  <c r="L292" i="24"/>
  <c r="K292" i="24"/>
  <c r="H292" i="24"/>
  <c r="J292" i="24"/>
  <c r="P292" i="24"/>
  <c r="M292" i="24"/>
  <c r="O292" i="24"/>
  <c r="N292" i="24"/>
  <c r="M291" i="24"/>
  <c r="H291" i="24"/>
  <c r="P291" i="24"/>
  <c r="K291" i="24"/>
  <c r="N291" i="24"/>
  <c r="O291" i="24"/>
  <c r="L291" i="24"/>
  <c r="J291" i="24"/>
  <c r="I291" i="24"/>
  <c r="K289" i="24"/>
  <c r="I289" i="24"/>
  <c r="N289" i="24"/>
  <c r="O289" i="24"/>
  <c r="L289" i="24"/>
  <c r="P289" i="24"/>
  <c r="H289" i="24"/>
  <c r="M289" i="24"/>
  <c r="J289" i="24"/>
  <c r="O287" i="24"/>
  <c r="H287" i="24"/>
  <c r="L287" i="24"/>
  <c r="I287" i="24"/>
  <c r="K287" i="24"/>
  <c r="M287" i="24"/>
  <c r="N287" i="24"/>
  <c r="P287" i="24"/>
  <c r="J287" i="24"/>
  <c r="P42" i="24"/>
  <c r="J42" i="24"/>
  <c r="I42" i="24"/>
  <c r="H42" i="24"/>
  <c r="K42" i="24"/>
  <c r="L42" i="24"/>
  <c r="M42" i="24"/>
  <c r="N42" i="24"/>
  <c r="O42" i="24"/>
  <c r="P44" i="24"/>
  <c r="O44" i="24"/>
  <c r="L44" i="24"/>
  <c r="K44" i="24"/>
  <c r="J44" i="24"/>
  <c r="H44" i="24"/>
  <c r="I44" i="24"/>
  <c r="N44" i="24"/>
  <c r="M44" i="24"/>
  <c r="H567" i="24"/>
  <c r="O567" i="24"/>
  <c r="M567" i="24"/>
  <c r="L567" i="24"/>
  <c r="J567" i="24"/>
  <c r="N567" i="24"/>
  <c r="I567" i="24"/>
  <c r="K567" i="24"/>
  <c r="P567" i="24"/>
  <c r="P321" i="24"/>
  <c r="I321" i="24"/>
  <c r="H321" i="24"/>
  <c r="K321" i="24"/>
  <c r="O321" i="24"/>
  <c r="M321" i="24"/>
  <c r="J321" i="24"/>
  <c r="L321" i="24"/>
  <c r="N321" i="24"/>
  <c r="I320" i="24"/>
  <c r="M320" i="24"/>
  <c r="O320" i="24"/>
  <c r="P320" i="24"/>
  <c r="N320" i="24"/>
  <c r="L320" i="24"/>
  <c r="J320" i="24"/>
  <c r="H320" i="24"/>
  <c r="K320" i="24"/>
  <c r="K621" i="24"/>
  <c r="J621" i="24"/>
  <c r="I621" i="24"/>
  <c r="L621" i="24"/>
  <c r="P621" i="24"/>
  <c r="O621" i="24"/>
  <c r="N621" i="24"/>
  <c r="M621" i="24"/>
  <c r="H621" i="24"/>
  <c r="K566" i="24"/>
  <c r="J566" i="24"/>
  <c r="I566" i="24"/>
  <c r="H566" i="24"/>
  <c r="M566" i="24"/>
  <c r="O50" i="24"/>
  <c r="P50" i="24"/>
  <c r="N50" i="24"/>
  <c r="M50" i="24"/>
  <c r="L50" i="24"/>
  <c r="K50" i="24"/>
  <c r="J50" i="24"/>
  <c r="P458" i="24"/>
  <c r="O458" i="24"/>
  <c r="N458" i="24"/>
  <c r="M458" i="24"/>
  <c r="L458" i="24"/>
  <c r="K458" i="24"/>
  <c r="P238" i="24"/>
  <c r="N238" i="24"/>
  <c r="O238" i="24"/>
  <c r="M238" i="24"/>
  <c r="H238" i="24"/>
  <c r="I238" i="24"/>
  <c r="J238" i="24"/>
  <c r="K238" i="24"/>
  <c r="L238" i="24"/>
  <c r="I91" i="24"/>
  <c r="K91" i="24"/>
  <c r="J91" i="24"/>
  <c r="H91" i="24"/>
  <c r="L91" i="24"/>
  <c r="M91" i="24"/>
  <c r="N91" i="24"/>
  <c r="O91" i="24"/>
  <c r="P91" i="24"/>
  <c r="O224" i="24"/>
  <c r="H224" i="24"/>
  <c r="P224" i="24"/>
  <c r="I224" i="24"/>
  <c r="M224" i="24"/>
  <c r="L224" i="24"/>
  <c r="K224" i="24"/>
  <c r="N224" i="24"/>
  <c r="J224" i="24"/>
  <c r="P223" i="24"/>
  <c r="H223" i="24"/>
  <c r="J223" i="24"/>
  <c r="K223" i="24"/>
  <c r="L223" i="24"/>
  <c r="N223" i="24"/>
  <c r="I223" i="24"/>
  <c r="O223" i="24"/>
  <c r="M223" i="24"/>
  <c r="I785" i="24"/>
  <c r="J785" i="24"/>
  <c r="P785" i="24"/>
  <c r="O785" i="24"/>
  <c r="N785" i="24"/>
  <c r="L785" i="24"/>
  <c r="K785" i="24"/>
  <c r="H785" i="24"/>
  <c r="M785" i="24"/>
  <c r="N782" i="24"/>
  <c r="J782" i="24"/>
  <c r="M782" i="24"/>
  <c r="P782" i="24"/>
  <c r="H782" i="24"/>
  <c r="L782" i="24"/>
  <c r="I782" i="24"/>
  <c r="K782" i="24"/>
  <c r="O782" i="24"/>
  <c r="J222" i="24"/>
  <c r="L222" i="24"/>
  <c r="O222" i="24"/>
  <c r="H222" i="24"/>
  <c r="P222" i="24"/>
  <c r="I222" i="24"/>
  <c r="N222" i="24"/>
  <c r="M222" i="24"/>
  <c r="K222" i="24"/>
  <c r="P221" i="24"/>
  <c r="M221" i="24"/>
  <c r="I221" i="24"/>
  <c r="K221" i="24"/>
  <c r="O221" i="24"/>
  <c r="J221" i="24"/>
  <c r="H221" i="24"/>
  <c r="L221" i="24"/>
  <c r="N221" i="24"/>
  <c r="N220" i="24"/>
  <c r="I220" i="24"/>
  <c r="P220" i="24"/>
  <c r="J220" i="24"/>
  <c r="K220" i="24"/>
  <c r="M220" i="24"/>
  <c r="H220" i="24"/>
  <c r="L220" i="24"/>
  <c r="O220" i="24"/>
  <c r="K188" i="24"/>
  <c r="J188" i="24"/>
  <c r="O188" i="24"/>
  <c r="H188" i="24"/>
  <c r="I188" i="24"/>
  <c r="M188" i="24"/>
  <c r="P188" i="24"/>
  <c r="L188" i="24"/>
  <c r="N188" i="24"/>
  <c r="H410" i="24"/>
  <c r="L410" i="24"/>
  <c r="O410" i="24"/>
  <c r="J410" i="24"/>
  <c r="N410" i="24"/>
  <c r="P410" i="24"/>
  <c r="M410" i="24"/>
  <c r="L448" i="24"/>
  <c r="O448" i="24"/>
  <c r="N448" i="24"/>
  <c r="M448" i="24"/>
  <c r="J448" i="24"/>
  <c r="H448" i="24"/>
  <c r="K448" i="24"/>
  <c r="P448" i="24"/>
  <c r="I448" i="24"/>
  <c r="K446" i="24"/>
  <c r="O446" i="24"/>
  <c r="L446" i="24"/>
  <c r="P446" i="24"/>
  <c r="M446" i="24"/>
  <c r="J446" i="24"/>
  <c r="I446" i="24"/>
  <c r="H446" i="24"/>
  <c r="N446" i="24"/>
  <c r="O444" i="24"/>
  <c r="P444" i="24"/>
  <c r="H444" i="24"/>
  <c r="J444" i="24"/>
  <c r="I444" i="24"/>
  <c r="N444" i="24"/>
  <c r="L444" i="24"/>
  <c r="M444" i="24"/>
  <c r="K444" i="24"/>
  <c r="M442" i="24"/>
  <c r="L442" i="24"/>
  <c r="H442" i="24"/>
  <c r="J442" i="24"/>
  <c r="I442" i="24"/>
  <c r="K442" i="24"/>
  <c r="P442" i="24"/>
  <c r="O442" i="24"/>
  <c r="N442" i="24"/>
  <c r="L426" i="24"/>
  <c r="N426" i="24"/>
  <c r="P426" i="24"/>
  <c r="I426" i="24"/>
  <c r="O426" i="24"/>
  <c r="M426" i="24"/>
  <c r="H426" i="24"/>
  <c r="J426" i="24"/>
  <c r="K426" i="24"/>
  <c r="O445" i="24"/>
  <c r="N445" i="24"/>
  <c r="M445" i="24"/>
  <c r="P445" i="24"/>
  <c r="K445" i="24"/>
  <c r="J445" i="24"/>
  <c r="H445" i="24"/>
  <c r="L445" i="24"/>
  <c r="I445" i="24"/>
  <c r="N241" i="24"/>
  <c r="J241" i="24"/>
  <c r="L241" i="24"/>
  <c r="H241" i="24"/>
  <c r="P241" i="24"/>
  <c r="O241" i="24"/>
  <c r="M241" i="24"/>
  <c r="I241" i="24"/>
  <c r="K241" i="24"/>
  <c r="J449" i="24"/>
  <c r="K449" i="24"/>
  <c r="L449" i="24"/>
  <c r="I449" i="24"/>
  <c r="P217" i="24"/>
  <c r="H217" i="24"/>
  <c r="I217" i="24"/>
  <c r="K217" i="24"/>
  <c r="N217" i="24"/>
  <c r="M217" i="24"/>
  <c r="O217" i="24"/>
  <c r="J217" i="24"/>
  <c r="L217" i="24"/>
  <c r="P722" i="24"/>
  <c r="N722" i="24"/>
  <c r="M722" i="24"/>
  <c r="L722" i="24"/>
  <c r="K722" i="24"/>
  <c r="O722" i="24"/>
  <c r="P530" i="24"/>
  <c r="K530" i="24"/>
  <c r="O530" i="24"/>
  <c r="M530" i="24"/>
  <c r="L530" i="24"/>
  <c r="H530" i="24"/>
  <c r="N530" i="24"/>
  <c r="I530" i="24"/>
  <c r="J530" i="24"/>
  <c r="N595" i="24"/>
  <c r="O595" i="24"/>
  <c r="P595" i="24"/>
  <c r="H595" i="24"/>
  <c r="J595" i="24"/>
  <c r="I595" i="24"/>
  <c r="K595" i="24"/>
  <c r="L595" i="24"/>
  <c r="M595" i="24"/>
  <c r="J526" i="24"/>
  <c r="I526" i="24"/>
  <c r="H526" i="24"/>
  <c r="P526" i="24"/>
  <c r="K526" i="24"/>
  <c r="M526" i="24"/>
  <c r="L526" i="24"/>
  <c r="N526" i="24"/>
  <c r="O526" i="24"/>
  <c r="H528" i="24"/>
  <c r="O528" i="24"/>
  <c r="J528" i="24"/>
  <c r="K528" i="24"/>
  <c r="P528" i="24"/>
  <c r="M528" i="24"/>
  <c r="N528" i="24"/>
  <c r="I528" i="24"/>
  <c r="L528" i="24"/>
  <c r="P48" i="24"/>
  <c r="O48" i="24"/>
  <c r="N48" i="24"/>
  <c r="M48" i="24"/>
  <c r="L48" i="24"/>
  <c r="K48" i="24"/>
  <c r="I48" i="24"/>
  <c r="H48" i="24"/>
  <c r="J48" i="24"/>
  <c r="M24" i="24"/>
  <c r="N24" i="24"/>
  <c r="O24" i="24"/>
  <c r="P24" i="24"/>
  <c r="M529" i="24"/>
  <c r="P529" i="24"/>
  <c r="K529" i="24"/>
  <c r="L529" i="24"/>
  <c r="O529" i="24"/>
  <c r="I529" i="24"/>
  <c r="N529" i="24"/>
  <c r="H529" i="24"/>
  <c r="J529" i="24"/>
  <c r="P527" i="24"/>
  <c r="O527" i="24"/>
  <c r="M527" i="24"/>
  <c r="L527" i="24"/>
  <c r="J527" i="24"/>
  <c r="I527" i="24"/>
  <c r="H527" i="24"/>
  <c r="K527" i="24"/>
  <c r="N527" i="24"/>
  <c r="H629" i="24"/>
  <c r="K629" i="24"/>
  <c r="I629" i="24"/>
  <c r="J629" i="24"/>
  <c r="L629" i="24"/>
  <c r="M629" i="24"/>
  <c r="N629" i="24"/>
  <c r="O629" i="24"/>
  <c r="P629" i="24"/>
  <c r="K577" i="24"/>
  <c r="P577" i="24"/>
  <c r="N577" i="24"/>
  <c r="J577" i="24"/>
  <c r="H577" i="24"/>
  <c r="L577" i="24"/>
  <c r="M577" i="24"/>
  <c r="N284" i="24"/>
  <c r="M284" i="24"/>
  <c r="O284" i="24"/>
  <c r="L284" i="24"/>
  <c r="K284" i="24"/>
  <c r="P284" i="24"/>
  <c r="I284" i="24"/>
  <c r="J284" i="24"/>
  <c r="H284" i="24"/>
  <c r="I283" i="24"/>
  <c r="J283" i="24"/>
  <c r="M283" i="24"/>
  <c r="P283" i="24"/>
  <c r="H283" i="24"/>
  <c r="K283" i="24"/>
  <c r="N283" i="24"/>
  <c r="O283" i="24"/>
  <c r="L283" i="24"/>
  <c r="H591" i="24"/>
  <c r="O591" i="24"/>
  <c r="P591" i="24"/>
  <c r="N591" i="24"/>
  <c r="M591" i="24"/>
  <c r="L591" i="24"/>
  <c r="K591" i="24"/>
  <c r="J591" i="24"/>
  <c r="I591" i="24"/>
  <c r="H594" i="24"/>
  <c r="I594" i="24"/>
  <c r="O594" i="24"/>
  <c r="M594" i="24"/>
  <c r="P594" i="24"/>
  <c r="J594" i="24"/>
  <c r="N594" i="24"/>
  <c r="L594" i="24"/>
  <c r="K594" i="24"/>
  <c r="P215" i="24"/>
  <c r="L215" i="24"/>
  <c r="N215" i="24"/>
  <c r="O215" i="24"/>
  <c r="H215" i="24"/>
  <c r="K215" i="24"/>
  <c r="M215" i="24"/>
  <c r="K252" i="24"/>
  <c r="H252" i="24"/>
  <c r="O252" i="24"/>
  <c r="I252" i="24"/>
  <c r="J252" i="24"/>
  <c r="N252" i="24"/>
  <c r="P252" i="24"/>
  <c r="M252" i="24"/>
  <c r="L252" i="24"/>
  <c r="H246" i="24"/>
  <c r="K246" i="24"/>
  <c r="I246" i="24"/>
  <c r="O246" i="24"/>
  <c r="P246" i="24"/>
  <c r="N246" i="24"/>
  <c r="M246" i="24"/>
  <c r="M440" i="24"/>
  <c r="J440" i="24"/>
  <c r="L440" i="24"/>
  <c r="K440" i="24"/>
  <c r="P440" i="24"/>
  <c r="H440" i="24"/>
  <c r="I440" i="24"/>
  <c r="K420" i="24"/>
  <c r="H420" i="24"/>
  <c r="P420" i="24"/>
  <c r="O420" i="24"/>
  <c r="N420" i="24"/>
  <c r="L420" i="24"/>
  <c r="J420" i="24"/>
  <c r="I420" i="24"/>
  <c r="M420" i="24"/>
  <c r="K416" i="24"/>
  <c r="I416" i="24"/>
  <c r="J416" i="24"/>
  <c r="M416" i="24"/>
  <c r="L416" i="24"/>
  <c r="P416" i="24"/>
  <c r="O416" i="24"/>
  <c r="N416" i="24"/>
  <c r="H416" i="24"/>
  <c r="K343" i="24"/>
  <c r="L343" i="24"/>
  <c r="O343" i="24"/>
  <c r="M343" i="24"/>
  <c r="J343" i="24"/>
  <c r="I343" i="24"/>
  <c r="P343" i="24"/>
  <c r="N343" i="24"/>
  <c r="H343" i="24"/>
  <c r="J623" i="24"/>
  <c r="I623" i="24"/>
  <c r="H623" i="24"/>
  <c r="O623" i="24"/>
  <c r="N623" i="24"/>
  <c r="M623" i="24"/>
  <c r="K623" i="24"/>
  <c r="L623" i="24"/>
  <c r="P623" i="24"/>
  <c r="P624" i="24"/>
  <c r="O624" i="24"/>
  <c r="N624" i="24"/>
  <c r="O23" i="24"/>
  <c r="P23" i="24"/>
  <c r="H23" i="24"/>
  <c r="I23" i="24"/>
  <c r="J23" i="24"/>
  <c r="K23" i="24"/>
  <c r="L23" i="24"/>
  <c r="M23" i="24"/>
  <c r="N23" i="24"/>
  <c r="N540" i="24"/>
  <c r="L540" i="24"/>
  <c r="O540" i="24"/>
  <c r="J540" i="24"/>
  <c r="I540" i="24"/>
  <c r="H540" i="24"/>
  <c r="P540" i="24"/>
  <c r="K540" i="24"/>
  <c r="M540" i="24"/>
  <c r="P234" i="24"/>
  <c r="N234" i="24"/>
  <c r="O234" i="24"/>
  <c r="M234" i="24"/>
  <c r="L234" i="24"/>
  <c r="H234" i="24"/>
  <c r="J234" i="24"/>
  <c r="K234" i="24"/>
  <c r="I234" i="24"/>
  <c r="O516" i="24"/>
  <c r="L516" i="24"/>
  <c r="J516" i="24"/>
  <c r="N516" i="24"/>
  <c r="I516" i="24"/>
  <c r="K516" i="24"/>
  <c r="H516" i="24"/>
  <c r="P516" i="24"/>
  <c r="M516" i="24"/>
  <c r="J215" i="24"/>
  <c r="I215" i="24"/>
  <c r="K214" i="24"/>
  <c r="J214" i="24"/>
  <c r="I214" i="24"/>
  <c r="L214" i="24"/>
  <c r="P214" i="24"/>
  <c r="N214" i="24"/>
  <c r="O214" i="24"/>
  <c r="M214" i="24"/>
  <c r="H214" i="24"/>
  <c r="J207" i="24"/>
  <c r="H207" i="24"/>
  <c r="O207" i="24"/>
  <c r="N207" i="24"/>
  <c r="K207" i="24"/>
  <c r="P207" i="24"/>
  <c r="M207" i="24"/>
  <c r="I207" i="24"/>
  <c r="L207" i="24"/>
  <c r="J212" i="24"/>
  <c r="H212" i="24"/>
  <c r="P212" i="24"/>
  <c r="M212" i="24"/>
  <c r="K212" i="24"/>
  <c r="O212" i="24"/>
  <c r="I212" i="24"/>
  <c r="N212" i="24"/>
  <c r="L212" i="24"/>
  <c r="J208" i="24"/>
  <c r="H208" i="24"/>
  <c r="P208" i="24"/>
  <c r="L208" i="24"/>
  <c r="I208" i="24"/>
  <c r="O208" i="24"/>
  <c r="N208" i="24"/>
  <c r="K208" i="24"/>
  <c r="M208" i="24"/>
  <c r="P206" i="24"/>
  <c r="K206" i="24"/>
  <c r="M206" i="24"/>
  <c r="O206" i="24"/>
  <c r="H206" i="24"/>
  <c r="N206" i="24"/>
  <c r="J206" i="24"/>
  <c r="L206" i="24"/>
  <c r="I206" i="24"/>
  <c r="P205" i="24"/>
  <c r="K205" i="24"/>
  <c r="H205" i="24"/>
  <c r="M205" i="24"/>
  <c r="J205" i="24"/>
  <c r="L205" i="24"/>
  <c r="N205" i="24"/>
  <c r="I205" i="24"/>
  <c r="O205" i="24"/>
  <c r="L202" i="24"/>
  <c r="K202" i="24"/>
  <c r="H202" i="24"/>
  <c r="I202" i="24"/>
  <c r="P202" i="24"/>
  <c r="J202" i="24"/>
  <c r="O202" i="24"/>
  <c r="M202" i="24"/>
  <c r="N202" i="24"/>
  <c r="K199" i="24"/>
  <c r="N199" i="24"/>
  <c r="L199" i="24"/>
  <c r="O199" i="24"/>
  <c r="H199" i="24"/>
  <c r="P199" i="24"/>
  <c r="I199" i="24"/>
  <c r="M199" i="24"/>
  <c r="J199" i="24"/>
  <c r="O194" i="24"/>
  <c r="K194" i="24"/>
  <c r="J194" i="24"/>
  <c r="I194" i="24"/>
  <c r="H194" i="24"/>
  <c r="N194" i="24"/>
  <c r="L194" i="24"/>
  <c r="P194" i="24"/>
  <c r="M194" i="24"/>
  <c r="P168" i="24"/>
  <c r="I168" i="24"/>
  <c r="I698" i="24"/>
  <c r="N698" i="24"/>
  <c r="P698" i="24"/>
  <c r="K698" i="24"/>
  <c r="J698" i="24"/>
  <c r="H698" i="24"/>
  <c r="O698" i="24"/>
  <c r="L698" i="24"/>
  <c r="M698" i="24"/>
  <c r="M235" i="24"/>
  <c r="J235" i="24"/>
  <c r="L235" i="24"/>
  <c r="O235" i="24"/>
  <c r="H235" i="24"/>
  <c r="N235" i="24"/>
  <c r="P235" i="24"/>
  <c r="I235" i="24"/>
  <c r="L456" i="24"/>
  <c r="K456" i="24"/>
  <c r="J456" i="24"/>
  <c r="I456" i="24"/>
  <c r="H456" i="24"/>
  <c r="M456" i="24"/>
  <c r="P456" i="24"/>
  <c r="O456" i="24"/>
  <c r="N456" i="24"/>
  <c r="I458" i="24"/>
  <c r="J458" i="24"/>
  <c r="H458" i="24"/>
  <c r="P104" i="24"/>
  <c r="O104" i="24"/>
  <c r="K104" i="24"/>
  <c r="J104" i="24"/>
  <c r="I104" i="24"/>
  <c r="H104" i="24"/>
  <c r="L104" i="24"/>
  <c r="N104" i="24"/>
  <c r="M104" i="24"/>
  <c r="H15" i="24"/>
  <c r="I15" i="24"/>
  <c r="J15" i="24"/>
  <c r="L15" i="24"/>
  <c r="P15" i="24"/>
  <c r="M15" i="24"/>
  <c r="K15" i="24"/>
  <c r="N15" i="24"/>
  <c r="O15" i="24"/>
  <c r="P27" i="24"/>
  <c r="O27" i="24"/>
  <c r="N27" i="24"/>
  <c r="M27" i="24"/>
  <c r="K27" i="24"/>
  <c r="J27" i="24"/>
  <c r="L27" i="24"/>
  <c r="I27" i="24"/>
  <c r="H27" i="24"/>
  <c r="K115" i="24"/>
  <c r="L115" i="24"/>
  <c r="O115" i="24"/>
  <c r="P115" i="24"/>
  <c r="I115" i="24"/>
  <c r="N115" i="24"/>
  <c r="M115" i="24"/>
  <c r="J115" i="24"/>
  <c r="H115" i="24"/>
  <c r="P37" i="24"/>
  <c r="O37" i="24"/>
  <c r="N37" i="24"/>
  <c r="M37" i="24"/>
  <c r="L37" i="24"/>
  <c r="K37" i="24"/>
  <c r="J37" i="24"/>
  <c r="I37" i="24"/>
  <c r="H37" i="24"/>
  <c r="O35" i="24"/>
  <c r="N35" i="24"/>
  <c r="M35" i="24"/>
  <c r="L35" i="24"/>
  <c r="K35" i="24"/>
  <c r="J35" i="24"/>
  <c r="I35" i="24"/>
  <c r="H35" i="24"/>
  <c r="P35" i="24"/>
  <c r="O11" i="24"/>
  <c r="P11" i="24"/>
  <c r="H11" i="24"/>
  <c r="I11" i="24"/>
  <c r="J11" i="24"/>
  <c r="K11" i="24"/>
  <c r="L11" i="24"/>
  <c r="M11" i="24"/>
  <c r="N11" i="24"/>
  <c r="I259" i="24"/>
  <c r="H259" i="24"/>
  <c r="M259" i="24"/>
  <c r="N259" i="24"/>
  <c r="P259" i="24"/>
  <c r="O259" i="24"/>
  <c r="K259" i="24"/>
  <c r="J259" i="24"/>
  <c r="L259" i="24"/>
  <c r="O108" i="24"/>
  <c r="P108" i="24"/>
  <c r="K108" i="24"/>
  <c r="N108" i="24"/>
  <c r="J108" i="24"/>
  <c r="M108" i="24"/>
  <c r="L108" i="24"/>
  <c r="I108" i="24"/>
  <c r="H108" i="24"/>
  <c r="O105" i="24"/>
  <c r="N105" i="24"/>
  <c r="M105" i="24"/>
  <c r="K105" i="24"/>
  <c r="I105" i="24"/>
  <c r="L105" i="24"/>
  <c r="P105" i="24"/>
  <c r="J105" i="24"/>
  <c r="H105" i="24"/>
  <c r="J39" i="24"/>
  <c r="H39" i="24"/>
  <c r="P39" i="24"/>
  <c r="O39" i="24"/>
  <c r="I39" i="24"/>
  <c r="N39" i="24"/>
  <c r="M39" i="24"/>
  <c r="L39" i="24"/>
  <c r="K39" i="24"/>
  <c r="M32" i="24"/>
  <c r="L32" i="24"/>
  <c r="N32" i="24"/>
  <c r="J32" i="24"/>
  <c r="I32" i="24"/>
  <c r="H32" i="24"/>
  <c r="O32" i="24"/>
  <c r="P32" i="24"/>
  <c r="K32" i="24"/>
  <c r="M31" i="24"/>
  <c r="L31" i="24"/>
  <c r="K31" i="24"/>
  <c r="P31" i="24"/>
  <c r="O31" i="24"/>
  <c r="N31" i="24"/>
  <c r="H31" i="24"/>
  <c r="I31" i="24"/>
  <c r="J31" i="24"/>
  <c r="P28" i="24"/>
  <c r="N28" i="24"/>
  <c r="M28" i="24"/>
  <c r="L28" i="24"/>
  <c r="J28" i="24"/>
  <c r="I28" i="24"/>
  <c r="H28" i="24"/>
  <c r="O28" i="24"/>
  <c r="K28" i="24"/>
  <c r="M543" i="24"/>
  <c r="N543" i="24"/>
  <c r="I543" i="24"/>
  <c r="J543" i="24"/>
  <c r="L543" i="24"/>
  <c r="K543" i="24"/>
  <c r="P543" i="24"/>
  <c r="O543" i="24"/>
  <c r="H543" i="24"/>
  <c r="L18" i="24"/>
  <c r="M18" i="24"/>
  <c r="N18" i="24"/>
  <c r="K18" i="24"/>
  <c r="P18" i="24"/>
  <c r="O18" i="24"/>
  <c r="I18" i="24"/>
  <c r="H18" i="24"/>
  <c r="J18" i="24"/>
  <c r="P17" i="24"/>
  <c r="O17" i="24"/>
  <c r="N17" i="24"/>
  <c r="M17" i="24"/>
  <c r="L17" i="24"/>
  <c r="I17" i="24"/>
  <c r="K17" i="24"/>
  <c r="H17" i="24"/>
  <c r="J17" i="24"/>
  <c r="N33" i="24"/>
  <c r="M33" i="24"/>
  <c r="L33" i="24"/>
  <c r="K33" i="24"/>
  <c r="J33" i="24"/>
  <c r="I33" i="24"/>
  <c r="H33" i="24"/>
  <c r="P33" i="24"/>
  <c r="O33" i="24"/>
  <c r="N636" i="24"/>
  <c r="I636" i="24"/>
  <c r="P636" i="24"/>
  <c r="O636" i="24"/>
  <c r="M636" i="24"/>
  <c r="L636" i="24"/>
  <c r="K636" i="24"/>
  <c r="J636" i="24"/>
  <c r="H636" i="24"/>
  <c r="J640" i="24"/>
  <c r="I640" i="24"/>
  <c r="H640" i="24"/>
  <c r="K640" i="24"/>
  <c r="P640" i="24"/>
  <c r="O640" i="24"/>
  <c r="N640" i="24"/>
  <c r="M640" i="24"/>
  <c r="L640" i="24"/>
  <c r="O637" i="24"/>
  <c r="H637" i="24"/>
  <c r="J637" i="24"/>
  <c r="L637" i="24"/>
  <c r="N637" i="24"/>
  <c r="P637" i="24"/>
  <c r="M637" i="24"/>
  <c r="K637" i="24"/>
  <c r="I637" i="24"/>
  <c r="M635" i="24"/>
  <c r="H635" i="24"/>
  <c r="I635" i="24"/>
  <c r="J635" i="24"/>
  <c r="K635" i="24"/>
  <c r="L635" i="24"/>
  <c r="N635" i="24"/>
  <c r="O635" i="24"/>
  <c r="P635" i="24"/>
  <c r="J279" i="24"/>
  <c r="L279" i="24"/>
  <c r="N279" i="24"/>
  <c r="M279" i="24"/>
  <c r="I279" i="24"/>
  <c r="K279" i="24"/>
  <c r="P279" i="24"/>
  <c r="O279" i="24"/>
  <c r="H279" i="24"/>
  <c r="H278" i="24"/>
  <c r="K278" i="24"/>
  <c r="I278" i="24"/>
  <c r="M278" i="24"/>
  <c r="O278" i="24"/>
  <c r="L278" i="24"/>
  <c r="N278" i="24"/>
  <c r="J278" i="24"/>
  <c r="P278" i="24"/>
  <c r="P277" i="24"/>
  <c r="I277" i="24"/>
  <c r="L277" i="24"/>
  <c r="K277" i="24"/>
  <c r="O277" i="24"/>
  <c r="N277" i="24"/>
  <c r="M277" i="24"/>
  <c r="J277" i="24"/>
  <c r="H277" i="24"/>
  <c r="I276" i="24"/>
  <c r="K276" i="24"/>
  <c r="P276" i="24"/>
  <c r="J276" i="24"/>
  <c r="L276" i="24"/>
  <c r="H276" i="24"/>
  <c r="M276" i="24"/>
  <c r="O276" i="24"/>
  <c r="N276" i="24"/>
  <c r="O275" i="24"/>
  <c r="J275" i="24"/>
  <c r="H275" i="24"/>
  <c r="K275" i="24"/>
  <c r="I275" i="24"/>
  <c r="N275" i="24"/>
  <c r="P275" i="24"/>
  <c r="L275" i="24"/>
  <c r="M275" i="24"/>
  <c r="O40" i="24"/>
  <c r="P40" i="24"/>
  <c r="O648" i="24"/>
  <c r="P648" i="24"/>
  <c r="K648" i="24"/>
  <c r="L648" i="24"/>
  <c r="M648" i="24"/>
  <c r="N648" i="24"/>
  <c r="J563" i="24"/>
  <c r="K563" i="24"/>
  <c r="M563" i="24"/>
  <c r="N563" i="24"/>
  <c r="P563" i="24"/>
  <c r="O563" i="24"/>
  <c r="H563" i="24"/>
  <c r="L563" i="24"/>
  <c r="I563" i="24"/>
  <c r="P566" i="24"/>
  <c r="O566" i="24"/>
  <c r="N566" i="24"/>
  <c r="L566" i="24"/>
  <c r="M103" i="24"/>
  <c r="L103" i="24"/>
  <c r="H103" i="24"/>
  <c r="I103" i="24"/>
  <c r="J103" i="24"/>
  <c r="K103" i="24"/>
  <c r="N103" i="24"/>
  <c r="O103" i="24"/>
  <c r="P103" i="24"/>
  <c r="I102" i="24"/>
  <c r="J102" i="24"/>
  <c r="K102" i="24"/>
  <c r="M102" i="24"/>
  <c r="N102" i="24"/>
  <c r="O102" i="24"/>
  <c r="P102" i="24"/>
  <c r="L102" i="24"/>
  <c r="H102" i="24"/>
  <c r="I101" i="24"/>
  <c r="J101" i="24"/>
  <c r="N101" i="24"/>
  <c r="O101" i="24"/>
  <c r="K101" i="24"/>
  <c r="L101" i="24"/>
  <c r="M101" i="24"/>
  <c r="P101" i="24"/>
  <c r="H101" i="24"/>
  <c r="J100" i="24"/>
  <c r="K100" i="24"/>
  <c r="L100" i="24"/>
  <c r="M100" i="24"/>
  <c r="N100" i="24"/>
  <c r="O100" i="24"/>
  <c r="P100" i="24"/>
  <c r="H100" i="24"/>
  <c r="I100" i="24"/>
  <c r="I93" i="24"/>
  <c r="H93" i="24"/>
  <c r="N93" i="24"/>
  <c r="J93" i="24"/>
  <c r="K93" i="24"/>
  <c r="L93" i="24"/>
  <c r="M93" i="24"/>
  <c r="P93" i="24"/>
  <c r="O93" i="24"/>
  <c r="P90" i="24"/>
  <c r="N90" i="24"/>
  <c r="M90" i="24"/>
  <c r="L90" i="24"/>
  <c r="K90" i="24"/>
  <c r="J90" i="24"/>
  <c r="I90" i="24"/>
  <c r="H90" i="24"/>
  <c r="O90" i="24"/>
  <c r="L89" i="24"/>
  <c r="M89" i="24"/>
  <c r="N89" i="24"/>
  <c r="P89" i="24"/>
  <c r="H89" i="24"/>
  <c r="I89" i="24"/>
  <c r="K89" i="24"/>
  <c r="J89" i="24"/>
  <c r="O89" i="24"/>
  <c r="L87" i="24"/>
  <c r="M87" i="24"/>
  <c r="N87" i="24"/>
  <c r="O87" i="24"/>
  <c r="P87" i="24"/>
  <c r="H87" i="24"/>
  <c r="I87" i="24"/>
  <c r="K87" i="24"/>
  <c r="J87" i="24"/>
  <c r="N86" i="24"/>
  <c r="P86" i="24"/>
  <c r="O86" i="24"/>
  <c r="H86" i="24"/>
  <c r="I86" i="24"/>
  <c r="K86" i="24"/>
  <c r="J86" i="24"/>
  <c r="L86" i="24"/>
  <c r="M86" i="24"/>
  <c r="J83" i="24"/>
  <c r="I83" i="24"/>
  <c r="H83" i="24"/>
  <c r="K83" i="24"/>
  <c r="L83" i="24"/>
  <c r="P83" i="24"/>
  <c r="O83" i="24"/>
  <c r="N83" i="24"/>
  <c r="M83" i="24"/>
  <c r="M157" i="24"/>
  <c r="L157" i="24"/>
  <c r="K157" i="24"/>
  <c r="N157" i="24"/>
  <c r="O157" i="24"/>
  <c r="P157" i="24"/>
  <c r="H157" i="24"/>
  <c r="I157" i="24"/>
  <c r="J157" i="24"/>
  <c r="K156" i="24"/>
  <c r="L156" i="24"/>
  <c r="M156" i="24"/>
  <c r="N156" i="24"/>
  <c r="O156" i="24"/>
  <c r="P156" i="24"/>
  <c r="H156" i="24"/>
  <c r="J156" i="24"/>
  <c r="I156" i="24"/>
  <c r="L155" i="24"/>
  <c r="M155" i="24"/>
  <c r="J155" i="24"/>
  <c r="P155" i="24"/>
  <c r="K155" i="24"/>
  <c r="N155" i="24"/>
  <c r="O155" i="24"/>
  <c r="H155" i="24"/>
  <c r="I155" i="24"/>
  <c r="O151" i="24"/>
  <c r="I151" i="24"/>
  <c r="K151" i="24"/>
  <c r="N151" i="24"/>
  <c r="M151" i="24"/>
  <c r="L151" i="24"/>
  <c r="H151" i="24"/>
  <c r="P151" i="24"/>
  <c r="J151" i="24"/>
  <c r="P150" i="24"/>
  <c r="I150" i="24"/>
  <c r="J150" i="24"/>
  <c r="K150" i="24"/>
  <c r="L150" i="24"/>
  <c r="N150" i="24"/>
  <c r="O150" i="24"/>
  <c r="H150" i="24"/>
  <c r="M150" i="24"/>
  <c r="I149" i="24"/>
  <c r="K149" i="24"/>
  <c r="L149" i="24"/>
  <c r="M149" i="24"/>
  <c r="H149" i="24"/>
  <c r="J149" i="24"/>
  <c r="P107" i="24"/>
  <c r="O107" i="24"/>
  <c r="N107" i="24"/>
  <c r="M107" i="24"/>
  <c r="L107" i="24"/>
  <c r="K107" i="24"/>
  <c r="J107" i="24"/>
  <c r="H107" i="24"/>
  <c r="I522" i="24"/>
  <c r="N522" i="24"/>
  <c r="J522" i="24"/>
  <c r="H522" i="24"/>
  <c r="P522" i="24"/>
  <c r="O522" i="24"/>
  <c r="M522" i="24"/>
  <c r="L522" i="24"/>
  <c r="N274" i="24"/>
  <c r="J274" i="24"/>
  <c r="K274" i="24"/>
  <c r="M274" i="24"/>
  <c r="H274" i="24"/>
  <c r="L274" i="24"/>
  <c r="P274" i="24"/>
  <c r="I274" i="24"/>
  <c r="O274" i="24"/>
  <c r="O264" i="24"/>
  <c r="M264" i="24"/>
  <c r="P264" i="24"/>
  <c r="H264" i="24"/>
  <c r="K264" i="24"/>
  <c r="L264" i="24"/>
  <c r="I264" i="24"/>
  <c r="J264" i="24"/>
  <c r="N264" i="24"/>
  <c r="P263" i="24"/>
  <c r="I263" i="24"/>
  <c r="O263" i="24"/>
  <c r="H263" i="24"/>
  <c r="J263" i="24"/>
  <c r="L263" i="24"/>
  <c r="K263" i="24"/>
  <c r="N263" i="24"/>
  <c r="M263" i="24"/>
  <c r="J262" i="24"/>
  <c r="I262" i="24"/>
  <c r="H262" i="24"/>
  <c r="L262" i="24"/>
  <c r="M262" i="24"/>
  <c r="O262" i="24"/>
  <c r="K262" i="24"/>
  <c r="N262" i="24"/>
  <c r="P262" i="24"/>
  <c r="M518" i="24"/>
  <c r="L518" i="24"/>
  <c r="I518" i="24"/>
  <c r="K518" i="24"/>
  <c r="O518" i="24"/>
  <c r="P518" i="24"/>
  <c r="J518" i="24"/>
  <c r="H518" i="24"/>
  <c r="N518" i="24"/>
  <c r="N768" i="24"/>
  <c r="J768" i="24"/>
  <c r="I767" i="24"/>
  <c r="J767" i="24"/>
  <c r="L767" i="24"/>
  <c r="N767" i="24"/>
  <c r="O767" i="24"/>
  <c r="P767" i="24"/>
  <c r="H767" i="24"/>
  <c r="K767" i="24"/>
  <c r="M767" i="24"/>
  <c r="O587" i="24"/>
  <c r="N587" i="24"/>
  <c r="M587" i="24"/>
  <c r="I587" i="24"/>
  <c r="H587" i="24"/>
  <c r="L587" i="24"/>
  <c r="J587" i="24"/>
  <c r="K587" i="24"/>
  <c r="P587" i="24"/>
  <c r="O57" i="24"/>
  <c r="K57" i="24"/>
  <c r="L57" i="24"/>
  <c r="M57" i="24"/>
  <c r="N57" i="24"/>
  <c r="P57" i="24"/>
  <c r="I56" i="24"/>
  <c r="K56" i="24"/>
  <c r="J56" i="24"/>
  <c r="H56" i="24"/>
  <c r="O56" i="24"/>
  <c r="P56" i="24"/>
  <c r="N56" i="24"/>
  <c r="M56" i="24"/>
  <c r="L56" i="24"/>
  <c r="L55" i="24"/>
  <c r="P55" i="24"/>
  <c r="O55" i="24"/>
  <c r="N55" i="24"/>
  <c r="M55" i="24"/>
  <c r="K55" i="24"/>
  <c r="I55" i="24"/>
  <c r="H55" i="24"/>
  <c r="J55" i="24"/>
  <c r="O54" i="24"/>
  <c r="M54" i="24"/>
  <c r="L54" i="24"/>
  <c r="J54" i="24"/>
  <c r="K54" i="24"/>
  <c r="I54" i="24"/>
  <c r="P54" i="24"/>
  <c r="H54" i="24"/>
  <c r="N54" i="24"/>
  <c r="O193" i="24"/>
  <c r="L193" i="24"/>
  <c r="H193" i="24"/>
  <c r="J193" i="24"/>
  <c r="I193" i="24"/>
  <c r="P193" i="24"/>
  <c r="M193" i="24"/>
  <c r="N193" i="24"/>
  <c r="K193" i="24"/>
  <c r="H186" i="24"/>
  <c r="I186" i="24"/>
  <c r="K186" i="24"/>
  <c r="O186" i="24"/>
  <c r="P186" i="24"/>
  <c r="L186" i="24"/>
  <c r="M186" i="24"/>
  <c r="J186" i="24"/>
  <c r="N186" i="24"/>
  <c r="P184" i="24"/>
  <c r="J184" i="24"/>
  <c r="N184" i="24"/>
  <c r="I184" i="24"/>
  <c r="L184" i="24"/>
  <c r="K184" i="24"/>
  <c r="O184" i="24"/>
  <c r="H184" i="24"/>
  <c r="M184" i="24"/>
  <c r="L183" i="24"/>
  <c r="M183" i="24"/>
  <c r="K183" i="24"/>
  <c r="I183" i="24"/>
  <c r="H183" i="24"/>
  <c r="O183" i="24"/>
  <c r="N183" i="24"/>
  <c r="J183" i="24"/>
  <c r="P183" i="24"/>
  <c r="L192" i="24"/>
  <c r="M192" i="24"/>
  <c r="O192" i="24"/>
  <c r="I192" i="24"/>
  <c r="H192" i="24"/>
  <c r="N192" i="24"/>
  <c r="K192" i="24"/>
  <c r="J192" i="24"/>
  <c r="P192" i="24"/>
  <c r="N191" i="24"/>
  <c r="J191" i="24"/>
  <c r="O191" i="24"/>
  <c r="I191" i="24"/>
  <c r="M191" i="24"/>
  <c r="H191" i="24"/>
  <c r="K191" i="24"/>
  <c r="L191" i="24"/>
  <c r="P191" i="24"/>
  <c r="H187" i="24"/>
  <c r="O187" i="24"/>
  <c r="K187" i="24"/>
  <c r="I187" i="24"/>
  <c r="J187" i="24"/>
  <c r="N187" i="24"/>
  <c r="P187" i="24"/>
  <c r="L187" i="24"/>
  <c r="M187" i="24"/>
  <c r="K185" i="24"/>
  <c r="H185" i="24"/>
  <c r="N185" i="24"/>
  <c r="L185" i="24"/>
  <c r="I185" i="24"/>
  <c r="O185" i="24"/>
  <c r="M185" i="24"/>
  <c r="P185" i="24"/>
  <c r="J185" i="24"/>
  <c r="O182" i="24"/>
  <c r="N182" i="24"/>
  <c r="J182" i="24"/>
  <c r="M182" i="24"/>
  <c r="P182" i="24"/>
  <c r="I182" i="24"/>
  <c r="K182" i="24"/>
  <c r="H182" i="24"/>
  <c r="L182" i="24"/>
  <c r="I181" i="24"/>
  <c r="K181" i="24"/>
  <c r="M181" i="24"/>
  <c r="H181" i="24"/>
  <c r="J181" i="24"/>
  <c r="N181" i="24"/>
  <c r="L181" i="24"/>
  <c r="O181" i="24"/>
  <c r="P181" i="24"/>
  <c r="N179" i="24"/>
  <c r="P179" i="24"/>
  <c r="L179" i="24"/>
  <c r="J179" i="24"/>
  <c r="K179" i="24"/>
  <c r="O179" i="24"/>
  <c r="H179" i="24"/>
  <c r="M179" i="24"/>
  <c r="I179" i="24"/>
  <c r="H178" i="24"/>
  <c r="P178" i="24"/>
  <c r="K178" i="24"/>
  <c r="J178" i="24"/>
  <c r="L178" i="24"/>
  <c r="I178" i="24"/>
  <c r="N178" i="24"/>
  <c r="O178" i="24"/>
  <c r="M178" i="24"/>
  <c r="I177" i="24"/>
  <c r="J177" i="24"/>
  <c r="K177" i="24"/>
  <c r="L177" i="24"/>
  <c r="M177" i="24"/>
  <c r="N177" i="24"/>
  <c r="P177" i="24"/>
  <c r="O177" i="24"/>
  <c r="H177" i="24"/>
  <c r="K176" i="24"/>
  <c r="L176" i="24"/>
  <c r="H176" i="24"/>
  <c r="I176" i="24"/>
  <c r="J176" i="24"/>
  <c r="P176" i="24"/>
  <c r="O176" i="24"/>
  <c r="N176" i="24"/>
  <c r="M176" i="24"/>
  <c r="N175" i="24"/>
  <c r="O175" i="24"/>
  <c r="P175" i="24"/>
  <c r="H175" i="24"/>
  <c r="J175" i="24"/>
  <c r="K175" i="24"/>
  <c r="L175" i="24"/>
  <c r="I175" i="24"/>
  <c r="M175" i="24"/>
  <c r="P171" i="24"/>
  <c r="I171" i="24"/>
  <c r="M171" i="24"/>
  <c r="O171" i="24"/>
  <c r="L171" i="24"/>
  <c r="K171" i="24"/>
  <c r="J171" i="24"/>
  <c r="H171" i="24"/>
  <c r="N171" i="24"/>
  <c r="M170" i="24"/>
  <c r="N170" i="24"/>
  <c r="O170" i="24"/>
  <c r="P170" i="24"/>
  <c r="H170" i="24"/>
  <c r="K170" i="24"/>
  <c r="I170" i="24"/>
  <c r="J170" i="24"/>
  <c r="L170" i="24"/>
  <c r="N169" i="24"/>
  <c r="O169" i="24"/>
  <c r="P169" i="24"/>
  <c r="L169" i="24"/>
  <c r="M169" i="24"/>
  <c r="H169" i="24"/>
  <c r="I169" i="24"/>
  <c r="J169" i="24"/>
  <c r="K169" i="24"/>
  <c r="L168" i="24"/>
  <c r="H168" i="24"/>
  <c r="O168" i="24"/>
  <c r="N168" i="24"/>
  <c r="M168" i="24"/>
  <c r="J168" i="24"/>
  <c r="K168" i="24"/>
  <c r="O578" i="24"/>
  <c r="N578" i="24"/>
  <c r="J578" i="24"/>
  <c r="M578" i="24"/>
  <c r="I578" i="24"/>
  <c r="L578" i="24"/>
  <c r="H578" i="24"/>
  <c r="P578" i="24"/>
  <c r="K578" i="24"/>
  <c r="H75" i="24"/>
  <c r="I75" i="24"/>
  <c r="J75" i="24"/>
  <c r="K75" i="24"/>
  <c r="L75" i="24"/>
  <c r="M75" i="24"/>
  <c r="P75" i="24"/>
  <c r="N75" i="24"/>
  <c r="O75" i="24"/>
  <c r="L74" i="24"/>
  <c r="H74" i="24"/>
  <c r="I74" i="24"/>
  <c r="J74" i="24"/>
  <c r="P74" i="24"/>
  <c r="O74" i="24"/>
  <c r="N74" i="24"/>
  <c r="M74" i="24"/>
  <c r="K74" i="24"/>
  <c r="I73" i="24"/>
  <c r="P73" i="24"/>
  <c r="H73" i="24"/>
  <c r="N73" i="24"/>
  <c r="K73" i="24"/>
  <c r="M73" i="24"/>
  <c r="L73" i="24"/>
  <c r="J73" i="24"/>
  <c r="O73" i="24"/>
  <c r="H72" i="24"/>
  <c r="I72" i="24"/>
  <c r="J72" i="24"/>
  <c r="M72" i="24"/>
  <c r="P72" i="24"/>
  <c r="O72" i="24"/>
  <c r="N72" i="24"/>
  <c r="K72" i="24"/>
  <c r="L72" i="24"/>
  <c r="M71" i="24"/>
  <c r="N71" i="24"/>
  <c r="H71" i="24"/>
  <c r="P71" i="24"/>
  <c r="O71" i="24"/>
  <c r="L71" i="24"/>
  <c r="J71" i="24"/>
  <c r="K71" i="24"/>
  <c r="I71" i="24"/>
  <c r="O70" i="24"/>
  <c r="N70" i="24"/>
  <c r="I70" i="24"/>
  <c r="J70" i="24"/>
  <c r="M70" i="24"/>
  <c r="K70" i="24"/>
  <c r="L70" i="24"/>
  <c r="H70" i="24"/>
  <c r="P70" i="24"/>
  <c r="N65" i="24"/>
  <c r="H65" i="24"/>
  <c r="O65" i="24"/>
  <c r="P65" i="24"/>
  <c r="M65" i="24"/>
  <c r="I65" i="24"/>
  <c r="K59" i="24"/>
  <c r="J59" i="24"/>
  <c r="I59" i="24"/>
  <c r="P59" i="24"/>
  <c r="H59" i="24"/>
  <c r="L59" i="24"/>
  <c r="O59" i="24"/>
  <c r="N59" i="24"/>
  <c r="M59" i="24"/>
  <c r="K576" i="24"/>
  <c r="I576" i="24"/>
  <c r="P576" i="24"/>
  <c r="N576" i="24"/>
  <c r="J576" i="24"/>
  <c r="H576" i="24"/>
  <c r="O576" i="24"/>
  <c r="L576" i="24"/>
  <c r="M576" i="24"/>
  <c r="O439" i="24"/>
  <c r="M439" i="24"/>
  <c r="L439" i="24"/>
  <c r="K439" i="24"/>
  <c r="J439" i="24"/>
  <c r="P439" i="24"/>
  <c r="I439" i="24"/>
  <c r="H439" i="24"/>
  <c r="N439" i="24"/>
  <c r="O438" i="24"/>
  <c r="P438" i="24"/>
  <c r="L438" i="24"/>
  <c r="M438" i="24"/>
  <c r="K438" i="24"/>
  <c r="J438" i="24"/>
  <c r="I438" i="24"/>
  <c r="H438" i="24"/>
  <c r="N438" i="24"/>
  <c r="L246" i="24"/>
  <c r="J246" i="24"/>
  <c r="L244" i="24"/>
  <c r="N244" i="24"/>
  <c r="O244" i="24"/>
  <c r="J244" i="24"/>
  <c r="K244" i="24"/>
  <c r="P244" i="24"/>
  <c r="M244" i="24"/>
  <c r="I244" i="24"/>
  <c r="H244" i="24"/>
  <c r="I243" i="24"/>
  <c r="J243" i="24"/>
  <c r="L243" i="24"/>
  <c r="N243" i="24"/>
  <c r="P243" i="24"/>
  <c r="H243" i="24"/>
  <c r="K243" i="24"/>
  <c r="M243" i="24"/>
  <c r="O243" i="24"/>
  <c r="J242" i="24"/>
  <c r="M242" i="24"/>
  <c r="H242" i="24"/>
  <c r="P242" i="24"/>
  <c r="N242" i="24"/>
  <c r="L242" i="24"/>
  <c r="K242" i="24"/>
  <c r="I242" i="24"/>
  <c r="O242" i="24"/>
  <c r="P319" i="24"/>
  <c r="N319" i="24"/>
  <c r="M319" i="24"/>
  <c r="K319" i="24"/>
  <c r="H319" i="24"/>
  <c r="O319" i="24"/>
  <c r="L319" i="24"/>
  <c r="J319" i="24"/>
  <c r="N318" i="24"/>
  <c r="I318" i="24"/>
  <c r="K318" i="24"/>
  <c r="O318" i="24"/>
  <c r="J318" i="24"/>
  <c r="H318" i="24"/>
  <c r="L318" i="24"/>
  <c r="M318" i="24"/>
  <c r="P318" i="24"/>
  <c r="P317" i="24"/>
  <c r="M317" i="24"/>
  <c r="O317" i="24"/>
  <c r="K317" i="24"/>
  <c r="L317" i="24"/>
  <c r="J317" i="24"/>
  <c r="H317" i="24"/>
  <c r="I317" i="24"/>
  <c r="N317" i="24"/>
  <c r="I310" i="24"/>
  <c r="K310" i="24"/>
  <c r="M310" i="24"/>
  <c r="P310" i="24"/>
  <c r="O310" i="24"/>
  <c r="L310" i="24"/>
  <c r="J310" i="24"/>
  <c r="H310" i="24"/>
  <c r="N310" i="24"/>
  <c r="P305" i="24"/>
  <c r="M305" i="24"/>
  <c r="K305" i="24"/>
  <c r="J305" i="24"/>
  <c r="O305" i="24"/>
  <c r="N305" i="24"/>
  <c r="L305" i="24"/>
  <c r="H305" i="24"/>
  <c r="I305" i="24"/>
  <c r="I301" i="24"/>
  <c r="K301" i="24"/>
  <c r="L301" i="24"/>
  <c r="N301" i="24"/>
  <c r="P301" i="24"/>
  <c r="J301" i="24"/>
  <c r="H301" i="24"/>
  <c r="M301" i="24"/>
  <c r="O301" i="24"/>
  <c r="H300" i="24"/>
  <c r="M300" i="24"/>
  <c r="K300" i="24"/>
  <c r="I300" i="24"/>
  <c r="O300" i="24"/>
  <c r="P300" i="24"/>
  <c r="N300" i="24"/>
  <c r="L300" i="24"/>
  <c r="J300" i="24"/>
  <c r="J65" i="24"/>
  <c r="L65" i="24"/>
  <c r="K65" i="24"/>
  <c r="N64" i="24"/>
  <c r="O64" i="24"/>
  <c r="P64" i="24"/>
  <c r="J64" i="24"/>
  <c r="H64" i="24"/>
  <c r="I64" i="24"/>
  <c r="K64" i="24"/>
  <c r="L64" i="24"/>
  <c r="M64" i="24"/>
  <c r="H63" i="24"/>
  <c r="I63" i="24"/>
  <c r="J63" i="24"/>
  <c r="K63" i="24"/>
  <c r="L63" i="24"/>
  <c r="M63" i="24"/>
  <c r="N63" i="24"/>
  <c r="O63" i="24"/>
  <c r="P63" i="24"/>
  <c r="N62" i="24"/>
  <c r="P62" i="24"/>
  <c r="O62" i="24"/>
  <c r="H62" i="24"/>
  <c r="I62" i="24"/>
  <c r="J62" i="24"/>
  <c r="K62" i="24"/>
  <c r="L62" i="24"/>
  <c r="M62" i="24"/>
  <c r="I61" i="24"/>
  <c r="K61" i="24"/>
  <c r="L61" i="24"/>
  <c r="M61" i="24"/>
  <c r="N61" i="24"/>
  <c r="O61" i="24"/>
  <c r="P61" i="24"/>
  <c r="J61" i="24"/>
  <c r="H61" i="24"/>
  <c r="N149" i="24"/>
  <c r="O149" i="24"/>
  <c r="P149" i="24"/>
  <c r="L144" i="24"/>
  <c r="N144" i="24"/>
  <c r="O144" i="24"/>
  <c r="P144" i="24"/>
  <c r="H144" i="24"/>
  <c r="I144" i="24"/>
  <c r="J144" i="24"/>
  <c r="K144" i="24"/>
  <c r="M144" i="24"/>
  <c r="L142" i="24"/>
  <c r="K142" i="24"/>
  <c r="J142" i="24"/>
  <c r="I142" i="24"/>
  <c r="H142" i="24"/>
  <c r="P142" i="24"/>
  <c r="O142" i="24"/>
  <c r="N142" i="24"/>
  <c r="M142" i="24"/>
  <c r="H141" i="24"/>
  <c r="L141" i="24"/>
  <c r="N141" i="24"/>
  <c r="O141" i="24"/>
  <c r="P141" i="24"/>
  <c r="I141" i="24"/>
  <c r="J141" i="24"/>
  <c r="K141" i="24"/>
  <c r="M141" i="24"/>
  <c r="L140" i="24"/>
  <c r="N140" i="24"/>
  <c r="O140" i="24"/>
  <c r="P140" i="24"/>
  <c r="M140" i="24"/>
  <c r="H140" i="24"/>
  <c r="I140" i="24"/>
  <c r="J140" i="24"/>
  <c r="K140" i="24"/>
  <c r="P139" i="24"/>
  <c r="I139" i="24"/>
  <c r="J139" i="24"/>
  <c r="K139" i="24"/>
  <c r="L139" i="24"/>
  <c r="M139" i="24"/>
  <c r="N139" i="24"/>
  <c r="O139" i="24"/>
  <c r="H139" i="24"/>
  <c r="K137" i="24"/>
  <c r="J137" i="24"/>
  <c r="I137" i="24"/>
  <c r="H137" i="24"/>
  <c r="L137" i="24"/>
  <c r="P137" i="24"/>
  <c r="O137" i="24"/>
  <c r="N137" i="24"/>
  <c r="M137" i="24"/>
  <c r="M136" i="24"/>
  <c r="K136" i="24"/>
  <c r="P136" i="24"/>
  <c r="O136" i="24"/>
  <c r="N136" i="24"/>
  <c r="L136" i="24"/>
  <c r="J136" i="24"/>
  <c r="I136" i="24"/>
  <c r="H136" i="24"/>
  <c r="M135" i="24"/>
  <c r="N135" i="24"/>
  <c r="O135" i="24"/>
  <c r="P135" i="24"/>
  <c r="K135" i="24"/>
  <c r="J135" i="24"/>
  <c r="I135" i="24"/>
  <c r="H135" i="24"/>
  <c r="L135" i="24"/>
  <c r="H134" i="24"/>
  <c r="J134" i="24"/>
  <c r="K134" i="24"/>
  <c r="L134" i="24"/>
  <c r="M134" i="24"/>
  <c r="N134" i="24"/>
  <c r="O134" i="24"/>
  <c r="P134" i="24"/>
  <c r="I134" i="24"/>
  <c r="N133" i="24"/>
  <c r="O133" i="24"/>
  <c r="P133" i="24"/>
  <c r="H133" i="24"/>
  <c r="I133" i="24"/>
  <c r="J133" i="24"/>
  <c r="K133" i="24"/>
  <c r="L133" i="24"/>
  <c r="M133" i="24"/>
  <c r="N129" i="24"/>
  <c r="H129" i="24"/>
  <c r="I129" i="24"/>
  <c r="J129" i="24"/>
  <c r="K129" i="24"/>
  <c r="L129" i="24"/>
  <c r="M129" i="24"/>
  <c r="P129" i="24"/>
  <c r="O129" i="24"/>
  <c r="N128" i="24"/>
  <c r="H128" i="24"/>
  <c r="I128" i="24"/>
  <c r="J128" i="24"/>
  <c r="K128" i="24"/>
  <c r="L128" i="24"/>
  <c r="M128" i="24"/>
  <c r="O128" i="24"/>
  <c r="P128" i="24"/>
  <c r="H127" i="24"/>
  <c r="I127" i="24"/>
  <c r="J127" i="24"/>
  <c r="K127" i="24"/>
  <c r="L127" i="24"/>
  <c r="N127" i="24"/>
  <c r="O127" i="24"/>
  <c r="P127" i="24"/>
  <c r="M127" i="24"/>
  <c r="P362" i="24"/>
  <c r="O362" i="24"/>
  <c r="N362" i="24"/>
  <c r="M362" i="24"/>
  <c r="L362" i="24"/>
  <c r="K362" i="24"/>
  <c r="J362" i="24"/>
  <c r="I362" i="24"/>
  <c r="H362" i="24"/>
  <c r="O261" i="24"/>
  <c r="N261" i="24"/>
  <c r="L261" i="24"/>
  <c r="K261" i="24"/>
  <c r="I261" i="24"/>
  <c r="P261" i="24"/>
  <c r="M261" i="24"/>
  <c r="J261" i="24"/>
  <c r="H261" i="24"/>
  <c r="O258" i="24"/>
  <c r="M258" i="24"/>
  <c r="K258" i="24"/>
  <c r="J258" i="24"/>
  <c r="H258" i="24"/>
  <c r="P258" i="24"/>
  <c r="N258" i="24"/>
  <c r="L258" i="24"/>
  <c r="I258" i="24"/>
  <c r="P257" i="24"/>
  <c r="N257" i="24"/>
  <c r="L257" i="24"/>
  <c r="J257" i="24"/>
  <c r="H257" i="24"/>
  <c r="O257" i="24"/>
  <c r="M257" i="24"/>
  <c r="K257" i="24"/>
  <c r="I257" i="24"/>
  <c r="O256" i="24"/>
  <c r="M256" i="24"/>
  <c r="K256" i="24"/>
  <c r="I256" i="24"/>
  <c r="P256" i="24"/>
  <c r="N256" i="24"/>
  <c r="L256" i="24"/>
  <c r="J256" i="24"/>
  <c r="H256" i="24"/>
  <c r="P255" i="24"/>
  <c r="N255" i="24"/>
  <c r="K255" i="24"/>
  <c r="H255" i="24"/>
  <c r="O255" i="24"/>
  <c r="M255" i="24"/>
  <c r="L255" i="24"/>
  <c r="J255" i="24"/>
  <c r="I255" i="24"/>
  <c r="P254" i="24"/>
  <c r="N254" i="24"/>
  <c r="L254" i="24"/>
  <c r="K254" i="24"/>
  <c r="I254" i="24"/>
  <c r="O254" i="24"/>
  <c r="M254" i="24"/>
  <c r="J254" i="24"/>
  <c r="H254" i="24"/>
  <c r="O251" i="24"/>
  <c r="M251" i="24"/>
  <c r="K251" i="24"/>
  <c r="H251" i="24"/>
  <c r="P251" i="24"/>
  <c r="N251" i="24"/>
  <c r="L251" i="24"/>
  <c r="J251" i="24"/>
  <c r="I251" i="24"/>
  <c r="P250" i="24"/>
  <c r="N250" i="24"/>
  <c r="L250" i="24"/>
  <c r="J250" i="24"/>
  <c r="H250" i="24"/>
  <c r="O250" i="24"/>
  <c r="M250" i="24"/>
  <c r="K250" i="24"/>
  <c r="I250" i="24"/>
  <c r="O249" i="24"/>
  <c r="M249" i="24"/>
  <c r="K249" i="24"/>
  <c r="I249" i="24"/>
  <c r="P249" i="24"/>
  <c r="N249" i="24"/>
  <c r="L249" i="24"/>
  <c r="J249" i="24"/>
  <c r="H249" i="24"/>
  <c r="P248" i="24"/>
  <c r="N248" i="24"/>
  <c r="M248" i="24"/>
  <c r="K248" i="24"/>
  <c r="H248" i="24"/>
  <c r="O248" i="24"/>
  <c r="L248" i="24"/>
  <c r="J248" i="24"/>
  <c r="I248" i="24"/>
  <c r="P247" i="24"/>
  <c r="N247" i="24"/>
  <c r="L247" i="24"/>
  <c r="J247" i="24"/>
  <c r="I247" i="24"/>
  <c r="O247" i="24"/>
  <c r="M247" i="24"/>
  <c r="K247" i="24"/>
  <c r="H247" i="24"/>
  <c r="P245" i="24"/>
  <c r="N245" i="24"/>
  <c r="L245" i="24"/>
  <c r="I245" i="24"/>
  <c r="O245" i="24"/>
  <c r="M245" i="24"/>
  <c r="K245" i="24"/>
  <c r="J245" i="24"/>
  <c r="H245" i="24"/>
  <c r="P240" i="24"/>
  <c r="N240" i="24"/>
  <c r="L240" i="24"/>
  <c r="J240" i="24"/>
  <c r="H240" i="24"/>
  <c r="O240" i="24"/>
  <c r="M240" i="24"/>
  <c r="K240" i="24"/>
  <c r="I240" i="24"/>
  <c r="P239" i="24"/>
  <c r="N239" i="24"/>
  <c r="M239" i="24"/>
  <c r="K239" i="24"/>
  <c r="I239" i="24"/>
  <c r="O239" i="24"/>
  <c r="L239" i="24"/>
  <c r="J239" i="24"/>
  <c r="H239" i="24"/>
  <c r="K219" i="24"/>
  <c r="I219" i="24"/>
  <c r="H219" i="24"/>
  <c r="O219" i="24"/>
  <c r="P219" i="24"/>
  <c r="N219" i="24"/>
  <c r="M219" i="24"/>
  <c r="J219" i="24"/>
  <c r="L219" i="24"/>
  <c r="O218" i="24"/>
  <c r="M218" i="24"/>
  <c r="I218" i="24"/>
  <c r="P218" i="24"/>
  <c r="J218" i="24"/>
  <c r="N218" i="24"/>
  <c r="K218" i="24"/>
  <c r="H218" i="24"/>
  <c r="L218" i="24"/>
  <c r="M213" i="24"/>
  <c r="J213" i="24"/>
  <c r="P213" i="24"/>
  <c r="H213" i="24"/>
  <c r="L213" i="24"/>
  <c r="I213" i="24"/>
  <c r="O213" i="24"/>
  <c r="N213" i="24"/>
  <c r="K213" i="24"/>
  <c r="K211" i="24"/>
  <c r="H211" i="24"/>
  <c r="O211" i="24"/>
  <c r="N211" i="24"/>
  <c r="L211" i="24"/>
  <c r="I211" i="24"/>
  <c r="P211" i="24"/>
  <c r="M211" i="24"/>
  <c r="J211" i="24"/>
  <c r="P210" i="24"/>
  <c r="L210" i="24"/>
  <c r="I210" i="24"/>
  <c r="O210" i="24"/>
  <c r="N210" i="24"/>
  <c r="M210" i="24"/>
  <c r="J210" i="24"/>
  <c r="K210" i="24"/>
  <c r="H210" i="24"/>
  <c r="O209" i="24"/>
  <c r="K209" i="24"/>
  <c r="I209" i="24"/>
  <c r="M209" i="24"/>
  <c r="J209" i="24"/>
  <c r="N209" i="24"/>
  <c r="L209" i="24"/>
  <c r="P209" i="24"/>
  <c r="H209" i="24"/>
  <c r="I204" i="24"/>
  <c r="O204" i="24"/>
  <c r="K204" i="24"/>
  <c r="P204" i="24"/>
  <c r="M204" i="24"/>
  <c r="N204" i="24"/>
  <c r="J204" i="24"/>
  <c r="L204" i="24"/>
  <c r="H204" i="24"/>
  <c r="L203" i="24"/>
  <c r="O203" i="24"/>
  <c r="H203" i="24"/>
  <c r="I203" i="24"/>
  <c r="N203" i="24"/>
  <c r="P203" i="24"/>
  <c r="J203" i="24"/>
  <c r="M203" i="24"/>
  <c r="K203" i="24"/>
  <c r="N201" i="24"/>
  <c r="K201" i="24"/>
  <c r="L201" i="24"/>
  <c r="M201" i="24"/>
  <c r="O201" i="24"/>
  <c r="H201" i="24"/>
  <c r="I201" i="24"/>
  <c r="P201" i="24"/>
  <c r="J201" i="24"/>
  <c r="O197" i="24"/>
  <c r="M197" i="24"/>
  <c r="J197" i="24"/>
  <c r="N197" i="24"/>
  <c r="P197" i="24"/>
  <c r="I197" i="24"/>
  <c r="L197" i="24"/>
  <c r="K197" i="24"/>
  <c r="H197" i="24"/>
  <c r="I196" i="24"/>
  <c r="L196" i="24"/>
  <c r="O196" i="24"/>
  <c r="K196" i="24"/>
  <c r="P196" i="24"/>
  <c r="M196" i="24"/>
  <c r="N196" i="24"/>
  <c r="J196" i="24"/>
  <c r="H196" i="24"/>
  <c r="J195" i="24"/>
  <c r="M195" i="24"/>
  <c r="H195" i="24"/>
  <c r="L195" i="24"/>
  <c r="P195" i="24"/>
  <c r="N195" i="24"/>
  <c r="K195" i="24"/>
  <c r="I195" i="24"/>
  <c r="O195" i="24"/>
  <c r="J190" i="24"/>
  <c r="M190" i="24"/>
  <c r="O190" i="24"/>
  <c r="L190" i="24"/>
  <c r="K190" i="24"/>
  <c r="P190" i="24"/>
  <c r="N190" i="24"/>
  <c r="I190" i="24"/>
  <c r="H190" i="24"/>
  <c r="N189" i="24"/>
  <c r="K189" i="24"/>
  <c r="H189" i="24"/>
  <c r="J189" i="24"/>
  <c r="M189" i="24"/>
  <c r="L189" i="24"/>
  <c r="P189" i="24"/>
  <c r="I189" i="24"/>
  <c r="O189" i="24"/>
  <c r="P174" i="24"/>
  <c r="O174" i="24"/>
  <c r="N174" i="24"/>
  <c r="M174" i="24"/>
  <c r="L174" i="24"/>
  <c r="K174" i="24"/>
  <c r="J174" i="24"/>
  <c r="I174" i="24"/>
  <c r="H174" i="24"/>
  <c r="P173" i="24"/>
  <c r="O173" i="24"/>
  <c r="N173" i="24"/>
  <c r="M173" i="24"/>
  <c r="L173" i="24"/>
  <c r="K173" i="24"/>
  <c r="J173" i="24"/>
  <c r="I173" i="24"/>
  <c r="H173" i="24"/>
  <c r="P172" i="24"/>
  <c r="O172" i="24"/>
  <c r="N172" i="24"/>
  <c r="M172" i="24"/>
  <c r="L172" i="24"/>
  <c r="K172" i="24"/>
  <c r="J172" i="24"/>
  <c r="I172" i="24"/>
  <c r="H172" i="24"/>
  <c r="P160" i="24"/>
  <c r="O160" i="24"/>
  <c r="N160" i="24"/>
  <c r="M160" i="24"/>
  <c r="L160" i="24"/>
  <c r="K160" i="24"/>
  <c r="J160" i="24"/>
  <c r="I160" i="24"/>
  <c r="H160" i="24"/>
  <c r="P159" i="24"/>
  <c r="O159" i="24"/>
  <c r="N159" i="24"/>
  <c r="M159" i="24"/>
  <c r="L159" i="24"/>
  <c r="K159" i="24"/>
  <c r="J159" i="24"/>
  <c r="I159" i="24"/>
  <c r="H159" i="24"/>
  <c r="P153" i="24"/>
  <c r="O153" i="24"/>
  <c r="N153" i="24"/>
  <c r="M153" i="24"/>
  <c r="L153" i="24"/>
  <c r="K153" i="24"/>
  <c r="J153" i="24"/>
  <c r="I153" i="24"/>
  <c r="H153" i="24"/>
  <c r="P147" i="24"/>
  <c r="O147" i="24"/>
  <c r="N147" i="24"/>
  <c r="M147" i="24"/>
  <c r="L147" i="24"/>
  <c r="K147" i="24"/>
  <c r="J147" i="24"/>
  <c r="I147" i="24"/>
  <c r="H147" i="24"/>
  <c r="P146" i="24"/>
  <c r="O146" i="24"/>
  <c r="N146" i="24"/>
  <c r="M146" i="24"/>
  <c r="L146" i="24"/>
  <c r="K146" i="24"/>
  <c r="J146" i="24"/>
  <c r="I146" i="24"/>
  <c r="H146" i="24"/>
  <c r="P145" i="24"/>
  <c r="O145" i="24"/>
  <c r="N145" i="24"/>
  <c r="M145" i="24"/>
  <c r="L145" i="24"/>
  <c r="K145" i="24"/>
  <c r="J145" i="24"/>
  <c r="I145" i="24"/>
  <c r="H145" i="24"/>
  <c r="P143" i="24"/>
  <c r="O143" i="24"/>
  <c r="N143" i="24"/>
  <c r="M143" i="24"/>
  <c r="L143" i="24"/>
  <c r="K143" i="24"/>
  <c r="J143" i="24"/>
  <c r="I143" i="24"/>
  <c r="H143" i="24"/>
  <c r="P138" i="24"/>
  <c r="O138" i="24"/>
  <c r="N138" i="24"/>
  <c r="M138" i="24"/>
  <c r="L138" i="24"/>
  <c r="K138" i="24"/>
  <c r="J138" i="24"/>
  <c r="I138" i="24"/>
  <c r="H138" i="24"/>
  <c r="P132" i="24"/>
  <c r="O132" i="24"/>
  <c r="N132" i="24"/>
  <c r="M132" i="24"/>
  <c r="L132" i="24"/>
  <c r="K132" i="24"/>
  <c r="J132" i="24"/>
  <c r="I132" i="24"/>
  <c r="H132" i="24"/>
  <c r="P131" i="24"/>
  <c r="O131" i="24"/>
  <c r="N131" i="24"/>
  <c r="M131" i="24"/>
  <c r="L131" i="24"/>
  <c r="K131" i="24"/>
  <c r="J131" i="24"/>
  <c r="I131" i="24"/>
  <c r="H131" i="24"/>
  <c r="P130" i="24"/>
  <c r="O130" i="24"/>
  <c r="N130" i="24"/>
  <c r="M130" i="24"/>
  <c r="L130" i="24"/>
  <c r="K130" i="24"/>
  <c r="J130" i="24"/>
  <c r="I130" i="24"/>
  <c r="H130" i="24"/>
  <c r="P392" i="24"/>
  <c r="O392" i="24"/>
  <c r="N392" i="24"/>
  <c r="M392" i="24"/>
  <c r="L392" i="24"/>
  <c r="K392" i="24"/>
  <c r="J392" i="24"/>
  <c r="I392" i="24"/>
  <c r="H392" i="24"/>
  <c r="P378" i="24"/>
  <c r="O378" i="24"/>
  <c r="N378" i="24"/>
  <c r="M378" i="24"/>
  <c r="L378" i="24"/>
  <c r="K378" i="24"/>
  <c r="J378" i="24"/>
  <c r="I378" i="24"/>
  <c r="H378" i="24"/>
  <c r="O316" i="24"/>
  <c r="M316" i="24"/>
  <c r="K316" i="24"/>
  <c r="I316" i="24"/>
  <c r="P316" i="24"/>
  <c r="N316" i="24"/>
  <c r="L316" i="24"/>
  <c r="J316" i="24"/>
  <c r="H316" i="24"/>
  <c r="O315" i="24"/>
  <c r="M315" i="24"/>
  <c r="K315" i="24"/>
  <c r="H315" i="24"/>
  <c r="P315" i="24"/>
  <c r="N315" i="24"/>
  <c r="L315" i="24"/>
  <c r="J315" i="24"/>
  <c r="I315" i="24"/>
  <c r="O314" i="24"/>
  <c r="M314" i="24"/>
  <c r="J314" i="24"/>
  <c r="H314" i="24"/>
  <c r="P314" i="24"/>
  <c r="N314" i="24"/>
  <c r="L314" i="24"/>
  <c r="K314" i="24"/>
  <c r="I314" i="24"/>
  <c r="P313" i="24"/>
  <c r="M313" i="24"/>
  <c r="K313" i="24"/>
  <c r="I313" i="24"/>
  <c r="O313" i="24"/>
  <c r="N313" i="24"/>
  <c r="L313" i="24"/>
  <c r="J313" i="24"/>
  <c r="H313" i="24"/>
  <c r="O312" i="24"/>
  <c r="M312" i="24"/>
  <c r="K312" i="24"/>
  <c r="I312" i="24"/>
  <c r="P312" i="24"/>
  <c r="N312" i="24"/>
  <c r="L312" i="24"/>
  <c r="J312" i="24"/>
  <c r="H312" i="24"/>
  <c r="P311" i="24"/>
  <c r="N311" i="24"/>
  <c r="J311" i="24"/>
  <c r="H311" i="24"/>
  <c r="O311" i="24"/>
  <c r="M311" i="24"/>
  <c r="L311" i="24"/>
  <c r="K311" i="24"/>
  <c r="I311" i="24"/>
  <c r="O309" i="24"/>
  <c r="M309" i="24"/>
  <c r="J309" i="24"/>
  <c r="H309" i="24"/>
  <c r="P309" i="24"/>
  <c r="N309" i="24"/>
  <c r="L309" i="24"/>
  <c r="K309" i="24"/>
  <c r="I309" i="24"/>
  <c r="P308" i="24"/>
  <c r="M308" i="24"/>
  <c r="K308" i="24"/>
  <c r="H308" i="24"/>
  <c r="O308" i="24"/>
  <c r="N308" i="24"/>
  <c r="L308" i="24"/>
  <c r="J308" i="24"/>
  <c r="I308" i="24"/>
  <c r="O307" i="24"/>
  <c r="M307" i="24"/>
  <c r="J307" i="24"/>
  <c r="I307" i="24"/>
  <c r="P307" i="24"/>
  <c r="N307" i="24"/>
  <c r="L307" i="24"/>
  <c r="K307" i="24"/>
  <c r="H307" i="24"/>
  <c r="O306" i="24"/>
  <c r="M306" i="24"/>
  <c r="L306" i="24"/>
  <c r="J306" i="24"/>
  <c r="H306" i="24"/>
  <c r="P306" i="24"/>
  <c r="N306" i="24"/>
  <c r="K306" i="24"/>
  <c r="I306" i="24"/>
  <c r="O304" i="24"/>
  <c r="M304" i="24"/>
  <c r="K304" i="24"/>
  <c r="H304" i="24"/>
  <c r="P304" i="24"/>
  <c r="N304" i="24"/>
  <c r="L304" i="24"/>
  <c r="J304" i="24"/>
  <c r="I304" i="24"/>
  <c r="P303" i="24"/>
  <c r="N303" i="24"/>
  <c r="L303" i="24"/>
  <c r="J303" i="24"/>
  <c r="H303" i="24"/>
  <c r="O303" i="24"/>
  <c r="M303" i="24"/>
  <c r="K303" i="24"/>
  <c r="I303" i="24"/>
  <c r="P302" i="24"/>
  <c r="N302" i="24"/>
  <c r="L302" i="24"/>
  <c r="K302" i="24"/>
  <c r="I302" i="24"/>
  <c r="O302" i="24"/>
  <c r="M302" i="24"/>
  <c r="J302" i="24"/>
  <c r="H302" i="24"/>
  <c r="O299" i="24"/>
  <c r="M299" i="24"/>
  <c r="K299" i="24"/>
  <c r="I299" i="24"/>
  <c r="P299" i="24"/>
  <c r="N299" i="24"/>
  <c r="L299" i="24"/>
  <c r="J299" i="24"/>
  <c r="H299" i="24"/>
  <c r="P298" i="24"/>
  <c r="O298" i="24"/>
  <c r="M298" i="24"/>
  <c r="J298" i="24"/>
  <c r="H298" i="24"/>
  <c r="N298" i="24"/>
  <c r="L298" i="24"/>
  <c r="K298" i="24"/>
  <c r="I298" i="24"/>
  <c r="P297" i="24"/>
  <c r="N297" i="24"/>
  <c r="L297" i="24"/>
  <c r="K297" i="24"/>
  <c r="I297" i="24"/>
  <c r="O297" i="24"/>
  <c r="M297" i="24"/>
  <c r="J297" i="24"/>
  <c r="H297" i="24"/>
  <c r="P296" i="24"/>
  <c r="N296" i="24"/>
  <c r="L296" i="24"/>
  <c r="J296" i="24"/>
  <c r="I296" i="24"/>
  <c r="O296" i="24"/>
  <c r="M296" i="24"/>
  <c r="K296" i="24"/>
  <c r="H296" i="24"/>
  <c r="P295" i="24"/>
  <c r="N295" i="24"/>
  <c r="K295" i="24"/>
  <c r="J295" i="24"/>
  <c r="I295" i="24"/>
  <c r="O295" i="24"/>
  <c r="M295" i="24"/>
  <c r="L295" i="24"/>
  <c r="H295" i="24"/>
  <c r="P290" i="24"/>
  <c r="N290" i="24"/>
  <c r="L290" i="24"/>
  <c r="K290" i="24"/>
  <c r="I290" i="24"/>
  <c r="O290" i="24"/>
  <c r="M290" i="24"/>
  <c r="J290" i="24"/>
  <c r="H290" i="24"/>
  <c r="P288" i="24"/>
  <c r="M288" i="24"/>
  <c r="J288" i="24"/>
  <c r="I288" i="24"/>
  <c r="O288" i="24"/>
  <c r="N288" i="24"/>
  <c r="L288" i="24"/>
  <c r="K288" i="24"/>
  <c r="H288" i="24"/>
  <c r="P286" i="24"/>
  <c r="N286" i="24"/>
  <c r="L286" i="24"/>
  <c r="K286" i="24"/>
  <c r="I286" i="24"/>
  <c r="O286" i="24"/>
  <c r="M286" i="24"/>
  <c r="J286" i="24"/>
  <c r="H286" i="24"/>
  <c r="P285" i="24"/>
  <c r="N285" i="24"/>
  <c r="L285" i="24"/>
  <c r="K285" i="24"/>
  <c r="I285" i="24"/>
  <c r="O285" i="24"/>
  <c r="M285" i="24"/>
  <c r="J285" i="24"/>
  <c r="H285" i="24"/>
  <c r="O281" i="24"/>
  <c r="M281" i="24"/>
  <c r="J281" i="24"/>
  <c r="H281" i="24"/>
  <c r="P281" i="24"/>
  <c r="N281" i="24"/>
  <c r="L281" i="24"/>
  <c r="K281" i="24"/>
  <c r="I281" i="24"/>
  <c r="K273" i="24"/>
  <c r="I273" i="24"/>
  <c r="O273" i="24"/>
  <c r="J273" i="24"/>
  <c r="L273" i="24"/>
  <c r="N273" i="24"/>
  <c r="P273" i="24"/>
  <c r="M273" i="24"/>
  <c r="H273" i="24"/>
  <c r="I272" i="24"/>
  <c r="K272" i="24"/>
  <c r="M272" i="24"/>
  <c r="O272" i="24"/>
  <c r="L272" i="24"/>
  <c r="P272" i="24"/>
  <c r="H272" i="24"/>
  <c r="N272" i="24"/>
  <c r="J272" i="24"/>
  <c r="O271" i="24"/>
  <c r="L271" i="24"/>
  <c r="P271" i="24"/>
  <c r="M271" i="24"/>
  <c r="I271" i="24"/>
  <c r="K271" i="24"/>
  <c r="N271" i="24"/>
  <c r="J271" i="24"/>
  <c r="H271" i="24"/>
  <c r="L270" i="24"/>
  <c r="I270" i="24"/>
  <c r="O270" i="24"/>
  <c r="J270" i="24"/>
  <c r="K270" i="24"/>
  <c r="N270" i="24"/>
  <c r="P270" i="24"/>
  <c r="H270" i="24"/>
  <c r="M270" i="24"/>
  <c r="P269" i="24"/>
  <c r="L269" i="24"/>
  <c r="J269" i="24"/>
  <c r="M269" i="24"/>
  <c r="N269" i="24"/>
  <c r="H269" i="24"/>
  <c r="K269" i="24"/>
  <c r="I269" i="24"/>
  <c r="O269" i="24"/>
  <c r="N268" i="24"/>
  <c r="J268" i="24"/>
  <c r="M268" i="24"/>
  <c r="P268" i="24"/>
  <c r="K268" i="24"/>
  <c r="L268" i="24"/>
  <c r="I268" i="24"/>
  <c r="H268" i="24"/>
  <c r="O268" i="24"/>
  <c r="M266" i="24"/>
  <c r="O266" i="24"/>
  <c r="J266" i="24"/>
  <c r="H266" i="24"/>
  <c r="I266" i="24"/>
  <c r="L266" i="24"/>
  <c r="P266" i="24"/>
  <c r="N266" i="24"/>
  <c r="K266" i="24"/>
  <c r="H265" i="24"/>
  <c r="P265" i="24"/>
  <c r="N265" i="24"/>
  <c r="O265" i="24"/>
  <c r="K265" i="24"/>
  <c r="M265" i="24"/>
  <c r="I265" i="24"/>
  <c r="L265" i="24"/>
  <c r="J265" i="24"/>
  <c r="P124" i="24"/>
  <c r="O124" i="24"/>
  <c r="N124" i="24"/>
  <c r="M124" i="24"/>
  <c r="L124" i="24"/>
  <c r="K124" i="24"/>
  <c r="J124" i="24"/>
  <c r="I124" i="24"/>
  <c r="H124" i="24"/>
  <c r="P123" i="24"/>
  <c r="O123" i="24"/>
  <c r="N123" i="24"/>
  <c r="M123" i="24"/>
  <c r="L123" i="24"/>
  <c r="K123" i="24"/>
  <c r="J123" i="24"/>
  <c r="I123" i="24"/>
  <c r="H123" i="24"/>
  <c r="P122" i="24"/>
  <c r="O122" i="24"/>
  <c r="N122" i="24"/>
  <c r="M122" i="24"/>
  <c r="L122" i="24"/>
  <c r="K122" i="24"/>
  <c r="J122" i="24"/>
  <c r="I122" i="24"/>
  <c r="H122" i="24"/>
  <c r="P121" i="24"/>
  <c r="O121" i="24"/>
  <c r="N121" i="24"/>
  <c r="M121" i="24"/>
  <c r="L121" i="24"/>
  <c r="K121" i="24"/>
  <c r="J121" i="24"/>
  <c r="I121" i="24"/>
  <c r="H121" i="24"/>
  <c r="P120" i="24"/>
  <c r="O120" i="24"/>
  <c r="N120" i="24"/>
  <c r="M120" i="24"/>
  <c r="L120" i="24"/>
  <c r="K120" i="24"/>
  <c r="J120" i="24"/>
  <c r="I120" i="24"/>
  <c r="H120" i="24"/>
  <c r="P111" i="24"/>
  <c r="O111" i="24"/>
  <c r="N111" i="24"/>
  <c r="M111" i="24"/>
  <c r="L111" i="24"/>
  <c r="K111" i="24"/>
  <c r="J111" i="24"/>
  <c r="I111" i="24"/>
  <c r="H111" i="24"/>
  <c r="P110" i="24"/>
  <c r="O110" i="24"/>
  <c r="N110" i="24"/>
  <c r="M110" i="24"/>
  <c r="L110" i="24"/>
  <c r="K110" i="24"/>
  <c r="J110" i="24"/>
  <c r="I110" i="24"/>
  <c r="H110" i="24"/>
  <c r="P99" i="24"/>
  <c r="O99" i="24"/>
  <c r="N99" i="24"/>
  <c r="M99" i="24"/>
  <c r="L99" i="24"/>
  <c r="K99" i="24"/>
  <c r="J99" i="24"/>
  <c r="I99" i="24"/>
  <c r="H99" i="24"/>
  <c r="P98" i="24"/>
  <c r="O98" i="24"/>
  <c r="N98" i="24"/>
  <c r="M98" i="24"/>
  <c r="L98" i="24"/>
  <c r="K98" i="24"/>
  <c r="J98" i="24"/>
  <c r="I98" i="24"/>
  <c r="H98" i="24"/>
  <c r="P97" i="24"/>
  <c r="O97" i="24"/>
  <c r="N97" i="24"/>
  <c r="M97" i="24"/>
  <c r="L97" i="24"/>
  <c r="K97" i="24"/>
  <c r="J97" i="24"/>
  <c r="I97" i="24"/>
  <c r="H97" i="24"/>
  <c r="P96" i="24"/>
  <c r="O96" i="24"/>
  <c r="N96" i="24"/>
  <c r="M96" i="24"/>
  <c r="L96" i="24"/>
  <c r="K96" i="24"/>
  <c r="J96" i="24"/>
  <c r="I96" i="24"/>
  <c r="H96" i="24"/>
  <c r="P95" i="24"/>
  <c r="O95" i="24"/>
  <c r="N95" i="24"/>
  <c r="M95" i="24"/>
  <c r="L95" i="24"/>
  <c r="K95" i="24"/>
  <c r="J95" i="24"/>
  <c r="I95" i="24"/>
  <c r="H95" i="24"/>
  <c r="P94" i="24"/>
  <c r="O94" i="24"/>
  <c r="N94" i="24"/>
  <c r="M94" i="24"/>
  <c r="L94" i="24"/>
  <c r="K94" i="24"/>
  <c r="J94" i="24"/>
  <c r="I94" i="24"/>
  <c r="H94" i="24"/>
  <c r="P92" i="24"/>
  <c r="O92" i="24"/>
  <c r="N92" i="24"/>
  <c r="M92" i="24"/>
  <c r="L92" i="24"/>
  <c r="K92" i="24"/>
  <c r="J92" i="24"/>
  <c r="I92" i="24"/>
  <c r="H92" i="24"/>
  <c r="P88" i="24"/>
  <c r="O88" i="24"/>
  <c r="N88" i="24"/>
  <c r="M88" i="24"/>
  <c r="L88" i="24"/>
  <c r="K88" i="24"/>
  <c r="J88" i="24"/>
  <c r="I88" i="24"/>
  <c r="H88" i="24"/>
  <c r="P85" i="24"/>
  <c r="O85" i="24"/>
  <c r="N85" i="24"/>
  <c r="M85" i="24"/>
  <c r="L85" i="24"/>
  <c r="K85" i="24"/>
  <c r="J85" i="24"/>
  <c r="I85" i="24"/>
  <c r="H85" i="24"/>
  <c r="P82" i="24"/>
  <c r="O82" i="24"/>
  <c r="N82" i="24"/>
  <c r="M82" i="24"/>
  <c r="L82" i="24"/>
  <c r="K82" i="24"/>
  <c r="J82" i="24"/>
  <c r="I82" i="24"/>
  <c r="H82" i="24"/>
  <c r="P81" i="24"/>
  <c r="O81" i="24"/>
  <c r="N81" i="24"/>
  <c r="M81" i="24"/>
  <c r="L81" i="24"/>
  <c r="K81" i="24"/>
  <c r="J81" i="24"/>
  <c r="I81" i="24"/>
  <c r="H81" i="24"/>
  <c r="P80" i="24"/>
  <c r="O80" i="24"/>
  <c r="N80" i="24"/>
  <c r="M80" i="24"/>
  <c r="L80" i="24"/>
  <c r="K80" i="24"/>
  <c r="J80" i="24"/>
  <c r="I80" i="24"/>
  <c r="H80" i="24"/>
  <c r="P78" i="24"/>
  <c r="O78" i="24"/>
  <c r="N78" i="24"/>
  <c r="M78" i="24"/>
  <c r="L78" i="24"/>
  <c r="K78" i="24"/>
  <c r="J78" i="24"/>
  <c r="I78" i="24"/>
  <c r="H78" i="24"/>
  <c r="P77" i="24"/>
  <c r="O77" i="24"/>
  <c r="N77" i="24"/>
  <c r="M77" i="24"/>
  <c r="L77" i="24"/>
  <c r="K77" i="24"/>
  <c r="J77" i="24"/>
  <c r="I77" i="24"/>
  <c r="H77" i="24"/>
  <c r="P69" i="24"/>
  <c r="O69" i="24"/>
  <c r="N69" i="24"/>
  <c r="M69" i="24"/>
  <c r="L69" i="24"/>
  <c r="K69" i="24"/>
  <c r="J69" i="24"/>
  <c r="I69" i="24"/>
  <c r="H69" i="24"/>
  <c r="P68" i="24"/>
  <c r="O68" i="24"/>
  <c r="N68" i="24"/>
  <c r="M68" i="24"/>
  <c r="L68" i="24"/>
  <c r="K68" i="24"/>
  <c r="J68" i="24"/>
  <c r="I68" i="24"/>
  <c r="H68" i="24"/>
  <c r="P67" i="24"/>
  <c r="O67" i="24"/>
  <c r="N67" i="24"/>
  <c r="M67" i="24"/>
  <c r="L67" i="24"/>
  <c r="K67" i="24"/>
  <c r="J67" i="24"/>
  <c r="I67" i="24"/>
  <c r="H67" i="24"/>
  <c r="P66" i="24"/>
  <c r="O66" i="24"/>
  <c r="N66" i="24"/>
  <c r="M66" i="24"/>
  <c r="L66" i="24"/>
  <c r="K66" i="24"/>
  <c r="J66" i="24"/>
  <c r="I66" i="24"/>
  <c r="H66" i="24"/>
  <c r="P53" i="24"/>
  <c r="O53" i="24"/>
  <c r="N53" i="24"/>
  <c r="M53" i="24"/>
  <c r="L53" i="24"/>
  <c r="K53" i="24"/>
  <c r="J53" i="24"/>
  <c r="I53" i="24"/>
  <c r="H53" i="24"/>
  <c r="P49" i="24"/>
  <c r="O49" i="24"/>
  <c r="N49" i="24"/>
  <c r="M49" i="24"/>
  <c r="L49" i="24"/>
  <c r="K49" i="24"/>
  <c r="J49" i="24"/>
  <c r="I49" i="24"/>
  <c r="H49" i="24"/>
  <c r="N398" i="24"/>
  <c r="H398" i="24"/>
  <c r="O398" i="24"/>
  <c r="K398" i="24"/>
  <c r="I398" i="24"/>
  <c r="M398" i="24"/>
  <c r="P398" i="24"/>
  <c r="J398" i="24"/>
  <c r="L398" i="24"/>
  <c r="P374" i="24"/>
  <c r="O374" i="24"/>
  <c r="N374" i="24"/>
  <c r="M374" i="24"/>
  <c r="L374" i="24"/>
  <c r="K374" i="24"/>
  <c r="J374" i="24"/>
  <c r="I374" i="24"/>
  <c r="H374" i="24"/>
  <c r="K505" i="24"/>
  <c r="N505" i="24"/>
  <c r="L505" i="24"/>
  <c r="M505" i="24"/>
  <c r="H505" i="24"/>
  <c r="O505" i="24"/>
  <c r="J505" i="24"/>
  <c r="I505" i="24"/>
  <c r="P505" i="24"/>
  <c r="M502" i="24"/>
  <c r="O502" i="24"/>
  <c r="L502" i="24"/>
  <c r="N502" i="24"/>
  <c r="J502" i="24"/>
  <c r="I502" i="24"/>
  <c r="P502" i="24"/>
  <c r="K502" i="24"/>
  <c r="H502" i="24"/>
  <c r="P394" i="24"/>
  <c r="O394" i="24"/>
  <c r="N394" i="24"/>
  <c r="M394" i="24"/>
  <c r="L394" i="24"/>
  <c r="K394" i="24"/>
  <c r="J394" i="24"/>
  <c r="I394" i="24"/>
  <c r="H394" i="24"/>
  <c r="P162" i="24"/>
  <c r="O162" i="24"/>
  <c r="N162" i="24"/>
  <c r="M162" i="24"/>
  <c r="L162" i="24"/>
  <c r="K162" i="24"/>
  <c r="J162" i="24"/>
  <c r="I162" i="24"/>
  <c r="H162" i="24"/>
  <c r="L761" i="24"/>
  <c r="P761" i="24"/>
  <c r="N761" i="24"/>
  <c r="J761" i="24"/>
  <c r="H761" i="24"/>
  <c r="O761" i="24"/>
  <c r="M761" i="24"/>
  <c r="K761" i="24"/>
  <c r="I761" i="24"/>
  <c r="J752" i="24"/>
  <c r="P752" i="24"/>
  <c r="O752" i="24"/>
  <c r="N752" i="24"/>
  <c r="M752" i="24"/>
  <c r="L752" i="24"/>
  <c r="K752" i="24"/>
  <c r="I752" i="24"/>
  <c r="H752" i="24"/>
  <c r="N749" i="24"/>
  <c r="L749" i="24"/>
  <c r="J749" i="24"/>
  <c r="H749" i="24"/>
  <c r="P749" i="24"/>
  <c r="O749" i="24"/>
  <c r="M749" i="24"/>
  <c r="K749" i="24"/>
  <c r="I749" i="24"/>
  <c r="P520" i="24"/>
  <c r="N520" i="24"/>
  <c r="O520" i="24"/>
  <c r="K520" i="24"/>
  <c r="H520" i="24"/>
  <c r="M520" i="24"/>
  <c r="J520" i="24"/>
  <c r="I520" i="24"/>
  <c r="L520" i="24"/>
  <c r="M402" i="24"/>
  <c r="K402" i="24"/>
  <c r="J402" i="24"/>
  <c r="H402" i="24"/>
  <c r="L402" i="24"/>
  <c r="P402" i="24"/>
  <c r="N402" i="24"/>
  <c r="I402" i="24"/>
  <c r="O402" i="24"/>
  <c r="N733" i="24"/>
  <c r="K733" i="24"/>
  <c r="I733" i="24"/>
  <c r="P733" i="24"/>
  <c r="O733" i="24"/>
  <c r="M733" i="24"/>
  <c r="L733" i="24"/>
  <c r="J733" i="24"/>
  <c r="H733" i="24"/>
  <c r="P731" i="24"/>
  <c r="O731" i="24"/>
  <c r="N731" i="24"/>
  <c r="L731" i="24"/>
  <c r="K731" i="24"/>
  <c r="H731" i="24"/>
  <c r="J731" i="24"/>
  <c r="M731" i="24"/>
  <c r="I731" i="24"/>
  <c r="I549" i="24"/>
  <c r="N549" i="24"/>
  <c r="O549" i="24"/>
  <c r="J549" i="24"/>
  <c r="L549" i="24"/>
  <c r="H549" i="24"/>
  <c r="M549" i="24"/>
  <c r="K549" i="24"/>
  <c r="P549" i="24"/>
  <c r="N507" i="24"/>
  <c r="I507" i="24"/>
  <c r="J507" i="24"/>
  <c r="L507" i="24"/>
  <c r="M507" i="24"/>
  <c r="O507" i="24"/>
  <c r="K507" i="24"/>
  <c r="P507" i="24"/>
  <c r="H507" i="24"/>
  <c r="I500" i="24"/>
  <c r="O500" i="24"/>
  <c r="J500" i="24"/>
  <c r="K500" i="24"/>
  <c r="H500" i="24"/>
  <c r="M500" i="24"/>
  <c r="L500" i="24"/>
  <c r="N500" i="24"/>
  <c r="P500" i="24"/>
  <c r="P496" i="24"/>
  <c r="I496" i="24"/>
  <c r="K496" i="24"/>
  <c r="N496" i="24"/>
  <c r="O496" i="24"/>
  <c r="J496" i="24"/>
  <c r="L496" i="24"/>
  <c r="H496" i="24"/>
  <c r="M496" i="24"/>
  <c r="P542" i="24"/>
  <c r="L542" i="24"/>
  <c r="M542" i="24"/>
  <c r="O542" i="24"/>
  <c r="K542" i="24"/>
  <c r="I542" i="24"/>
  <c r="N542" i="24"/>
  <c r="J542" i="24"/>
  <c r="H542" i="24"/>
  <c r="P385" i="24"/>
  <c r="O385" i="24"/>
  <c r="N385" i="24"/>
  <c r="M385" i="24"/>
  <c r="L385" i="24"/>
  <c r="K385" i="24"/>
  <c r="J385" i="24"/>
  <c r="I385" i="24"/>
  <c r="H385" i="24"/>
  <c r="P380" i="24"/>
  <c r="O380" i="24"/>
  <c r="N380" i="24"/>
  <c r="M380" i="24"/>
  <c r="L380" i="24"/>
  <c r="K380" i="24"/>
  <c r="J380" i="24"/>
  <c r="I380" i="24"/>
  <c r="H380" i="24"/>
  <c r="L545" i="24"/>
  <c r="K545" i="24"/>
  <c r="P545" i="24"/>
  <c r="M545" i="24"/>
  <c r="J545" i="24"/>
  <c r="O545" i="24"/>
  <c r="I545" i="24"/>
  <c r="N545" i="24"/>
  <c r="H545" i="24"/>
  <c r="I541" i="24"/>
  <c r="O541" i="24"/>
  <c r="K541" i="24"/>
  <c r="H541" i="24"/>
  <c r="N541" i="24"/>
  <c r="M541" i="24"/>
  <c r="J541" i="24"/>
  <c r="P541" i="24"/>
  <c r="L541" i="24"/>
  <c r="P521" i="24"/>
  <c r="O521" i="24"/>
  <c r="N521" i="24"/>
  <c r="M521" i="24"/>
  <c r="L521" i="24"/>
  <c r="K521" i="24"/>
  <c r="J521" i="24"/>
  <c r="I521" i="24"/>
  <c r="H521" i="24"/>
  <c r="P509" i="24"/>
  <c r="L509" i="24"/>
  <c r="M509" i="24"/>
  <c r="I509" i="24"/>
  <c r="H509" i="24"/>
  <c r="N509" i="24"/>
  <c r="J509" i="24"/>
  <c r="O509" i="24"/>
  <c r="K509" i="24"/>
  <c r="O404" i="24"/>
  <c r="J404" i="24"/>
  <c r="I404" i="24"/>
  <c r="M404" i="24"/>
  <c r="K404" i="24"/>
  <c r="N404" i="24"/>
  <c r="L404" i="24"/>
  <c r="H404" i="24"/>
  <c r="P404" i="24"/>
  <c r="P383" i="24"/>
  <c r="O383" i="24"/>
  <c r="N383" i="24"/>
  <c r="M383" i="24"/>
  <c r="L383" i="24"/>
  <c r="K383" i="24"/>
  <c r="J383" i="24"/>
  <c r="I383" i="24"/>
  <c r="H383" i="24"/>
  <c r="P365" i="24"/>
  <c r="O365" i="24"/>
  <c r="N365" i="24"/>
  <c r="M365" i="24"/>
  <c r="L365" i="24"/>
  <c r="K365" i="24"/>
  <c r="J365" i="24"/>
  <c r="I365" i="24"/>
  <c r="H365" i="24"/>
  <c r="P524" i="24"/>
  <c r="O524" i="24"/>
  <c r="N524" i="24"/>
  <c r="M524" i="24"/>
  <c r="L524" i="24"/>
  <c r="K524" i="24"/>
  <c r="J524" i="24"/>
  <c r="I524" i="24"/>
  <c r="H524" i="24"/>
  <c r="P519" i="24"/>
  <c r="L519" i="24"/>
  <c r="N519" i="24"/>
  <c r="J519" i="24"/>
  <c r="O519" i="24"/>
  <c r="I519" i="24"/>
  <c r="M519" i="24"/>
  <c r="H519" i="24"/>
  <c r="K519" i="24"/>
  <c r="I508" i="24"/>
  <c r="M508" i="24"/>
  <c r="H508" i="24"/>
  <c r="K508" i="24"/>
  <c r="N508" i="24"/>
  <c r="O508" i="24"/>
  <c r="L508" i="24"/>
  <c r="J508" i="24"/>
  <c r="P508" i="24"/>
  <c r="P372" i="24"/>
  <c r="O372" i="24"/>
  <c r="N372" i="24"/>
  <c r="M372" i="24"/>
  <c r="L372" i="24"/>
  <c r="K372" i="24"/>
  <c r="J372" i="24"/>
  <c r="I372" i="24"/>
  <c r="H372" i="24"/>
  <c r="L533" i="24"/>
  <c r="J533" i="24"/>
  <c r="K533" i="24"/>
  <c r="O533" i="24"/>
  <c r="M533" i="24"/>
  <c r="H533" i="24"/>
  <c r="N533" i="24"/>
  <c r="I533" i="24"/>
  <c r="P533" i="24"/>
  <c r="P382" i="24"/>
  <c r="O382" i="24"/>
  <c r="N382" i="24"/>
  <c r="M382" i="24"/>
  <c r="L382" i="24"/>
  <c r="K382" i="24"/>
  <c r="J382" i="24"/>
  <c r="I382" i="24"/>
  <c r="H382" i="24"/>
  <c r="P370" i="24"/>
  <c r="O370" i="24"/>
  <c r="N370" i="24"/>
  <c r="M370" i="24"/>
  <c r="L370" i="24"/>
  <c r="K370" i="24"/>
  <c r="J370" i="24"/>
  <c r="I370" i="24"/>
  <c r="H370" i="24"/>
  <c r="N748" i="24"/>
  <c r="L748" i="24"/>
  <c r="J748" i="24"/>
  <c r="H748" i="24"/>
  <c r="P748" i="24"/>
  <c r="O748" i="24"/>
  <c r="M748" i="24"/>
  <c r="K748" i="24"/>
  <c r="I748" i="24"/>
  <c r="M396" i="24"/>
  <c r="H396" i="24"/>
  <c r="J396" i="24"/>
  <c r="N396" i="24"/>
  <c r="O396" i="24"/>
  <c r="L396" i="24"/>
  <c r="I396" i="24"/>
  <c r="P396" i="24"/>
  <c r="K396" i="24"/>
  <c r="P379" i="24"/>
  <c r="O379" i="24"/>
  <c r="N379" i="24"/>
  <c r="M379" i="24"/>
  <c r="L379" i="24"/>
  <c r="K379" i="24"/>
  <c r="J379" i="24"/>
  <c r="I379" i="24"/>
  <c r="H379" i="24"/>
  <c r="P377" i="24"/>
  <c r="O377" i="24"/>
  <c r="N377" i="24"/>
  <c r="M377" i="24"/>
  <c r="L377" i="24"/>
  <c r="K377" i="24"/>
  <c r="J377" i="24"/>
  <c r="I377" i="24"/>
  <c r="H377" i="24"/>
  <c r="P367" i="24"/>
  <c r="O367" i="24"/>
  <c r="N367" i="24"/>
  <c r="M367" i="24"/>
  <c r="L367" i="24"/>
  <c r="K367" i="24"/>
  <c r="J367" i="24"/>
  <c r="I367" i="24"/>
  <c r="H367" i="24"/>
  <c r="L745" i="24"/>
  <c r="H745" i="24"/>
  <c r="I745" i="24"/>
  <c r="P745" i="24"/>
  <c r="O745" i="24"/>
  <c r="M745" i="24"/>
  <c r="K745" i="24"/>
  <c r="N745" i="24"/>
  <c r="J745" i="24"/>
  <c r="L737" i="24"/>
  <c r="J737" i="24"/>
  <c r="H737" i="24"/>
  <c r="P737" i="24"/>
  <c r="O737" i="24"/>
  <c r="N737" i="24"/>
  <c r="M737" i="24"/>
  <c r="K737" i="24"/>
  <c r="I737" i="24"/>
  <c r="K536" i="24"/>
  <c r="P536" i="24"/>
  <c r="M536" i="24"/>
  <c r="N536" i="24"/>
  <c r="H536" i="24"/>
  <c r="L536" i="24"/>
  <c r="J536" i="24"/>
  <c r="O536" i="24"/>
  <c r="I536" i="24"/>
  <c r="N408" i="24"/>
  <c r="M408" i="24"/>
  <c r="J408" i="24"/>
  <c r="H408" i="24"/>
  <c r="O408" i="24"/>
  <c r="L408" i="24"/>
  <c r="P408" i="24"/>
  <c r="K408" i="24"/>
  <c r="I408" i="24"/>
  <c r="J405" i="24"/>
  <c r="M405" i="24"/>
  <c r="I405" i="24"/>
  <c r="P405" i="24"/>
  <c r="H405" i="24"/>
  <c r="O405" i="24"/>
  <c r="L405" i="24"/>
  <c r="N405" i="24"/>
  <c r="K405" i="24"/>
  <c r="P388" i="24"/>
  <c r="O388" i="24"/>
  <c r="N388" i="24"/>
  <c r="M388" i="24"/>
  <c r="L388" i="24"/>
  <c r="K388" i="24"/>
  <c r="J388" i="24"/>
  <c r="I388" i="24"/>
  <c r="H388" i="24"/>
  <c r="P386" i="24"/>
  <c r="O386" i="24"/>
  <c r="N386" i="24"/>
  <c r="M386" i="24"/>
  <c r="L386" i="24"/>
  <c r="K386" i="24"/>
  <c r="J386" i="24"/>
  <c r="I386" i="24"/>
  <c r="H386" i="24"/>
  <c r="P364" i="24"/>
  <c r="O364" i="24"/>
  <c r="N364" i="24"/>
  <c r="M364" i="24"/>
  <c r="L364" i="24"/>
  <c r="K364" i="24"/>
  <c r="J364" i="24"/>
  <c r="I364" i="24"/>
  <c r="H364" i="24"/>
  <c r="N788" i="24"/>
  <c r="L788" i="24"/>
  <c r="K788" i="24"/>
  <c r="J788" i="24"/>
  <c r="I788" i="24"/>
  <c r="P788" i="24"/>
  <c r="O788" i="24"/>
  <c r="M788" i="24"/>
  <c r="H788" i="24"/>
  <c r="P787" i="24"/>
  <c r="O787" i="24"/>
  <c r="N787" i="24"/>
  <c r="M787" i="24"/>
  <c r="L787" i="24"/>
  <c r="K787" i="24"/>
  <c r="J787" i="24"/>
  <c r="I787" i="24"/>
  <c r="H787" i="24"/>
  <c r="O783" i="24"/>
  <c r="P783" i="24"/>
  <c r="K783" i="24"/>
  <c r="I783" i="24"/>
  <c r="L783" i="24"/>
  <c r="H783" i="24"/>
  <c r="N783" i="24"/>
  <c r="J783" i="24"/>
  <c r="M783" i="24"/>
  <c r="P780" i="24"/>
  <c r="O780" i="24"/>
  <c r="N780" i="24"/>
  <c r="M780" i="24"/>
  <c r="L780" i="24"/>
  <c r="K780" i="24"/>
  <c r="J780" i="24"/>
  <c r="I780" i="24"/>
  <c r="H780" i="24"/>
  <c r="J773" i="24"/>
  <c r="H773" i="24"/>
  <c r="P773" i="24"/>
  <c r="O773" i="24"/>
  <c r="N773" i="24"/>
  <c r="M773" i="24"/>
  <c r="L773" i="24"/>
  <c r="K773" i="24"/>
  <c r="I773" i="24"/>
  <c r="P743" i="24"/>
  <c r="M743" i="24"/>
  <c r="K743" i="24"/>
  <c r="I743" i="24"/>
  <c r="O743" i="24"/>
  <c r="N743" i="24"/>
  <c r="L743" i="24"/>
  <c r="J743" i="24"/>
  <c r="H743" i="24"/>
  <c r="O546" i="24"/>
  <c r="J546" i="24"/>
  <c r="H546" i="24"/>
  <c r="I546" i="24"/>
  <c r="L546" i="24"/>
  <c r="P546" i="24"/>
  <c r="M546" i="24"/>
  <c r="K546" i="24"/>
  <c r="N546" i="24"/>
  <c r="D912" i="24" l="1"/>
  <c r="D920" i="24"/>
  <c r="C378" i="14" s="1" a="1"/>
  <c r="C385" i="14" s="1" a="1"/>
  <c r="C381" i="14" s="1" a="1"/>
  <c r="D927" i="24"/>
  <c r="D913" i="24"/>
  <c r="D925" i="24"/>
  <c r="D926" i="24"/>
  <c r="AE443" i="17"/>
  <c r="AC651" i="17"/>
  <c r="AD649" i="17"/>
  <c r="AD652" i="17"/>
  <c r="D923" i="24"/>
  <c r="AD650" i="17"/>
  <c r="AD651" i="17"/>
  <c r="AC649" i="17"/>
  <c r="AC652" i="17"/>
  <c r="AC650" i="17"/>
  <c r="C650" i="14" a="1"/>
  <c r="AF651" i="17" a="1"/>
  <c r="AF649" i="17" a="1"/>
  <c r="AF650" i="17" a="1"/>
  <c r="D917" i="24"/>
  <c r="AF413" i="17" a="1"/>
  <c r="AF653" i="17" a="1"/>
  <c r="D916" i="24"/>
  <c r="D922" i="24"/>
  <c r="D919" i="24"/>
  <c r="AC653" i="17"/>
  <c r="AE519" i="17"/>
  <c r="AE529" i="17"/>
  <c r="AD414" i="17"/>
  <c r="AE518" i="17"/>
  <c r="AE524" i="17"/>
  <c r="AE495" i="17"/>
  <c r="AE318" i="17"/>
  <c r="AE311" i="17"/>
  <c r="AE185" i="17"/>
  <c r="AE283" i="17"/>
  <c r="AE490" i="17"/>
  <c r="AE832" i="17"/>
  <c r="AC921" i="17"/>
  <c r="AE921" i="17" s="1"/>
  <c r="AD921" i="17"/>
  <c r="AF921" i="17" a="1"/>
  <c r="D921" i="24" s="1"/>
  <c r="C921" i="14" a="1"/>
  <c r="AE826" i="17"/>
  <c r="AE825" i="17"/>
  <c r="AE824" i="17"/>
  <c r="AE811" i="17"/>
  <c r="AE808" i="17"/>
  <c r="AE805" i="17"/>
  <c r="AE801" i="17"/>
  <c r="AE799" i="17"/>
  <c r="AE795" i="17"/>
  <c r="AE789" i="17"/>
  <c r="AE787" i="17"/>
  <c r="D918" i="24"/>
  <c r="AE785" i="17"/>
  <c r="AE783" i="17"/>
  <c r="AE781" i="17"/>
  <c r="AE775" i="17"/>
  <c r="AE772" i="17"/>
  <c r="AE770" i="17"/>
  <c r="AE764" i="17"/>
  <c r="AE749" i="17"/>
  <c r="AE747" i="17"/>
  <c r="AC385" i="17"/>
  <c r="AD381" i="17"/>
  <c r="AD385" i="17"/>
  <c r="AD384" i="17"/>
  <c r="AD377" i="17"/>
  <c r="AC384" i="17"/>
  <c r="C384" i="14" a="1"/>
  <c r="AC377" i="17"/>
  <c r="AE377" i="17" s="1"/>
  <c r="C377" i="14" a="1"/>
  <c r="AD380" i="17"/>
  <c r="AE345" i="17"/>
  <c r="AE745" i="17"/>
  <c r="AF377" i="17" a="1"/>
  <c r="AF378" i="17" a="1"/>
  <c r="AE806" i="17"/>
  <c r="AE774" i="17"/>
  <c r="AC379" i="17"/>
  <c r="AC383" i="17"/>
  <c r="AD383" i="17"/>
  <c r="AC381" i="17"/>
  <c r="AC414" i="17"/>
  <c r="AC380" i="17"/>
  <c r="AD379" i="17"/>
  <c r="AE842" i="17"/>
  <c r="AE371" i="17"/>
  <c r="AF381" i="17" a="1"/>
  <c r="AE830" i="17"/>
  <c r="AE609" i="17"/>
  <c r="AE893" i="17"/>
  <c r="AE445" i="17"/>
  <c r="AE391" i="17"/>
  <c r="AC378" i="17"/>
  <c r="AE37" i="17"/>
  <c r="AD378" i="17"/>
  <c r="AE741" i="17"/>
  <c r="AE515" i="17"/>
  <c r="AE215" i="17"/>
  <c r="AE779" i="17"/>
  <c r="AE727" i="17"/>
  <c r="AE656" i="17"/>
  <c r="AE730" i="17"/>
  <c r="AE578" i="17"/>
  <c r="AE763" i="17"/>
  <c r="AE734" i="17"/>
  <c r="AE717" i="17"/>
  <c r="AE688" i="17"/>
  <c r="AE654" i="17"/>
  <c r="AE854" i="17"/>
  <c r="AE491" i="17"/>
  <c r="AE389" i="17"/>
  <c r="AE168" i="17"/>
  <c r="AE298" i="17"/>
  <c r="AE382" i="17"/>
  <c r="AE754" i="17"/>
  <c r="AE752" i="17"/>
  <c r="AE590" i="17"/>
  <c r="AE812" i="17"/>
  <c r="AE744" i="17"/>
  <c r="AE702" i="17"/>
  <c r="AE618" i="17"/>
  <c r="AE404" i="17"/>
  <c r="AE369" i="17"/>
  <c r="AD530" i="17"/>
  <c r="AC530" i="17"/>
  <c r="C530" i="14" a="1"/>
  <c r="AD413" i="17"/>
  <c r="AD412" i="17"/>
  <c r="AC413" i="17"/>
  <c r="C413" i="14" a="1"/>
  <c r="AC412" i="17"/>
  <c r="C412" i="14" a="1"/>
  <c r="D900" i="24"/>
  <c r="AE362" i="17"/>
  <c r="AE813" i="17"/>
  <c r="AE757" i="17"/>
  <c r="AE735" i="17"/>
  <c r="AE733" i="17"/>
  <c r="AE725" i="17"/>
  <c r="AE572" i="17"/>
  <c r="AE758" i="17"/>
  <c r="AE726" i="17"/>
  <c r="AE867" i="17"/>
  <c r="AE755" i="17"/>
  <c r="AE732" i="17"/>
  <c r="AE712" i="17"/>
  <c r="AE643" i="17"/>
  <c r="AE724" i="17"/>
  <c r="AE756" i="17"/>
  <c r="AE858" i="17"/>
  <c r="AE244" i="17"/>
  <c r="AE232" i="17"/>
  <c r="AE429" i="17"/>
  <c r="AE396" i="17"/>
  <c r="AE139" i="17"/>
  <c r="AE4" i="17"/>
  <c r="AE128" i="17"/>
  <c r="AE103" i="17"/>
  <c r="D892" i="24"/>
  <c r="AE99" i="17"/>
  <c r="AE91" i="17"/>
  <c r="AE19" i="17"/>
  <c r="AE118" i="17"/>
  <c r="AE7" i="17"/>
  <c r="AE3" i="17"/>
  <c r="AE71" i="17"/>
  <c r="AE484" i="17"/>
  <c r="AE440" i="17"/>
  <c r="AE430" i="17"/>
  <c r="AE421" i="17"/>
  <c r="AE416" i="17"/>
  <c r="AE407" i="17"/>
  <c r="AE401" i="17"/>
  <c r="D897" i="24" s="1"/>
  <c r="AE819" i="17"/>
  <c r="AE395" i="17"/>
  <c r="AE366" i="17"/>
  <c r="AE363" i="17"/>
  <c r="AE361" i="17"/>
  <c r="AE327" i="17"/>
  <c r="AE540" i="17"/>
  <c r="AE703" i="17"/>
  <c r="AE895" i="17"/>
  <c r="AE621" i="17"/>
  <c r="AE207" i="17"/>
  <c r="AE709" i="17"/>
  <c r="AE358" i="17"/>
  <c r="D911" i="24"/>
  <c r="D910" i="24"/>
  <c r="D914" i="24"/>
  <c r="AE507" i="17"/>
  <c r="AE420" i="17"/>
  <c r="AE415" i="17"/>
  <c r="AE100" i="17"/>
  <c r="AE249" i="17"/>
  <c r="AE17" i="17"/>
  <c r="AE5" i="17"/>
  <c r="AE2" i="17"/>
  <c r="AE125" i="17"/>
  <c r="E795" i="14"/>
  <c r="E813" i="14"/>
  <c r="E892" i="14"/>
  <c r="E894" i="14" s="1"/>
  <c r="E797" i="14"/>
  <c r="E804" i="14"/>
  <c r="E805" i="14"/>
  <c r="E807" i="14"/>
  <c r="E808" i="14" s="1"/>
  <c r="E793" i="14"/>
  <c r="E794" i="14" s="1"/>
  <c r="E799" i="14"/>
  <c r="E822" i="14"/>
  <c r="AE639" i="17"/>
  <c r="AE8" i="17"/>
  <c r="AE877" i="17"/>
  <c r="AE817" i="17"/>
  <c r="AE768" i="17"/>
  <c r="AE762" i="17"/>
  <c r="AE532" i="17"/>
  <c r="AE127" i="17"/>
  <c r="AE721" i="17"/>
  <c r="AE737" i="17"/>
  <c r="AE630" i="17"/>
  <c r="AE550" i="17"/>
  <c r="AE95" i="17"/>
  <c r="AE525" i="17"/>
  <c r="AE871" i="17"/>
  <c r="AE809" i="17"/>
  <c r="AE786" i="17"/>
  <c r="AE126" i="17"/>
  <c r="AE353" i="17"/>
  <c r="AE827" i="17"/>
  <c r="AE731" i="17"/>
  <c r="AE716" i="17"/>
  <c r="AE767" i="17"/>
  <c r="AE746" i="17"/>
  <c r="AE706" i="17"/>
  <c r="AE886" i="17"/>
  <c r="AE487" i="17"/>
  <c r="AE189" i="17"/>
  <c r="AE229" i="17"/>
  <c r="AE468" i="17"/>
  <c r="D899" i="24"/>
  <c r="AE460" i="17"/>
  <c r="AE850" i="17"/>
  <c r="AE248" i="17"/>
  <c r="AE120" i="17"/>
  <c r="AE121" i="17"/>
  <c r="AE110" i="17"/>
  <c r="AE444" i="17"/>
  <c r="AE370" i="17"/>
  <c r="AE480" i="17"/>
  <c r="AE478" i="17"/>
  <c r="AE464" i="17"/>
  <c r="AE461" i="17"/>
  <c r="AE449" i="17"/>
  <c r="AE41" i="17"/>
  <c r="AE336" i="17"/>
  <c r="AE279" i="17"/>
  <c r="AE398" i="17"/>
  <c r="AE354" i="17"/>
  <c r="AE372" i="17"/>
  <c r="AE655" i="17"/>
  <c r="AE314" i="17"/>
  <c r="AE210" i="17"/>
  <c r="AE242" i="17"/>
  <c r="AE190" i="17"/>
  <c r="AE173" i="17"/>
  <c r="D906" i="24"/>
  <c r="AE760" i="17"/>
  <c r="AE393" i="17"/>
  <c r="AE402" i="17"/>
  <c r="AE743" i="17"/>
  <c r="AE880" i="17"/>
  <c r="AE800" i="17"/>
  <c r="AE773" i="17"/>
  <c r="AE239" i="17"/>
  <c r="AE406" i="17"/>
  <c r="AE347" i="17"/>
  <c r="AE304" i="17"/>
  <c r="AE272" i="17"/>
  <c r="AE175" i="17"/>
  <c r="AE101" i="17"/>
  <c r="AE75" i="17"/>
  <c r="AE89" i="17"/>
  <c r="AE231" i="17"/>
  <c r="AE394" i="17"/>
  <c r="AE753" i="17"/>
  <c r="AE528" i="17"/>
  <c r="AE142" i="17"/>
  <c r="AE326" i="17"/>
  <c r="AE143" i="17"/>
  <c r="AE96" i="17"/>
  <c r="D905" i="24" s="1"/>
  <c r="AE156" i="17"/>
  <c r="AE133" i="17"/>
  <c r="AE65" i="17"/>
  <c r="AE55" i="17"/>
  <c r="AE52" i="17"/>
  <c r="AE50" i="17"/>
  <c r="AE47" i="17"/>
  <c r="AE43" i="17"/>
  <c r="AE40" i="17"/>
  <c r="AE36" i="17"/>
  <c r="AE33" i="17"/>
  <c r="AE25" i="17"/>
  <c r="AE177" i="17"/>
  <c r="AE68" i="17"/>
  <c r="AE56" i="17"/>
  <c r="AE325" i="17"/>
  <c r="AE69" i="17"/>
  <c r="AE61" i="17"/>
  <c r="AE60" i="17"/>
  <c r="AE44" i="17"/>
  <c r="AE34" i="17"/>
  <c r="AE26" i="17"/>
  <c r="AE544" i="17"/>
  <c r="AE426" i="17"/>
  <c r="AE250" i="17"/>
  <c r="AE400" i="17"/>
  <c r="AE266" i="17"/>
  <c r="AE438" i="17"/>
  <c r="AE410" i="17"/>
  <c r="AE403" i="17"/>
  <c r="AE267" i="17"/>
  <c r="AE408" i="17"/>
  <c r="AE6" i="17"/>
  <c r="AE67" i="17"/>
  <c r="AE58" i="17"/>
  <c r="AE42" i="17"/>
  <c r="AE35" i="17"/>
  <c r="AE31" i="17"/>
  <c r="AE27" i="17"/>
  <c r="AE13" i="17"/>
  <c r="AE390" i="17"/>
  <c r="AE204" i="17"/>
  <c r="AE29" i="17"/>
  <c r="AE892" i="17"/>
  <c r="AE9" i="17"/>
  <c r="AE397" i="17"/>
  <c r="AE152" i="17"/>
  <c r="AE424" i="17"/>
  <c r="AE367" i="17"/>
  <c r="AE549" i="17"/>
  <c r="D889" i="24" s="1"/>
  <c r="AE700" i="17"/>
  <c r="AE220" i="17"/>
  <c r="AE792" i="17"/>
  <c r="AE54" i="17"/>
  <c r="AE321" i="17"/>
  <c r="AE599" i="17"/>
  <c r="AE804" i="17"/>
  <c r="AE526" i="17"/>
  <c r="AE675" i="17"/>
  <c r="AE690" i="17"/>
  <c r="AE869" i="17"/>
  <c r="AE849" i="17"/>
  <c r="AE234" i="17"/>
  <c r="AE256" i="17"/>
  <c r="AE365" i="17"/>
  <c r="AE316" i="17"/>
  <c r="AE309" i="17"/>
  <c r="AE115" i="17"/>
  <c r="AE419" i="17"/>
  <c r="AE320" i="17"/>
  <c r="AE287" i="17"/>
  <c r="AE777" i="17"/>
  <c r="AE788" i="17"/>
  <c r="AE527" i="17"/>
  <c r="AE836" i="17"/>
  <c r="AE485" i="17"/>
  <c r="AE284" i="17"/>
  <c r="AE511" i="17"/>
  <c r="AE617" i="17"/>
  <c r="AE102" i="17"/>
  <c r="AE22" i="17"/>
  <c r="D907" i="24"/>
  <c r="AE516" i="17"/>
  <c r="AE505" i="17"/>
  <c r="AE636" i="17"/>
  <c r="AE337" i="17"/>
  <c r="AE497" i="17"/>
  <c r="AE803" i="17"/>
  <c r="AE881" i="17"/>
  <c r="AE821" i="17"/>
  <c r="AE723" i="17"/>
  <c r="AE718" i="17"/>
  <c r="AE713" i="17"/>
  <c r="AE710" i="17"/>
  <c r="AE707" i="17"/>
  <c r="AE699" i="17"/>
  <c r="AE696" i="17"/>
  <c r="AE689" i="17"/>
  <c r="AE685" i="17"/>
  <c r="AE681" i="17"/>
  <c r="AE678" i="17"/>
  <c r="AE672" i="17"/>
  <c r="AE667" i="17"/>
  <c r="AE664" i="17"/>
  <c r="AE659" i="17"/>
  <c r="AE644" i="17"/>
  <c r="AE632" i="17"/>
  <c r="AE626" i="17"/>
  <c r="AE603" i="17"/>
  <c r="AE594" i="17"/>
  <c r="AE588" i="17"/>
  <c r="AE581" i="17"/>
  <c r="AE580" i="17"/>
  <c r="AE553" i="17"/>
  <c r="AE704" i="17"/>
  <c r="AE682" i="17"/>
  <c r="AE658" i="17"/>
  <c r="AE728" i="17"/>
  <c r="AE720" i="17"/>
  <c r="AE711" i="17"/>
  <c r="AE751" i="17"/>
  <c r="AE742" i="17"/>
  <c r="AE627" i="17"/>
  <c r="AE600" i="17"/>
  <c r="AE641" i="17"/>
  <c r="AE634" i="17"/>
  <c r="AE623" i="17"/>
  <c r="AE671" i="17"/>
  <c r="AE663" i="17"/>
  <c r="AE648" i="17"/>
  <c r="AE640" i="17"/>
  <c r="AE622" i="17"/>
  <c r="AE611" i="17"/>
  <c r="AE597" i="17"/>
  <c r="AE583" i="17"/>
  <c r="AE570" i="17"/>
  <c r="AE631" i="17"/>
  <c r="AE604" i="17"/>
  <c r="AE575" i="17"/>
  <c r="AE563" i="17"/>
  <c r="AE863" i="17"/>
  <c r="AE856" i="17"/>
  <c r="AE828" i="17"/>
  <c r="AE595" i="17"/>
  <c r="AE556" i="17"/>
  <c r="AE888" i="17"/>
  <c r="AE833" i="17"/>
  <c r="AE822" i="17"/>
  <c r="AE875" i="17"/>
  <c r="AE853" i="17"/>
  <c r="AE839" i="17"/>
  <c r="AE586" i="17"/>
  <c r="AE552" i="17"/>
  <c r="AE714" i="17"/>
  <c r="AE620" i="17"/>
  <c r="AE890" i="17"/>
  <c r="AE879" i="17"/>
  <c r="AE870" i="17"/>
  <c r="AE860" i="17"/>
  <c r="AE855" i="17"/>
  <c r="AE841" i="17"/>
  <c r="AE628" i="17"/>
  <c r="AE616" i="17"/>
  <c r="AE615" i="17"/>
  <c r="AE605" i="17"/>
  <c r="AE592" i="17"/>
  <c r="AE567" i="17"/>
  <c r="AE554" i="17"/>
  <c r="AE883" i="17"/>
  <c r="AE823" i="17"/>
  <c r="AE820" i="17"/>
  <c r="AE797" i="17"/>
  <c r="AE782" i="17"/>
  <c r="AE748" i="17"/>
  <c r="AE708" i="17"/>
  <c r="AE698" i="17"/>
  <c r="AE691" i="17"/>
  <c r="AE684" i="17"/>
  <c r="AE670" i="17"/>
  <c r="AE662" i="17"/>
  <c r="AE612" i="17"/>
  <c r="AE574" i="17"/>
  <c r="AE555" i="17"/>
  <c r="AE796" i="17"/>
  <c r="AE739" i="17"/>
  <c r="AE791" i="17"/>
  <c r="AE701" i="17"/>
  <c r="AE587" i="17"/>
  <c r="AE551" i="17"/>
  <c r="AE889" i="17"/>
  <c r="AE878" i="17"/>
  <c r="AE861" i="17"/>
  <c r="AE629" i="17"/>
  <c r="AE619" i="17"/>
  <c r="AE607" i="17"/>
  <c r="AE579" i="17"/>
  <c r="AE557" i="17"/>
  <c r="AE873" i="17"/>
  <c r="AE872" i="17"/>
  <c r="AE874" i="17"/>
  <c r="AE838" i="17"/>
  <c r="AE610" i="17"/>
  <c r="AE560" i="17"/>
  <c r="AE896" i="17"/>
  <c r="AE255" i="17"/>
  <c r="AE245" i="17"/>
  <c r="AE223" i="17"/>
  <c r="AE235" i="17"/>
  <c r="AE546" i="17"/>
  <c r="AE541" i="17"/>
  <c r="AE534" i="17"/>
  <c r="AE498" i="17"/>
  <c r="AE494" i="17"/>
  <c r="AE488" i="17"/>
  <c r="AE373" i="17"/>
  <c r="AE360" i="17"/>
  <c r="AE319" i="17"/>
  <c r="AE303" i="17"/>
  <c r="AE300" i="17"/>
  <c r="AE293" i="17"/>
  <c r="AE269" i="17"/>
  <c r="AE157" i="17"/>
  <c r="AE147" i="17"/>
  <c r="AE176" i="17"/>
  <c r="AE21" i="17"/>
  <c r="AE499" i="17"/>
  <c r="AE474" i="17"/>
  <c r="AE338" i="17"/>
  <c r="AE184" i="17"/>
  <c r="AE136" i="17"/>
  <c r="AE12" i="17"/>
  <c r="AE509" i="17"/>
  <c r="AE521" i="17"/>
  <c r="AE514" i="17"/>
  <c r="AE76" i="17"/>
  <c r="AE74" i="17"/>
  <c r="AE28" i="17"/>
  <c r="AE512" i="17"/>
  <c r="AE508" i="17"/>
  <c r="AE472" i="17"/>
  <c r="AE504" i="17"/>
  <c r="AE501" i="17"/>
  <c r="AE349" i="17"/>
  <c r="AE219" i="17"/>
  <c r="AE51" i="17"/>
  <c r="AE452" i="17"/>
  <c r="AE70" i="17"/>
  <c r="AE66" i="17"/>
  <c r="AE247" i="17"/>
  <c r="AE53" i="17"/>
  <c r="AE188" i="17"/>
  <c r="AE153" i="17"/>
  <c r="AE441" i="17"/>
  <c r="AE200" i="17"/>
  <c r="AE278" i="17"/>
  <c r="AE884" i="17"/>
  <c r="AE815" i="17"/>
  <c r="AE693" i="17"/>
  <c r="AE134" i="17"/>
  <c r="AE88" i="17"/>
  <c r="AE23" i="17"/>
  <c r="AE281" i="17"/>
  <c r="AE277" i="17"/>
  <c r="AE262" i="17"/>
  <c r="AE205" i="17"/>
  <c r="AE197" i="17"/>
  <c r="AE191" i="17"/>
  <c r="AE174" i="17"/>
  <c r="AE166" i="17"/>
  <c r="AE119" i="17"/>
  <c r="AE264" i="17"/>
  <c r="AE258" i="17"/>
  <c r="AE132" i="17"/>
  <c r="AE117" i="17"/>
  <c r="AE98" i="17"/>
  <c r="AE16" i="17"/>
  <c r="AE11" i="17"/>
  <c r="AE496" i="17"/>
  <c r="AE493" i="17"/>
  <c r="AE489" i="17"/>
  <c r="AE447" i="17"/>
  <c r="AE423" i="17"/>
  <c r="AE357" i="17"/>
  <c r="AE350" i="17"/>
  <c r="AE348" i="17"/>
  <c r="AE346" i="17"/>
  <c r="AE344" i="17"/>
  <c r="AE342" i="17"/>
  <c r="AE331" i="17"/>
  <c r="AE482" i="17"/>
  <c r="AE439" i="17"/>
  <c r="AE428" i="17"/>
  <c r="AE202" i="17"/>
  <c r="AE195" i="17"/>
  <c r="AE77" i="17"/>
  <c r="AE20" i="17"/>
  <c r="AE523" i="17"/>
  <c r="AE218" i="17"/>
  <c r="AE479" i="17"/>
  <c r="AE457" i="17"/>
  <c r="D890" i="24"/>
  <c r="AE233" i="17"/>
  <c r="AE252" i="17"/>
  <c r="AE459" i="17"/>
  <c r="AE150" i="17"/>
  <c r="AE274" i="17"/>
  <c r="D908" i="24"/>
  <c r="AE859" i="17"/>
  <c r="AE729" i="17"/>
  <c r="AE766" i="17"/>
  <c r="AE740" i="17"/>
  <c r="AE686" i="17"/>
  <c r="AE765" i="17"/>
  <c r="AE598" i="17"/>
  <c r="AE561" i="17"/>
  <c r="AE692" i="17"/>
  <c r="AE666" i="17"/>
  <c r="AE642" i="17"/>
  <c r="AE577" i="17"/>
  <c r="AE602" i="17"/>
  <c r="AE558" i="17"/>
  <c r="AE736" i="17"/>
  <c r="AE694" i="17"/>
  <c r="AE687" i="17"/>
  <c r="AE680" i="17"/>
  <c r="AE674" i="17"/>
  <c r="AE668" i="17"/>
  <c r="AE661" i="17"/>
  <c r="AE647" i="17"/>
  <c r="AE613" i="17"/>
  <c r="AE576" i="17"/>
  <c r="AE565" i="17"/>
  <c r="AE564" i="17"/>
  <c r="AE633" i="17"/>
  <c r="AE559" i="17"/>
  <c r="AE591" i="17"/>
  <c r="AE843" i="17"/>
  <c r="AE596" i="17"/>
  <c r="AE582" i="17"/>
  <c r="AE569" i="17"/>
  <c r="AE862" i="17"/>
  <c r="AE847" i="17"/>
  <c r="AE840" i="17"/>
  <c r="AE794" i="17"/>
  <c r="AE882" i="17"/>
  <c r="AE846" i="17"/>
  <c r="AE573" i="17"/>
  <c r="AE562" i="17"/>
  <c r="AE669" i="17"/>
  <c r="AE645" i="17"/>
  <c r="AE585" i="17"/>
  <c r="AE848" i="17"/>
  <c r="AE876" i="17"/>
  <c r="AE818" i="17"/>
  <c r="AE816" i="17"/>
  <c r="AE814" i="17"/>
  <c r="AE807" i="17"/>
  <c r="AE802" i="17"/>
  <c r="AE798" i="17"/>
  <c r="AE793" i="17"/>
  <c r="AE790" i="17"/>
  <c r="AE784" i="17"/>
  <c r="AE780" i="17"/>
  <c r="AE776" i="17"/>
  <c r="AE771" i="17"/>
  <c r="AE769" i="17"/>
  <c r="AE761" i="17"/>
  <c r="AE759" i="17"/>
  <c r="AE891" i="17"/>
  <c r="AE738" i="17"/>
  <c r="AE722" i="17"/>
  <c r="AE715" i="17"/>
  <c r="AE695" i="17"/>
  <c r="AE657" i="17"/>
  <c r="AE606" i="17"/>
  <c r="AE566" i="17"/>
  <c r="AE778" i="17"/>
  <c r="AE705" i="17"/>
  <c r="AE719" i="17"/>
  <c r="AE677" i="17"/>
  <c r="AE625" i="17"/>
  <c r="AE868" i="17"/>
  <c r="AE568" i="17"/>
  <c r="AE829" i="17"/>
  <c r="AE852" i="17"/>
  <c r="AE571" i="17"/>
  <c r="AE257" i="17"/>
  <c r="AE227" i="17"/>
  <c r="AE241" i="17"/>
  <c r="AE539" i="17"/>
  <c r="AE517" i="17"/>
  <c r="AE432" i="17"/>
  <c r="AE418" i="17"/>
  <c r="AE411" i="17"/>
  <c r="AE352" i="17"/>
  <c r="AE335" i="17"/>
  <c r="AE332" i="17"/>
  <c r="AE330" i="17"/>
  <c r="AE307" i="17"/>
  <c r="AE306" i="17"/>
  <c r="AE280" i="17"/>
  <c r="AE164" i="17"/>
  <c r="AE144" i="17"/>
  <c r="AE124" i="17"/>
  <c r="AE94" i="17"/>
  <c r="AE82" i="17"/>
  <c r="AE79" i="17"/>
  <c r="AE18" i="17"/>
  <c r="AE275" i="17"/>
  <c r="AE273" i="17"/>
  <c r="AE217" i="17"/>
  <c r="AE209" i="17"/>
  <c r="AE182" i="17"/>
  <c r="AE170" i="17"/>
  <c r="AE154" i="17"/>
  <c r="AE137" i="17"/>
  <c r="AE270" i="17"/>
  <c r="AE261" i="17"/>
  <c r="AE212" i="17"/>
  <c r="AE206" i="17"/>
  <c r="AE146" i="17"/>
  <c r="AE93" i="17"/>
  <c r="AE84" i="17"/>
  <c r="AE455" i="17"/>
  <c r="AE433" i="17"/>
  <c r="AE427" i="17"/>
  <c r="AE399" i="17"/>
  <c r="AE392" i="17"/>
  <c r="AE388" i="17"/>
  <c r="AE386" i="17"/>
  <c r="AE376" i="17"/>
  <c r="AE374" i="17"/>
  <c r="AE368" i="17"/>
  <c r="AE364" i="17"/>
  <c r="AE355" i="17"/>
  <c r="AE334" i="17"/>
  <c r="AE425" i="17"/>
  <c r="AE160" i="17"/>
  <c r="AE467" i="17"/>
  <c r="AE59" i="17"/>
  <c r="AE341" i="17"/>
  <c r="AE30" i="17"/>
  <c r="AE894" i="17"/>
  <c r="AE536" i="17"/>
  <c r="AE537" i="17"/>
  <c r="AE178" i="17"/>
  <c r="AE531" i="17"/>
  <c r="AE547" i="17"/>
  <c r="AE545" i="17"/>
  <c r="AE542" i="17"/>
  <c r="AE538" i="17"/>
  <c r="AE533" i="17"/>
  <c r="AE475" i="17"/>
  <c r="AE453" i="17"/>
  <c r="AE434" i="17"/>
  <c r="AE422" i="17"/>
  <c r="AE409" i="17"/>
  <c r="AE405" i="17"/>
  <c r="AE211" i="17"/>
  <c r="AE198" i="17"/>
  <c r="AE167" i="17"/>
  <c r="AE159" i="17"/>
  <c r="AE108" i="17"/>
  <c r="AE83" i="17"/>
  <c r="AE73" i="17"/>
  <c r="AE14" i="17"/>
  <c r="AE10" i="17"/>
  <c r="AE105" i="17"/>
  <c r="AE81" i="17"/>
  <c r="AE15" i="17"/>
  <c r="AE520" i="17"/>
  <c r="AE492" i="17"/>
  <c r="AE39" i="17"/>
  <c r="AE324" i="17"/>
  <c r="AE122" i="17"/>
  <c r="AE62" i="17"/>
  <c r="AE135" i="17"/>
  <c r="AE97" i="17"/>
  <c r="AE57" i="17"/>
  <c r="AE49" i="17"/>
  <c r="AE46" i="17"/>
  <c r="AE387" i="17"/>
  <c r="AE417" i="17"/>
  <c r="AE48" i="17"/>
  <c r="AE359" i="17"/>
  <c r="AE351" i="17"/>
  <c r="D884" i="24" s="1"/>
  <c r="D894" i="24"/>
  <c r="D896" i="24" s="1"/>
  <c r="AE866" i="17"/>
  <c r="D904" i="24"/>
  <c r="D902" i="24"/>
  <c r="D901" i="24"/>
  <c r="AE679" i="17"/>
  <c r="AE676" i="17"/>
  <c r="AE673" i="17"/>
  <c r="AE665" i="17"/>
  <c r="AE646" i="17"/>
  <c r="AE638" i="17"/>
  <c r="AE635" i="17"/>
  <c r="AE624" i="17"/>
  <c r="AE601" i="17"/>
  <c r="AE589" i="17"/>
  <c r="AE683" i="17"/>
  <c r="AE660" i="17"/>
  <c r="AE835" i="17"/>
  <c r="AE637" i="17"/>
  <c r="AE593" i="17"/>
  <c r="AE885" i="17"/>
  <c r="AE864" i="17"/>
  <c r="AE851" i="17"/>
  <c r="AE844" i="17"/>
  <c r="AE887" i="17"/>
  <c r="AE865" i="17"/>
  <c r="AE845" i="17"/>
  <c r="AE837" i="17"/>
  <c r="AE831" i="17"/>
  <c r="AE584" i="17"/>
  <c r="AE254" i="17"/>
  <c r="AE251" i="17"/>
  <c r="AE240" i="17"/>
  <c r="AE238" i="17"/>
  <c r="AE236" i="17"/>
  <c r="AE230" i="17"/>
  <c r="AE246" i="17"/>
  <c r="AE225" i="17"/>
  <c r="AE228" i="17"/>
  <c r="AE543" i="17"/>
  <c r="AE522" i="17"/>
  <c r="AE483" i="17"/>
  <c r="AE448" i="17"/>
  <c r="AE442" i="17"/>
  <c r="AE323" i="17"/>
  <c r="AE322" i="17"/>
  <c r="AE317" i="17"/>
  <c r="AE315" i="17"/>
  <c r="AE312" i="17"/>
  <c r="AE308" i="17"/>
  <c r="AE302" i="17"/>
  <c r="AE290" i="17"/>
  <c r="AE289" i="17"/>
  <c r="AE288" i="17"/>
  <c r="AE282" i="17"/>
  <c r="AE276" i="17"/>
  <c r="AE260" i="17"/>
  <c r="AE222" i="17"/>
  <c r="AE196" i="17"/>
  <c r="AE114" i="17"/>
  <c r="AE109" i="17"/>
  <c r="AE72" i="17"/>
  <c r="AE271" i="17"/>
  <c r="AE259" i="17"/>
  <c r="AE213" i="17"/>
  <c r="AE201" i="17"/>
  <c r="AE193" i="17"/>
  <c r="AE180" i="17"/>
  <c r="AE151" i="17"/>
  <c r="AE131" i="17"/>
  <c r="AE123" i="17"/>
  <c r="AE111" i="17"/>
  <c r="AE107" i="17"/>
  <c r="AE286" i="17"/>
  <c r="AE203" i="17"/>
  <c r="AE199" i="17"/>
  <c r="AE194" i="17"/>
  <c r="AE186" i="17"/>
  <c r="AE183" i="17"/>
  <c r="AE181" i="17"/>
  <c r="AE169" i="17"/>
  <c r="AE165" i="17"/>
  <c r="AE158" i="17"/>
  <c r="AE149" i="17"/>
  <c r="AE129" i="17"/>
  <c r="AE113" i="17"/>
  <c r="AE106" i="17"/>
  <c r="AE90" i="17"/>
  <c r="AE87" i="17"/>
  <c r="AE78" i="17"/>
  <c r="AE450" i="17"/>
  <c r="AE435" i="17"/>
  <c r="AE340" i="17"/>
  <c r="AE329" i="17"/>
  <c r="AE535" i="17"/>
  <c r="AE436" i="17"/>
  <c r="AE431" i="17"/>
  <c r="AE216" i="17"/>
  <c r="AE208" i="17"/>
  <c r="AE192" i="17"/>
  <c r="AE171" i="17"/>
  <c r="AE148" i="17"/>
  <c r="AE140" i="17"/>
  <c r="AE80" i="17"/>
  <c r="AE85" i="17"/>
  <c r="AE513" i="17"/>
  <c r="AE446" i="17"/>
  <c r="AE301" i="17"/>
  <c r="AE296" i="17"/>
  <c r="AE161" i="17"/>
  <c r="AE162" i="17"/>
  <c r="AE138" i="17"/>
  <c r="AE64" i="17"/>
  <c r="AE473" i="17"/>
  <c r="AE470" i="17"/>
  <c r="AE458" i="17"/>
  <c r="AE456" i="17"/>
  <c r="AE163" i="17"/>
  <c r="AE145" i="17"/>
  <c r="AE45" i="17"/>
  <c r="AE305" i="17"/>
  <c r="AE38" i="17"/>
  <c r="AE237" i="17"/>
  <c r="AE437" i="17"/>
  <c r="AE339" i="17"/>
  <c r="AE295" i="17"/>
  <c r="D886" i="24"/>
  <c r="AE510" i="17"/>
  <c r="AE502" i="17"/>
  <c r="AE291" i="17"/>
  <c r="AE130" i="17"/>
  <c r="AE112" i="17"/>
  <c r="AE104" i="17"/>
  <c r="AE92" i="17"/>
  <c r="AE86" i="17"/>
  <c r="AE32" i="17"/>
  <c r="AE24" i="17"/>
  <c r="AE226" i="17"/>
  <c r="AE243" i="17"/>
  <c r="AE503" i="17"/>
  <c r="AE500" i="17"/>
  <c r="AE477" i="17"/>
  <c r="AE469" i="17"/>
  <c r="AE466" i="17"/>
  <c r="AE463" i="17"/>
  <c r="AE454" i="17"/>
  <c r="AE451" i="17"/>
  <c r="AE356" i="17"/>
  <c r="AE313" i="17"/>
  <c r="AE481" i="17"/>
  <c r="AE476" i="17"/>
  <c r="AE471" i="17"/>
  <c r="AE465" i="17"/>
  <c r="AE462" i="17"/>
  <c r="AE614" i="17"/>
  <c r="AE608" i="17"/>
  <c r="AE697" i="17"/>
  <c r="AE224" i="17"/>
  <c r="AE548" i="17"/>
  <c r="AE285" i="17"/>
  <c r="AE268" i="17"/>
  <c r="AE265" i="17"/>
  <c r="AE221" i="17"/>
  <c r="AE187" i="17"/>
  <c r="AE116" i="17"/>
  <c r="AE343" i="17"/>
  <c r="AE328" i="17"/>
  <c r="AE63" i="17"/>
  <c r="AE172" i="17"/>
  <c r="AE214" i="17"/>
  <c r="AE155" i="17"/>
  <c r="D903" i="24" s="1"/>
  <c r="D893" i="24" s="1"/>
  <c r="D891" i="24"/>
  <c r="D861" i="24"/>
  <c r="D882" i="24"/>
  <c r="D895" i="24"/>
  <c r="D858" i="24"/>
  <c r="D879" i="24"/>
  <c r="D876" i="24"/>
  <c r="D877" i="24"/>
  <c r="D507" i="24"/>
  <c r="D825" i="24"/>
  <c r="D510" i="24"/>
  <c r="D544" i="24"/>
  <c r="D881" i="24"/>
  <c r="D817" i="24"/>
  <c r="D850" i="24" s="1"/>
  <c r="D547" i="24"/>
  <c r="D546" i="24"/>
  <c r="D795" i="24"/>
  <c r="D548" i="24"/>
  <c r="D543" i="24"/>
  <c r="AF793" i="17" a="1"/>
  <c r="D853" i="24" s="1"/>
  <c r="D609" i="24" s="1"/>
  <c r="D618" i="24" s="1"/>
  <c r="D113" i="24" s="1"/>
  <c r="D116" i="24" s="1"/>
  <c r="D67" i="24" s="1"/>
  <c r="D58" i="24" s="1"/>
  <c r="D57" i="24" s="1"/>
  <c r="D792" i="24"/>
  <c r="D769" i="24"/>
  <c r="D775" i="24"/>
  <c r="D862" i="24"/>
  <c r="D845" i="24" s="1"/>
  <c r="D266" i="24" s="1"/>
  <c r="D128" i="24" s="1"/>
  <c r="D610" i="24" s="1"/>
  <c r="D506" i="24"/>
  <c r="D509" i="24"/>
  <c r="D814" i="24"/>
  <c r="D807" i="24"/>
  <c r="D796" i="24"/>
  <c r="D203" i="24" s="1"/>
  <c r="D73" i="24" s="1"/>
  <c r="D50" i="24" s="1"/>
  <c r="D91" i="24" s="1"/>
  <c r="D99" i="24" s="1"/>
  <c r="D64" i="24" s="1"/>
  <c r="D44" i="24" s="1"/>
  <c r="D52" i="24" s="1"/>
  <c r="D788" i="24"/>
  <c r="D755" i="24"/>
  <c r="D818" i="24"/>
  <c r="D815" i="24"/>
  <c r="D871" i="24"/>
  <c r="D97" i="24" s="1"/>
  <c r="D87" i="24" s="1"/>
  <c r="D85" i="24" s="1"/>
  <c r="D41" i="24" s="1"/>
  <c r="D129" i="24" s="1"/>
  <c r="D110" i="24" s="1"/>
  <c r="D816" i="24"/>
  <c r="D804" i="24"/>
  <c r="D785" i="24"/>
  <c r="D763" i="24"/>
  <c r="D822" i="24" s="1"/>
  <c r="D811" i="24"/>
  <c r="D749" i="24"/>
  <c r="D774" i="24"/>
  <c r="D753" i="24"/>
  <c r="D867" i="24"/>
  <c r="D864" i="24" s="1"/>
  <c r="D837" i="24" s="1"/>
  <c r="D495" i="24" s="1"/>
  <c r="D153" i="24" s="1"/>
  <c r="D123" i="24" s="1"/>
  <c r="D772" i="24"/>
  <c r="D794" i="24"/>
  <c r="D779" i="24"/>
  <c r="D809" i="24"/>
  <c r="D784" i="24"/>
  <c r="D776" i="24"/>
  <c r="D872" i="24" s="1"/>
  <c r="D856" i="24"/>
  <c r="D463" i="24"/>
  <c r="D295" i="24"/>
  <c r="D801" i="24"/>
  <c r="D777" i="24"/>
  <c r="D789" i="24"/>
  <c r="D761" i="24"/>
  <c r="D760" i="24"/>
  <c r="D750" i="24"/>
  <c r="D759" i="24"/>
  <c r="D740" i="24"/>
  <c r="D855" i="24" s="1"/>
  <c r="D833" i="24"/>
  <c r="D851" i="24" s="1"/>
  <c r="D805" i="24"/>
  <c r="D786" i="24"/>
  <c r="D808" i="24"/>
  <c r="D790" i="24"/>
  <c r="D854" i="24" s="1"/>
  <c r="D803" i="24"/>
  <c r="D117" i="24" s="1"/>
  <c r="D107" i="24" s="1"/>
  <c r="D125" i="24" s="1"/>
  <c r="D111" i="24" s="1"/>
  <c r="D797" i="24"/>
  <c r="D800" i="24"/>
  <c r="D802" i="24"/>
  <c r="D799" i="24"/>
  <c r="D791" i="24"/>
  <c r="D771" i="24"/>
  <c r="D806" i="24"/>
  <c r="D762" i="24"/>
  <c r="D780" i="24"/>
  <c r="D828" i="24" s="1"/>
  <c r="D768" i="24"/>
  <c r="D773" i="24"/>
  <c r="D77" i="24" s="1"/>
  <c r="D118" i="24" s="1"/>
  <c r="D626" i="24" s="1"/>
  <c r="D865" i="24"/>
  <c r="AF156" i="17" a="1"/>
  <c r="D625" i="24" s="1"/>
  <c r="D103" i="24" s="1"/>
  <c r="D474" i="24" s="1"/>
  <c r="D95" i="24" s="1"/>
  <c r="D46" i="24" s="1"/>
  <c r="D812" i="24"/>
  <c r="D787" i="24"/>
  <c r="D781" i="24"/>
  <c r="D274" i="24" s="1"/>
  <c r="D259" i="24" s="1"/>
  <c r="D766" i="24"/>
  <c r="D849" i="24"/>
  <c r="D466" i="24"/>
  <c r="D169" i="24" s="1"/>
  <c r="D754" i="24"/>
  <c r="D868" i="24" s="1"/>
  <c r="D70" i="24" s="1"/>
  <c r="D467" i="24"/>
  <c r="D62" i="24" s="1"/>
  <c r="D770" i="24"/>
  <c r="D783" i="24"/>
  <c r="D747" i="24"/>
  <c r="D721" i="24"/>
  <c r="D846" i="24" s="1"/>
  <c r="D810" i="24"/>
  <c r="D848" i="24" s="1"/>
  <c r="D832" i="24"/>
  <c r="D834" i="24" s="1"/>
  <c r="D49" i="24" s="1"/>
  <c r="D778" i="24"/>
  <c r="D744" i="24"/>
  <c r="D722" i="24"/>
  <c r="D764" i="24"/>
  <c r="D511" i="24"/>
  <c r="D813" i="24"/>
  <c r="D798" i="24"/>
  <c r="D782" i="24"/>
  <c r="D464" i="24"/>
  <c r="D743" i="24"/>
  <c r="D748" i="24"/>
  <c r="D508" i="24"/>
  <c r="D145" i="24" s="1"/>
  <c r="D830" i="24"/>
  <c r="D829" i="24" s="1"/>
  <c r="D758" i="24"/>
  <c r="D141" i="24" s="1"/>
  <c r="D757" i="24"/>
  <c r="D573" i="24" s="1"/>
  <c r="D577" i="24" s="1"/>
  <c r="D424" i="24" s="1"/>
  <c r="D497" i="24" s="1"/>
  <c r="D756" i="24"/>
  <c r="D147" i="24" s="1"/>
  <c r="D765" i="24"/>
  <c r="D54" i="24" s="1"/>
  <c r="D767" i="24"/>
  <c r="H2" i="24"/>
  <c r="K2" i="24"/>
  <c r="N2" i="24"/>
  <c r="P2" i="24"/>
  <c r="J2" i="24"/>
  <c r="L2" i="24"/>
  <c r="M2" i="24"/>
  <c r="O2" i="24"/>
  <c r="I2" i="24"/>
  <c r="E796" i="14" l="1"/>
  <c r="E798" i="14"/>
  <c r="E823" i="14"/>
  <c r="E803" i="14"/>
  <c r="AE651" i="17"/>
  <c r="AE649" i="17"/>
  <c r="AE652" i="17"/>
  <c r="AE650" i="17"/>
  <c r="D2" i="24"/>
  <c r="AE653" i="17"/>
  <c r="AE379" i="17"/>
  <c r="AE385" i="17"/>
  <c r="AE380" i="17"/>
  <c r="AE384" i="17"/>
  <c r="AE383" i="17"/>
  <c r="AE414" i="17"/>
  <c r="AE381" i="17"/>
  <c r="AE378" i="17"/>
  <c r="D888" i="24"/>
  <c r="AE413" i="17"/>
  <c r="AE412" i="17"/>
  <c r="AE530" i="17"/>
  <c r="D4" i="24"/>
  <c r="D3" i="24"/>
  <c r="D6" i="24"/>
  <c r="E806" i="14"/>
  <c r="E897" i="14"/>
  <c r="E809" i="14"/>
  <c r="E815" i="14"/>
  <c r="D887" i="24"/>
  <c r="D330" i="24"/>
  <c r="D5" i="24"/>
  <c r="D7" i="24"/>
  <c r="D327" i="24"/>
  <c r="D316" i="24"/>
  <c r="D320" i="24"/>
  <c r="D674" i="24"/>
  <c r="D321" i="24"/>
  <c r="D323" i="24"/>
  <c r="D329" i="24"/>
  <c r="D328" i="24"/>
  <c r="D317" i="24"/>
  <c r="D324" i="24"/>
  <c r="D318" i="24"/>
  <c r="D322" i="24"/>
  <c r="D319" i="24"/>
  <c r="D415" i="24"/>
  <c r="D627" i="24"/>
  <c r="D615" i="24"/>
  <c r="D341" i="24"/>
  <c r="D591" i="24"/>
  <c r="D552" i="24"/>
  <c r="D287" i="24"/>
  <c r="D198" i="24"/>
  <c r="D582" i="24"/>
  <c r="D620" i="24"/>
  <c r="D565" i="24"/>
  <c r="D170" i="24"/>
  <c r="D480" i="24"/>
  <c r="D195" i="24"/>
  <c r="D8" i="24"/>
  <c r="D566" i="24"/>
  <c r="D11" i="24"/>
  <c r="D13" i="24"/>
  <c r="D55" i="24"/>
  <c r="D109" i="24"/>
  <c r="D108" i="24"/>
  <c r="D148" i="24"/>
  <c r="D585" i="24"/>
  <c r="D81" i="24"/>
  <c r="D66" i="24"/>
  <c r="D161" i="24"/>
  <c r="D127" i="24"/>
  <c r="D135" i="24"/>
  <c r="D122" i="24"/>
  <c r="D706" i="24"/>
  <c r="D119" i="24"/>
  <c r="D863" i="24"/>
  <c r="D840" i="24"/>
  <c r="D741" i="24"/>
  <c r="D738" i="24"/>
  <c r="D844" i="24"/>
  <c r="D852" i="24"/>
  <c r="D143" i="24"/>
  <c r="D470" i="24"/>
  <c r="D751" i="24"/>
  <c r="D74" i="24"/>
  <c r="D441" i="24"/>
  <c r="D494" i="24"/>
  <c r="D504" i="24"/>
  <c r="D847" i="24"/>
  <c r="D289" i="24"/>
  <c r="D37" i="24"/>
  <c r="D173" i="24"/>
  <c r="D175" i="24"/>
  <c r="D277" i="24"/>
  <c r="D823" i="24"/>
  <c r="D481" i="24"/>
  <c r="D664" i="24"/>
  <c r="D273" i="24"/>
  <c r="D662" i="24"/>
  <c r="D693" i="24"/>
  <c r="D288" i="24"/>
  <c r="D701" i="24"/>
  <c r="D325" i="24"/>
  <c r="D245" i="24"/>
  <c r="D304" i="24"/>
  <c r="D159" i="24"/>
  <c r="D72" i="24"/>
  <c r="D163" i="24"/>
  <c r="D69" i="24"/>
  <c r="D313" i="24"/>
  <c r="D708" i="24"/>
  <c r="D331" i="24"/>
  <c r="D14" i="24"/>
  <c r="D621" i="24"/>
  <c r="D149" i="24"/>
  <c r="D402" i="24"/>
  <c r="D617" i="24"/>
  <c r="D15" i="24"/>
  <c r="D131" i="24"/>
  <c r="D821" i="24"/>
  <c r="D553" i="24"/>
  <c r="D550" i="24"/>
  <c r="D416" i="24"/>
  <c r="D408" i="24"/>
  <c r="D612" i="24"/>
  <c r="D96" i="24"/>
  <c r="D860" i="24"/>
  <c r="D859" i="24"/>
  <c r="D827" i="24"/>
  <c r="D826" i="24"/>
  <c r="D843" i="24"/>
  <c r="D842" i="24"/>
  <c r="D874" i="24"/>
  <c r="D873" i="24"/>
  <c r="D839" i="24"/>
  <c r="D838" i="24"/>
  <c r="D870" i="24"/>
  <c r="D869" i="24"/>
  <c r="D20" i="24"/>
  <c r="D654" i="24"/>
  <c r="D215" i="24"/>
  <c r="D479" i="24"/>
  <c r="D652" i="24"/>
  <c r="D483" i="24"/>
  <c r="D83" i="24"/>
  <c r="D246" i="24"/>
  <c r="D305" i="24"/>
  <c r="D23" i="24"/>
  <c r="D172" i="24"/>
  <c r="D656" i="24"/>
  <c r="D551" i="24"/>
  <c r="D301" i="24"/>
  <c r="D80" i="24"/>
  <c r="D206" i="24"/>
  <c r="D220" i="24"/>
  <c r="D157" i="24"/>
  <c r="D25" i="24"/>
  <c r="D660" i="24"/>
  <c r="D487" i="24"/>
  <c r="D670" i="24"/>
  <c r="D22" i="24"/>
  <c r="D279" i="24"/>
  <c r="D93" i="24"/>
  <c r="D655" i="24"/>
  <c r="D428" i="24"/>
  <c r="D79" i="24"/>
  <c r="D486" i="24"/>
  <c r="D133" i="24"/>
  <c r="D151" i="24"/>
  <c r="D344" i="24"/>
  <c r="D311" i="24"/>
  <c r="D657" i="24"/>
  <c r="D86" i="24"/>
  <c r="D672" i="24"/>
  <c r="D698" i="24"/>
  <c r="D84" i="24"/>
  <c r="D27" i="24"/>
  <c r="D306" i="24"/>
  <c r="D258" i="24"/>
  <c r="D42" i="24"/>
  <c r="D243" i="24"/>
  <c r="D38" i="24"/>
  <c r="D527" i="24"/>
  <c r="D702" i="24"/>
  <c r="D29" i="24"/>
  <c r="D426" i="24"/>
  <c r="D386" i="24"/>
  <c r="D363" i="24"/>
  <c r="D692" i="24"/>
  <c r="D249" i="24"/>
  <c r="D282" i="24"/>
  <c r="D193" i="24"/>
  <c r="D248" i="24"/>
  <c r="D387" i="24"/>
  <c r="D522" i="24"/>
  <c r="D39" i="24"/>
  <c r="D337" i="24"/>
  <c r="D482" i="24"/>
  <c r="D421" i="24"/>
  <c r="D202" i="24"/>
  <c r="D210" i="24"/>
  <c r="D265" i="24"/>
  <c r="D524" i="24"/>
  <c r="D296" i="24"/>
  <c r="D184" i="24"/>
  <c r="D521" i="24"/>
  <c r="D368" i="24"/>
  <c r="D247" i="24"/>
  <c r="D528" i="24"/>
  <c r="D28" i="24"/>
  <c r="D669" i="24"/>
  <c r="D379" i="24"/>
  <c r="D525" i="24"/>
  <c r="D419" i="24"/>
  <c r="D398" i="24"/>
  <c r="D668" i="24"/>
  <c r="D523" i="24"/>
  <c r="D820" i="24"/>
  <c r="D517" i="24"/>
  <c r="D182" i="24"/>
  <c r="D736" i="24"/>
  <c r="D726" i="24"/>
  <c r="D124" i="24"/>
  <c r="D513" i="24"/>
  <c r="D181" i="24"/>
  <c r="D530" i="24"/>
  <c r="D180" i="24"/>
  <c r="D732" i="24"/>
  <c r="D48" i="24"/>
  <c r="D712" i="24"/>
  <c r="D136" i="24"/>
  <c r="D549" i="24"/>
  <c r="D447" i="24"/>
  <c r="D519" i="24"/>
  <c r="D375" i="24"/>
  <c r="D460" i="24"/>
  <c r="D376" i="24"/>
  <c r="D666" i="24"/>
  <c r="D734" i="24"/>
  <c r="D393" i="24"/>
  <c r="D165" i="24"/>
  <c r="D394" i="24"/>
  <c r="D389" i="24"/>
  <c r="D338" i="24"/>
  <c r="D420" i="24"/>
  <c r="D365" i="24"/>
  <c r="D718" i="24"/>
  <c r="D189" i="24"/>
  <c r="D190" i="24"/>
  <c r="D540" i="24"/>
  <c r="D205" i="24"/>
  <c r="D461" i="24"/>
  <c r="D380" i="24"/>
  <c r="D405" i="24"/>
  <c r="D252" i="24"/>
  <c r="D339" i="24"/>
  <c r="D178" i="24"/>
  <c r="D352" i="24"/>
  <c r="D537" i="24"/>
  <c r="D545" i="24"/>
  <c r="D400" i="24"/>
  <c r="D187" i="24"/>
  <c r="D188" i="24"/>
  <c r="D106" i="24"/>
  <c r="D349" i="24"/>
  <c r="D520" i="24"/>
  <c r="D372" i="24"/>
  <c r="D667" i="24"/>
  <c r="D501" i="24"/>
  <c r="D186" i="24"/>
  <c r="D432" i="24"/>
  <c r="D346" i="24"/>
  <c r="D217" i="24"/>
  <c r="D214" i="24"/>
  <c r="D542" i="24"/>
  <c r="D292" i="24"/>
  <c r="D390" i="24"/>
  <c r="D373" i="24"/>
  <c r="D665" i="24"/>
  <c r="D518" i="24"/>
  <c r="D658" i="24"/>
  <c r="D560" i="24"/>
  <c r="D404" i="24"/>
  <c r="D502" i="24"/>
  <c r="D241" i="24"/>
  <c r="D397" i="24"/>
  <c r="D630" i="24"/>
  <c r="D679" i="24"/>
  <c r="D675" i="24"/>
  <c r="D678" i="24"/>
  <c r="D434" i="24"/>
  <c r="D65" i="24"/>
  <c r="D516" i="24"/>
  <c r="D514" i="24"/>
  <c r="D59" i="24"/>
  <c r="D89" i="24"/>
  <c r="D286" i="24"/>
  <c r="D100" i="24"/>
  <c r="D410" i="24"/>
  <c r="D716" i="24"/>
  <c r="D723" i="24"/>
  <c r="D126" i="24"/>
  <c r="D793" i="24"/>
  <c r="D34" i="24"/>
  <c r="D98" i="24"/>
  <c r="D310" i="24"/>
  <c r="D335" i="24"/>
  <c r="D634" i="24"/>
  <c r="D204" i="24"/>
  <c r="D562" i="24"/>
  <c r="D561" i="24"/>
  <c r="D624" i="24"/>
  <c r="D92" i="24"/>
  <c r="D115" i="24"/>
  <c r="D90" i="24"/>
  <c r="D82" i="24"/>
  <c r="D120" i="24"/>
  <c r="D593" i="24"/>
  <c r="D68" i="24"/>
  <c r="D222" i="24"/>
  <c r="D388" i="24"/>
  <c r="D443" i="24"/>
  <c r="D572" i="24"/>
  <c r="D584" i="24"/>
  <c r="D595" i="24"/>
  <c r="D576" i="24"/>
  <c r="D579" i="24"/>
  <c r="D357" i="24"/>
  <c r="D742" i="24"/>
  <c r="D746" i="24"/>
  <c r="D614" i="24"/>
  <c r="D608" i="24"/>
  <c r="D353" i="24"/>
  <c r="D604" i="24"/>
  <c r="D602" i="24"/>
  <c r="D628" i="24"/>
  <c r="D442" i="24"/>
  <c r="D643" i="24"/>
  <c r="D648" i="24"/>
  <c r="D75" i="24"/>
  <c r="D574" i="24"/>
  <c r="D705" i="24"/>
  <c r="D137" i="24"/>
  <c r="D407" i="24"/>
  <c r="D367" i="24"/>
  <c r="D409" i="24"/>
  <c r="D739" i="24"/>
  <c r="D269" i="24"/>
  <c r="D374" i="24"/>
  <c r="D704" i="24"/>
  <c r="D267" i="24"/>
  <c r="D174" i="24"/>
  <c r="D138" i="24"/>
  <c r="D299" i="24"/>
  <c r="D302" i="24"/>
  <c r="D121" i="24"/>
  <c r="D383" i="24"/>
  <c r="D488" i="24"/>
  <c r="D446" i="24"/>
  <c r="D445" i="24"/>
  <c r="D484" i="24"/>
  <c r="D536" i="24"/>
  <c r="D605" i="24"/>
  <c r="D581" i="24"/>
  <c r="D105" i="24"/>
  <c r="D575" i="24"/>
  <c r="D493" i="24"/>
  <c r="D10" i="24"/>
  <c r="D681" i="24"/>
  <c r="D499" i="24"/>
  <c r="D600" i="24"/>
  <c r="D623" i="24"/>
  <c r="D56" i="24"/>
  <c r="D253" i="24"/>
  <c r="D824" i="24"/>
  <c r="D471" i="24"/>
  <c r="D60" i="24"/>
  <c r="D631" i="24"/>
  <c r="D278" i="24"/>
  <c r="D33" i="24"/>
  <c r="D17" i="24"/>
  <c r="D194" i="24"/>
  <c r="D176" i="24"/>
  <c r="D682" i="24"/>
  <c r="D715" i="24"/>
  <c r="D661" i="24"/>
  <c r="D717" i="24"/>
  <c r="D164" i="24"/>
  <c r="D515" i="24"/>
  <c r="D505" i="24"/>
  <c r="D696" i="24"/>
  <c r="D677" i="24"/>
  <c r="D539" i="24"/>
  <c r="D154" i="24"/>
  <c r="D695" i="24"/>
  <c r="D478" i="24"/>
  <c r="D569" i="24"/>
  <c r="D633" i="24"/>
  <c r="D597" i="24"/>
  <c r="D251" i="24"/>
  <c r="D414" i="24"/>
  <c r="D632" i="24"/>
  <c r="D469" i="24"/>
  <c r="D401" i="24"/>
  <c r="D578" i="24"/>
  <c r="D438" i="24"/>
  <c r="D444" i="24"/>
  <c r="D439" i="24"/>
  <c r="D440" i="24"/>
  <c r="D9" i="24"/>
  <c r="D114" i="24"/>
  <c r="D601" i="24"/>
  <c r="D293" i="24"/>
  <c r="D538" i="24"/>
  <c r="D361" i="24"/>
  <c r="D179" i="24"/>
  <c r="D255" i="24"/>
  <c r="D526" i="24"/>
  <c r="D297" i="24"/>
  <c r="D587" i="24"/>
  <c r="D713" i="24"/>
  <c r="D314" i="24"/>
  <c r="D588" i="24"/>
  <c r="D384" i="24"/>
  <c r="D491" i="24"/>
  <c r="D423" i="24"/>
  <c r="D422" i="24"/>
  <c r="D315" i="24"/>
  <c r="D275" i="24"/>
  <c r="D418" i="24"/>
  <c r="D272" i="24"/>
  <c r="D16" i="24"/>
  <c r="D735" i="24"/>
  <c r="D475" i="24"/>
  <c r="D535" i="24"/>
  <c r="D589" i="24"/>
  <c r="D580" i="24"/>
  <c r="D720" i="24"/>
  <c r="D534" i="24"/>
  <c r="D592" i="24"/>
  <c r="D835" i="24"/>
  <c r="D691" i="24"/>
  <c r="D737" i="24"/>
  <c r="D841" i="24"/>
  <c r="D192" i="24"/>
  <c r="D727" i="24"/>
  <c r="D599" i="24"/>
  <c r="D45" i="24"/>
  <c r="D559" i="24"/>
  <c r="D836" i="24"/>
  <c r="D571" i="24"/>
  <c r="D616" i="24"/>
  <c r="D583" i="24"/>
  <c r="D228" i="24"/>
  <c r="D570" i="24"/>
  <c r="D485" i="24"/>
  <c r="D359" i="24"/>
  <c r="D690" i="24"/>
  <c r="D694" i="24"/>
  <c r="D283" i="24"/>
  <c r="D391" i="24"/>
  <c r="D503" i="24"/>
  <c r="D638" i="24"/>
  <c r="D271" i="24"/>
  <c r="D12" i="24"/>
  <c r="D647" i="24"/>
  <c r="D270" i="24"/>
  <c r="D412" i="24"/>
  <c r="D36" i="24"/>
  <c r="D642" i="24"/>
  <c r="D61" i="24"/>
  <c r="D221" i="24"/>
  <c r="D226" i="24"/>
  <c r="D185" i="24"/>
  <c r="D637" i="24"/>
  <c r="D622" i="24"/>
  <c r="D707" i="24"/>
  <c r="D613" i="24"/>
  <c r="D644" i="24"/>
  <c r="D636" i="24"/>
  <c r="D819" i="24"/>
  <c r="D230" i="24"/>
  <c r="D26" i="24"/>
  <c r="D640" i="24"/>
  <c r="D641" i="24"/>
  <c r="D639" i="24"/>
  <c r="D714" i="24"/>
  <c r="D250" i="24"/>
  <c r="D332" i="24"/>
  <c r="D227" i="24"/>
  <c r="D635" i="24"/>
  <c r="D645" i="24"/>
  <c r="D268" i="24"/>
  <c r="D197" i="24"/>
  <c r="D663" i="24"/>
  <c r="D554" i="24"/>
  <c r="D646" i="24"/>
  <c r="D745" i="24"/>
  <c r="D406" i="24"/>
  <c r="D403" i="24"/>
  <c r="D146" i="24"/>
  <c r="D307" i="24"/>
  <c r="D291" i="24"/>
  <c r="D531" i="24"/>
  <c r="D606" i="24"/>
  <c r="D333" i="24"/>
  <c r="D130" i="24"/>
  <c r="D611" i="24"/>
  <c r="D555" i="24"/>
  <c r="D629" i="24"/>
  <c r="D223" i="24"/>
  <c r="D284" i="24"/>
  <c r="D719" i="24"/>
  <c r="D334" i="24"/>
  <c r="D345" i="24"/>
  <c r="D729" i="24"/>
  <c r="D168" i="24"/>
  <c r="D281" i="24"/>
  <c r="D104" i="24"/>
  <c r="D676" i="24"/>
  <c r="D102" i="24"/>
  <c r="D209" i="24"/>
  <c r="D680" i="24"/>
  <c r="D512" i="24"/>
  <c r="D733" i="24"/>
  <c r="D700" i="24"/>
  <c r="D166" i="24"/>
  <c r="D51" i="24"/>
  <c r="D177" i="24"/>
  <c r="D94" i="24"/>
  <c r="D309" i="24"/>
  <c r="D360" i="24"/>
  <c r="D300" i="24"/>
  <c r="D264" i="24"/>
  <c r="D436" i="24"/>
  <c r="D213" i="24"/>
  <c r="D71" i="24"/>
  <c r="D76" i="24"/>
  <c r="D298" i="24"/>
  <c r="D303" i="24"/>
  <c r="D183" i="24"/>
  <c r="D752" i="24"/>
  <c r="D78" i="24"/>
  <c r="D533" i="24"/>
  <c r="D356" i="24"/>
  <c r="D556" i="24"/>
  <c r="D134" i="24"/>
  <c r="D219" i="24"/>
  <c r="D207" i="24"/>
  <c r="D139" i="24"/>
  <c r="D370" i="24"/>
  <c r="D336" i="24"/>
  <c r="D142" i="24"/>
  <c r="D449" i="24"/>
  <c r="D308" i="24"/>
  <c r="D564" i="24"/>
  <c r="D342" i="24"/>
  <c r="D30" i="24"/>
  <c r="D563" i="24"/>
  <c r="D199" i="24"/>
  <c r="D567" i="24"/>
  <c r="D196" i="24"/>
  <c r="D396" i="24"/>
  <c r="D473" i="24"/>
  <c r="D366" i="24"/>
  <c r="D232" i="24"/>
  <c r="D358" i="24"/>
  <c r="D88" i="24"/>
  <c r="D724" i="24"/>
  <c r="D697" i="24"/>
  <c r="D257" i="24"/>
  <c r="D261" i="24"/>
  <c r="D312" i="24"/>
  <c r="D212" i="24"/>
  <c r="D216" i="24"/>
  <c r="D541" i="24"/>
  <c r="D433" i="24"/>
  <c r="D437" i="24"/>
  <c r="D211" i="24"/>
  <c r="D385" i="24"/>
  <c r="D492" i="24"/>
  <c r="D355" i="24"/>
  <c r="D468" i="24"/>
  <c r="D476" i="24"/>
  <c r="D290" i="24"/>
  <c r="D260" i="24"/>
  <c r="D457" i="24"/>
  <c r="D435" i="24"/>
  <c r="D285" i="24"/>
  <c r="D276" i="24"/>
  <c r="D382" i="24"/>
  <c r="D411" i="24"/>
  <c r="D417" i="24"/>
  <c r="D673" i="24"/>
  <c r="D430" i="24"/>
  <c r="D218" i="24"/>
  <c r="D294" i="24"/>
  <c r="D167" i="24"/>
  <c r="D150" i="24"/>
  <c r="D229" i="24"/>
  <c r="D112" i="24"/>
  <c r="D477" i="24"/>
  <c r="D101" i="24"/>
  <c r="D500" i="24"/>
  <c r="D238" i="24"/>
  <c r="D171" i="24"/>
  <c r="D235" i="24"/>
  <c r="D671" i="24"/>
  <c r="D427" i="24"/>
  <c r="D340" i="24"/>
  <c r="D244" i="24"/>
  <c r="D43" i="24"/>
  <c r="D725" i="24"/>
  <c r="D350" i="24"/>
  <c r="D280" i="24"/>
  <c r="D392" i="24"/>
  <c r="D659" i="24"/>
  <c r="D399" i="24"/>
  <c r="D455" i="24"/>
  <c r="D191" i="24"/>
  <c r="D348" i="24"/>
  <c r="D53" i="24"/>
  <c r="D63" i="24"/>
  <c r="D152" i="24"/>
  <c r="D236" i="24"/>
  <c r="D254" i="24"/>
  <c r="D239" i="24"/>
  <c r="D347" i="24"/>
  <c r="D237" i="24"/>
  <c r="D450" i="24"/>
  <c r="D231" i="24"/>
  <c r="D234" i="24"/>
  <c r="D240" i="24"/>
  <c r="D351" i="24"/>
  <c r="D162" i="24"/>
  <c r="D160" i="24"/>
  <c r="D456" i="24"/>
  <c r="D452" i="24"/>
  <c r="D144" i="24"/>
  <c r="D596" i="24"/>
  <c r="D395" i="24"/>
  <c r="D21" i="24"/>
  <c r="D709" i="24"/>
  <c r="D132" i="24"/>
  <c r="D453" i="24"/>
  <c r="D454" i="24"/>
  <c r="D242" i="24"/>
  <c r="D429" i="24"/>
  <c r="D256" i="24"/>
  <c r="D233" i="24"/>
  <c r="D31" i="24"/>
  <c r="D462" i="24"/>
  <c r="D451" i="24"/>
  <c r="D703" i="24"/>
  <c r="D684" i="24"/>
  <c r="D731" i="24"/>
  <c r="D686" i="24"/>
  <c r="D459" i="24"/>
  <c r="D687" i="24"/>
  <c r="D40" i="24"/>
  <c r="D35" i="24"/>
  <c r="D32" i="24"/>
  <c r="D683" i="24"/>
  <c r="D685" i="24"/>
  <c r="D24" i="24"/>
  <c r="D19" i="24"/>
  <c r="D688" i="24"/>
  <c r="D158" i="24"/>
  <c r="D343" i="24"/>
  <c r="D711" i="24"/>
  <c r="D263" i="24"/>
  <c r="D201" i="24"/>
  <c r="D529" i="24"/>
  <c r="D699" i="24"/>
  <c r="D225" i="24"/>
  <c r="D18" i="24"/>
  <c r="D532" i="24"/>
  <c r="D558" i="24"/>
  <c r="D557" i="24"/>
  <c r="D831" i="24"/>
  <c r="D730" i="24"/>
  <c r="D262" i="24"/>
  <c r="D208" i="24"/>
  <c r="D586" i="24"/>
  <c r="D728" i="24"/>
  <c r="D472" i="24"/>
  <c r="D458" i="24"/>
  <c r="D489" i="24"/>
  <c r="D710" i="24"/>
  <c r="D689" i="24"/>
  <c r="D431" i="24"/>
  <c r="D326" i="24"/>
  <c r="D200" i="24"/>
  <c r="D371" i="24"/>
  <c r="D364" i="24"/>
  <c r="D224" i="24"/>
  <c r="D594" i="24"/>
  <c r="D568" i="24"/>
  <c r="D425" i="24"/>
  <c r="D603" i="24"/>
  <c r="D448" i="24"/>
  <c r="D590" i="24"/>
  <c r="D598" i="24"/>
  <c r="D140" i="24"/>
  <c r="D498" i="24"/>
  <c r="D607" i="24"/>
  <c r="D496" i="24"/>
  <c r="D354" i="24"/>
  <c r="D465" i="24"/>
  <c r="D369" i="24"/>
  <c r="D490" i="24"/>
  <c r="D619" i="24"/>
  <c r="D362" i="24"/>
  <c r="D47" i="24"/>
  <c r="E827" i="14" l="1"/>
  <c r="E800" i="14"/>
  <c r="E828" i="14"/>
  <c r="E814" i="14"/>
  <c r="D651" i="24"/>
  <c r="D650" i="24"/>
  <c r="D649" i="24"/>
  <c r="D653" i="24"/>
  <c r="D413" i="24"/>
  <c r="D381" i="24"/>
  <c r="D377" i="24"/>
  <c r="D378" i="24"/>
  <c r="E910" i="14"/>
  <c r="E810" i="14"/>
  <c r="E898" i="14"/>
  <c r="E816" i="14"/>
  <c r="D155" i="24"/>
  <c r="D156" i="24"/>
  <c r="E834" i="14" l="1"/>
  <c r="E835" i="14" s="1"/>
  <c r="E852" i="14"/>
  <c r="E801" i="14"/>
  <c r="E829" i="14"/>
  <c r="E911" i="14"/>
  <c r="E811" i="14"/>
  <c r="E899" i="14"/>
  <c r="E817" i="14"/>
  <c r="E836" i="14" l="1"/>
  <c r="E837" i="14" s="1"/>
  <c r="E867" i="14"/>
  <c r="E868" i="14" s="1"/>
  <c r="E802" i="14"/>
  <c r="E830" i="14"/>
  <c r="E912" i="14"/>
  <c r="E812" i="14"/>
  <c r="E818" i="14"/>
  <c r="E824" i="14" l="1"/>
  <c r="E831" i="14"/>
  <c r="E875" i="14"/>
  <c r="E913" i="14"/>
  <c r="E838" i="14"/>
  <c r="E819" i="14"/>
  <c r="E825" i="14" l="1"/>
  <c r="E895" i="14"/>
  <c r="E888" i="14"/>
  <c r="E914" i="14"/>
  <c r="E915" i="14" s="1"/>
  <c r="E839" i="14"/>
  <c r="E820" i="14"/>
  <c r="E826" i="14" l="1"/>
  <c r="E896" i="14"/>
  <c r="E889" i="14"/>
  <c r="E916" i="14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40" i="14"/>
  <c r="E821" i="14"/>
  <c r="E845" i="14" l="1"/>
  <c r="E900" i="14"/>
  <c r="E901" i="14" s="1"/>
  <c r="E902" i="14" s="1"/>
  <c r="E903" i="14" s="1"/>
  <c r="E904" i="14" s="1"/>
  <c r="E905" i="14" s="1"/>
  <c r="E906" i="14" s="1"/>
  <c r="E907" i="14" s="1"/>
  <c r="E908" i="14" s="1"/>
  <c r="E909" i="14" s="1"/>
  <c r="E891" i="14"/>
  <c r="E841" i="14"/>
  <c r="E832" i="14"/>
  <c r="E833" i="14" s="1"/>
  <c r="E846" i="14" l="1"/>
  <c r="E934" i="14"/>
  <c r="E935" i="14" s="1"/>
  <c r="E936" i="14" s="1"/>
  <c r="E937" i="14" s="1"/>
  <c r="E938" i="14" s="1"/>
  <c r="E842" i="14"/>
  <c r="E847" i="14" l="1"/>
  <c r="E848" i="14" s="1"/>
  <c r="E849" i="14" s="1"/>
  <c r="E850" i="14" s="1"/>
  <c r="E851" i="14" s="1"/>
  <c r="E853" i="14" s="1"/>
  <c r="E843" i="14"/>
  <c r="E844" i="14" s="1"/>
  <c r="E854" i="14" l="1"/>
  <c r="E855" i="14" l="1"/>
  <c r="E856" i="14" s="1"/>
  <c r="E857" i="14" s="1"/>
  <c r="E858" i="14" s="1"/>
  <c r="E859" i="14" s="1"/>
  <c r="E860" i="14" l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l="1"/>
  <c r="E874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90" i="14" s="1"/>
  <c r="E893" i="14" s="1"/>
  <c r="E939" i="14" l="1"/>
  <c r="E940" i="14" s="1"/>
  <c r="E941" i="14" s="1"/>
  <c r="E942" i="14" s="1"/>
  <c r="E943" i="14" s="1"/>
  <c r="E944" i="14" s="1"/>
  <c r="E945" i="14" s="1"/>
  <c r="E946" i="14" s="1"/>
  <c r="E947" i="14" s="1"/>
  <c r="E948" i="14" s="1"/>
  <c r="E949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the best link...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O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A531" authorId="0" shapeId="0" xr:uid="{4D9A9C42-C3A2-4D70-BC56-EFF38E64CF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Exported to AUS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D798" authorId="0" shapeId="0" xr:uid="{5651D616-809E-4FA8-B777-C2177641318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Initially Sierra Leone, hence the mis-named itemID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D834" authorId="0" shapeId="0" xr:uid="{EFC7A5B3-7246-4950-A486-603CB45815D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D841" authorId="0" shapeId="0" xr:uid="{95D0DCFC-E4B4-4FB5-8B81-D34FB69D0C9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R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2" authorId="0" shapeId="0" xr:uid="{0BE8E17E-F3B0-482D-BD91-A40FB6E8E6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 cont. is 240</t>
        </r>
      </text>
    </comment>
    <comment ref="R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4" authorId="0" shapeId="0" xr:uid="{CFF755F6-C50C-4C4B-BB29-8B483FAE4D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cont: 259</t>
        </r>
      </text>
    </comment>
    <comment ref="R875" authorId="0" shapeId="0" xr:uid="{6B9D6C33-F4E9-444B-9FD2-0A7965DB73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 -&gt; 181</t>
        </r>
      </text>
    </comment>
    <comment ref="R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R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R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P883" authorId="0" shapeId="0" xr:uid="{7369B2BC-816D-462B-A34B-ADEF8237FD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SNCF 150, similar build, wikipedia</t>
        </r>
      </text>
    </comment>
    <comment ref="R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O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R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5" authorId="0" shapeId="0" xr:uid="{A826C4EB-B1A7-46D8-BE0C-39A4D9C9A59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</t>
        </r>
      </text>
    </comment>
    <comment ref="R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H898" authorId="0" shapeId="0" xr:uid="{8C14D8A9-6DE4-44A2-B711-7FB21125430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H899" authorId="0" shapeId="0" xr:uid="{F07FE21C-62B2-480F-B80F-75303F61D9B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O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Constructed from 1983 onwards but only entered public service in 1990</t>
        </r>
      </text>
    </comment>
    <comment ref="P938" authorId="0" shapeId="0" xr:uid="{283A47EA-1BE4-44D0-8755-38CBDD87DB0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250kw motors at 4 each per car</t>
        </r>
      </text>
    </comment>
    <comment ref="R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<sst xmlns="http://schemas.openxmlformats.org/spreadsheetml/2006/main" count="16165" uniqueCount="3458">
  <si>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</si>
  <si>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</si>
  <si>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</si>
  <si>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</si>
  <si>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</si>
  <si>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</si>
  <si>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</si>
  <si>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</si>
  <si>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</si>
  <si>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</si>
  <si>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</si>
  <si>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</si>
  <si>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</si>
  <si>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</si>
  <si>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</si>
  <si>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</si>
  <si>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</si>
  <si>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</si>
  <si>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</si>
  <si>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</si>
  <si>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</si>
  <si>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</si>
  <si>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</si>
  <si>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</si>
  <si>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</si>
  <si>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</si>
  <si>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</si>
  <si>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</si>
  <si>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</si>
  <si>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</si>
  <si>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</si>
  <si>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</si>
  <si>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</si>
  <si>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</si>
  <si>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</si>
  <si>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</si>
  <si>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</si>
  <si>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</si>
  <si>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</si>
  <si>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</si>
  <si>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</si>
  <si>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</si>
  <si>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</si>
  <si>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</si>
  <si>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</si>
  <si>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</si>
  <si>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</si>
  <si>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</si>
  <si>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</si>
  <si>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</si>
  <si>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</si>
  <si>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</si>
  <si>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</si>
  <si>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</si>
  <si>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</si>
  <si>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</si>
  <si>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</si>
  <si>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</si>
  <si>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</si>
  <si>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</si>
  <si>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</si>
  <si>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</si>
  <si>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</si>
  <si>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</si>
  <si>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</si>
  <si>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</si>
  <si>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</si>
  <si>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</si>
  <si>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</si>
  <si>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</si>
  <si>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</si>
  <si>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</si>
  <si>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</si>
  <si>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</si>
  <si>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</si>
  <si>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</si>
  <si>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</si>
  <si>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</si>
  <si>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</si>
  <si>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</si>
  <si>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</si>
  <si>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</si>
  <si>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</si>
  <si>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</si>
  <si>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</si>
  <si>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</si>
  <si>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</si>
  <si>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</si>
  <si>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</si>
  <si>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</si>
  <si>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</si>
  <si>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</si>
  <si>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</si>
  <si>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</si>
  <si>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</si>
  <si>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</si>
  <si>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</si>
  <si>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</si>
  <si>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</si>
  <si>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</si>
  <si>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</si>
  <si>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</si>
  <si>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</si>
  <si>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</si>
  <si>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</si>
  <si>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</si>
  <si>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</si>
  <si>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</si>
  <si>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</si>
  <si>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</si>
  <si>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</si>
  <si>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</si>
  <si>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</si>
  <si>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</si>
  <si>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</si>
  <si>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</si>
  <si>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</si>
  <si>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</si>
  <si>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</si>
  <si>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</si>
  <si>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</si>
  <si>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</si>
  <si>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</si>
  <si>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</si>
  <si>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</si>
  <si>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</si>
  <si>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</si>
  <si>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</si>
  <si>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</si>
  <si>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</si>
  <si>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</si>
  <si>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</si>
  <si>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</si>
  <si>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</si>
  <si>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</si>
  <si>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</si>
  <si>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</si>
  <si>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</si>
  <si>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</si>
  <si>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</si>
  <si>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</si>
  <si>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</si>
  <si>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</si>
  <si>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</si>
  <si>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</si>
  <si>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</si>
  <si>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</si>
  <si>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</si>
  <si>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</si>
  <si>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</si>
  <si>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</si>
  <si>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</si>
  <si>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</si>
  <si>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</si>
  <si>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</si>
  <si>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</si>
  <si>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</si>
  <si>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</si>
  <si>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</si>
  <si>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</si>
  <si>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</si>
  <si>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</si>
  <si>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</si>
  <si>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</si>
  <si>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</si>
  <si>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</si>
  <si>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</si>
  <si>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</si>
  <si>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</si>
  <si>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</si>
  <si>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</si>
  <si>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</si>
  <si>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</si>
  <si>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</si>
  <si>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</si>
  <si>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</si>
  <si>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</si>
  <si>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</si>
  <si>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</si>
  <si>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</si>
  <si>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</si>
  <si>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</si>
  <si>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</si>
  <si>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</si>
  <si>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</si>
  <si>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</si>
  <si>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</si>
  <si>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</si>
  <si>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</si>
  <si>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</si>
  <si>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</si>
  <si>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</si>
  <si>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</si>
  <si>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</si>
  <si>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</si>
  <si>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</si>
  <si>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</si>
  <si>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</si>
  <si>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</si>
  <si>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</si>
  <si>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</si>
  <si>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</si>
  <si>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</si>
  <si>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</si>
  <si>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</si>
  <si>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</si>
  <si>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</si>
  <si>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</si>
  <si>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</si>
  <si>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</si>
  <si>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</si>
  <si>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</si>
  <si>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</si>
  <si>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</si>
  <si>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</si>
  <si>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</si>
  <si>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</si>
  <si>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</si>
  <si>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</si>
  <si>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</si>
  <si>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</si>
  <si>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</si>
  <si>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</si>
  <si>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</si>
  <si>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</si>
  <si>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</si>
  <si>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</si>
  <si>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</si>
  <si>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</si>
  <si>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</si>
  <si>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</si>
  <si>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</si>
  <si>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</si>
  <si>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</si>
  <si>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</si>
  <si>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</si>
  <si>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</si>
  <si>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</si>
  <si>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</si>
  <si>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</si>
  <si>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</si>
  <si>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</si>
  <si>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</si>
  <si>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</si>
  <si>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</si>
  <si>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</si>
  <si>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</si>
  <si>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</si>
  <si>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</si>
  <si>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</si>
  <si>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</si>
  <si>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</si>
  <si>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</si>
  <si>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</si>
  <si>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</si>
  <si>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</si>
  <si>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</si>
  <si>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</si>
  <si>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</si>
  <si>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</si>
  <si>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</si>
  <si>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</si>
  <si>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</si>
  <si>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</si>
  <si>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</si>
  <si>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</si>
  <si>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</si>
  <si>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</si>
  <si>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</si>
  <si>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</si>
  <si>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</si>
  <si>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</si>
  <si>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</si>
  <si>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</si>
  <si>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</si>
  <si>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</si>
  <si>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</si>
  <si>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</si>
  <si>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</si>
  <si>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</si>
  <si>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</si>
  <si>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</si>
  <si>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</si>
  <si>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</si>
  <si>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</si>
  <si>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</si>
  <si>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</si>
  <si>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</si>
  <si>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</si>
  <si>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</si>
  <si>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</si>
  <si>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</si>
  <si>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</si>
  <si>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</si>
  <si>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</si>
  <si>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</si>
  <si>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</si>
  <si>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</si>
  <si>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</si>
  <si>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</si>
  <si>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</si>
  <si>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</si>
  <si>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</si>
  <si>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</si>
  <si>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</si>
  <si>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</si>
  <si>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</si>
  <si>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</si>
  <si>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</si>
  <si>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</si>
  <si>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</si>
  <si>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</si>
  <si>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</si>
  <si>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</si>
  <si>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</si>
  <si>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</si>
  <si>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</si>
  <si>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</si>
  <si>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</si>
  <si>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</si>
  <si>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</si>
  <si>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</si>
  <si>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</si>
  <si>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</si>
  <si>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</si>
  <si>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</si>
  <si>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</si>
  <si>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</si>
  <si>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</si>
  <si>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</si>
  <si>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</si>
  <si>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</si>
  <si>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</si>
  <si>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</si>
  <si>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</si>
  <si>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</si>
  <si>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</si>
  <si>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</si>
  <si>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</si>
  <si>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</si>
  <si>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</si>
  <si>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</si>
  <si>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</si>
  <si>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</si>
  <si>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</si>
  <si>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</si>
  <si>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</si>
  <si>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</si>
  <si>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</si>
  <si>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</si>
  <si>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</si>
  <si>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</si>
  <si>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</si>
  <si>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</si>
  <si>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</si>
  <si>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</si>
  <si>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</si>
  <si>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</si>
  <si>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</si>
  <si>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</si>
  <si>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</si>
  <si>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</si>
  <si>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</si>
  <si>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</si>
  <si>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</si>
  <si>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</si>
  <si>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</si>
  <si>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</si>
  <si>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</si>
  <si>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</si>
  <si>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</si>
  <si>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</si>
  <si>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</si>
  <si>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</si>
  <si>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</si>
  <si>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</si>
  <si>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</si>
  <si>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</si>
  <si>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</si>
  <si>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</si>
  <si>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</si>
  <si>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</si>
  <si>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</si>
  <si>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</si>
  <si>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</si>
  <si>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</si>
  <si>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</si>
  <si>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</si>
  <si>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</si>
  <si>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</si>
  <si>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</si>
  <si>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</si>
  <si>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</si>
  <si>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</si>
  <si>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</si>
  <si>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</si>
  <si>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</si>
  <si>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</si>
  <si>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</si>
  <si>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</si>
  <si>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</si>
  <si>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</si>
  <si>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</si>
  <si>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</si>
  <si>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</si>
  <si>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</si>
  <si>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</si>
  <si>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</si>
  <si>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</si>
  <si>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</si>
  <si>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</si>
  <si>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</si>
  <si>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</si>
  <si>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</si>
  <si>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</si>
  <si>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</si>
  <si>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</si>
  <si>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</si>
  <si>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</si>
  <si>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</si>
  <si>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</si>
  <si>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</si>
  <si>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</si>
  <si>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</si>
  <si>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</si>
  <si>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</si>
  <si>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</si>
  <si>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</si>
  <si>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</si>
  <si>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</si>
  <si>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</si>
  <si>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</si>
  <si>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</si>
  <si>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</si>
  <si>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</si>
  <si>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</si>
  <si>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</si>
  <si>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</si>
  <si>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</si>
  <si>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</si>
  <si>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</si>
  <si>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</si>
  <si>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</si>
  <si>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</si>
  <si>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</si>
  <si>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</si>
  <si>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</si>
  <si>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</si>
  <si>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</si>
  <si>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</si>
  <si>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</si>
  <si>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</si>
  <si>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</si>
  <si>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</si>
  <si>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</si>
  <si>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</si>
  <si>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</si>
  <si>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</si>
  <si>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</si>
  <si>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</si>
  <si>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</si>
  <si>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</si>
  <si>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</si>
  <si>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</si>
  <si>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</si>
  <si>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</si>
  <si>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</si>
  <si>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</si>
  <si>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</si>
  <si>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</si>
  <si>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</si>
  <si>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</si>
  <si>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</si>
  <si>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</si>
  <si>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</si>
  <si>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</si>
  <si>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</si>
  <si>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</si>
  <si>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</si>
  <si>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</si>
  <si>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</si>
  <si>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</si>
  <si>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</si>
  <si>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</si>
  <si>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</si>
  <si>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</si>
  <si>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</si>
  <si>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</si>
  <si>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</si>
  <si>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</si>
  <si>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</si>
  <si>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</si>
  <si>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</si>
  <si>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</si>
  <si>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</si>
  <si>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</si>
  <si>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</si>
  <si>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</si>
  <si>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</si>
  <si>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</si>
  <si>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</si>
  <si>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</si>
  <si>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</si>
  <si>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</si>
  <si>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</si>
  <si>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</si>
  <si>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</si>
  <si>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</si>
  <si>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</si>
  <si>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</si>
  <si>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</si>
  <si>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</si>
  <si>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</si>
  <si>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</si>
  <si>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</si>
  <si>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</si>
  <si>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</si>
  <si>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</si>
  <si>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</si>
  <si>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</si>
  <si>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</si>
  <si>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</si>
  <si>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</si>
  <si>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</si>
  <si>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</si>
  <si>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</si>
  <si>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</si>
  <si>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</si>
  <si>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</si>
  <si>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</si>
  <si>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</si>
  <si>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</si>
  <si>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</si>
  <si>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</si>
  <si>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</si>
  <si>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</si>
  <si>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</si>
  <si>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</si>
  <si>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</si>
  <si>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</si>
  <si>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</si>
  <si>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</si>
  <si>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</si>
  <si>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</si>
  <si>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</si>
  <si>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</si>
  <si>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</si>
  <si>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</si>
  <si>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</si>
  <si>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</si>
  <si>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</si>
  <si>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</si>
  <si>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</si>
  <si>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</si>
  <si>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</si>
  <si>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</si>
  <si>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</si>
  <si>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</si>
  <si>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</si>
  <si>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</si>
  <si>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</si>
  <si>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</si>
  <si>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</si>
  <si>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</si>
  <si>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</si>
  <si>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</si>
  <si>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</si>
  <si>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</si>
  <si>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</si>
  <si>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</si>
  <si>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</si>
  <si>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</si>
  <si>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</si>
  <si>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</si>
  <si>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</si>
  <si>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</si>
  <si>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</si>
  <si>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</si>
  <si>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</si>
  <si>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</si>
  <si>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</si>
  <si>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</si>
  <si>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</si>
  <si>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</si>
  <si>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</si>
  <si>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</si>
  <si>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</si>
  <si>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</si>
  <si>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</si>
  <si>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</si>
  <si>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</si>
  <si>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</si>
  <si>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</si>
  <si>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</si>
  <si>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</si>
  <si>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</si>
  <si>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</si>
  <si>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</si>
  <si>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</si>
  <si>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</si>
  <si>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</si>
  <si>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</si>
  <si>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</si>
  <si>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</si>
  <si>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</si>
  <si>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</si>
  <si>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</si>
  <si>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</si>
  <si>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</si>
  <si>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</si>
  <si>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</si>
  <si>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</si>
  <si>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</si>
  <si>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</si>
  <si>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</si>
  <si>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</si>
  <si>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</si>
  <si>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</si>
  <si>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</si>
  <si>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</si>
  <si>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</si>
  <si>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</si>
  <si>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</si>
  <si>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</si>
  <si>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</si>
  <si>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</si>
  <si>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</si>
  <si>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</si>
  <si>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</si>
  <si>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</si>
  <si>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</si>
  <si>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</si>
  <si>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</si>
  <si>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</si>
  <si>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</si>
  <si>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</si>
  <si>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</si>
  <si>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</si>
  <si>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</si>
  <si>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</si>
  <si>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</si>
  <si>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</si>
  <si>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</si>
  <si>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</si>
  <si>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</si>
  <si>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</si>
  <si>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</si>
  <si>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</si>
  <si>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</si>
  <si>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</si>
  <si>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</si>
  <si>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</si>
  <si>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</si>
  <si>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</si>
  <si>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</si>
  <si>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</si>
  <si>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</si>
  <si>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</si>
  <si>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</si>
  <si>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</si>
  <si>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</si>
  <si>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</si>
  <si>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</si>
  <si>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</si>
  <si>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</si>
  <si>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</si>
  <si>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</si>
  <si>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</si>
  <si>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</si>
  <si>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</si>
  <si>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</si>
  <si>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</si>
  <si>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</si>
  <si>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</si>
  <si>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</si>
  <si>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</si>
  <si>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</si>
  <si>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</si>
  <si>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</si>
  <si>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</si>
  <si>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</si>
  <si>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</si>
  <si>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</si>
  <si>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</si>
  <si>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</si>
  <si>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</si>
  <si>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</si>
  <si>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</si>
  <si>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</si>
  <si>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</si>
  <si>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</si>
  <si>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</si>
  <si>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</si>
  <si>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</si>
  <si>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</si>
  <si>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</si>
  <si>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</si>
  <si>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</si>
  <si>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</si>
  <si>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</si>
  <si>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</si>
  <si>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</si>
  <si>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</si>
  <si>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</si>
  <si>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</si>
  <si>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</si>
  <si>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</si>
  <si>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</si>
  <si>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</si>
  <si>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</si>
  <si>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</si>
  <si>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</si>
  <si>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</si>
  <si>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</si>
  <si>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</si>
  <si>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</si>
  <si>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</si>
  <si>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</si>
  <si>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</si>
  <si>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</si>
  <si>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</si>
  <si>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</si>
  <si>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</si>
  <si>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</si>
  <si>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</si>
  <si>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</si>
  <si>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</si>
  <si>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</si>
  <si>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</si>
  <si>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</si>
  <si>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</si>
  <si>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</si>
  <si>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</si>
  <si>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</si>
  <si>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</si>
  <si>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</si>
  <si>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</si>
  <si>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</si>
  <si>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</si>
  <si>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</si>
  <si>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</si>
  <si>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</si>
  <si>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</si>
  <si>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</si>
  <si>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</si>
  <si>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</si>
  <si>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</si>
  <si>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</si>
  <si>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</si>
  <si>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</si>
  <si>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</si>
  <si>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</si>
  <si>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</si>
  <si>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</si>
  <si>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</si>
  <si>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</si>
  <si>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</si>
  <si>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</si>
  <si>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</si>
  <si>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</si>
  <si>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</si>
  <si>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</si>
  <si>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</si>
  <si>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</si>
  <si>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</si>
  <si>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</si>
  <si>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</si>
  <si>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</si>
  <si>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</si>
  <si>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</si>
  <si>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</si>
  <si>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</si>
  <si>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</si>
  <si>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</si>
  <si>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</si>
  <si>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</si>
  <si>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</si>
  <si>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</si>
  <si>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</si>
  <si>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</si>
  <si>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</si>
  <si>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</si>
  <si>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</si>
  <si>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</si>
  <si>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</si>
  <si>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</si>
  <si>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</si>
  <si>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</si>
  <si>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</si>
  <si>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</si>
  <si>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</si>
  <si>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</si>
  <si>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</si>
  <si>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</si>
  <si>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</si>
  <si>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</si>
  <si>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</si>
  <si>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</si>
  <si>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</si>
  <si>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</si>
  <si>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</si>
  <si>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</si>
  <si>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</si>
  <si>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</si>
  <si>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</si>
  <si>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</si>
  <si>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</si>
  <si>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</si>
  <si>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</si>
  <si>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</si>
  <si>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</si>
  <si>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</si>
  <si>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</si>
  <si>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</si>
  <si>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</si>
  <si>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</si>
  <si>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</si>
  <si>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</si>
  <si>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</si>
  <si>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</si>
  <si>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</si>
  <si>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</si>
  <si>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</si>
  <si>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</si>
  <si>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</si>
  <si>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</si>
  <si>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</si>
  <si>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</si>
  <si>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</si>
  <si>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</si>
  <si>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</si>
  <si>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</si>
  <si>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</si>
  <si>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</si>
  <si>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</si>
  <si>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</si>
  <si>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</si>
  <si>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</si>
  <si>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</si>
  <si>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</si>
  <si>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</si>
  <si>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</si>
  <si>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</si>
  <si>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</si>
  <si>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</si>
  <si>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</si>
  <si>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</si>
  <si>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</si>
  <si>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</si>
  <si>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</si>
  <si>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</si>
  <si>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</si>
  <si>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</si>
  <si>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</si>
  <si>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</si>
  <si>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</si>
  <si>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</si>
  <si>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</si>
  <si>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</si>
  <si>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</si>
  <si>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</si>
  <si>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</si>
  <si>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</si>
  <si>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</si>
  <si>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</si>
  <si>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</si>
  <si>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</si>
  <si>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</si>
  <si>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</si>
  <si>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</si>
  <si>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</si>
  <si>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</si>
  <si>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</si>
  <si>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</si>
  <si>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</si>
  <si>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</si>
  <si>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</si>
  <si>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</si>
  <si>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</si>
  <si>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</si>
  <si>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</si>
  <si>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</si>
  <si>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</si>
  <si>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</si>
  <si>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</si>
  <si>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</si>
  <si>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</si>
  <si>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</si>
  <si>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</si>
  <si>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</si>
  <si>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</si>
  <si>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</si>
  <si>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</si>
  <si>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</si>
  <si>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</si>
  <si>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</si>
  <si>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</si>
  <si>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</si>
  <si>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</si>
  <si>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</si>
  <si>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</si>
  <si>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</si>
  <si>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</si>
  <si>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</si>
  <si>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</si>
  <si>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</si>
  <si>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</si>
  <si>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</si>
  <si>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</si>
  <si>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</si>
  <si>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</si>
  <si>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</si>
  <si>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</si>
  <si>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</si>
  <si>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</si>
  <si>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</si>
  <si>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</si>
  <si>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</si>
  <si>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</si>
  <si>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</si>
  <si>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</si>
  <si>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</si>
  <si>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</si>
  <si>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</si>
  <si>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</si>
  <si>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</si>
  <si>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</si>
  <si>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</si>
  <si>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</si>
  <si>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</si>
  <si>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</si>
  <si>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</si>
  <si>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</si>
  <si>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</si>
  <si>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</si>
  <si>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</si>
  <si>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</si>
  <si>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</si>
  <si>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</si>
  <si>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</si>
  <si>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</si>
  <si>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</si>
  <si>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</si>
  <si>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</si>
  <si>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</si>
  <si>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</si>
  <si>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</si>
  <si>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</si>
  <si>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</si>
  <si>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</si>
  <si>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</si>
  <si>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</si>
  <si>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</si>
  <si>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</si>
  <si>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</si>
  <si>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</si>
  <si>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</si>
  <si>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</si>
  <si>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</si>
  <si>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</si>
  <si>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</si>
  <si>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</si>
  <si>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</si>
  <si>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</si>
  <si>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</si>
  <si>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</si>
  <si>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</si>
  <si>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</si>
  <si>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</si>
  <si>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</si>
  <si>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</si>
  <si>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</si>
  <si>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</si>
  <si>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</si>
  <si>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</si>
  <si>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</si>
  <si>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</si>
  <si>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</si>
  <si>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</si>
  <si>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</si>
  <si>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</si>
  <si>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</si>
  <si>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</si>
  <si>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</si>
  <si>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</si>
  <si>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</si>
  <si>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</si>
  <si>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</si>
  <si>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</si>
  <si>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</si>
  <si>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</si>
  <si>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</si>
  <si>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</si>
  <si>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</si>
  <si>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</si>
  <si>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</si>
  <si>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</si>
  <si>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</si>
  <si>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</si>
  <si>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</si>
  <si>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</si>
  <si>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</si>
  <si>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</si>
  <si>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</si>
  <si>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</si>
  <si>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</si>
  <si>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</si>
  <si>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</si>
  <si>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</si>
  <si>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</si>
  <si>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</si>
  <si>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</si>
  <si>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</si>
  <si>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</si>
  <si>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</si>
  <si>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</si>
  <si>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</si>
  <si>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</si>
  <si>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</si>
  <si>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</si>
  <si>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</si>
  <si>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</si>
  <si>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</si>
  <si>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</si>
  <si>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</si>
  <si>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</si>
  <si>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</si>
  <si>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</si>
  <si>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</si>
  <si>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</si>
  <si>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</si>
  <si>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</si>
  <si>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</si>
  <si>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</si>
  <si>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</si>
  <si>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</si>
  <si>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</si>
  <si>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</si>
  <si>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</si>
  <si>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</si>
  <si>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</si>
  <si>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</si>
  <si>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</si>
  <si>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</si>
  <si>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</si>
  <si>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</si>
  <si>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</si>
  <si>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</si>
  <si>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</si>
  <si>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</si>
  <si>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</si>
  <si>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</si>
  <si>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</si>
  <si>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</si>
  <si>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</si>
  <si>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</si>
  <si>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</si>
  <si>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</si>
  <si>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</si>
  <si>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</si>
  <si>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</si>
  <si>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</si>
  <si>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</si>
  <si>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</si>
  <si>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</si>
  <si>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</si>
  <si>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</si>
  <si>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</si>
  <si>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</si>
  <si>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</si>
  <si>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</si>
  <si>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</si>
  <si>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</si>
  <si>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</si>
  <si>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</si>
  <si>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</si>
  <si>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</si>
  <si>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</si>
  <si>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</si>
  <si>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</si>
  <si>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</si>
  <si>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</si>
  <si>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</si>
  <si>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</si>
  <si>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</si>
  <si>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</si>
  <si>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</si>
  <si>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</si>
  <si>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</si>
  <si>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</si>
  <si>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</si>
  <si>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</si>
  <si>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</si>
  <si>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</si>
  <si>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</si>
  <si>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</si>
  <si>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</si>
  <si>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</si>
  <si>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</si>
  <si>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</si>
  <si>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</si>
  <si>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</si>
  <si>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</si>
  <si>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</si>
  <si>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</si>
  <si>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</si>
  <si>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</si>
  <si>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</si>
  <si>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</si>
  <si>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</si>
  <si>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</si>
  <si>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</si>
  <si>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</si>
  <si>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</si>
  <si>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</si>
  <si>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</si>
  <si>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</si>
  <si>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</si>
  <si>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</si>
  <si>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</si>
  <si>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</si>
  <si>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</si>
  <si>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</si>
  <si>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</si>
  <si>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</si>
  <si>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</si>
  <si>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</si>
  <si>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</si>
  <si>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</si>
  <si>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</si>
  <si>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</si>
  <si>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</si>
  <si>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</si>
  <si>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</si>
  <si>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</si>
  <si>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</si>
  <si>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</si>
  <si>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</si>
  <si>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</si>
  <si>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</si>
  <si>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</si>
  <si>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</si>
  <si>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</si>
  <si>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</si>
  <si>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</si>
  <si>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</si>
  <si>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</si>
  <si>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</si>
  <si>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</si>
  <si>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</si>
  <si>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</si>
  <si>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</si>
  <si>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</si>
  <si>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</si>
  <si>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</si>
  <si>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</si>
  <si>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</si>
  <si>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</si>
  <si>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</si>
  <si>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</si>
  <si>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</si>
  <si>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</si>
  <si>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</si>
  <si>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</si>
  <si>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</si>
  <si>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</si>
  <si>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</si>
  <si>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</si>
  <si>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</si>
  <si>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</si>
  <si>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</si>
  <si>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</si>
  <si>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</si>
  <si>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</si>
  <si>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</si>
  <si>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</si>
  <si>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</si>
  <si>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</si>
  <si>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</si>
  <si>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</si>
  <si>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</si>
  <si>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</si>
  <si>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</si>
  <si>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</si>
  <si>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</si>
  <si>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</si>
  <si>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</si>
  <si>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</si>
  <si>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</si>
  <si>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</si>
  <si>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</si>
  <si>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</si>
  <si>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</si>
  <si>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</si>
  <si>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</si>
  <si>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</si>
  <si>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</si>
  <si>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</si>
  <si>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</si>
  <si>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</si>
  <si>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</si>
  <si>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</si>
  <si>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</si>
  <si>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</si>
  <si>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</si>
  <si>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</si>
  <si>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</si>
  <si>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</si>
  <si>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</si>
  <si>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</si>
  <si>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</si>
  <si>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</si>
  <si>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</si>
  <si>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</si>
  <si>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</si>
  <si>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</si>
  <si>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</si>
  <si>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</si>
  <si>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</si>
  <si>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</si>
  <si>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</si>
  <si>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</si>
  <si>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</si>
  <si>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</si>
  <si>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</si>
  <si>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</si>
  <si>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</si>
  <si>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</si>
  <si>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</si>
  <si>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</si>
  <si>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</si>
  <si>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</si>
  <si>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</si>
  <si>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</si>
  <si>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</si>
  <si>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</si>
  <si>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</si>
  <si>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</si>
  <si>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</si>
  <si>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</si>
  <si>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</si>
  <si>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</si>
  <si>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</si>
  <si>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</si>
  <si>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</si>
  <si>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</si>
  <si>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</si>
  <si>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</si>
  <si>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</si>
  <si>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</si>
  <si>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</si>
  <si>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</si>
  <si>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</si>
  <si>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</si>
  <si>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</si>
  <si>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</si>
  <si>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</si>
  <si>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</si>
  <si>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</si>
  <si>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</si>
  <si>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</si>
  <si>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</si>
  <si>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</si>
  <si>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</si>
  <si>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</si>
  <si>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</si>
  <si>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</si>
  <si>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</si>
  <si>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</si>
  <si>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</si>
  <si>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</si>
  <si>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</si>
  <si>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</si>
  <si>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</si>
  <si>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</si>
  <si>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</si>
  <si>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</si>
  <si>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</si>
  <si>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</si>
  <si>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</si>
  <si>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</si>
  <si>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</si>
  <si>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</si>
  <si>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</si>
  <si>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</si>
  <si>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</si>
  <si>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</si>
  <si>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</si>
  <si>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</si>
  <si>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</si>
  <si>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</si>
  <si>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</si>
  <si>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</si>
  <si>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</si>
  <si>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</si>
  <si>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</si>
  <si>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</si>
  <si>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</si>
  <si>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</si>
  <si>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</si>
  <si>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</si>
  <si>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</si>
  <si>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</si>
  <si>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</si>
  <si>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</si>
  <si>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</si>
  <si>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</si>
  <si>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</si>
  <si>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</si>
  <si>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</si>
  <si>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</si>
  <si>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</si>
  <si>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</si>
  <si>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</si>
  <si>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</si>
  <si>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</si>
  <si>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</si>
  <si>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</si>
  <si>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</si>
  <si>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</si>
  <si>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</si>
  <si>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</si>
  <si>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</si>
  <si>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</si>
  <si>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</si>
  <si>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</si>
  <si>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</si>
  <si>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</si>
  <si>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</si>
  <si>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</si>
  <si>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</si>
  <si>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</si>
  <si>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</si>
  <si>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</si>
  <si>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</si>
  <si>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</si>
  <si>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</si>
  <si>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</si>
  <si>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</si>
  <si>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</si>
  <si>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</si>
  <si>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</si>
  <si>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</si>
  <si>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</si>
  <si>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</si>
  <si>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</si>
  <si>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</si>
  <si>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</si>
  <si>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</si>
  <si>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</si>
  <si>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</si>
  <si>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</si>
  <si>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</si>
  <si>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</si>
  <si>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</si>
  <si>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</si>
  <si>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</si>
  <si>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</si>
  <si>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</si>
  <si>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</si>
  <si>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</si>
  <si>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</si>
  <si>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</si>
  <si>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</si>
  <si>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</si>
  <si>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</si>
  <si>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</si>
  <si>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</si>
  <si>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</si>
  <si>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</si>
  <si>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</si>
  <si>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</si>
  <si>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</si>
  <si>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</si>
  <si>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</si>
  <si>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</si>
  <si>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</si>
  <si>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</si>
  <si>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</si>
  <si>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</si>
  <si>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</si>
  <si>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</si>
  <si>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</si>
  <si>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</si>
  <si>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</si>
  <si>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</si>
  <si>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</si>
  <si>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</si>
  <si>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</si>
  <si>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</si>
  <si>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</si>
  <si>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</si>
  <si>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</si>
  <si>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</si>
  <si>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</si>
  <si>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</si>
  <si>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</si>
  <si>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</si>
  <si>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</si>
  <si>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</si>
  <si>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</si>
  <si>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</si>
  <si>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</si>
  <si>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</si>
  <si>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</si>
  <si>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</si>
  <si>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</si>
  <si>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</si>
  <si>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</si>
  <si>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</si>
  <si>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</si>
  <si>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</si>
  <si>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</si>
  <si>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</si>
  <si>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</si>
  <si>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</si>
  <si>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</si>
  <si>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</si>
  <si>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</si>
  <si>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</si>
  <si>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</si>
  <si>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</si>
  <si>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</si>
  <si>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</si>
  <si>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</si>
  <si>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</si>
  <si>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</si>
  <si>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</si>
  <si>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</si>
  <si>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</si>
  <si>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</si>
  <si>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</si>
  <si>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</si>
  <si>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</si>
  <si>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</si>
  <si>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</si>
  <si>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</si>
  <si>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</si>
  <si>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</si>
  <si>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</si>
  <si>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</si>
  <si>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</si>
  <si>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</si>
  <si>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</si>
  <si>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</si>
  <si>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</si>
  <si>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</si>
  <si>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</si>
  <si>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</si>
  <si>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</si>
  <si>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</si>
  <si>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</si>
  <si>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</si>
  <si>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</si>
  <si>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</si>
  <si>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</si>
  <si>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</si>
  <si>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</si>
  <si>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</si>
  <si>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</si>
  <si>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</si>
  <si>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</si>
  <si>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</si>
  <si>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</si>
  <si>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</si>
  <si>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</si>
  <si>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</si>
  <si>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</si>
  <si>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</si>
  <si>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</si>
  <si>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</si>
  <si>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</si>
  <si>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</si>
  <si>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</si>
  <si>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</si>
  <si>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</si>
  <si>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</si>
  <si>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</si>
  <si>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</si>
  <si>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</si>
  <si>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</si>
  <si>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</si>
  <si>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</si>
  <si>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</si>
  <si>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</si>
  <si>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</si>
  <si>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</si>
  <si>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</si>
  <si>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</si>
  <si>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</si>
  <si>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</si>
  <si>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</si>
  <si>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</si>
  <si>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</si>
  <si>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</si>
  <si>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</si>
  <si>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</si>
  <si>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</si>
  <si>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</si>
  <si>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</si>
  <si>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</si>
  <si>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</si>
  <si>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</si>
  <si>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</si>
  <si>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</si>
  <si>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</si>
  <si>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</si>
  <si>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</si>
  <si>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</si>
  <si>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</si>
  <si>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</si>
  <si>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</si>
  <si>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</si>
  <si>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</si>
  <si>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</si>
  <si>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</si>
  <si>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</si>
  <si>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</si>
  <si>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</si>
  <si>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</si>
  <si>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</si>
  <si>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</si>
  <si>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</si>
  <si>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</si>
  <si>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</si>
  <si>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</si>
  <si>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</si>
  <si>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</si>
  <si>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</si>
  <si>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</si>
  <si>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</si>
  <si>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</si>
  <si>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</si>
  <si>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</si>
  <si>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</si>
  <si>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</si>
  <si>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</si>
  <si>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</si>
  <si>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</si>
  <si>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</si>
  <si>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</si>
  <si>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</si>
  <si>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</si>
  <si>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</si>
  <si>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</si>
  <si>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</si>
  <si>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</si>
  <si>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</si>
  <si>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</si>
  <si>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</si>
  <si>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</si>
  <si>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</si>
  <si>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</si>
  <si>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</si>
  <si>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</si>
  <si>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</si>
  <si>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</si>
  <si>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</si>
  <si>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</si>
  <si>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</si>
  <si>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</si>
  <si>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</si>
  <si>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</si>
  <si>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</si>
  <si>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</si>
  <si>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</si>
  <si>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</si>
  <si>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</si>
  <si>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</si>
  <si>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</si>
  <si>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</si>
  <si>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</si>
  <si>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</si>
  <si>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</si>
  <si>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</si>
  <si>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</si>
  <si>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</si>
  <si>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</si>
  <si>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</si>
  <si>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</si>
  <si>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</si>
  <si>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</si>
  <si>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</si>
  <si>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</si>
  <si>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</si>
  <si>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</si>
  <si>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</si>
  <si>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</si>
  <si>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</si>
  <si>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</si>
  <si>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</si>
  <si>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</si>
  <si>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</si>
  <si>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</si>
  <si>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</si>
  <si>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</si>
  <si>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</si>
  <si>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</si>
  <si>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</si>
  <si>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</si>
  <si>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</si>
  <si>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</si>
  <si>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</si>
  <si>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</si>
  <si>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</si>
  <si>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</si>
  <si>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</si>
  <si>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</si>
  <si>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</si>
  <si>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</si>
  <si>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</si>
  <si>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</si>
  <si>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</si>
  <si>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</si>
  <si>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</si>
  <si>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</si>
  <si>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</si>
  <si>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</si>
  <si>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</si>
  <si>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</si>
  <si>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</si>
  <si>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</si>
  <si>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</si>
  <si>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</si>
  <si>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</si>
  <si>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</si>
  <si>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</si>
  <si>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</si>
  <si>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</si>
  <si>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</si>
  <si>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</si>
  <si>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</si>
  <si>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</si>
  <si>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</si>
  <si>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</si>
  <si>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</si>
  <si>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</si>
  <si>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</si>
  <si>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</si>
  <si>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</si>
  <si>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</si>
  <si>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</si>
  <si>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</si>
  <si>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</si>
  <si>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</si>
  <si>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</si>
  <si>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</si>
  <si>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</si>
  <si>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</si>
  <si>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</si>
  <si>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</si>
  <si>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</si>
  <si>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</si>
  <si>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</si>
  <si>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</si>
  <si>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</si>
  <si>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</si>
  <si>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</si>
  <si>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</si>
  <si>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</si>
  <si>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</si>
  <si>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</si>
  <si>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</si>
  <si>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</si>
  <si>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</si>
  <si>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</si>
  <si>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</si>
  <si>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</si>
  <si>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</si>
  <si>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</si>
  <si>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</si>
  <si>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</si>
  <si>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</si>
  <si>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</si>
  <si>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</si>
  <si>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</si>
  <si>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</si>
  <si>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</si>
  <si>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</si>
  <si>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</si>
  <si>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</si>
  <si>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</si>
  <si>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</si>
  <si>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</si>
  <si>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</si>
  <si>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</si>
  <si>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</si>
  <si>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</si>
  <si>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</si>
  <si>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</si>
  <si>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</si>
  <si>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</si>
  <si>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</si>
  <si>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</si>
  <si>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</si>
  <si>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</si>
  <si>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</si>
  <si>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</si>
  <si>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</si>
  <si>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</si>
  <si>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</si>
  <si>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</si>
  <si>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</si>
  <si>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</si>
  <si>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</si>
  <si>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</si>
  <si>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</si>
  <si>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</si>
  <si>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</si>
  <si>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</si>
  <si>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</si>
  <si>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</si>
  <si>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</si>
  <si>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</si>
  <si>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</si>
  <si>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</si>
  <si>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</si>
  <si>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</si>
  <si>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</si>
  <si>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</si>
  <si>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</si>
  <si>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</si>
  <si>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</si>
  <si>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</si>
  <si>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</si>
  <si>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</si>
  <si>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</si>
  <si>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</si>
  <si>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</si>
  <si>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</si>
  <si>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</si>
  <si>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</si>
  <si>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</si>
  <si>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</si>
  <si>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</si>
  <si>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</si>
  <si>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</si>
  <si>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</si>
  <si>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</si>
  <si>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</si>
  <si>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</si>
  <si>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</si>
  <si>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</si>
  <si>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</si>
  <si>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</si>
  <si>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</si>
  <si>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</si>
  <si>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</si>
  <si>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</si>
  <si>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</si>
  <si>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</si>
  <si>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</si>
  <si>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</si>
  <si>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</si>
  <si>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</si>
  <si>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</si>
  <si>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</si>
  <si>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</si>
  <si>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</si>
  <si>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</si>
  <si>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</si>
  <si>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</si>
  <si>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</si>
  <si>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</si>
  <si>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</si>
  <si>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</si>
  <si>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</si>
  <si>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</si>
  <si>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</si>
  <si>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</si>
  <si>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</si>
  <si>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</si>
  <si>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</si>
  <si>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</si>
  <si>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</si>
  <si>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</si>
  <si>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</si>
  <si>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</si>
  <si>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</si>
  <si>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</si>
  <si>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</si>
  <si>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</si>
  <si>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</si>
  <si>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</si>
  <si>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</si>
  <si>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</si>
  <si>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</si>
  <si>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</si>
  <si>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</si>
  <si>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</si>
  <si>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</si>
  <si>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</si>
  <si>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</si>
  <si>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</si>
  <si>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</si>
  <si>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</si>
  <si>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</si>
  <si>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</si>
  <si>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</si>
  <si>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</si>
  <si>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</si>
  <si>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</si>
  <si>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</si>
  <si>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</si>
  <si>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</si>
  <si>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</si>
  <si>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</si>
  <si>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</si>
  <si>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</si>
  <si>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</si>
  <si>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</si>
  <si>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</si>
  <si>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</si>
  <si>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</si>
  <si>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</si>
  <si>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</si>
  <si>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</si>
  <si>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</si>
  <si>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</si>
  <si>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</si>
  <si>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</si>
  <si>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</si>
  <si>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</si>
  <si>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</si>
  <si>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</si>
  <si>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</si>
  <si>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</si>
  <si>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</si>
  <si>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</si>
  <si>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</si>
  <si>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</si>
  <si>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</si>
  <si>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</si>
  <si>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</si>
  <si>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</si>
  <si>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</si>
  <si>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</si>
  <si>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</si>
  <si>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</si>
  <si>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</si>
  <si>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</si>
  <si>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</si>
  <si>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</si>
  <si>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</si>
  <si>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</si>
  <si>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</si>
  <si>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</si>
  <si>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</si>
  <si>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</si>
  <si>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</si>
  <si>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</si>
  <si>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</si>
  <si>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</si>
  <si>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</si>
  <si>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</si>
  <si>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</si>
  <si>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</si>
  <si>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</si>
  <si>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</si>
  <si>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</si>
  <si>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</si>
  <si>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</si>
  <si>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</si>
  <si>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</si>
  <si>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</si>
  <si>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</si>
  <si>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</si>
  <si>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</si>
  <si>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</si>
  <si>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</si>
  <si>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</si>
  <si>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</si>
  <si>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</si>
  <si>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</si>
  <si>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</si>
  <si>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</si>
  <si>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</si>
  <si>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</si>
  <si>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</si>
  <si>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</si>
  <si>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</si>
  <si>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</si>
  <si>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</si>
  <si>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</si>
  <si>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</si>
  <si>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</si>
  <si>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</si>
  <si>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</si>
  <si>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</si>
  <si>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</si>
  <si>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</si>
  <si>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</si>
  <si>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</si>
  <si>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</si>
  <si>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</si>
  <si>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</si>
  <si>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</si>
  <si>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</si>
  <si>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</si>
  <si>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</si>
  <si>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</si>
  <si>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</si>
  <si>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</si>
  <si>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</si>
  <si>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</si>
  <si>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</si>
  <si>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</si>
  <si>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</si>
  <si>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</si>
  <si>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</si>
  <si>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</si>
  <si>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</si>
  <si>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</si>
  <si>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</si>
  <si>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</si>
  <si>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</si>
  <si>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</si>
  <si>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</si>
  <si>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</si>
  <si>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</si>
  <si>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</si>
  <si>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</si>
  <si>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</si>
  <si>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</si>
  <si>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</si>
  <si>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</si>
  <si>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</si>
  <si>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</si>
  <si>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</si>
  <si>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</si>
  <si>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</si>
  <si>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</si>
  <si>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</si>
  <si>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</si>
  <si>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</si>
  <si>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</si>
  <si>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</si>
  <si>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</si>
  <si>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</si>
  <si>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</si>
  <si>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</si>
  <si>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</si>
  <si>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</si>
  <si>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</si>
  <si>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</si>
  <si>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</si>
  <si>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</si>
  <si>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</si>
  <si>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</si>
  <si>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</si>
  <si>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</si>
  <si>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</si>
  <si>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</si>
  <si>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</si>
  <si>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</si>
  <si>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</si>
  <si>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</si>
  <si>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</si>
  <si>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</si>
  <si>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</si>
  <si>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</si>
  <si>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</si>
  <si>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</si>
  <si>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</si>
  <si>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</si>
  <si>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</si>
  <si>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</si>
  <si>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</si>
  <si>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</si>
  <si>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</si>
  <si>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</si>
  <si>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</si>
  <si>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</si>
  <si>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</si>
  <si>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</si>
  <si>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</si>
  <si>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</si>
  <si>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</si>
  <si>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</si>
  <si>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</si>
  <si>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</si>
  <si>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</si>
  <si>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</si>
  <si>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</si>
  <si>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</si>
  <si>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</si>
  <si>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</si>
  <si>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</si>
  <si>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</si>
  <si>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</si>
  <si>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</si>
  <si>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</si>
  <si>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</si>
  <si>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</si>
  <si>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</si>
  <si>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</si>
  <si>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</si>
  <si>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</si>
  <si>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</si>
  <si>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</si>
  <si>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</si>
  <si>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</si>
  <si>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</si>
  <si>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</si>
  <si>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</si>
  <si>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</si>
  <si>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</si>
  <si>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</si>
  <si>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</si>
  <si>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</si>
  <si>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</si>
  <si>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</si>
  <si>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</si>
  <si>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</si>
  <si>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</si>
  <si>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</si>
  <si>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</si>
  <si>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</si>
  <si>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</si>
  <si>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</si>
  <si>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</si>
  <si>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</si>
  <si>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</si>
  <si>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</si>
  <si>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</si>
  <si>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</si>
  <si>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</si>
  <si>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</si>
  <si>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</si>
  <si>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</si>
  <si>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</si>
  <si>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</si>
  <si>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</si>
  <si>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</si>
  <si>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</si>
  <si>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</si>
  <si>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</si>
  <si>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</si>
  <si>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</si>
  <si>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</si>
  <si>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</si>
  <si>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</si>
  <si>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</si>
  <si>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</si>
  <si>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</si>
  <si>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</si>
  <si>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</si>
  <si>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</si>
  <si>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</si>
  <si>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</si>
  <si>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</si>
  <si>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</si>
  <si>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</si>
  <si>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</si>
  <si>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</si>
  <si>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</si>
  <si>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</si>
  <si>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</si>
  <si>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</si>
  <si>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</si>
  <si>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</si>
  <si>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</si>
  <si>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</si>
  <si>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</si>
  <si>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</si>
  <si>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</si>
  <si>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</si>
  <si>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</si>
  <si>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</si>
  <si>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</si>
  <si>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</si>
  <si>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</si>
  <si>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</si>
  <si>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</si>
  <si>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</si>
  <si>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</si>
  <si>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</si>
  <si>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</si>
  <si>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</si>
  <si>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</si>
  <si>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</si>
  <si>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</si>
  <si>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</si>
  <si>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</si>
  <si>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</si>
  <si>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</si>
  <si>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</si>
  <si>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</si>
  <si>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</si>
  <si>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</si>
  <si>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</si>
  <si>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</si>
  <si>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</si>
  <si>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</si>
  <si>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</si>
  <si>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</si>
  <si>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</si>
  <si>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</si>
  <si>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</si>
  <si>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</si>
  <si>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</si>
  <si>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</si>
  <si>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</si>
  <si>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</si>
  <si>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</si>
  <si>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</si>
  <si>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</si>
  <si>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</si>
  <si>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</si>
  <si>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</si>
  <si>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</si>
  <si>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</si>
  <si>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</si>
  <si>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</si>
  <si>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</si>
  <si>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</si>
  <si>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</si>
  <si>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</si>
  <si>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</si>
  <si>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</si>
  <si>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</si>
  <si>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</si>
  <si>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</si>
  <si>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</si>
  <si>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</si>
  <si>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</si>
  <si>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</si>
  <si>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</si>
  <si>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</si>
  <si>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</si>
  <si>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</si>
  <si>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</si>
  <si>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</si>
  <si>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</si>
  <si>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</si>
  <si>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</si>
  <si>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</si>
  <si>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</si>
  <si>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</si>
  <si>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</si>
  <si>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</si>
  <si>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</si>
  <si>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</si>
  <si>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</si>
  <si>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</si>
  <si>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</si>
  <si>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</si>
  <si>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</si>
  <si>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</si>
  <si>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</si>
  <si>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</si>
  <si>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</si>
  <si>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</si>
  <si>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</si>
  <si>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</si>
  <si>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</si>
  <si>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</si>
  <si>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</si>
  <si>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</si>
  <si>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</si>
  <si>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</si>
  <si>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</si>
  <si>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</si>
  <si>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</si>
  <si>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</si>
  <si>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</si>
  <si>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</si>
  <si>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</si>
  <si>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</si>
  <si>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</si>
  <si>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</si>
  <si>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</si>
  <si>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</si>
  <si>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</si>
  <si>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</si>
  <si>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</si>
  <si>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</si>
  <si>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</si>
  <si>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</si>
  <si>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</si>
  <si>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</si>
  <si>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</si>
  <si>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</si>
  <si>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</si>
  <si>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</si>
  <si>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</si>
  <si>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</si>
  <si>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</si>
  <si>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</si>
  <si>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</si>
  <si>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</si>
  <si>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</si>
  <si>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</si>
  <si>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</si>
  <si>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</si>
  <si>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</si>
  <si>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</si>
  <si>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</si>
  <si>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</si>
  <si>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</si>
  <si>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</si>
  <si>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</si>
  <si>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</si>
  <si>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</si>
  <si>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</si>
  <si>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</si>
  <si>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</si>
  <si>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</si>
  <si>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</si>
  <si>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</si>
  <si>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</si>
  <si>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</si>
  <si>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</si>
  <si>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</si>
  <si>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</si>
  <si>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</si>
  <si>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</si>
  <si>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</si>
  <si>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</si>
  <si>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</si>
  <si>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</si>
  <si>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</si>
  <si>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</si>
  <si>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</si>
  <si>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</si>
  <si>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</si>
  <si>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</si>
  <si>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</si>
  <si>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</si>
  <si>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</si>
  <si>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</si>
  <si>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</si>
  <si>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</si>
  <si>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</si>
  <si>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</si>
  <si>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</si>
  <si>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</si>
  <si>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</si>
  <si>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</si>
  <si>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</si>
  <si>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</si>
  <si>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</si>
  <si>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</si>
  <si>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</si>
  <si>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</si>
  <si>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</si>
  <si>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</si>
  <si>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</si>
  <si>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</si>
  <si>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</si>
  <si>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</si>
  <si>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</si>
  <si>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</si>
  <si>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</si>
  <si>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</si>
  <si>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</si>
  <si>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</si>
  <si>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</si>
  <si>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</si>
  <si>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</si>
  <si>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</si>
  <si>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</si>
  <si>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</si>
  <si>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</si>
  <si>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</si>
  <si>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</si>
  <si>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</si>
  <si>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</si>
  <si>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</si>
  <si>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</si>
  <si>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</si>
  <si>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</si>
  <si>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</si>
  <si>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</si>
  <si>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</si>
  <si>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</si>
  <si>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</si>
  <si>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</si>
  <si>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</si>
  <si>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</si>
  <si>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</si>
  <si>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</si>
  <si>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</si>
  <si>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</si>
  <si>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</si>
  <si>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</si>
  <si>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</si>
  <si>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</si>
  <si>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</si>
  <si>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</si>
  <si>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</si>
  <si>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</si>
  <si>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</si>
  <si>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</si>
  <si>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</si>
  <si>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</si>
  <si>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</si>
  <si>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</si>
  <si>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</si>
  <si>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</si>
  <si>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</si>
  <si>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</si>
  <si>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</si>
  <si>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</si>
  <si>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</si>
  <si>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</si>
  <si>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</si>
  <si>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</si>
  <si>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</si>
  <si>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</si>
  <si>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</si>
  <si>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</si>
  <si>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</si>
  <si>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</si>
  <si>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</si>
  <si>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</si>
  <si>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</si>
  <si>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</si>
  <si>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</si>
  <si>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</si>
  <si>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</si>
  <si>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</si>
  <si>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</si>
  <si>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</si>
  <si>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</si>
  <si>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</si>
  <si>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</si>
  <si>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</si>
  <si>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</si>
  <si>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</si>
  <si>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</si>
  <si>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</si>
  <si>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</si>
  <si>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</si>
  <si>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</si>
  <si>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</si>
  <si>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</si>
  <si>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</si>
  <si>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</si>
  <si>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</si>
  <si>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</si>
  <si>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</si>
  <si>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</si>
  <si>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</si>
  <si>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</si>
  <si>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</si>
  <si>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</si>
  <si>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</si>
  <si>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</si>
  <si>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</si>
  <si>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</si>
  <si>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</si>
  <si>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</si>
  <si>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</si>
  <si>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</si>
  <si>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</si>
  <si>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</si>
  <si>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</si>
  <si>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</si>
  <si>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</si>
  <si>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</si>
  <si>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</si>
  <si>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</si>
  <si>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</si>
  <si>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</si>
  <si>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</si>
  <si>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</si>
  <si>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</si>
  <si>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</si>
  <si>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</si>
  <si>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</si>
  <si>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</si>
  <si>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</si>
  <si>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</si>
  <si>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</si>
  <si>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</si>
  <si>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</si>
  <si>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</si>
  <si>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</si>
  <si>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</si>
  <si>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</si>
  <si>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</si>
  <si>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</si>
  <si>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</si>
  <si>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</si>
  <si>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</si>
  <si>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</si>
  <si>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</si>
  <si>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</si>
  <si>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</si>
  <si>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</si>
  <si>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</si>
  <si>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</si>
  <si>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</si>
  <si>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</si>
  <si>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</si>
  <si>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</si>
  <si>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</si>
  <si>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</si>
  <si>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</si>
  <si>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</si>
  <si>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</si>
  <si>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</si>
  <si>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</si>
  <si>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</si>
  <si>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</si>
  <si>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</si>
  <si>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</si>
  <si>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</si>
  <si>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</si>
  <si>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</si>
  <si>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</si>
  <si>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</si>
  <si>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</si>
  <si>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</si>
  <si>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</si>
  <si>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</si>
  <si>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</si>
  <si>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</si>
  <si>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</si>
  <si>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</si>
  <si>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</si>
  <si>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</si>
  <si>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</si>
  <si>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</si>
  <si>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</si>
  <si>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</si>
  <si>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</si>
  <si>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</si>
  <si>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</si>
  <si>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</si>
  <si>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</si>
  <si>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</si>
  <si>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</si>
  <si>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</si>
  <si>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</si>
  <si>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</si>
  <si>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</si>
  <si>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</si>
  <si>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</si>
  <si>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</si>
  <si>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</si>
  <si>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</si>
  <si>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</si>
  <si>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</si>
  <si>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</si>
  <si>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</si>
  <si>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</si>
  <si>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</si>
  <si>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</si>
  <si>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</si>
  <si>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</si>
  <si>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</si>
  <si>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</si>
  <si>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</si>
  <si>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</si>
  <si>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</si>
  <si>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</si>
  <si>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</si>
  <si>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</si>
  <si>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</si>
  <si>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</si>
  <si>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</si>
  <si>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</si>
  <si>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</si>
  <si>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</si>
  <si>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</si>
  <si>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</si>
  <si>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</si>
  <si>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</si>
  <si>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</si>
  <si>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</si>
  <si>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</si>
  <si>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</si>
  <si>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</si>
  <si>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</si>
  <si>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</si>
  <si>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</si>
  <si>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</si>
  <si>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</si>
  <si>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</si>
  <si>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</si>
  <si>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</si>
  <si>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</si>
  <si>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</si>
  <si>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</si>
  <si>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</si>
  <si>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</si>
  <si>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</si>
  <si>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</si>
  <si>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</si>
  <si>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</si>
  <si>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</si>
  <si>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</si>
  <si>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</si>
  <si>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</si>
  <si>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</si>
  <si>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</si>
  <si>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</si>
  <si>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</si>
  <si>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</si>
  <si>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</si>
  <si>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</si>
  <si>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</si>
  <si>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</si>
  <si>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</si>
  <si>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</si>
  <si>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</si>
  <si>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</si>
  <si>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</si>
  <si>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</si>
  <si>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</si>
  <si>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</si>
  <si>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</si>
  <si>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</si>
  <si>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</si>
  <si>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</si>
  <si>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</si>
  <si>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</si>
  <si>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</si>
  <si>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</si>
  <si>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</si>
  <si>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</si>
  <si>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</si>
  <si>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</si>
  <si>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</si>
  <si>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</si>
  <si>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</si>
  <si>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</si>
  <si>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</si>
  <si>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</si>
  <si>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</si>
  <si>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</si>
  <si>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</si>
  <si>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</si>
  <si>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</si>
  <si>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</si>
  <si>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</si>
  <si>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</si>
  <si>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</si>
  <si>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</si>
  <si>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</si>
  <si>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</si>
  <si>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</si>
  <si>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</si>
  <si>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</si>
  <si>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</si>
  <si>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</si>
  <si>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</si>
  <si>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</si>
  <si>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</si>
  <si>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</si>
  <si>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</si>
  <si>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</si>
  <si>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</si>
  <si>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</si>
  <si>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</si>
  <si>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</si>
  <si>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</si>
  <si>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</si>
  <si>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</si>
  <si>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</si>
  <si>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</si>
  <si>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</si>
  <si>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</si>
  <si>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</si>
  <si>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</si>
  <si>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</si>
  <si>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</si>
  <si>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</si>
  <si>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</si>
  <si>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</si>
  <si>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</si>
  <si>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</si>
  <si>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</si>
  <si>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</si>
  <si>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</si>
  <si>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</si>
  <si>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</si>
  <si>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</si>
  <si>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</si>
  <si>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</si>
  <si>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</si>
  <si>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</si>
  <si>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</si>
  <si>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</si>
  <si>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</si>
  <si>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</si>
  <si>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</si>
  <si>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</si>
  <si>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</si>
  <si>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</si>
  <si>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</si>
  <si>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</si>
  <si>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</si>
  <si>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</si>
  <si>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</si>
  <si>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</si>
  <si>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</si>
  <si>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</si>
  <si>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</si>
  <si>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</si>
  <si>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</si>
  <si>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</si>
  <si>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</si>
  <si>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</si>
  <si>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</si>
  <si>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</si>
  <si>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</si>
  <si>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</si>
  <si>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</si>
  <si>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</si>
  <si>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</si>
  <si>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</si>
  <si>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</si>
  <si>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</si>
  <si>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</si>
  <si>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</si>
  <si>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</si>
  <si>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</si>
  <si>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</si>
  <si>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</si>
  <si>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</si>
  <si>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</si>
  <si>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</si>
  <si>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</si>
  <si>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</si>
  <si>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</si>
  <si>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</si>
  <si>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</si>
  <si>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</si>
  <si>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</si>
  <si>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</si>
  <si>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</si>
  <si>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</si>
  <si>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</si>
  <si>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</si>
  <si>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</si>
  <si>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</si>
  <si>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</si>
  <si>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</si>
  <si>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</si>
  <si>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</si>
  <si>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</si>
  <si>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</si>
  <si>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</si>
  <si>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</si>
  <si>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</si>
  <si>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</si>
  <si>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</si>
  <si>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</si>
  <si>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</si>
  <si>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</si>
  <si>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</si>
  <si>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</si>
  <si>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</si>
  <si>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</si>
  <si>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</si>
  <si>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</si>
  <si>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</si>
  <si>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</si>
  <si>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</si>
  <si>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</si>
  <si>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</si>
  <si>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</si>
  <si>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</si>
  <si>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</si>
  <si>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</si>
  <si>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</si>
  <si>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</si>
  <si>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</si>
  <si>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</si>
  <si>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</si>
  <si>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</si>
  <si>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</si>
  <si>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</si>
  <si>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</si>
  <si>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</si>
  <si>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</si>
  <si>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</si>
  <si>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</si>
  <si>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</si>
  <si>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</si>
  <si>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</si>
  <si>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</si>
  <si>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</si>
  <si>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</si>
  <si>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</si>
  <si>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</si>
  <si>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</si>
  <si>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</si>
  <si>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</si>
  <si>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</si>
  <si>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</si>
  <si>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</si>
  <si>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</si>
  <si>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</si>
  <si>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</si>
  <si>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</si>
  <si>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</si>
  <si>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</si>
  <si>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</si>
  <si>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</si>
  <si>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</si>
  <si>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</si>
  <si>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</si>
  <si>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</si>
  <si>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</si>
  <si>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</si>
  <si>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</si>
  <si>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</si>
  <si>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</si>
  <si>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</si>
  <si>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</si>
  <si>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</si>
  <si>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</si>
  <si>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</si>
  <si>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</si>
  <si>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</si>
  <si>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</si>
  <si>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</si>
  <si>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</si>
  <si>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</si>
  <si>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</si>
  <si>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</si>
  <si>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</si>
  <si>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</si>
  <si>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</si>
  <si>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</si>
  <si>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</si>
  <si>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</si>
  <si>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</si>
  <si>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</si>
  <si>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</si>
  <si>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</si>
  <si>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</si>
  <si>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</si>
  <si>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</si>
  <si>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</si>
  <si>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</si>
  <si>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</si>
  <si>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</si>
  <si>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</si>
  <si>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</si>
  <si>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</si>
  <si>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</si>
  <si>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</si>
  <si>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</si>
  <si>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</si>
  <si>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</si>
  <si>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</si>
  <si>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</si>
  <si>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</si>
  <si>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</si>
  <si>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</si>
  <si>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</si>
  <si>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</si>
  <si>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</si>
  <si>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</si>
  <si>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</si>
  <si>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</si>
  <si>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</si>
  <si>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</si>
  <si>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</si>
  <si>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</si>
  <si>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</si>
  <si>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</si>
  <si>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</si>
  <si>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</si>
  <si>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</si>
  <si>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</si>
  <si>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</si>
  <si>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</si>
  <si>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</si>
  <si>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</si>
  <si>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</si>
  <si>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</si>
  <si>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</si>
  <si>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</si>
  <si>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</si>
  <si>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</si>
  <si>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</si>
  <si>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</si>
  <si>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</si>
  <si>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</si>
  <si>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</si>
  <si>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</si>
  <si>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</si>
  <si>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</si>
  <si>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</si>
  <si>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</si>
  <si>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</si>
  <si>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</si>
  <si>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</si>
  <si>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</si>
  <si>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</si>
  <si>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</si>
  <si>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</si>
  <si>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</si>
  <si>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</si>
  <si>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</si>
  <si>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</si>
  <si>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</si>
  <si>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</si>
  <si>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</si>
  <si>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</si>
  <si>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</si>
  <si>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</si>
  <si>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</si>
  <si>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</si>
  <si>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</si>
  <si>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</si>
  <si>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</si>
  <si>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</si>
  <si>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</si>
  <si>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</si>
  <si>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</si>
  <si>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</si>
  <si>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</si>
  <si>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</si>
  <si>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</si>
  <si>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</si>
  <si>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</si>
  <si>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</si>
  <si>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</si>
  <si>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</si>
  <si>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</si>
  <si>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</si>
  <si>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</si>
  <si>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</si>
  <si>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</si>
  <si>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</si>
  <si>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</si>
  <si>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</si>
  <si>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</si>
  <si>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</si>
  <si>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</si>
  <si>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</si>
  <si>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</si>
  <si>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</si>
  <si>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</si>
  <si>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</si>
  <si>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</si>
  <si>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</si>
  <si>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</si>
  <si>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</si>
  <si>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</si>
  <si>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</si>
  <si>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</si>
  <si>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</si>
  <si>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</si>
  <si>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</si>
  <si>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</si>
  <si>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</si>
  <si>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</si>
  <si>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</si>
  <si>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</si>
  <si>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</si>
  <si>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</si>
  <si>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</si>
  <si>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</si>
  <si>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</si>
  <si>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</si>
  <si>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</si>
  <si>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</si>
  <si>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</si>
  <si>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</si>
  <si>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</si>
  <si>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</si>
  <si>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</si>
  <si>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</si>
  <si>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</si>
  <si>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</si>
  <si>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</si>
  <si>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</si>
  <si>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</si>
  <si>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</si>
  <si>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</si>
  <si>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</si>
  <si>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</si>
  <si>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</si>
  <si>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</si>
  <si>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</si>
  <si>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</si>
  <si>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</si>
  <si>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</si>
  <si>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</si>
  <si>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</si>
  <si>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</si>
  <si>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</si>
  <si>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</si>
  <si>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</si>
  <si>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</si>
  <si>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</si>
  <si>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</si>
  <si>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</si>
  <si>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</si>
  <si>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</si>
  <si>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</si>
  <si>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</si>
  <si>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</si>
  <si>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</si>
  <si>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</si>
  <si>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</si>
  <si>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</si>
  <si>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</si>
  <si>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</si>
  <si>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</si>
  <si>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</si>
  <si>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</si>
  <si>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</si>
  <si>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</si>
  <si>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</si>
  <si>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</si>
  <si>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</si>
  <si>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</si>
  <si>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</si>
  <si>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</si>
  <si>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</si>
  <si>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</si>
  <si>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</si>
  <si>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</si>
  <si>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</si>
  <si>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</si>
  <si>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</si>
  <si>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</si>
  <si>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</si>
  <si>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</si>
  <si>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</si>
  <si>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</si>
  <si>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</si>
  <si>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</si>
  <si>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</si>
  <si>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</si>
  <si>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</si>
  <si>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</si>
  <si>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</si>
  <si>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</si>
  <si>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</si>
  <si>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</si>
  <si>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</si>
  <si>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</si>
  <si>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</si>
  <si>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</si>
  <si>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</si>
  <si>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</si>
  <si>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</si>
  <si>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</si>
  <si>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</si>
  <si>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</si>
  <si>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</si>
  <si>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</si>
  <si>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</si>
  <si>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</si>
  <si>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</si>
  <si>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</si>
  <si>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</si>
  <si>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</si>
  <si>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</si>
  <si>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</si>
  <si>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</si>
  <si>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</si>
  <si>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</si>
  <si>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</si>
  <si>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</si>
  <si>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</si>
  <si>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(Express)</t>
  </si>
  <si>
    <t>Coach (HS)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</si>
  <si>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</si>
  <si>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</si>
  <si>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</si>
  <si>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</si>
  <si>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</si>
  <si>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</si>
  <si>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</si>
  <si>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</si>
  <si>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</si>
  <si>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</si>
  <si>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</si>
  <si>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</si>
  <si>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</si>
  <si>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</si>
  <si>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</si>
  <si>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</si>
  <si>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</si>
  <si>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</si>
  <si>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</si>
  <si>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</si>
  <si>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</si>
  <si>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</si>
  <si>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</si>
  <si>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</si>
  <si>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</si>
  <si>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</si>
  <si>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</si>
  <si>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</si>
  <si>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</si>
  <si>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</si>
  <si>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</si>
  <si>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</si>
  <si>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</si>
  <si>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</si>
  <si>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</si>
  <si>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</si>
  <si>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</si>
  <si>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</si>
  <si>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</si>
  <si>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</si>
  <si>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</si>
  <si>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</si>
  <si>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</si>
  <si>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</si>
  <si>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</si>
  <si>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</si>
  <si>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</si>
  <si>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</si>
  <si>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</si>
  <si>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</si>
  <si>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</si>
  <si>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</si>
  <si>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</si>
  <si>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</si>
  <si>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</si>
  <si>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</si>
  <si>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</si>
  <si>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</si>
  <si>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</si>
  <si>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</si>
  <si>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</si>
  <si>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</si>
  <si>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</si>
  <si>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</si>
  <si>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</si>
  <si>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</si>
  <si>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</si>
  <si>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</si>
  <si>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</si>
  <si>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</si>
  <si>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</si>
  <si>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</si>
  <si>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</si>
  <si>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</si>
  <si>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</si>
  <si>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</si>
  <si>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</si>
  <si>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</si>
  <si>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</si>
  <si>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</si>
  <si>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</si>
  <si>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</si>
  <si>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</si>
  <si>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</si>
  <si>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</si>
  <si>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</si>
  <si>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</si>
  <si>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</si>
  <si>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</si>
  <si>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</si>
  <si>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</si>
  <si>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</si>
  <si>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</si>
  <si>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</si>
  <si>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</si>
  <si>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</si>
  <si>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Mail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</si>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</sst>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8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numFmt numFmtId="1" formatCode="0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51.453885185183" createdVersion="8" refreshedVersion="8" minRefreshableVersion="3" recordCount="960" xr:uid="{5F828BE0-C5A3-4511-A613-EC3031480AF9}">
  <cacheSource type="worksheet">
    <worksheetSource ref="A1:P1048576" sheet="roster"/>
  </cacheSource>
  <cacheFields count="16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0">
  <r>
    <s v="mglv_Maglev_Wagon_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0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0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0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rbd_Portugal_CP_010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0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0"/>
    <x v="3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0"/>
    <x v="7"/>
    <x v="4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0"/>
    <x v="8"/>
    <x v="5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0"/>
    <x v="8"/>
    <x v="4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0"/>
    <x v="2"/>
    <x v="4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0"/>
    <x v="1"/>
    <x v="4"/>
    <s v="OCEANIA"/>
    <s v="NO_REGION"/>
    <s v="OCEANIA_NO_REGION"/>
    <x v="1"/>
    <x v="1"/>
    <x v="1"/>
    <x v="1"/>
    <x v="1"/>
    <b v="0"/>
    <x v="1"/>
    <x v="1"/>
    <x v="0"/>
  </r>
  <r>
    <s v="steam_Croatia_HZ_51"/>
    <x v="0"/>
    <x v="1"/>
    <x v="4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0"/>
    <x v="3"/>
    <x v="4"/>
    <s v="ASIA"/>
    <s v="NO_REGION"/>
    <s v="ASIA_NO_REGION"/>
    <x v="1"/>
    <x v="0"/>
    <x v="1"/>
    <x v="1"/>
    <x v="1"/>
    <b v="0"/>
    <x v="1"/>
    <x v="1"/>
    <x v="1"/>
  </r>
  <r>
    <s v="steam_UK_LNER_A4_Gresley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0"/>
    <x v="3"/>
    <x v="7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0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Russia_RZD_P36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0"/>
    <x v="1"/>
    <x v="4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0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0"/>
    <x v="8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0"/>
    <x v="8"/>
    <x v="4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0"/>
    <x v="9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0"/>
    <x v="2"/>
    <x v="5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Spain_RENFE_Class_040"/>
    <x v="0"/>
    <x v="2"/>
    <x v="4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0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0"/>
    <x v="2"/>
    <x v="4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0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0"/>
    <x v="1"/>
    <x v="7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UK_LNER_N7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0"/>
    <x v="3"/>
    <x v="7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Egypt_ENR_11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UK_GWR_1600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NSWGR_D57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Australia_NSWGR_AD6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Uruguay_AFE_N1_2_6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0"/>
    <x v="3"/>
    <x v="6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India_Fairy_Queen"/>
    <x v="0"/>
    <x v="8"/>
    <x v="4"/>
    <s v="ASIA"/>
    <s v="NO_REGION"/>
    <s v="ASIA_NO_REGION"/>
    <x v="1"/>
    <x v="0"/>
    <x v="1"/>
    <x v="1"/>
    <x v="1"/>
    <b v="0"/>
    <x v="1"/>
    <x v="1"/>
    <x v="1"/>
  </r>
  <r>
    <s v="steam_India_DHR_B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China_China_Railways_H"/>
    <x v="0"/>
    <x v="2"/>
    <x v="5"/>
    <s v="ASIA"/>
    <s v="NO_REGION"/>
    <s v="ASIA_NO_REGION"/>
    <x v="1"/>
    <x v="0"/>
    <x v="1"/>
    <x v="1"/>
    <x v="1"/>
    <b v="0"/>
    <x v="1"/>
    <x v="1"/>
    <x v="1"/>
  </r>
  <r>
    <s v="steam_Russia_RZD_U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Russia_RZD_E"/>
    <x v="0"/>
    <x v="1"/>
    <x v="7"/>
    <s v="ASIA"/>
    <s v="NO_REGION"/>
    <s v="ASIA_NO_REGION"/>
    <x v="1"/>
    <x v="0"/>
    <x v="1"/>
    <x v="1"/>
    <x v="1"/>
    <b v="0"/>
    <x v="1"/>
    <x v="1"/>
    <x v="1"/>
  </r>
  <r>
    <s v="steam_Israel_Israel_Railways_H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Italy_FS_480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0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0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0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0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0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0"/>
    <x v="9"/>
    <x v="4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0"/>
    <x v="4"/>
    <x v="7"/>
    <s v="ASIA"/>
    <s v="NO_REGION"/>
    <s v="ASIA_NO_REGION"/>
    <x v="1"/>
    <x v="0"/>
    <x v="1"/>
    <x v="1"/>
    <x v="1"/>
    <b v="0"/>
    <x v="1"/>
    <x v="1"/>
    <x v="1"/>
  </r>
  <r>
    <s v="diesel_Germany_DB_Kof_II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0"/>
    <x v="4"/>
    <x v="4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0"/>
    <x v="4"/>
    <x v="4"/>
    <s v="AFRICA"/>
    <s v="NO_REGION"/>
    <s v="AFRICA_NO_REGION"/>
    <x v="0"/>
    <x v="1"/>
    <x v="1"/>
    <x v="1"/>
    <x v="1"/>
    <b v="0"/>
    <x v="1"/>
    <x v="1"/>
    <x v="1"/>
  </r>
  <r>
    <s v="diesel_Austria_OBB_206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0"/>
    <x v="4"/>
    <x v="4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0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0"/>
    <x v="6"/>
    <x v="6"/>
    <s v="ASIA"/>
    <s v="NO_REGION"/>
    <s v="ASIA_NO_REGION"/>
    <x v="1"/>
    <x v="0"/>
    <x v="1"/>
    <x v="1"/>
    <x v="1"/>
    <b v="0"/>
    <x v="1"/>
    <x v="1"/>
    <x v="1"/>
  </r>
  <r>
    <s v="diesel_Belgium_NMBS_SNCB_62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0"/>
    <x v="6"/>
    <x v="4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UK_BR_1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ustralia_NSWGR_42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Egypt_ENR_G22W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USA_UP_EMD_DDA40X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Croatia_HZ_2062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0"/>
    <x v="5"/>
    <x v="6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0"/>
    <x v="5"/>
    <x v="4"/>
    <s v="ASIA"/>
    <s v="NO_REGION"/>
    <s v="ASIA_NO_REGION"/>
    <x v="1"/>
    <x v="0"/>
    <x v="1"/>
    <x v="1"/>
    <x v="1"/>
    <b v="0"/>
    <x v="1"/>
    <x v="1"/>
    <x v="1"/>
  </r>
  <r>
    <s v="diesel_Argentina_MF_GE_U20C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0"/>
    <x v="6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0"/>
    <x v="5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Canada_CNR_9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0"/>
    <x v="3"/>
    <x v="4"/>
    <s v="OCEANIA"/>
    <s v="NO_REGION"/>
    <s v="OCEANIA_NO_REGION"/>
    <x v="1"/>
    <x v="1"/>
    <x v="1"/>
    <x v="1"/>
    <x v="1"/>
    <b v="0"/>
    <x v="1"/>
    <x v="1"/>
    <x v="0"/>
  </r>
  <r>
    <s v="diesel_USA_PRR_FM_H_10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Ireland_CIE_113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Ireland_CIE_001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0"/>
    <x v="6"/>
    <x v="7"/>
    <s v="ASIA"/>
    <s v="NO_REGION"/>
    <s v="ASIA_NO_REGION"/>
    <x v="1"/>
    <x v="0"/>
    <x v="1"/>
    <x v="1"/>
    <x v="1"/>
    <b v="0"/>
    <x v="1"/>
    <x v="1"/>
    <x v="1"/>
  </r>
  <r>
    <s v="diesel_Italy_FS_D345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K_BR_60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Ireland_IE_201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0"/>
    <x v="5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0"/>
    <x v="5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0"/>
    <x v="3"/>
    <x v="7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0"/>
    <x v="5"/>
    <x v="7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Algeria_SNTF_040_DG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Tunisia_SNCFT_040_DF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Egypt_ENR_TE114E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Tunisia_SNCFT_040_DJ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Morocco_ONCF_DF_100"/>
    <x v="0"/>
    <x v="5"/>
    <x v="5"/>
    <s v="AFRICA"/>
    <s v="NO_REGION"/>
    <s v="AFRICA_NO_REGION"/>
    <x v="0"/>
    <x v="1"/>
    <x v="1"/>
    <x v="1"/>
    <x v="1"/>
    <b v="0"/>
    <x v="1"/>
    <x v="1"/>
    <x v="1"/>
  </r>
  <r>
    <s v="diesel_Ukraine_UZ_TEP10L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Portugal_CP_1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0"/>
    <x v="5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0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0"/>
    <x v="1"/>
    <x v="8"/>
    <s v="SOUTH_AMERICA"/>
    <s v="NO_REGION"/>
    <s v="SOUTH_AMERICA_NO_REGION"/>
    <x v="1"/>
    <x v="1"/>
    <x v="1"/>
    <x v="1"/>
    <x v="1"/>
    <b v="0"/>
    <x v="1"/>
    <x v="0"/>
    <x v="1"/>
  </r>
  <r>
    <s v="mtro_USA_NY_R1"/>
    <x v="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Finland_Helsinki_M1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Japan_Tokyo_S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Egypt_Cairo_1987_Stock"/>
    <x v="0"/>
    <x v="5"/>
    <x v="8"/>
    <s v="AFRICA"/>
    <s v="NO_REGION"/>
    <s v="AFRICA_NO_REGION"/>
    <x v="0"/>
    <x v="1"/>
    <x v="1"/>
    <x v="1"/>
    <x v="1"/>
    <b v="0"/>
    <x v="1"/>
    <x v="1"/>
    <x v="1"/>
  </r>
  <r>
    <s v="mtro_UK_DLR_P86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USA_Boston_0180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USA_LA_A65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Netherlands_Amsterdam_CAF_90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0"/>
    <x v="8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0"/>
    <x v="10"/>
    <x v="8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0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Russia_Moscow_Type_A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USA_NY_R1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0"/>
    <x v="4"/>
    <x v="8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0"/>
    <x v="6"/>
    <x v="8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0"/>
    <x v="5"/>
    <x v="8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0"/>
    <x v="8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0"/>
    <x v="8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0"/>
    <x v="1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0"/>
    <x v="3"/>
    <x v="8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Japan_JNR_EF55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Netherlands_NS_100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UK_NER_ES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France_SNCF_BB_900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Poland_PKP_EU06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0"/>
    <x v="6"/>
    <x v="7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outh_Africa_SAR_E38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Chile_EFE_E_269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0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China_China_Railways_S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China_China_Railways_6K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USA_PRR_E44"/>
    <x v="0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0"/>
    <x v="5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UK_BR_8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New_Zealand_NZR_EA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Canada_BC_Rail_GF6C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0"/>
    <x v="6"/>
    <x v="6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UK_BR_92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dmu_Czech_Republic_CD_M131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0"/>
    <x v="4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0"/>
    <x v="5"/>
    <x v="1"/>
    <s v="NORTH_AMERICA"/>
    <s v="NO_REGION"/>
    <s v="NORTH_AMERICA_NO_REGION"/>
    <x v="1"/>
    <x v="1"/>
    <x v="1"/>
    <x v="1"/>
    <x v="1"/>
    <b v="0"/>
    <x v="0"/>
    <x v="1"/>
    <x v="1"/>
  </r>
  <r>
    <s v="dmu_Sweden_SJ_Y2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0"/>
    <x v="5"/>
    <x v="3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0"/>
    <x v="3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0"/>
    <x v="6"/>
    <x v="3"/>
    <s v="ASIA"/>
    <s v="NO_REGION"/>
    <s v="ASIA_NO_REGION"/>
    <x v="1"/>
    <x v="0"/>
    <x v="1"/>
    <x v="1"/>
    <x v="1"/>
    <b v="0"/>
    <x v="1"/>
    <x v="1"/>
    <x v="1"/>
  </r>
  <r>
    <s v="dmu_Czech_Republic_CD_814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0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0"/>
    <x v="5"/>
    <x v="3"/>
    <s v="ASIA"/>
    <s v="NO_REGION"/>
    <s v="ASIA_NO_REGION"/>
    <x v="1"/>
    <x v="0"/>
    <x v="1"/>
    <x v="1"/>
    <x v="1"/>
    <b v="0"/>
    <x v="1"/>
    <x v="1"/>
    <x v="1"/>
  </r>
  <r>
    <s v="dmu_Australia_TransAdelaide_3100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0"/>
    <x v="3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0"/>
    <x v="9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0"/>
    <x v="3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0"/>
    <x v="4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Poland_PKP_EW54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0"/>
    <x v="5"/>
    <x v="6"/>
    <s v="NORTHERN_EUROPE"/>
    <s v="OCEANIA"/>
    <s v="NORTHERN_EUROPE_OCEANIA"/>
    <x v="1"/>
    <x v="1"/>
    <x v="1"/>
    <x v="1"/>
    <x v="1"/>
    <b v="1"/>
    <x v="1"/>
    <x v="1"/>
    <x v="0"/>
  </r>
  <r>
    <s v="emu_Switzerland_SBB_RABDe_51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0"/>
    <x v="6"/>
    <x v="3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0"/>
    <x v="5"/>
    <x v="11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0"/>
    <x v="10"/>
    <x v="11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JR_Shinkansen_Series_700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emu_Turkey_TCDD_E8000"/>
    <x v="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0"/>
    <x v="11"/>
    <s v="ASIA"/>
    <s v="NO_REGION"/>
    <s v="ASIA_NO_REGION"/>
    <x v="1"/>
    <x v="0"/>
    <x v="1"/>
    <x v="1"/>
    <x v="1"/>
    <b v="0"/>
    <x v="1"/>
    <x v="1"/>
    <x v="1"/>
  </r>
  <r>
    <s v="emu_USA_PRR_MP54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0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0"/>
    <x v="5"/>
    <x v="3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0"/>
    <x v="1"/>
    <x v="8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0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0"/>
    <x v="11"/>
    <x v="11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mmu_China_Transrapid"/>
    <x v="0"/>
    <x v="0"/>
    <x v="11"/>
    <s v="ASIA"/>
    <s v="NO_REGION"/>
    <s v="ASIA_NO_REGION"/>
    <x v="1"/>
    <x v="0"/>
    <x v="1"/>
    <x v="1"/>
    <x v="1"/>
    <b v="0"/>
    <x v="1"/>
    <x v="1"/>
    <x v="1"/>
  </r>
  <r>
    <s v="mmu_Japan_MLX01_901"/>
    <x v="0"/>
    <x v="10"/>
    <x v="11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0"/>
    <x v="5"/>
    <x v="3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0"/>
    <x v="3"/>
    <s v="ASIA"/>
    <s v="NO_REGION"/>
    <s v="ASIA_NO_REGION"/>
    <x v="1"/>
    <x v="0"/>
    <x v="1"/>
    <x v="1"/>
    <x v="1"/>
    <b v="0"/>
    <x v="1"/>
    <x v="1"/>
    <x v="1"/>
  </r>
  <r>
    <s v="rbd_Chile_EFE_Buscarril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0"/>
    <x v="4"/>
    <x v="1"/>
    <s v="ASIA"/>
    <s v="NO_REGION"/>
    <s v="ASIA_NO_REGION"/>
    <x v="1"/>
    <x v="0"/>
    <x v="1"/>
    <x v="1"/>
    <x v="1"/>
    <b v="0"/>
    <x v="1"/>
    <x v="1"/>
    <x v="1"/>
  </r>
  <r>
    <s v="steam_Japan_JNR_710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86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9600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Japan_JNR_D50"/>
    <x v="0"/>
    <x v="3"/>
    <x v="5"/>
    <s v="ASIA"/>
    <s v="NO_REGION"/>
    <s v="ASIA_NO_REGION"/>
    <x v="1"/>
    <x v="0"/>
    <x v="1"/>
    <x v="1"/>
    <x v="1"/>
    <b v="0"/>
    <x v="1"/>
    <x v="1"/>
    <x v="1"/>
  </r>
  <r>
    <s v="diesel_Japan_JNR_DF50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witzerland_RhB_DE_2_2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Australia_NSWGR_71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electric_South_Africa_SAR_5E1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electric_South_Africa_SAR_6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11E"/>
    <x v="0"/>
    <x v="5"/>
    <x v="7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Australia_Sydney_Trains_S_Set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0"/>
    <x v="4"/>
    <x v="3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0"/>
    <x v="5"/>
    <x v="11"/>
    <s v="OCEANIA"/>
    <s v="NO_REGION"/>
    <s v="OCEANIA_NO_REGION"/>
    <x v="1"/>
    <x v="1"/>
    <x v="1"/>
    <x v="1"/>
    <x v="1"/>
    <b v="0"/>
    <x v="1"/>
    <x v="1"/>
    <x v="0"/>
  </r>
  <r>
    <s v="electric_Russia_RZD_VL1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11"/>
    <x v="0"/>
    <x v="6"/>
    <x v="7"/>
    <s v="ASIA"/>
    <s v="NO_REGION"/>
    <s v="ASIA_NO_REGION"/>
    <x v="1"/>
    <x v="0"/>
    <x v="1"/>
    <x v="1"/>
    <x v="1"/>
    <b v="0"/>
    <x v="1"/>
    <x v="1"/>
    <x v="1"/>
  </r>
  <r>
    <s v="electric_Russia_RZD_VL22M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Ukraine_UZ_DE1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Ukraine_UZ_ChS7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41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Finland_VR_Sr1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0"/>
    <x v="6"/>
    <s v="ASIA"/>
    <s v="NO_REGION"/>
    <s v="ASIA_NO_REGION"/>
    <x v="1"/>
    <x v="0"/>
    <x v="1"/>
    <x v="1"/>
    <x v="1"/>
    <b v="0"/>
    <x v="1"/>
    <x v="1"/>
    <x v="1"/>
  </r>
  <r>
    <s v="rbd_Finland_VR_Dm7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0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Russia_RZD_S"/>
    <x v="0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0"/>
    <x v="3"/>
    <s v="ASIA"/>
    <s v="NO_REGION"/>
    <s v="ASIA_NO_REGION"/>
    <x v="1"/>
    <x v="0"/>
    <x v="1"/>
    <x v="1"/>
    <x v="1"/>
    <b v="0"/>
    <x v="1"/>
    <x v="1"/>
    <x v="1"/>
  </r>
  <r>
    <s v="mtro_Metro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Boxca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Tanke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2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Tanker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Silo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Hopper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Tank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Hopp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Tanker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Gondola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1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2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ar_Transport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2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Tank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Gondola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2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Coach_Gen1_Wooden_2_axle_Compartment_Coach"/>
    <x v="0"/>
    <x v="7"/>
    <x v="13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0"/>
    <x v="7"/>
    <x v="13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0"/>
    <x v="7"/>
    <x v="14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0"/>
    <x v="8"/>
    <x v="13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0"/>
    <x v="8"/>
    <x v="14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0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0"/>
    <x v="1"/>
    <x v="13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0"/>
    <x v="1"/>
    <x v="14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0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0"/>
    <x v="3"/>
    <x v="13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0"/>
    <x v="3"/>
    <x v="14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0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0"/>
    <x v="3"/>
    <x v="14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0"/>
    <x v="4"/>
    <x v="15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0"/>
    <x v="4"/>
    <x v="14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0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0"/>
    <x v="4"/>
    <x v="15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Loc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Mail_Coach"/>
    <x v="0"/>
    <x v="4"/>
    <x v="14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0"/>
    <x v="6"/>
    <x v="13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0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Mail_Coach"/>
    <x v="0"/>
    <x v="6"/>
    <x v="14"/>
    <s v="ALL_EUROPE"/>
    <s v="ASIA"/>
    <s v="ALL_EUROPE_ASIA"/>
    <x v="1"/>
    <x v="0"/>
    <x v="0"/>
    <x v="0"/>
    <x v="0"/>
    <b v="1"/>
    <x v="1"/>
    <x v="1"/>
    <x v="1"/>
  </r>
  <r>
    <s v="mu_Coach_Gen4_Superliner_Coach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0"/>
    <x v="6"/>
    <x v="14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0"/>
    <x v="5"/>
    <x v="14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0"/>
    <x v="10"/>
    <x v="13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0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0"/>
    <x v="10"/>
    <x v="15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0"/>
    <x v="10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0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0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0"/>
    <x v="6"/>
    <x v="7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Congo_Alstom_BB_B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Zimbabwe_Sorefame_DE8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0"/>
    <x v="10"/>
    <x v="6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mu_Coach_Gen5_CityNightLine_Sleepe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4_Trans_Euro_Night_Sleeper"/>
    <x v="0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1_Livestock_Va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Livestock_Va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Livestock_Va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Livestock_Van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Livestock_Van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electric_Hungary_MAV_Class_V6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mtro_UK_London_1992_Stock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S_Stock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72_Stock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59_Stock"/>
    <x v="0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mtro_Singapore_Kawasaki_Heavy_Industries_C15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Singapore_Kawasaki_Heavy_Industries_C751B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Australia_Comeng_Light_Metro_MK1"/>
    <x v="0"/>
    <x v="6"/>
    <x v="8"/>
    <s v="OCEANIA"/>
    <s v="NO_REGION"/>
    <s v="OCEANIA_NO_REGION"/>
    <x v="1"/>
    <x v="1"/>
    <x v="1"/>
    <x v="1"/>
    <x v="1"/>
    <b v="0"/>
    <x v="1"/>
    <x v="1"/>
    <x v="0"/>
  </r>
  <r>
    <s v="emu_Australia_Comeng_EMU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Melbourne_HCMT_Munnel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diesel_Germany_DR_130_DBAG_23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USA_UP_7000_GE_AC6000CW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Australia_BHP_6071_GE_AC6000CW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steam_Egypt_Stephenson_Class_192"/>
    <x v="0"/>
    <x v="9"/>
    <x v="5"/>
    <s v="AFRICA"/>
    <s v="NO_REGION"/>
    <s v="AFRICA_NO_REGION"/>
    <x v="0"/>
    <x v="1"/>
    <x v="1"/>
    <x v="1"/>
    <x v="1"/>
    <b v="0"/>
    <x v="1"/>
    <x v="1"/>
    <x v="1"/>
  </r>
  <r>
    <s v="emu_Australia_Melbourne_Hitachi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Melbourne_Harris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Nexas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emu_Australia_Melbourne_Tait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mtro_Germany_Berlin_BVG_F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Germany_Berlin_BVG_H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steam_Australia_NSW_N67_0_6_0T_Terrier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C3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NSW_C32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D50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Z12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Z19"/>
    <x v="0"/>
    <x v="9"/>
    <x v="4"/>
    <s v="OCEANIA"/>
    <s v="NO_REGION"/>
    <s v="OCEANIA_NO_REGION"/>
    <x v="1"/>
    <x v="1"/>
    <x v="1"/>
    <x v="1"/>
    <x v="1"/>
    <b v="0"/>
    <x v="1"/>
    <x v="1"/>
    <x v="0"/>
  </r>
  <r>
    <s v="steam_Australia_NSW_Z26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JA_Brown_ROD_280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SAR_600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MR_1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VR_H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diesel_Australia_NSW_41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8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SAR_93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Commonwealth_GM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_Line_A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42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AN_D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lectric_Australia_QR_350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90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diesel_Australia_EMD_NR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PTC_7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_Line_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V_Line_G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2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GML_1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Westrail_S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VR_B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ictoria_X1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NSW_8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NSW_85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SRA_865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IRA_DSB_MZ_III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ustralia_Commonwealth_Twin_16_645"/>
    <x v="0"/>
    <x v="6"/>
    <x v="7"/>
    <s v="OCEANIA"/>
    <s v="NO_REGION"/>
    <s v="OCEANIA_NO_REGION"/>
    <x v="1"/>
    <x v="1"/>
    <x v="1"/>
    <x v="1"/>
    <x v="1"/>
    <b v="0"/>
    <x v="1"/>
    <x v="1"/>
    <x v="0"/>
  </r>
  <r>
    <s v="diesel_Australia_QR_2170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TGR_Z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QR_235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X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electric_Australia_NSW_46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9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A_Class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diesel_New_Zealand_DB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diesel_Australia_NSW_47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steam_Brazil_Baronez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Argentina_La_Porten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Brazil_Dom_Pedro_Segundo_119"/>
    <x v="0"/>
    <x v="2"/>
    <x v="5"/>
    <s v="SOUTH_AMERICA"/>
    <s v="NO_REGION"/>
    <s v="SOUTH_AMERICA_NO_REGION"/>
    <x v="1"/>
    <x v="1"/>
    <x v="1"/>
    <x v="1"/>
    <x v="1"/>
    <b v="0"/>
    <x v="1"/>
    <x v="0"/>
    <x v="1"/>
  </r>
  <r>
    <s v="steam_Peru_No8_Monsefu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Paraguay_FCCP_Q_Class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0_Class"/>
    <x v="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Chile_Anglo_Chilean_Nitrate_No_97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SLM_Winterthur_BBC_1D1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GE_2CC2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steam_Chile_La_Copiapo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electric_Costa_Rica_AEG_Pacific_A1A_A1A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mu_Argentina_Ganz_Arpad_Bariloche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steam_Brazil_Sao_Paulo_Railway_13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dmu_Argentina_Ganz_Arpad_CMU_4701_Transandino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Z_Railcar"/>
    <x v="0"/>
    <x v="6"/>
    <x v="3"/>
    <s v="SOUTH_AMERICA"/>
    <s v="NO_REGION"/>
    <s v="SOUTH_AMERICA_NO_REGION"/>
    <x v="1"/>
    <x v="1"/>
    <x v="1"/>
    <x v="1"/>
    <x v="1"/>
    <b v="0"/>
    <x v="1"/>
    <x v="0"/>
    <x v="1"/>
  </r>
  <r>
    <s v="emu_New_Zealand_BREL_GEC_Auckland_ART_Concept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dmu_Australia_NSW_1100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Thailand_Comeng_XPT_Concept"/>
    <x v="0"/>
    <x v="5"/>
    <x v="9"/>
    <s v="ASIA"/>
    <s v="NO_REGION"/>
    <s v="ASIA_NO_REGION"/>
    <x v="1"/>
    <x v="0"/>
    <x v="1"/>
    <x v="1"/>
    <x v="1"/>
    <b v="0"/>
    <x v="1"/>
    <x v="1"/>
    <x v="1"/>
  </r>
  <r>
    <s v="dmu_Australia_Comeng_XPT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Australia_Tangara_V_Set_Hybrid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9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4D_Train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Sydney_Tangara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6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New_Zealand_Silver_Fern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emu_Australia_NSW_W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emu_Australia_NSW_Standard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Australia_NSW_Tulloch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Xtrapolis_100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mu_Coach_Gen1_American_Sty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American_Style_NZAUS_Mail_Coach"/>
    <x v="0"/>
    <x v="9"/>
    <x v="14"/>
    <s v="OCEANIA"/>
    <s v="NO_REGION"/>
    <s v="OCEANIA_NO_REGION"/>
    <x v="1"/>
    <x v="1"/>
    <x v="1"/>
    <x v="1"/>
    <x v="1"/>
    <b v="0"/>
    <x v="1"/>
    <x v="1"/>
    <x v="0"/>
  </r>
  <r>
    <s v="mu_Coach_Gen1_2_Axle_NZAUS_Coach"/>
    <x v="0"/>
    <x v="8"/>
    <x v="13"/>
    <s v="OCEANIA"/>
    <s v="NO_REGION"/>
    <s v="OCEANIA_NO_REGION"/>
    <x v="1"/>
    <x v="1"/>
    <x v="1"/>
    <x v="1"/>
    <x v="1"/>
    <b v="0"/>
    <x v="1"/>
    <x v="1"/>
    <x v="0"/>
  </r>
  <r>
    <s v="mu_Coach_Gen1_2_Axle_NZAUS_Mail_Coach"/>
    <x v="0"/>
    <x v="8"/>
    <x v="14"/>
    <s v="OCEANIA"/>
    <s v="NO_REGION"/>
    <s v="OCEANIA_NO_REGION"/>
    <x v="1"/>
    <x v="1"/>
    <x v="1"/>
    <x v="1"/>
    <x v="1"/>
    <b v="0"/>
    <x v="1"/>
    <x v="1"/>
    <x v="0"/>
  </r>
  <r>
    <s v="mu_Coach_Gen1_End_Platform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Suburban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4_BREL_Mk3_Coach"/>
    <x v="0"/>
    <x v="6"/>
    <x v="15"/>
    <s v="REGIONTYPE1"/>
    <s v="OCEANIA"/>
    <s v="REGIONTYPE1_OCEANIA"/>
    <x v="0"/>
    <x v="0"/>
    <x v="0"/>
    <x v="0"/>
    <x v="0"/>
    <b v="1"/>
    <x v="1"/>
    <x v="1"/>
    <x v="0"/>
  </r>
  <r>
    <s v="mu_Coach_Gen4_BREL_Mk3_Mail_Coach"/>
    <x v="0"/>
    <x v="6"/>
    <x v="14"/>
    <s v="REGIONTYPE1"/>
    <s v="OCEANIA"/>
    <s v="REGIONTYPE1_OCEANIA"/>
    <x v="0"/>
    <x v="0"/>
    <x v="0"/>
    <x v="0"/>
    <x v="0"/>
    <b v="1"/>
    <x v="1"/>
    <x v="1"/>
    <x v="0"/>
  </r>
  <r>
    <s v="mu_Coach_Gen4_Comeng_Suburban_Double_Deck_SA200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4D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Tangara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Coach"/>
    <x v="0"/>
    <x v="6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Mail_Coach"/>
    <x v="0"/>
    <x v="6"/>
    <x v="14"/>
    <s v="OCEANIA"/>
    <s v="NO_REGION"/>
    <s v="OCEANIA_NO_REGION"/>
    <x v="1"/>
    <x v="1"/>
    <x v="1"/>
    <x v="1"/>
    <x v="1"/>
    <b v="0"/>
    <x v="1"/>
    <x v="1"/>
    <x v="0"/>
  </r>
  <r>
    <s v="mu_Coach_Gen3_Comeng_High_Speed_Coach"/>
    <x v="0"/>
    <x v="5"/>
    <x v="15"/>
    <s v="OCEANIA"/>
    <s v="NO_REGION"/>
    <s v="OCEANIA_NO_REGION"/>
    <x v="1"/>
    <x v="1"/>
    <x v="1"/>
    <x v="1"/>
    <x v="1"/>
    <b v="0"/>
    <x v="1"/>
    <x v="1"/>
    <x v="0"/>
  </r>
  <r>
    <s v="mu_Coach_Gen3_Comeng_High_Speed_Mail_Coach"/>
    <x v="0"/>
    <x v="5"/>
    <x v="14"/>
    <s v="OCEANIA"/>
    <s v="NO_REGION"/>
    <s v="OCEANIA_NO_REGION"/>
    <x v="1"/>
    <x v="1"/>
    <x v="1"/>
    <x v="1"/>
    <x v="1"/>
    <b v="0"/>
    <x v="1"/>
    <x v="1"/>
    <x v="0"/>
  </r>
  <r>
    <s v="mu_Coach_Gen4_Comeng_HType_Suburban_Coach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Coach"/>
    <x v="0"/>
    <x v="4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Mail_Coach"/>
    <x v="0"/>
    <x v="4"/>
    <x v="14"/>
    <s v="OCEANIA"/>
    <s v="NO_REGION"/>
    <s v="OCEANIA_NO_REGION"/>
    <x v="1"/>
    <x v="1"/>
    <x v="1"/>
    <x v="1"/>
    <x v="1"/>
    <b v="0"/>
    <x v="1"/>
    <x v="1"/>
    <x v="0"/>
  </r>
  <r>
    <s v="mu_Coach_Gen3_WAGR_AY_Suburban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Mail_Coach"/>
    <x v="0"/>
    <x v="3"/>
    <x v="14"/>
    <s v="OCEANIA"/>
    <s v="NO_REGION"/>
    <s v="OCEANIA_NO_REGION"/>
    <x v="1"/>
    <x v="1"/>
    <x v="1"/>
    <x v="1"/>
    <x v="1"/>
    <b v="0"/>
    <x v="1"/>
    <x v="1"/>
    <x v="0"/>
  </r>
  <r>
    <s v="mu_Coach_Gen2_NZR_50ft_Coach"/>
    <x v="0"/>
    <x v="1"/>
    <x v="13"/>
    <s v="OCEANIA"/>
    <s v="NO_REGION"/>
    <s v="OCEANIA_NO_REGION"/>
    <x v="1"/>
    <x v="1"/>
    <x v="1"/>
    <x v="1"/>
    <x v="1"/>
    <b v="0"/>
    <x v="1"/>
    <x v="1"/>
    <x v="0"/>
  </r>
  <r>
    <s v="mu_Coach_Gen2_NZR_50ft_Mail_Coach"/>
    <x v="0"/>
    <x v="1"/>
    <x v="14"/>
    <s v="OCEANIA"/>
    <s v="NO_REGION"/>
    <s v="OCEANIA_NO_REGION"/>
    <x v="1"/>
    <x v="1"/>
    <x v="1"/>
    <x v="1"/>
    <x v="1"/>
    <b v="0"/>
    <x v="1"/>
    <x v="1"/>
    <x v="0"/>
  </r>
  <r>
    <s v="mu_Coach_Gen1_NSW_KA_Tram_Car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electric_Australia_NSW_86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mu_New_Zealand_EM_Ganz_Mavag"/>
    <x v="0"/>
    <x v="5"/>
    <x v="3"/>
    <s v="OCEANIA"/>
    <s v="NO_REGION"/>
    <s v="OCEANIA_NO_REGION"/>
    <x v="1"/>
    <x v="1"/>
    <x v="1"/>
    <x v="1"/>
    <x v="1"/>
    <b v="0"/>
    <x v="1"/>
    <x v="1"/>
    <x v="0"/>
  </r>
  <r>
    <s v="emu_New_Zealand_D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New_Zealand_FPFT_Matangi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mtro_Hungary_Budapest_Ganz_Hunslet_G2"/>
    <x v="0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Australia_Commonwealth_NSU"/>
    <x v="0"/>
    <x v="4"/>
    <x v="5"/>
    <s v="OCEANIA"/>
    <s v="NO_REGION"/>
    <s v="OCEANIA_NO_REGION"/>
    <x v="1"/>
    <x v="1"/>
    <x v="1"/>
    <x v="1"/>
    <x v="1"/>
    <b v="0"/>
    <x v="1"/>
    <x v="1"/>
    <x v="0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3"/>
    <x v="14"/>
    <x v="18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7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38">
      <pivotArea field="2" type="button" dataOnly="0" labelOnly="1" outline="0" axis="axisRow" fieldPosition="0"/>
    </format>
    <format dxfId="237">
      <pivotArea field="7" type="button" dataOnly="0" labelOnly="1" outline="0" axis="axisRow" fieldPosition="1"/>
    </format>
    <format dxfId="236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2"/>
    <field x="13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35">
      <pivotArea field="2" type="button" dataOnly="0" labelOnly="1" outline="0" axis="axisRow" fieldPosition="0"/>
    </format>
    <format dxfId="234">
      <pivotArea field="13" type="button" dataOnly="0" labelOnly="1" outline="0" axis="axisRow" fieldPosition="1"/>
    </format>
    <format dxfId="233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2"/>
    <field x="14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32">
      <pivotArea field="2" type="button" dataOnly="0" labelOnly="1" outline="0" axis="axisRow" fieldPosition="0"/>
    </format>
    <format dxfId="231">
      <pivotArea field="14" type="button" dataOnly="0" labelOnly="1" outline="0" axis="axisRow" fieldPosition="1"/>
    </format>
    <format dxfId="230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S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8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7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29">
      <pivotArea field="2" type="button" dataOnly="0" labelOnly="1" outline="0" axis="axisRow" fieldPosition="0"/>
    </format>
    <format dxfId="228">
      <pivotArea field="8" type="button" dataOnly="0" labelOnly="1" outline="0" axis="axisRow" fieldPosition="1"/>
    </format>
    <format dxfId="227">
      <pivotArea dataOnly="0" labelOnly="1" outline="0" fieldPosition="0">
        <references count="1">
          <reference field="3" count="16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R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2"/>
    <field x="15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6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26">
      <pivotArea field="2" type="button" dataOnly="0" labelOnly="1" outline="0" axis="axisRow" fieldPosition="0"/>
    </format>
    <format dxfId="225">
      <pivotArea field="15" type="button" dataOnly="0" labelOnly="1" outline="0" axis="axisRow" fieldPosition="1"/>
    </format>
    <format dxfId="224">
      <pivotArea dataOnly="0" labelOnly="1" outline="0" fieldPosition="0">
        <references count="1">
          <reference field="3" count="15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T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1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8">
    <i>
      <x v="6"/>
    </i>
    <i>
      <x v="7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23">
      <pivotArea field="2" type="button" dataOnly="0" labelOnly="1" outline="0" axis="axisRow" fieldPosition="0"/>
    </format>
    <format dxfId="222">
      <pivotArea field="11" type="button" dataOnly="0" labelOnly="1" outline="0" axis="axisRow" fieldPosition="1"/>
    </format>
    <format dxfId="221">
      <pivotArea dataOnly="0" labelOnly="1" outline="0" fieldPosition="0">
        <references count="1">
          <reference field="3" count="17">
            <x v="6"/>
            <x v="7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0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20">
      <pivotArea field="2" type="button" dataOnly="0" labelOnly="1" outline="0" axis="axisRow" fieldPosition="0"/>
    </format>
    <format dxfId="219">
      <pivotArea field="10" type="button" dataOnly="0" labelOnly="1" outline="0" axis="axisRow" fieldPosition="1"/>
    </format>
    <format dxfId="218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9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17">
      <pivotArea field="2" type="button" dataOnly="0" labelOnly="1" outline="0" axis="axisRow" fieldPosition="0"/>
    </format>
    <format dxfId="216">
      <pivotArea field="9" type="button" dataOnly="0" labelOnly="1" outline="0" axis="axisRow" fieldPosition="1"/>
    </format>
    <format dxfId="215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49" totalsRowShown="0" headerRowDxfId="105">
  <autoFilter ref="A1:Q949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104">
      <calculatedColumnFormula>_xlfn.TEXTAFTER(CONTROL[[#This Row],[VEHIDCODE]],"_")</calculatedColumnFormula>
    </tableColumn>
    <tableColumn id="3" xr3:uid="{58AEBD72-A51F-449B-AF75-94BF72F5E83B}" name="SAVE_TO" dataDxfId="103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calculatedColumnFormula>
    </tableColumn>
    <tableColumn id="4" xr3:uid="{FAAD5A25-9CB6-4659-8E2D-79C6E6F46654}" name="VEHID_ID_CATEGORY" dataDxfId="102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101"/>
    <tableColumn id="17" xr3:uid="{52550B53-5A6E-4D0B-A358-FCA22B56CC77}" name="WEB"/>
    <tableColumn id="15" xr3:uid="{C9DBDDFF-A526-4383-A426-8408C4B17785}" name="IS_POWERED_UNPOWERED_SUNDRY" dataDxfId="100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99">
      <calculatedColumnFormula>ISNUMBER(_xlfn.XMATCH(CONTROL[[#This Row],[VEHIDCODE]],TRACK_TYPES[VEHIDCODE],0))</calculatedColumnFormula>
    </tableColumn>
    <tableColumn id="14" xr3:uid="{222C2DB1-CA5D-4369-995A-6A316AC5C947}" name="PROPERTIES" dataDxfId="98">
      <calculatedColumnFormula>ISNUMBER(_xlfn.XMATCH(CONTROL[[#This Row],[VEHIDCODE]],PROPERTIES[VEHIDCODE],0))</calculatedColumnFormula>
    </tableColumn>
    <tableColumn id="13" xr3:uid="{473FD571-A166-4EC8-8B7B-F1D30044570B}" name="FLAGS" dataDxfId="97">
      <calculatedColumnFormula>ISNUMBER(_xlfn.XMATCH(CONTROL[[#This Row],[VEHIDCODE]],FLAGS[VEHIDCODE],0))</calculatedColumnFormula>
    </tableColumn>
    <tableColumn id="11" xr3:uid="{B1BAE31E-1DA6-4159-9020-DBAE19ECF7C3}" name="ROSTER" dataDxfId="96">
      <calculatedColumnFormula>ISNUMBER(_xlfn.XLOOKUP(CONTROL[[#This Row],[VEHIDCODE]],roster!A:A,roster!C:C))</calculatedColumnFormula>
    </tableColumn>
    <tableColumn id="10" xr3:uid="{7783F713-60B4-45CF-AEB3-EE02271B3D6F}" name="GRAPHICS_PROPERTIES" dataDxfId="95">
      <calculatedColumnFormula>ISNUMBER(_xlfn.XMATCH(CONTROL[[#This Row],[VEHIDCODE]],GRAPHICS_PROPERTIES[VEHIDCODE],0))</calculatedColumnFormula>
    </tableColumn>
    <tableColumn id="9" xr3:uid="{7B229E25-CF6B-4C5F-B4A4-FEC34CB93E9B}" name="ITEM" dataDxfId="94">
      <calculatedColumnFormula>"item_"&amp;CONTROL[[#This Row],[VEHIDCODE]]</calculatedColumnFormula>
    </tableColumn>
    <tableColumn id="8" xr3:uid="{327E5CDA-51AE-4721-ACBD-5E8C3D890998}" name="NAME" dataDxfId="93">
      <calculatedColumnFormula>"str_"&amp;CONTROL[[#This Row],[VEHIDCODE]]</calculatedColumnFormula>
    </tableColumn>
    <tableColumn id="12" xr3:uid="{EFC553E2-02F2-4304-B3F9-158BFEF75D95}" name="EXCLUDE_READONLY" dataDxfId="92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H949" totalsRowShown="0" headerRowDxfId="62">
  <autoFilter ref="A1:AH949" xr:uid="{6DCCB998-B5D1-4B0D-8701-BC0E171A94CA}"/>
  <tableColumns count="34">
    <tableColumn id="1" xr3:uid="{173D09BF-30BA-4FF2-B4FE-F09962415DA2}" name="VEHIDCODE" dataDxfId="61"/>
    <tableColumn id="7" xr3:uid="{1916DEDB-A6C2-4AB6-B9BF-2B3B69CAD452}" name="INTRODUCTION_YEAR"/>
    <tableColumn id="4" xr3:uid="{0B911663-AF6D-4AFE-A704-0E28EFE769C9}" name="DUAL_HEADED" dataDxfId="60">
      <calculatedColumnFormula array="1">_xlfn.IFS(ISNUMBER(SEARCH("wagon",PROPERTIES[[#This Row],[VEHIDCODE]])),0,OR(MID(PROPERTIES[[#This Row],[VEHIDCODE]],2,2)="mu",_xlfn.TEXTBEFORE(PROPERTIES[[#This Row],[VEHIDCODE]],"_")="mtro"),1,1=1,0)</calculatedColumnFormula>
    </tableColumn>
    <tableColumn id="17" xr3:uid="{17B46224-9CA1-4559-B300-6B5EA9CC33A4}" name="COUNTRY" dataDxfId="59"/>
    <tableColumn id="19" xr3:uid="{FD65B400-35DE-464D-97AA-B59BB7DAE7DB}" name="COUNTRY_CODE" dataDxfId="58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57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56"/>
    <tableColumn id="31" xr3:uid="{26514010-6CAE-4146-9174-85EE3D7D1091}" name="LOADINGSPEED" dataDxfId="55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54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53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52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51"/>
    <tableColumn id="24" xr3:uid="{FFD5C22B-7B16-440D-91CC-48C8761050DA}" name="TE_COEFFICIENT_CALC" dataDxfId="50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49"/>
    <tableColumn id="14" xr3:uid="{123AAB87-6D4C-406A-A5E1-A61DC2DDFFEE}" name="TE_COEFFICIENT" dataDxfId="48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47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46"/>
    <tableColumn id="15" xr3:uid="{3558C882-A912-4F84-BDE6-BC0A2A676C4B}" name="WAGON_LENGTH" dataDxfId="45"/>
    <tableColumn id="71" xr3:uid="{3D8AA890-C1F2-4EBD-90E3-21F948960989}" name="PURCHASE_CARGO_CAPACITY" dataDxfId="44"/>
    <tableColumn id="30" xr3:uid="{235283C1-F061-434B-8C4A-AD474FB16FE8}" name="REGION1" dataDxfId="43"/>
    <tableColumn id="29" xr3:uid="{19EC58E3-4FB9-44BC-BFFA-4C7DCCC53DA8}" name="REGION2" dataDxfId="42"/>
    <tableColumn id="27" xr3:uid="{C00DC499-0060-4E48-A71D-AE565097985F}" name="REGION3" dataDxfId="41"/>
    <tableColumn id="56" xr3:uid="{188F57E8-1157-47DF-9E8F-B5F737649F6C}" name="PURCHASECOST_VALUE" dataDxfId="40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39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38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37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36"/>
    <tableColumn id="9" xr3:uid="{19FCF859-005A-4696-BB66-C378C763CAEF}" name="EXCLUDE" dataDxfId="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49" totalsRowShown="0" headerRowDxfId="282">
  <autoFilter ref="A1:AJ949" xr:uid="{6DCCB998-B5D1-4B0D-8701-BC0E171A94CA}"/>
  <tableColumns count="36">
    <tableColumn id="1" xr3:uid="{CDEAF13A-A986-4600-A992-A08C1CA6142C}" name="VEHIDCODE" dataDxfId="281"/>
    <tableColumn id="55" xr3:uid="{839D134C-3027-42F4-BA04-3BA8BFF71A3B}" name="TRACK_TYPE_STANDARD_GAUGE_RAILTYPE_OHLE" dataDxfId="280"/>
    <tableColumn id="54" xr3:uid="{5D83FD10-ABCB-4FE7-A7DB-4A857A58D719}" name="TRACK_TYPE_STANDARD_GAUGE_RAILTYPE_25KV" dataDxfId="279"/>
    <tableColumn id="53" xr3:uid="{56183170-0B7F-45FB-91B4-356C62C246AD}" name="TRACK_TYPE_STANDARD_GAUGE_RAILTYPE_15KV" dataDxfId="278"/>
    <tableColumn id="52" xr3:uid="{5B71BE07-0EB9-4DEB-A8E8-252C9D979AC2}" name="TRACK_TYPE_STANDARD_GAUGE_RAILTYPE_3KV" dataDxfId="277"/>
    <tableColumn id="51" xr3:uid="{5A6435EB-111E-4AED-A8E1-AEFF82C34393}" name="TRACK_TYPE_STANDARD_GAUGE_RAILTYPE_1500V" dataDxfId="276"/>
    <tableColumn id="50" xr3:uid="{14CA70EA-0EE7-44BA-9D77-FC902C0596DD}" name="TRACK_TYPE_STANDARD_GAUGE_RAILTYPE_3RD" dataDxfId="275"/>
    <tableColumn id="49" xr3:uid="{3A15447A-9663-43FB-8EFF-8F8034548FB0}" name="TRACK_TYPE_STANDARD_GAUGE_RAILTYPE_4TH" dataDxfId="274"/>
    <tableColumn id="48" xr3:uid="{E44E324A-492F-4566-8DC9-0A6F58F40EA9}" name="TRACK_TYPE_STANDARD_GAUGE_RAILTYPE_DUAL" dataDxfId="273"/>
    <tableColumn id="47" xr3:uid="{FE3223C6-E685-4456-91E9-10AEB3B699E7}" name="TRACK_TYPE_STANDARD_GAUGE_RAILTYPE_NONE" dataDxfId="272"/>
    <tableColumn id="46" xr3:uid="{D39969E8-C0CA-4A59-A556-D29019991069}" name="TRACK_TYPE_NARROW_GAUGE_RAILTYPE_OHLE" dataDxfId="271"/>
    <tableColumn id="45" xr3:uid="{5266A9E9-D840-4460-AB81-A081897372F3}" name="TRACK_TYPE_NARROW_GAUGE_RAILTYPE_25KV" dataDxfId="270"/>
    <tableColumn id="44" xr3:uid="{7B4C44D1-C745-4291-86A0-777579742A84}" name="TRACK_TYPE_NARROW_GAUGE_RAILTYPE_15KV" dataDxfId="269"/>
    <tableColumn id="43" xr3:uid="{8736D285-A163-4DBE-84E1-870118B47F14}" name="TRACK_TYPE_NARROW_GAUGE_RAILTYPE_3KV" dataDxfId="268"/>
    <tableColumn id="42" xr3:uid="{6FBBA2FB-4743-4072-B4E0-C42BBDA1CC47}" name="TRACK_TYPE_NARROW_GAUGE_RAILTYPE_1500V" dataDxfId="267"/>
    <tableColumn id="41" xr3:uid="{D3ED2E70-19BF-4D92-A76B-0F0F03D31947}" name="TRACK_TYPE_NARROW_GAUGE_RAILTYPE_3RD" dataDxfId="266"/>
    <tableColumn id="40" xr3:uid="{F38AE7AF-B798-40A5-992A-13685296E710}" name="TRACK_TYPE_NARROW_GAUGE_RAILTYPE_4TH" dataDxfId="265"/>
    <tableColumn id="39" xr3:uid="{16463F64-2239-4E7F-8257-47F324BF8959}" name="TRACK_TYPE_NARROW_GAUGE_RAILTYPE_DUAL" dataDxfId="264"/>
    <tableColumn id="38" xr3:uid="{97037A15-9172-4057-863E-582804353817}" name="TRACK_TYPE_NARROW_GAUGE_RAILTYPE_NONE" dataDxfId="263"/>
    <tableColumn id="37" xr3:uid="{24999D59-5A4F-4A21-B8B4-EBDBF9F8BF1E}" name="TRACK_TYPE_BROAD_GAUGE_RAILTYPE_OHLE" dataDxfId="262"/>
    <tableColumn id="36" xr3:uid="{31AB3927-D18B-49AD-8EF5-C7E9FF4CEDF3}" name="TRACK_TYPE_BROAD_GAUGE_RAILTYPE_25KV" dataDxfId="261"/>
    <tableColumn id="35" xr3:uid="{CB3432E7-4DAE-4807-9CE5-4CB1ACECD395}" name="TRACK_TYPE_BROAD_GAUGE_RAILTYPE_15KV" dataDxfId="260"/>
    <tableColumn id="34" xr3:uid="{E3936FE4-2B46-4DC0-84C0-44C7892A0927}" name="TRACK_TYPE_BROAD_GAUGE_RAILTYPE_3KV" dataDxfId="259"/>
    <tableColumn id="33" xr3:uid="{A5FAA105-CF81-4A75-8967-5721104454E8}" name="TRACK_TYPE_BROAD_GAUGE_RAILTYPE_1500V" dataDxfId="258"/>
    <tableColumn id="32" xr3:uid="{439CDFDE-6BFC-446C-87CF-28C8FF65FCE0}" name="TRACK_TYPE_BROAD_GAUGE_RAILTYPE_3RD" dataDxfId="257"/>
    <tableColumn id="31" xr3:uid="{219AB5E3-CDFF-41B3-BD58-F7427606D15F}" name="TRACK_TYPE_BROAD_GAUGE_RAILTYPE_4TH" dataDxfId="256"/>
    <tableColumn id="30" xr3:uid="{01529768-EA0D-4662-B835-74641896CE3F}" name="TRACK_TYPE_BROAD_GAUGE_RAILTYPE_DUAL" dataDxfId="255"/>
    <tableColumn id="29" xr3:uid="{32C384AB-18DB-4161-B29B-A363A2547BB2}" name="TRACK_TYPE_BROAD_GAUGE_RAILTYPE_NONE" dataDxfId="254"/>
    <tableColumn id="26" xr3:uid="{1CFC6F26-22A8-42EE-972B-0F7ED6623B5A}" name="TRACK_TYPE_MONO" dataDxfId="253"/>
    <tableColumn id="25" xr3:uid="{62939270-15C1-494E-9C53-6EA9E8209C3B}" name="TRACK_TYPE_MGLV" dataDxfId="252"/>
    <tableColumn id="24" xr3:uid="{9DA86EDA-F2AB-4C2D-918E-5260313FD8B3}" name="TRACK_TYPE_MTRO" dataDxfId="251"/>
    <tableColumn id="21" xr3:uid="{E6F11214-E912-4D1C-980D-A111C93B0BED}" name="CHECK_ANY_TT" dataDxfId="250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249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248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247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246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969" totalsRowShown="0" headerRowDxfId="245">
  <autoFilter ref="A1:H969" xr:uid="{6DCCB998-B5D1-4B0D-8701-BC0E171A94CA}"/>
  <tableColumns count="8">
    <tableColumn id="1" xr3:uid="{327CDBB6-E1D6-4B9F-9625-C81419775134}" name="VEHIDCODE" dataDxfId="244"/>
    <tableColumn id="101" xr3:uid="{78690AEB-EA8F-4FC7-9651-C84D8F318EE9}" name="MISC_FLAGS_TRAIN_FLAG_2CC" dataDxfId="243"/>
    <tableColumn id="100" xr3:uid="{90DBB1A2-A86F-42C6-B2B8-64A2FD6690AB}" name="MISC_FLAGS_TRAIN_FLAG_MU" dataDxfId="242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99" xr3:uid="{DA6644B2-20CC-47E2-B1B5-10210B43738A}" name="MISC_FLAGS_TRAIN_FLAG_AUTOREFIT" dataDxfId="241"/>
    <tableColumn id="2" xr3:uid="{A8915D24-2B2E-4529-B3DE-30BEE23C370F}" name="VEHICLE_FLAG_TRAIN_HAS_CAB" dataDxfId="240"/>
    <tableColumn id="108" xr3:uid="{980A5687-92C0-42A0-811D-C3D4EA0876D1}" name="VISUAL_EFFECT_1" dataDxfId="239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6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959" totalsRowShown="0">
  <autoFilter ref="A1:D959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214" headerRowBorderDxfId="213" tableBorderDxfId="212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211" headerRowBorderDxfId="210" tableBorderDxfId="209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208" dataDxfId="207" tableBorderDxfId="206">
  <autoFilter ref="A1:A17" xr:uid="{0B243503-43AD-403A-90CE-B69D05B25C30}"/>
  <tableColumns count="1">
    <tableColumn id="1" xr3:uid="{3709FB1B-DE08-4A3E-8CA6-F5322D2A3261}" name="VALID_REGIONS" dataDxfId="20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204" dataDxfId="203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202"/>
    <tableColumn id="2" xr3:uid="{CCC9A744-4F42-4023-A516-9395213016EB}" name="COUNTRY_DESCRIPTION" dataDxfId="201"/>
    <tableColumn id="3" xr3:uid="{01E32DA0-BF93-49AA-BE03-33EF914A0BCC}" name="COUNTS" dataDxfId="200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98" headerRowBorderDxfId="199" tableBorderDxfId="197" totalsRowBorderDxfId="196">
  <autoFilter ref="K1:K24" xr:uid="{686D0694-AFBC-4B91-A3D3-72E1CCF00B7D}"/>
  <tableColumns count="1">
    <tableColumn id="1" xr3:uid="{7F0999BD-E0C9-463F-A054-2DA49D41A9EE}" name="VEHID_ID_CATEGORY" dataDxfId="19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1048576" totalsRowShown="0" headerRowDxfId="194">
  <autoFilter ref="Q1:Q1048576" xr:uid="{0F1B9135-58AA-44F7-B562-C3350CC41E59}"/>
  <sortState xmlns:xlrd2="http://schemas.microsoft.com/office/spreadsheetml/2017/richdata2" ref="Q2:Q1048576">
    <sortCondition ref="Q1:Q104857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D23">
    <sortCondition ref="C1:C23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93"/>
    <tableColumn id="4" xr3:uid="{3DDC8685-BA3D-40E8-A910-1E59013A762D}" name="Range End" dataDxfId="192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91" dataDxfId="190">
  <autoFilter ref="A1:N16" xr:uid="{863AE95D-BE34-47D8-B01B-1170BF25FDF2}"/>
  <tableColumns count="14">
    <tableColumn id="1" xr3:uid="{5F487593-655E-41B5-B155-86F88B53946D}" name="COST_CAT" dataDxfId="189"/>
    <tableColumn id="2" xr3:uid="{33F9C454-EDB2-4DA7-BF7A-64CBC12EBC9B}" name="P1" dataDxfId="188"/>
    <tableColumn id="3" xr3:uid="{25FB11D0-082D-4DE3-9821-1367939D8742}" name="P2" dataDxfId="187"/>
    <tableColumn id="4" xr3:uid="{19CDF402-C641-4217-A953-2A851DF85ADB}" name="P3" dataDxfId="186"/>
    <tableColumn id="5" xr3:uid="{1EF59E2C-32FF-4712-AD89-CBF77E507832}" name="P4" dataDxfId="185"/>
    <tableColumn id="6" xr3:uid="{04250F90-183D-4392-BE27-C420F795E1DC}" name="P5" dataDxfId="184"/>
    <tableColumn id="7" xr3:uid="{F7062C4F-5B57-4110-A21E-BDC8820130D9}" name="P6" dataDxfId="183"/>
    <tableColumn id="8" xr3:uid="{B47621AA-9D6F-4396-B3D9-BD8CF656F30E}" name="P7" dataDxfId="182"/>
    <tableColumn id="9" xr3:uid="{7055539E-C4C8-407D-91F5-6CB021EDE84F}" name="R1" dataDxfId="181"/>
    <tableColumn id="10" xr3:uid="{D17981EB-EB8A-4630-958C-3792D72CD53F}" name="R2" dataDxfId="180"/>
    <tableColumn id="11" xr3:uid="{85EDD15A-812B-4C42-B03A-D558B807622E}" name="R3" dataDxfId="179"/>
    <tableColumn id="12" xr3:uid="{61A73E38-33EC-41D1-B899-56F15EDBDD59}" name="R4" dataDxfId="178"/>
    <tableColumn id="13" xr3:uid="{7A83ADCF-C18F-402F-81A8-0F935E928ED9}" name="R5" dataDxfId="177"/>
    <tableColumn id="14" xr3:uid="{1140F6C7-9C3D-4800-9F3B-DC6E6EBE9541}" name="R6" dataDxfId="176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comments" Target="../comments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49"/>
  <sheetViews>
    <sheetView workbookViewId="0">
      <pane xSplit="1" ySplit="1" topLeftCell="G924" activePane="bottomRight" state="frozen"/>
      <selection pane="topRight" activeCell="B1" sqref="B1"/>
      <selection pane="bottomLeft" activeCell="A2" sqref="A2"/>
      <selection pane="bottomRight" activeCell="O948" sqref="O948"/>
    </sheetView>
  </sheetViews>
  <sheetFormatPr defaultRowHeight="14.6"/>
  <cols>
    <col min="1" max="1" width="50.765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43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</cols>
  <sheetData>
    <row r="1" spans="1:17" ht="43.75">
      <c r="A1" s="1" t="s">
        <v>0</v>
      </c>
      <c r="B1" s="7" t="s">
        <v>867</v>
      </c>
      <c r="C1" s="7" t="s">
        <v>679</v>
      </c>
      <c r="D1" s="7" t="s">
        <v>938</v>
      </c>
      <c r="E1" s="7" t="s">
        <v>891</v>
      </c>
      <c r="F1" s="42" t="s">
        <v>2419</v>
      </c>
      <c r="G1" s="6" t="s">
        <v>2244</v>
      </c>
      <c r="H1" s="7" t="s">
        <v>1017</v>
      </c>
      <c r="I1" s="7" t="s">
        <v>888</v>
      </c>
      <c r="J1" s="7" t="s">
        <v>1013</v>
      </c>
      <c r="K1" s="7" t="s">
        <v>1016</v>
      </c>
      <c r="L1" s="7" t="s">
        <v>1015</v>
      </c>
      <c r="M1" s="7" t="s">
        <v>2968</v>
      </c>
      <c r="N1" s="7" t="s">
        <v>1014</v>
      </c>
      <c r="O1" s="7" t="s">
        <v>680</v>
      </c>
      <c r="P1" s="7" t="s">
        <v>681</v>
      </c>
      <c r="Q1" s="7" t="s">
        <v>3424</v>
      </c>
    </row>
    <row r="2" spans="1:17">
      <c r="A2" s="2" t="s">
        <v>709</v>
      </c>
      <c r="B2" s="30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43" t="s">
        <v>1018</v>
      </c>
      <c r="G2" t="s">
        <v>1696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Row],[VEHIDCODE]],roster!A:A,roster!C:C))</f>
        <v>1</v>
      </c>
      <c r="N2" t="b">
        <f>ISNUMBER(_xlfn.XMATCH(CONTROL[[#This Row],[VEHIDCODE]],GRAPHICS_PROPERTIES[VEHIDCODE],0))</f>
        <v>1</v>
      </c>
      <c r="O2" s="30" t="str">
        <f>"item_"&amp;CONTROL[[#This Row],[VEHIDCODE]]</f>
        <v>item_mglv_Maglev_Wagon_Powered</v>
      </c>
      <c r="P2" s="30" t="str">
        <f>"str_"&amp;CONTROL[[#This Row],[VEHIDCODE]]</f>
        <v>str_mglv_Maglev_Wagon_Powered</v>
      </c>
      <c r="Q2" s="10" t="b">
        <f>_xlfn.XLOOKUP(CONTROL[[#This Row],[VEHIDCODE]],PROPERTIES[VEHIDCODE],PROPERTIES[EXCLUDE])</f>
        <v>0</v>
      </c>
    </row>
    <row r="3" spans="1:17">
      <c r="A3" s="2" t="s">
        <v>710</v>
      </c>
      <c r="B3" s="30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43" t="s">
        <v>1018</v>
      </c>
      <c r="G3" t="s">
        <v>1696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Row],[VEHIDCODE]],roster!A:A,roster!C:C))</f>
        <v>1</v>
      </c>
      <c r="N3" t="b">
        <f>ISNUMBER(_xlfn.XMATCH(CONTROL[[#This Row],[VEHIDCODE]],GRAPHICS_PROPERTIES[VEHIDCODE],0))</f>
        <v>1</v>
      </c>
      <c r="O3" s="30" t="str">
        <f>"item_"&amp;CONTROL[[#This Row],[VEHIDCODE]]</f>
        <v>item_mglv_Maglev_Wagon_Unpowered</v>
      </c>
      <c r="P3" s="30" t="str">
        <f>"str_"&amp;CONTROL[[#This Row],[VEHIDCODE]]</f>
        <v>str_mglv_Maglev_Wagon_Unpowered</v>
      </c>
      <c r="Q3" s="10" t="b">
        <f>_xlfn.XLOOKUP(CONTROL[[#This Row],[VEHIDCODE]],PROPERTIES[VEHIDCODE],PROPERTIES[EXCLUDE])</f>
        <v>0</v>
      </c>
    </row>
    <row r="4" spans="1:17">
      <c r="A4" s="2" t="s">
        <v>20</v>
      </c>
      <c r="B4" s="30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43" t="s">
        <v>2970</v>
      </c>
      <c r="G4" t="s">
        <v>2228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Row],[VEHIDCODE]],roster!A:A,roster!C:C))</f>
        <v>1</v>
      </c>
      <c r="N4" t="b">
        <f>ISNUMBER(_xlfn.XMATCH(CONTROL[[#This Row],[VEHIDCODE]],GRAPHICS_PROPERTIES[VEHIDCODE],0))</f>
        <v>1</v>
      </c>
      <c r="O4" s="30" t="str">
        <f>"item_"&amp;CONTROL[[#This Row],[VEHIDCODE]]</f>
        <v>item_rbs_Austria_NOLB_1</v>
      </c>
      <c r="P4" s="30" t="str">
        <f>"str_"&amp;CONTROL[[#This Row],[VEHIDCODE]]</f>
        <v>str_rbs_Austria_NOLB_1</v>
      </c>
      <c r="Q4" s="10" t="b">
        <f>_xlfn.XLOOKUP(CONTROL[[#This Row],[VEHIDCODE]],PROPERTIES[VEHIDCODE],PROPERTIES[EXCLUDE])</f>
        <v>0</v>
      </c>
    </row>
    <row r="5" spans="1:17">
      <c r="A5" s="2" t="s">
        <v>22</v>
      </c>
      <c r="B5" s="30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43" t="s">
        <v>1019</v>
      </c>
      <c r="G5" t="s">
        <v>2229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Row],[VEHIDCODE]],roster!A:A,roster!C:C))</f>
        <v>1</v>
      </c>
      <c r="N5" t="b">
        <f>ISNUMBER(_xlfn.XMATCH(CONTROL[[#This Row],[VEHIDCODE]],GRAPHICS_PROPERTIES[VEHIDCODE],0))</f>
        <v>1</v>
      </c>
      <c r="O5" s="30" t="str">
        <f>"item_"&amp;CONTROL[[#This Row],[VEHIDCODE]]</f>
        <v>item_rbs_Italy_FS_86</v>
      </c>
      <c r="P5" s="30" t="str">
        <f>"str_"&amp;CONTROL[[#This Row],[VEHIDCODE]]</f>
        <v>str_rbs_Italy_FS_86</v>
      </c>
      <c r="Q5" s="10" t="b">
        <f>_xlfn.XLOOKUP(CONTROL[[#This Row],[VEHIDCODE]],PROPERTIES[VEHIDCODE],PROPERTIES[EXCLUDE])</f>
        <v>0</v>
      </c>
    </row>
    <row r="6" spans="1:17">
      <c r="A6" s="2" t="s">
        <v>23</v>
      </c>
      <c r="B6" s="30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43" t="s">
        <v>1020</v>
      </c>
      <c r="G6" t="s">
        <v>2230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Row],[VEHIDCODE]],roster!A:A,roster!C:C))</f>
        <v>1</v>
      </c>
      <c r="N6" t="b">
        <f>ISNUMBER(_xlfn.XMATCH(CONTROL[[#This Row],[VEHIDCODE]],GRAPHICS_PROPERTIES[VEHIDCODE],0))</f>
        <v>1</v>
      </c>
      <c r="O6" s="30" t="str">
        <f>"item_"&amp;CONTROL[[#This Row],[VEHIDCODE]]</f>
        <v>item_rbs_Australia_Victorian_Railways_Rowan_Railmotor</v>
      </c>
      <c r="P6" s="30" t="str">
        <f>"str_"&amp;CONTROL[[#This Row],[VEHIDCODE]]</f>
        <v>str_rbs_Australia_Victorian_Railways_Rowan_Railmotor</v>
      </c>
      <c r="Q6" s="10" t="b">
        <f>_xlfn.XLOOKUP(CONTROL[[#This Row],[VEHIDCODE]],PROPERTIES[VEHIDCODE],PROPERTIES[EXCLUDE])</f>
        <v>0</v>
      </c>
    </row>
    <row r="7" spans="1:17">
      <c r="A7" s="2" t="s">
        <v>24</v>
      </c>
      <c r="B7" s="30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43" t="s">
        <v>1021</v>
      </c>
      <c r="G7" t="s">
        <v>2231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Row],[VEHIDCODE]],roster!A:A,roster!C:C))</f>
        <v>1</v>
      </c>
      <c r="N7" t="b">
        <f>ISNUMBER(_xlfn.XMATCH(CONTROL[[#This Row],[VEHIDCODE]],GRAPHICS_PROPERTIES[VEHIDCODE],0))</f>
        <v>1</v>
      </c>
      <c r="O7" s="30" t="str">
        <f>"item_"&amp;CONTROL[[#This Row],[VEHIDCODE]]</f>
        <v>item_rbs_Switzerland_UeBB_Czm_1_2</v>
      </c>
      <c r="P7" s="30" t="str">
        <f>"str_"&amp;CONTROL[[#This Row],[VEHIDCODE]]</f>
        <v>str_rbs_Switzerland_UeBB_Czm_1_2</v>
      </c>
      <c r="Q7" s="10" t="b">
        <f>_xlfn.XLOOKUP(CONTROL[[#This Row],[VEHIDCODE]],PROPERTIES[VEHIDCODE],PROPERTIES[EXCLUDE])</f>
        <v>0</v>
      </c>
    </row>
    <row r="8" spans="1:17">
      <c r="A8" s="2" t="s">
        <v>25</v>
      </c>
      <c r="B8" s="30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43" t="s">
        <v>1022</v>
      </c>
      <c r="G8" t="s">
        <v>2233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Row],[VEHIDCODE]],roster!A:A,roster!C:C))</f>
        <v>1</v>
      </c>
      <c r="N8" t="b">
        <f>ISNUMBER(_xlfn.XMATCH(CONTROL[[#This Row],[VEHIDCODE]],GRAPHICS_PROPERTIES[VEHIDCODE],0))</f>
        <v>1</v>
      </c>
      <c r="O8" s="30" t="str">
        <f>"item_"&amp;CONTROL[[#This Row],[VEHIDCODE]]</f>
        <v>item_rbs_Germany_Bavarian_MCCi</v>
      </c>
      <c r="P8" s="30" t="str">
        <f>"str_"&amp;CONTROL[[#This Row],[VEHIDCODE]]</f>
        <v>str_rbs_Germany_Bavarian_MCCi</v>
      </c>
      <c r="Q8" s="10" t="b">
        <f>_xlfn.XLOOKUP(CONTROL[[#This Row],[VEHIDCODE]],PROPERTIES[VEHIDCODE],PROPERTIES[EXCLUDE])</f>
        <v>0</v>
      </c>
    </row>
    <row r="9" spans="1:17">
      <c r="A9" s="2" t="s">
        <v>26</v>
      </c>
      <c r="B9" s="30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43" t="s">
        <v>1023</v>
      </c>
      <c r="G9" t="s">
        <v>2232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Row],[VEHIDCODE]],roster!A:A,roster!C:C))</f>
        <v>1</v>
      </c>
      <c r="N9" t="b">
        <f>ISNUMBER(_xlfn.XMATCH(CONTROL[[#This Row],[VEHIDCODE]],GRAPHICS_PROPERTIES[VEHIDCODE],0))</f>
        <v>1</v>
      </c>
      <c r="O9" s="30" t="str">
        <f>"item_"&amp;CONTROL[[#This Row],[VEHIDCODE]]</f>
        <v>item_rbs_South_Africa_CSAR_Railmotor</v>
      </c>
      <c r="P9" s="30" t="str">
        <f>"str_"&amp;CONTROL[[#This Row],[VEHIDCODE]]</f>
        <v>str_rbs_South_Africa_CSAR_Railmotor</v>
      </c>
      <c r="Q9" s="10" t="b">
        <f>_xlfn.XLOOKUP(CONTROL[[#This Row],[VEHIDCODE]],PROPERTIES[VEHIDCODE],PROPERTIES[EXCLUDE])</f>
        <v>0</v>
      </c>
    </row>
    <row r="10" spans="1:17">
      <c r="A10" s="2" t="s">
        <v>27</v>
      </c>
      <c r="B10" s="30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43" t="s">
        <v>1024</v>
      </c>
      <c r="G10" t="s">
        <v>2234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Row],[VEHIDCODE]],roster!A:A,roster!C:C))</f>
        <v>1</v>
      </c>
      <c r="N10" t="b">
        <f>ISNUMBER(_xlfn.XMATCH(CONTROL[[#This Row],[VEHIDCODE]],GRAPHICS_PROPERTIES[VEHIDCODE],0))</f>
        <v>1</v>
      </c>
      <c r="O10" s="30" t="str">
        <f>"item_"&amp;CONTROL[[#This Row],[VEHIDCODE]]</f>
        <v>item_rbs_Australia_Victorian_Railways_Motor_Car_3</v>
      </c>
      <c r="P10" s="30" t="str">
        <f>"str_"&amp;CONTROL[[#This Row],[VEHIDCODE]]</f>
        <v>str_rbs_Australia_Victorian_Railways_Motor_Car_3</v>
      </c>
      <c r="Q10" s="10" t="b">
        <f>_xlfn.XLOOKUP(CONTROL[[#This Row],[VEHIDCODE]],PROPERTIES[VEHIDCODE],PROPERTIES[EXCLUDE])</f>
        <v>0</v>
      </c>
    </row>
    <row r="11" spans="1:17">
      <c r="A11" s="2" t="s">
        <v>28</v>
      </c>
      <c r="B11" s="30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43" t="s">
        <v>3010</v>
      </c>
      <c r="G11" t="s">
        <v>2236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Row],[VEHIDCODE]],roster!A:A,roster!C:C))</f>
        <v>1</v>
      </c>
      <c r="N11" t="b">
        <f>ISNUMBER(_xlfn.XMATCH(CONTROL[[#This Row],[VEHIDCODE]],GRAPHICS_PROPERTIES[VEHIDCODE],0))</f>
        <v>1</v>
      </c>
      <c r="O11" s="30" t="str">
        <f>"item_"&amp;CONTROL[[#This Row],[VEHIDCODE]]</f>
        <v>item_rbs_Austria_kkStB_4_0</v>
      </c>
      <c r="P11" s="30" t="str">
        <f>"str_"&amp;CONTROL[[#This Row],[VEHIDCODE]]</f>
        <v>str_rbs_Austria_kkStB_4_0</v>
      </c>
      <c r="Q11" s="10" t="b">
        <f>_xlfn.XLOOKUP(CONTROL[[#This Row],[VEHIDCODE]],PROPERTIES[VEHIDCODE],PROPERTIES[EXCLUDE])</f>
        <v>0</v>
      </c>
    </row>
    <row r="12" spans="1:17">
      <c r="A12" s="2" t="s">
        <v>30</v>
      </c>
      <c r="B12" s="30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43" t="s">
        <v>1025</v>
      </c>
      <c r="G12" t="s">
        <v>2235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Row],[VEHIDCODE]],roster!A:A,roster!C:C))</f>
        <v>1</v>
      </c>
      <c r="N12" t="b">
        <f>ISNUMBER(_xlfn.XMATCH(CONTROL[[#This Row],[VEHIDCODE]],GRAPHICS_PROPERTIES[VEHIDCODE],0))</f>
        <v>1</v>
      </c>
      <c r="O12" s="30" t="str">
        <f>"item_"&amp;CONTROL[[#This Row],[VEHIDCODE]]</f>
        <v>item_rbd_Australia_Victorian_Railways_AEC_RM1</v>
      </c>
      <c r="P12" s="30" t="str">
        <f>"str_"&amp;CONTROL[[#This Row],[VEHIDCODE]]</f>
        <v>str_rbd_Australia_Victorian_Railways_AEC_RM1</v>
      </c>
      <c r="Q12" s="10" t="b">
        <f>_xlfn.XLOOKUP(CONTROL[[#This Row],[VEHIDCODE]],PROPERTIES[VEHIDCODE],PROPERTIES[EXCLUDE])</f>
        <v>0</v>
      </c>
    </row>
    <row r="13" spans="1:17">
      <c r="A13" s="2" t="s">
        <v>32</v>
      </c>
      <c r="B13" s="30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43" t="s">
        <v>1026</v>
      </c>
      <c r="G13" t="s">
        <v>2237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Row],[VEHIDCODE]],roster!A:A,roster!C:C))</f>
        <v>1</v>
      </c>
      <c r="N13" t="b">
        <f>ISNUMBER(_xlfn.XMATCH(CONTROL[[#This Row],[VEHIDCODE]],GRAPHICS_PROPERTIES[VEHIDCODE],0))</f>
        <v>1</v>
      </c>
      <c r="O13" s="30" t="str">
        <f>"item_"&amp;CONTROL[[#This Row],[VEHIDCODE]]</f>
        <v>item_rbd_Germany_DB_VT_133</v>
      </c>
      <c r="P13" s="30" t="str">
        <f>"str_"&amp;CONTROL[[#This Row],[VEHIDCODE]]</f>
        <v>str_rbd_Germany_DB_VT_133</v>
      </c>
      <c r="Q13" s="10" t="b">
        <f>_xlfn.XLOOKUP(CONTROL[[#This Row],[VEHIDCODE]],PROPERTIES[VEHIDCODE],PROPERTIES[EXCLUDE])</f>
        <v>0</v>
      </c>
    </row>
    <row r="14" spans="1:17">
      <c r="A14" s="2" t="s">
        <v>33</v>
      </c>
      <c r="B14" s="30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43" t="s">
        <v>1027</v>
      </c>
      <c r="G14" t="s">
        <v>2238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Row],[VEHIDCODE]],roster!A:A,roster!C:C))</f>
        <v>1</v>
      </c>
      <c r="N14" t="b">
        <f>ISNUMBER(_xlfn.XMATCH(CONTROL[[#This Row],[VEHIDCODE]],GRAPHICS_PROPERTIES[VEHIDCODE],0))</f>
        <v>1</v>
      </c>
      <c r="O14" s="30" t="str">
        <f>"item_"&amp;CONTROL[[#This Row],[VEHIDCODE]]</f>
        <v>item_rbd_United_Kingdom_GWR_AEC_Railcar</v>
      </c>
      <c r="P14" s="30" t="str">
        <f>"str_"&amp;CONTROL[[#This Row],[VEHIDCODE]]</f>
        <v>str_rbd_United_Kingdom_GWR_AEC_Railcar</v>
      </c>
      <c r="Q14" s="10" t="b">
        <f>_xlfn.XLOOKUP(CONTROL[[#This Row],[VEHIDCODE]],PROPERTIES[VEHIDCODE],PROPERTIES[EXCLUDE])</f>
        <v>0</v>
      </c>
    </row>
    <row r="15" spans="1:17">
      <c r="A15" s="2" t="s">
        <v>34</v>
      </c>
      <c r="B15" s="30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43" t="s">
        <v>2971</v>
      </c>
      <c r="G15" t="s">
        <v>2239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Row],[VEHIDCODE]],roster!A:A,roster!C:C))</f>
        <v>1</v>
      </c>
      <c r="N15" t="b">
        <f>ISNUMBER(_xlfn.XMATCH(CONTROL[[#This Row],[VEHIDCODE]],GRAPHICS_PROPERTIES[VEHIDCODE],0))</f>
        <v>1</v>
      </c>
      <c r="O15" s="30" t="str">
        <f>"item_"&amp;CONTROL[[#This Row],[VEHIDCODE]]</f>
        <v>item_rbd_Austria_OBB_5042</v>
      </c>
      <c r="P15" s="30" t="str">
        <f>"str_"&amp;CONTROL[[#This Row],[VEHIDCODE]]</f>
        <v>str_rbd_Austria_OBB_5042</v>
      </c>
      <c r="Q15" s="10" t="b">
        <f>_xlfn.XLOOKUP(CONTROL[[#This Row],[VEHIDCODE]],PROPERTIES[VEHIDCODE],PROPERTIES[EXCLUDE])</f>
        <v>0</v>
      </c>
    </row>
    <row r="16" spans="1:17">
      <c r="A16" s="2" t="s">
        <v>35</v>
      </c>
      <c r="B16" s="30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43" t="s">
        <v>1028</v>
      </c>
      <c r="G16" t="s">
        <v>2240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Row],[VEHIDCODE]],roster!A:A,roster!C:C))</f>
        <v>1</v>
      </c>
      <c r="N16" t="b">
        <f>ISNUMBER(_xlfn.XMATCH(CONTROL[[#This Row],[VEHIDCODE]],GRAPHICS_PROPERTIES[VEHIDCODE],0))</f>
        <v>1</v>
      </c>
      <c r="O16" s="30" t="str">
        <f>"item_"&amp;CONTROL[[#This Row],[VEHIDCODE]]</f>
        <v>item_rbd_New_Zealand_NZR_RM31</v>
      </c>
      <c r="P16" s="30" t="str">
        <f>"str_"&amp;CONTROL[[#This Row],[VEHIDCODE]]</f>
        <v>str_rbd_New_Zealand_NZR_RM31</v>
      </c>
      <c r="Q16" s="10" t="b">
        <f>_xlfn.XLOOKUP(CONTROL[[#This Row],[VEHIDCODE]],PROPERTIES[VEHIDCODE],PROPERTIES[EXCLUDE])</f>
        <v>0</v>
      </c>
    </row>
    <row r="17" spans="1:17">
      <c r="A17" s="2" t="s">
        <v>36</v>
      </c>
      <c r="B17" s="30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43" t="s">
        <v>1029</v>
      </c>
      <c r="G17" t="s">
        <v>2241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Row],[VEHIDCODE]],roster!A:A,roster!C:C))</f>
        <v>1</v>
      </c>
      <c r="N17" t="b">
        <f>ISNUMBER(_xlfn.XMATCH(CONTROL[[#This Row],[VEHIDCODE]],GRAPHICS_PROPERTIES[VEHIDCODE],0))</f>
        <v>1</v>
      </c>
      <c r="O17" s="30" t="str">
        <f>"item_"&amp;CONTROL[[#This Row],[VEHIDCODE]]</f>
        <v>item_rbd_Portugal_CP_0100</v>
      </c>
      <c r="P17" s="30" t="str">
        <f>"str_"&amp;CONTROL[[#This Row],[VEHIDCODE]]</f>
        <v>str_rbd_Portugal_CP_0100</v>
      </c>
      <c r="Q17" s="10" t="b">
        <f>_xlfn.XLOOKUP(CONTROL[[#This Row],[VEHIDCODE]],PROPERTIES[VEHIDCODE],PROPERTIES[EXCLUDE])</f>
        <v>0</v>
      </c>
    </row>
    <row r="18" spans="1:17">
      <c r="A18" s="2" t="s">
        <v>37</v>
      </c>
      <c r="B18" s="30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43" t="s">
        <v>1030</v>
      </c>
      <c r="G18" t="s">
        <v>2242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Row],[VEHIDCODE]],roster!A:A,roster!C:C))</f>
        <v>1</v>
      </c>
      <c r="N18" t="b">
        <f>ISNUMBER(_xlfn.XMATCH(CONTROL[[#This Row],[VEHIDCODE]],GRAPHICS_PROPERTIES[VEHIDCODE],0))</f>
        <v>1</v>
      </c>
      <c r="O18" s="30" t="str">
        <f>"item_"&amp;CONTROL[[#This Row],[VEHIDCODE]]</f>
        <v>item_rbd_USA_Amtrak_Budd_RDC</v>
      </c>
      <c r="P18" s="30" t="str">
        <f>"str_"&amp;CONTROL[[#This Row],[VEHIDCODE]]</f>
        <v>str_rbd_USA_Amtrak_Budd_RDC</v>
      </c>
      <c r="Q18" s="10" t="b">
        <f>_xlfn.XLOOKUP(CONTROL[[#This Row],[VEHIDCODE]],PROPERTIES[VEHIDCODE],PROPERTIES[EXCLUDE])</f>
        <v>0</v>
      </c>
    </row>
    <row r="19" spans="1:17">
      <c r="A19" s="2" t="s">
        <v>38</v>
      </c>
      <c r="B19" s="30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43" t="s">
        <v>1031</v>
      </c>
      <c r="G19" t="s">
        <v>2243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Row],[VEHIDCODE]],roster!A:A,roster!C:C))</f>
        <v>1</v>
      </c>
      <c r="N19" t="b">
        <f>ISNUMBER(_xlfn.XMATCH(CONTROL[[#This Row],[VEHIDCODE]],GRAPHICS_PROPERTIES[VEHIDCODE],0))</f>
        <v>1</v>
      </c>
      <c r="O19" s="30" t="str">
        <f>"item_"&amp;CONTROL[[#This Row],[VEHIDCODE]]</f>
        <v>item_rbd_Germany_DB_VT_989</v>
      </c>
      <c r="P19" s="30" t="str">
        <f>"str_"&amp;CONTROL[[#This Row],[VEHIDCODE]]</f>
        <v>str_rbd_Germany_DB_VT_989</v>
      </c>
      <c r="Q19" s="10" t="b">
        <f>_xlfn.XLOOKUP(CONTROL[[#This Row],[VEHIDCODE]],PROPERTIES[VEHIDCODE],PROPERTIES[EXCLUDE])</f>
        <v>0</v>
      </c>
    </row>
    <row r="20" spans="1:17">
      <c r="A20" s="2" t="s">
        <v>39</v>
      </c>
      <c r="B20" s="30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43" t="s">
        <v>2246</v>
      </c>
      <c r="G20" t="s">
        <v>2245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Row],[VEHIDCODE]],roster!A:A,roster!C:C))</f>
        <v>1</v>
      </c>
      <c r="N20" t="b">
        <f>ISNUMBER(_xlfn.XMATCH(CONTROL[[#This Row],[VEHIDCODE]],GRAPHICS_PROPERTIES[VEHIDCODE],0))</f>
        <v>1</v>
      </c>
      <c r="O20" s="30" t="str">
        <f>"item_"&amp;CONTROL[[#This Row],[VEHIDCODE]]</f>
        <v>item_rbd_Germany_OHE_520_GDT</v>
      </c>
      <c r="P20" s="30" t="str">
        <f>"str_"&amp;CONTROL[[#This Row],[VEHIDCODE]]</f>
        <v>str_rbd_Germany_OHE_520_GDT</v>
      </c>
      <c r="Q20" s="10" t="b">
        <f>_xlfn.XLOOKUP(CONTROL[[#This Row],[VEHIDCODE]],PROPERTIES[VEHIDCODE],PROPERTIES[EXCLUDE])</f>
        <v>0</v>
      </c>
    </row>
    <row r="21" spans="1:17">
      <c r="A21" s="2" t="s">
        <v>40</v>
      </c>
      <c r="B21" s="30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43" t="s">
        <v>1032</v>
      </c>
      <c r="G21" t="s">
        <v>2247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Row],[VEHIDCODE]],roster!A:A,roster!C:C))</f>
        <v>1</v>
      </c>
      <c r="N21" t="b">
        <f>ISNUMBER(_xlfn.XMATCH(CONTROL[[#This Row],[VEHIDCODE]],GRAPHICS_PROPERTIES[VEHIDCODE],0))</f>
        <v>1</v>
      </c>
      <c r="O21" s="30" t="str">
        <f>"item_"&amp;CONTROL[[#This Row],[VEHIDCODE]]</f>
        <v>item_rbd_Netherlands_NS_20_Kameel</v>
      </c>
      <c r="P21" s="30" t="str">
        <f>"str_"&amp;CONTROL[[#This Row],[VEHIDCODE]]</f>
        <v>str_rbd_Netherlands_NS_20_Kameel</v>
      </c>
      <c r="Q21" s="10" t="b">
        <f>_xlfn.XLOOKUP(CONTROL[[#This Row],[VEHIDCODE]],PROPERTIES[VEHIDCODE],PROPERTIES[EXCLUDE])</f>
        <v>0</v>
      </c>
    </row>
    <row r="22" spans="1:17">
      <c r="A22" s="2" t="s">
        <v>41</v>
      </c>
      <c r="B22" s="30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43" t="s">
        <v>1033</v>
      </c>
      <c r="G22" t="s">
        <v>2248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Row],[VEHIDCODE]],roster!A:A,roster!C:C))</f>
        <v>1</v>
      </c>
      <c r="N22" t="b">
        <f>ISNUMBER(_xlfn.XMATCH(CONTROL[[#This Row],[VEHIDCODE]],GRAPHICS_PROPERTIES[VEHIDCODE],0))</f>
        <v>1</v>
      </c>
      <c r="O22" s="30" t="str">
        <f>"item_"&amp;CONTROL[[#This Row],[VEHIDCODE]]</f>
        <v>item_rbd_Netherlands_NS_DH1</v>
      </c>
      <c r="P22" s="30" t="str">
        <f>"str_"&amp;CONTROL[[#This Row],[VEHIDCODE]]</f>
        <v>str_rbd_Netherlands_NS_DH1</v>
      </c>
      <c r="Q22" s="10" t="b">
        <f>_xlfn.XLOOKUP(CONTROL[[#This Row],[VEHIDCODE]],PROPERTIES[VEHIDCODE],PROPERTIES[EXCLUDE])</f>
        <v>0</v>
      </c>
    </row>
    <row r="23" spans="1:17">
      <c r="A23" s="2" t="s">
        <v>42</v>
      </c>
      <c r="B23" s="30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43" t="s">
        <v>2972</v>
      </c>
      <c r="G23" t="s">
        <v>2249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Row],[VEHIDCODE]],roster!A:A,roster!C:C))</f>
        <v>1</v>
      </c>
      <c r="N23" t="b">
        <f>ISNUMBER(_xlfn.XMATCH(CONTROL[[#This Row],[VEHIDCODE]],GRAPHICS_PROPERTIES[VEHIDCODE],0))</f>
        <v>1</v>
      </c>
      <c r="O23" s="30" t="str">
        <f>"item_"&amp;CONTROL[[#This Row],[VEHIDCODE]]</f>
        <v>item_rbd_Austria_OBB_5047</v>
      </c>
      <c r="P23" s="30" t="str">
        <f>"str_"&amp;CONTROL[[#This Row],[VEHIDCODE]]</f>
        <v>str_rbd_Austria_OBB_5047</v>
      </c>
      <c r="Q23" s="10" t="b">
        <f>_xlfn.XLOOKUP(CONTROL[[#This Row],[VEHIDCODE]],PROPERTIES[VEHIDCODE],PROPERTIES[EXCLUDE])</f>
        <v>0</v>
      </c>
    </row>
    <row r="24" spans="1:17">
      <c r="A24" s="2" t="s">
        <v>43</v>
      </c>
      <c r="B24" s="30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43" t="s">
        <v>1034</v>
      </c>
      <c r="G24" t="s">
        <v>2250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Row],[VEHIDCODE]],roster!A:A,roster!C:C))</f>
        <v>1</v>
      </c>
      <c r="N24" t="b">
        <f>ISNUMBER(_xlfn.XMATCH(CONTROL[[#This Row],[VEHIDCODE]],GRAPHICS_PROPERTIES[VEHIDCODE],0))</f>
        <v>1</v>
      </c>
      <c r="O24" s="30" t="str">
        <f>"item_"&amp;CONTROL[[#This Row],[VEHIDCODE]]</f>
        <v>item_rbd_United_Kingdom_BR_153_Super_Sprinter</v>
      </c>
      <c r="P24" s="30" t="str">
        <f>"str_"&amp;CONTROL[[#This Row],[VEHIDCODE]]</f>
        <v>str_rbd_United_Kingdom_BR_153_Super_Sprinter</v>
      </c>
      <c r="Q24" s="10" t="b">
        <f>_xlfn.XLOOKUP(CONTROL[[#This Row],[VEHIDCODE]],PROPERTIES[VEHIDCODE],PROPERTIES[EXCLUDE])</f>
        <v>0</v>
      </c>
    </row>
    <row r="25" spans="1:17">
      <c r="A25" s="2" t="s">
        <v>44</v>
      </c>
      <c r="B25" s="30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43" t="s">
        <v>2990</v>
      </c>
      <c r="G25" t="s">
        <v>2251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Row],[VEHIDCODE]],roster!A:A,roster!C:C))</f>
        <v>1</v>
      </c>
      <c r="N25" t="b">
        <f>ISNUMBER(_xlfn.XMATCH(CONTROL[[#This Row],[VEHIDCODE]],GRAPHICS_PROPERTIES[VEHIDCODE],0))</f>
        <v>1</v>
      </c>
      <c r="O25" s="30" t="str">
        <f>"item_"&amp;CONTROL[[#This Row],[VEHIDCODE]]</f>
        <v>item_rbd_Czech_Republic_CD_809</v>
      </c>
      <c r="P25" s="30" t="str">
        <f>"str_"&amp;CONTROL[[#This Row],[VEHIDCODE]]</f>
        <v>str_rbd_Czech_Republic_CD_809</v>
      </c>
      <c r="Q25" s="10" t="b">
        <f>_xlfn.XLOOKUP(CONTROL[[#This Row],[VEHIDCODE]],PROPERTIES[VEHIDCODE],PROPERTIES[EXCLUDE])</f>
        <v>0</v>
      </c>
    </row>
    <row r="26" spans="1:17">
      <c r="A26" s="2" t="s">
        <v>45</v>
      </c>
      <c r="B26" s="30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43" t="s">
        <v>1035</v>
      </c>
      <c r="G26" t="s">
        <v>2252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Row],[VEHIDCODE]],roster!A:A,roster!C:C))</f>
        <v>1</v>
      </c>
      <c r="N26" t="b">
        <f>ISNUMBER(_xlfn.XMATCH(CONTROL[[#This Row],[VEHIDCODE]],GRAPHICS_PROPERTIES[VEHIDCODE],0))</f>
        <v>1</v>
      </c>
      <c r="O26" s="30" t="str">
        <f>"item_"&amp;CONTROL[[#This Row],[VEHIDCODE]]</f>
        <v>item_rbd_Germany_DB_670</v>
      </c>
      <c r="P26" s="30" t="str">
        <f>"str_"&amp;CONTROL[[#This Row],[VEHIDCODE]]</f>
        <v>str_rbd_Germany_DB_670</v>
      </c>
      <c r="Q26" s="10" t="b">
        <f>_xlfn.XLOOKUP(CONTROL[[#This Row],[VEHIDCODE]],PROPERTIES[VEHIDCODE],PROPERTIES[EXCLUDE])</f>
        <v>0</v>
      </c>
    </row>
    <row r="27" spans="1:17">
      <c r="A27" s="2" t="s">
        <v>46</v>
      </c>
      <c r="B27" s="30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43" t="s">
        <v>1036</v>
      </c>
      <c r="G27" t="s">
        <v>2253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Row],[VEHIDCODE]],roster!A:A,roster!C:C))</f>
        <v>1</v>
      </c>
      <c r="N27" t="b">
        <f>ISNUMBER(_xlfn.XMATCH(CONTROL[[#This Row],[VEHIDCODE]],GRAPHICS_PROPERTIES[VEHIDCODE],0))</f>
        <v>1</v>
      </c>
      <c r="O27" s="30" t="str">
        <f>"item_"&amp;CONTROL[[#This Row],[VEHIDCODE]]</f>
        <v>item_rbd_Lithuania_Lithuanian_Railways_AR2</v>
      </c>
      <c r="P27" s="30" t="str">
        <f>"str_"&amp;CONTROL[[#This Row],[VEHIDCODE]]</f>
        <v>str_rbd_Lithuania_Lithuanian_Railways_AR2</v>
      </c>
      <c r="Q27" s="10" t="b">
        <f>_xlfn.XLOOKUP(CONTROL[[#This Row],[VEHIDCODE]],PROPERTIES[VEHIDCODE],PROPERTIES[EXCLUDE])</f>
        <v>0</v>
      </c>
    </row>
    <row r="28" spans="1:17">
      <c r="A28" s="2" t="s">
        <v>47</v>
      </c>
      <c r="B28" s="30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43" t="s">
        <v>2254</v>
      </c>
      <c r="G28" t="s">
        <v>2255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Row],[VEHIDCODE]],roster!A:A,roster!C:C))</f>
        <v>1</v>
      </c>
      <c r="N28" t="b">
        <f>ISNUMBER(_xlfn.XMATCH(CONTROL[[#This Row],[VEHIDCODE]],GRAPHICS_PROPERTIES[VEHIDCODE],0))</f>
        <v>1</v>
      </c>
      <c r="O28" s="30" t="str">
        <f>"item_"&amp;CONTROL[[#This Row],[VEHIDCODE]]</f>
        <v>item_rbd_Austria_kkStB_19</v>
      </c>
      <c r="P28" s="30" t="str">
        <f>"str_"&amp;CONTROL[[#This Row],[VEHIDCODE]]</f>
        <v>str_rbd_Austria_kkStB_19</v>
      </c>
      <c r="Q28" s="10" t="b">
        <f>_xlfn.XLOOKUP(CONTROL[[#This Row],[VEHIDCODE]],PROPERTIES[VEHIDCODE],PROPERTIES[EXCLUDE])</f>
        <v>0</v>
      </c>
    </row>
    <row r="29" spans="1:17">
      <c r="A29" s="2" t="s">
        <v>48</v>
      </c>
      <c r="B29" s="30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43" t="s">
        <v>1037</v>
      </c>
      <c r="G29" t="s">
        <v>2256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Row],[VEHIDCODE]],roster!A:A,roster!C:C))</f>
        <v>1</v>
      </c>
      <c r="N29" t="b">
        <f>ISNUMBER(_xlfn.XMATCH(CONTROL[[#This Row],[VEHIDCODE]],GRAPHICS_PROPERTIES[VEHIDCODE],0))</f>
        <v>1</v>
      </c>
      <c r="O29" s="30" t="str">
        <f>"item_"&amp;CONTROL[[#This Row],[VEHIDCODE]]</f>
        <v>item_rbd_USA_Virginia_Truckee_Motor_Car_22</v>
      </c>
      <c r="P29" s="30" t="str">
        <f>"str_"&amp;CONTROL[[#This Row],[VEHIDCODE]]</f>
        <v>str_rbd_USA_Virginia_Truckee_Motor_Car_22</v>
      </c>
      <c r="Q29" s="10" t="b">
        <f>_xlfn.XLOOKUP(CONTROL[[#This Row],[VEHIDCODE]],PROPERTIES[VEHIDCODE],PROPERTIES[EXCLUDE])</f>
        <v>0</v>
      </c>
    </row>
    <row r="30" spans="1:17">
      <c r="A30" s="2" t="s">
        <v>49</v>
      </c>
      <c r="B30" s="30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43" t="s">
        <v>2258</v>
      </c>
      <c r="G30" t="s">
        <v>2257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Row],[VEHIDCODE]],roster!A:A,roster!C:C))</f>
        <v>1</v>
      </c>
      <c r="N30" t="b">
        <f>ISNUMBER(_xlfn.XMATCH(CONTROL[[#This Row],[VEHIDCODE]],GRAPHICS_PROPERTIES[VEHIDCODE],0))</f>
        <v>1</v>
      </c>
      <c r="O30" s="30" t="str">
        <f>"item_"&amp;CONTROL[[#This Row],[VEHIDCODE]]</f>
        <v>item_rbd_Germany_Saxon_DET_1_2</v>
      </c>
      <c r="P30" s="30" t="str">
        <f>"str_"&amp;CONTROL[[#This Row],[VEHIDCODE]]</f>
        <v>str_rbd_Germany_Saxon_DET_1_2</v>
      </c>
      <c r="Q30" s="10" t="b">
        <f>_xlfn.XLOOKUP(CONTROL[[#This Row],[VEHIDCODE]],PROPERTIES[VEHIDCODE],PROPERTIES[EXCLUDE])</f>
        <v>0</v>
      </c>
    </row>
    <row r="31" spans="1:17">
      <c r="A31" s="2" t="s">
        <v>50</v>
      </c>
      <c r="B31" s="30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43" t="s">
        <v>1038</v>
      </c>
      <c r="G31" t="s">
        <v>2259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Row],[VEHIDCODE]],roster!A:A,roster!C:C))</f>
        <v>1</v>
      </c>
      <c r="N31" t="b">
        <f>ISNUMBER(_xlfn.XMATCH(CONTROL[[#This Row],[VEHIDCODE]],GRAPHICS_PROPERTIES[VEHIDCODE],0))</f>
        <v>1</v>
      </c>
      <c r="O31" s="30" t="str">
        <f>"item_"&amp;CONTROL[[#This Row],[VEHIDCODE]]</f>
        <v>item_rbd_UK_WC_PR_Drewry_Railcar</v>
      </c>
      <c r="P31" s="30" t="str">
        <f>"str_"&amp;CONTROL[[#This Row],[VEHIDCODE]]</f>
        <v>str_rbd_UK_WC_PR_Drewry_Railcar</v>
      </c>
      <c r="Q31" s="10" t="b">
        <f>_xlfn.XLOOKUP(CONTROL[[#This Row],[VEHIDCODE]],PROPERTIES[VEHIDCODE],PROPERTIES[EXCLUDE])</f>
        <v>0</v>
      </c>
    </row>
    <row r="32" spans="1:17">
      <c r="A32" s="2" t="s">
        <v>51</v>
      </c>
      <c r="B32" s="30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43" t="s">
        <v>1039</v>
      </c>
      <c r="G32" t="s">
        <v>2260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Row],[VEHIDCODE]],roster!A:A,roster!C:C))</f>
        <v>1</v>
      </c>
      <c r="N32" t="b">
        <f>ISNUMBER(_xlfn.XMATCH(CONTROL[[#This Row],[VEHIDCODE]],GRAPHICS_PROPERTIES[VEHIDCODE],0))</f>
        <v>1</v>
      </c>
      <c r="O32" s="30" t="str">
        <f>"item_"&amp;CONTROL[[#This Row],[VEHIDCODE]]</f>
        <v>item_rbd_Germany_BSt_6001</v>
      </c>
      <c r="P32" s="30" t="str">
        <f>"str_"&amp;CONTROL[[#This Row],[VEHIDCODE]]</f>
        <v>str_rbd_Germany_BSt_6001</v>
      </c>
      <c r="Q32" s="10" t="b">
        <f>_xlfn.XLOOKUP(CONTROL[[#This Row],[VEHIDCODE]],PROPERTIES[VEHIDCODE],PROPERTIES[EXCLUDE])</f>
        <v>0</v>
      </c>
    </row>
    <row r="33" spans="1:17">
      <c r="A33" s="2" t="s">
        <v>52</v>
      </c>
      <c r="B33" s="30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43" t="s">
        <v>1040</v>
      </c>
      <c r="G33" t="s">
        <v>2261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Row],[VEHIDCODE]],roster!A:A,roster!C:C))</f>
        <v>1</v>
      </c>
      <c r="N33" t="b">
        <f>ISNUMBER(_xlfn.XMATCH(CONTROL[[#This Row],[VEHIDCODE]],GRAPHICS_PROPERTIES[VEHIDCODE],0))</f>
        <v>1</v>
      </c>
      <c r="O33" s="30" t="str">
        <f>"item_"&amp;CONTROL[[#This Row],[VEHIDCODE]]</f>
        <v>item_rbd_Australia_Victorian_Railways_DERM</v>
      </c>
      <c r="P33" s="30" t="str">
        <f>"str_"&amp;CONTROL[[#This Row],[VEHIDCODE]]</f>
        <v>str_rbd_Australia_Victorian_Railways_DERM</v>
      </c>
      <c r="Q33" s="10" t="b">
        <f>_xlfn.XLOOKUP(CONTROL[[#This Row],[VEHIDCODE]],PROPERTIES[VEHIDCODE],PROPERTIES[EXCLUDE])</f>
        <v>0</v>
      </c>
    </row>
    <row r="34" spans="1:17">
      <c r="A34" s="2" t="s">
        <v>53</v>
      </c>
      <c r="B34" s="30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43" t="s">
        <v>2991</v>
      </c>
      <c r="G34" t="s">
        <v>2262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Row],[VEHIDCODE]],roster!A:A,roster!C:C))</f>
        <v>1</v>
      </c>
      <c r="N34" t="b">
        <f>ISNUMBER(_xlfn.XMATCH(CONTROL[[#This Row],[VEHIDCODE]],GRAPHICS_PROPERTIES[VEHIDCODE],0))</f>
        <v>1</v>
      </c>
      <c r="O34" s="30" t="str">
        <f>"item_"&amp;CONTROL[[#This Row],[VEHIDCODE]]</f>
        <v>item_rbd_Czech_Republic_CD_M120</v>
      </c>
      <c r="P34" s="30" t="str">
        <f>"str_"&amp;CONTROL[[#This Row],[VEHIDCODE]]</f>
        <v>str_rbd_Czech_Republic_CD_M120</v>
      </c>
      <c r="Q34" s="10" t="b">
        <f>_xlfn.XLOOKUP(CONTROL[[#This Row],[VEHIDCODE]],PROPERTIES[VEHIDCODE],PROPERTIES[EXCLUDE])</f>
        <v>0</v>
      </c>
    </row>
    <row r="35" spans="1:17">
      <c r="A35" s="2" t="s">
        <v>54</v>
      </c>
      <c r="B35" s="30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43" t="s">
        <v>1041</v>
      </c>
      <c r="G35" t="s">
        <v>2263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Row],[VEHIDCODE]],roster!A:A,roster!C:C))</f>
        <v>1</v>
      </c>
      <c r="N35" t="b">
        <f>ISNUMBER(_xlfn.XMATCH(CONTROL[[#This Row],[VEHIDCODE]],GRAPHICS_PROPERTIES[VEHIDCODE],0))</f>
        <v>1</v>
      </c>
      <c r="O35" s="30" t="str">
        <f>"item_"&amp;CONTROL[[#This Row],[VEHIDCODE]]</f>
        <v>item_rbd_Germany_Schienenzeppelin</v>
      </c>
      <c r="P35" s="30" t="str">
        <f>"str_"&amp;CONTROL[[#This Row],[VEHIDCODE]]</f>
        <v>str_rbd_Germany_Schienenzeppelin</v>
      </c>
      <c r="Q35" s="10" t="b">
        <f>_xlfn.XLOOKUP(CONTROL[[#This Row],[VEHIDCODE]],PROPERTIES[VEHIDCODE],PROPERTIES[EXCLUDE])</f>
        <v>0</v>
      </c>
    </row>
    <row r="36" spans="1:17">
      <c r="A36" s="2" t="s">
        <v>55</v>
      </c>
      <c r="B36" s="30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43" t="s">
        <v>2266</v>
      </c>
      <c r="G36" t="s">
        <v>2265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Row],[VEHIDCODE]],roster!A:A,roster!C:C))</f>
        <v>1</v>
      </c>
      <c r="N36" t="b">
        <f>ISNUMBER(_xlfn.XMATCH(CONTROL[[#This Row],[VEHIDCODE]],GRAPHICS_PROPERTIES[VEHIDCODE],0))</f>
        <v>1</v>
      </c>
      <c r="O36" s="30" t="str">
        <f>"item_"&amp;CONTROL[[#This Row],[VEHIDCODE]]</f>
        <v>item_rbd_Denmark_DSB_MO</v>
      </c>
      <c r="P36" s="30" t="str">
        <f>"str_"&amp;CONTROL[[#This Row],[VEHIDCODE]]</f>
        <v>str_rbd_Denmark_DSB_MO</v>
      </c>
      <c r="Q36" s="10" t="b">
        <f>_xlfn.XLOOKUP(CONTROL[[#This Row],[VEHIDCODE]],PROPERTIES[VEHIDCODE],PROPERTIES[EXCLUDE])</f>
        <v>0</v>
      </c>
    </row>
    <row r="37" spans="1:17">
      <c r="A37" s="2" t="s">
        <v>56</v>
      </c>
      <c r="B37" s="30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43" t="s">
        <v>1042</v>
      </c>
      <c r="G37" t="s">
        <v>2264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Row],[VEHIDCODE]],roster!A:A,roster!C:C))</f>
        <v>1</v>
      </c>
      <c r="N37" t="b">
        <f>ISNUMBER(_xlfn.XMATCH(CONTROL[[#This Row],[VEHIDCODE]],GRAPHICS_PROPERTIES[VEHIDCODE],0))</f>
        <v>1</v>
      </c>
      <c r="O37" s="30" t="str">
        <f>"item_"&amp;CONTROL[[#This Row],[VEHIDCODE]]</f>
        <v>item_rbd_Norway_NSB_Cmb_17</v>
      </c>
      <c r="P37" s="30" t="str">
        <f>"str_"&amp;CONTROL[[#This Row],[VEHIDCODE]]</f>
        <v>str_rbd_Norway_NSB_Cmb_17</v>
      </c>
      <c r="Q37" s="10" t="b">
        <f>_xlfn.XLOOKUP(CONTROL[[#This Row],[VEHIDCODE]],PROPERTIES[VEHIDCODE],PROPERTIES[EXCLUDE])</f>
        <v>0</v>
      </c>
    </row>
    <row r="38" spans="1:17">
      <c r="A38" s="2" t="s">
        <v>57</v>
      </c>
      <c r="B38" s="30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43" t="s">
        <v>2992</v>
      </c>
      <c r="G38" t="s">
        <v>2267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Row],[VEHIDCODE]],roster!A:A,roster!C:C))</f>
        <v>1</v>
      </c>
      <c r="N38" t="b">
        <f>ISNUMBER(_xlfn.XMATCH(CONTROL[[#This Row],[VEHIDCODE]],GRAPHICS_PROPERTIES[VEHIDCODE],0))</f>
        <v>1</v>
      </c>
      <c r="O38" s="30" t="str">
        <f>"item_"&amp;CONTROL[[#This Row],[VEHIDCODE]]</f>
        <v>item_rbd_Czech_Republic_CD_M290</v>
      </c>
      <c r="P38" s="30" t="str">
        <f>"str_"&amp;CONTROL[[#This Row],[VEHIDCODE]]</f>
        <v>str_rbd_Czech_Republic_CD_M290</v>
      </c>
      <c r="Q38" s="10" t="b">
        <f>_xlfn.XLOOKUP(CONTROL[[#This Row],[VEHIDCODE]],PROPERTIES[VEHIDCODE],PROPERTIES[EXCLUDE])</f>
        <v>0</v>
      </c>
    </row>
    <row r="39" spans="1:17">
      <c r="A39" s="2" t="s">
        <v>58</v>
      </c>
      <c r="B39" s="30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43" t="s">
        <v>2269</v>
      </c>
      <c r="G39" t="s">
        <v>2268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Row],[VEHIDCODE]],roster!A:A,roster!C:C))</f>
        <v>1</v>
      </c>
      <c r="N39" t="b">
        <f>ISNUMBER(_xlfn.XMATCH(CONTROL[[#This Row],[VEHIDCODE]],GRAPHICS_PROPERTIES[VEHIDCODE],0))</f>
        <v>1</v>
      </c>
      <c r="O39" s="30" t="str">
        <f>"item_"&amp;CONTROL[[#This Row],[VEHIDCODE]]</f>
        <v>item_rbd_Netherlands_NS_omBC</v>
      </c>
      <c r="P39" s="30" t="str">
        <f>"str_"&amp;CONTROL[[#This Row],[VEHIDCODE]]</f>
        <v>str_rbd_Netherlands_NS_omBC</v>
      </c>
      <c r="Q39" s="10" t="b">
        <f>_xlfn.XLOOKUP(CONTROL[[#This Row],[VEHIDCODE]],PROPERTIES[VEHIDCODE],PROPERTIES[EXCLUDE])</f>
        <v>0</v>
      </c>
    </row>
    <row r="40" spans="1:17">
      <c r="A40" s="2" t="s">
        <v>59</v>
      </c>
      <c r="B40" s="30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43" t="s">
        <v>1043</v>
      </c>
      <c r="G40" t="s">
        <v>2270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Row],[VEHIDCODE]],roster!A:A,roster!C:C))</f>
        <v>1</v>
      </c>
      <c r="N40" t="b">
        <f>ISNUMBER(_xlfn.XMATCH(CONTROL[[#This Row],[VEHIDCODE]],GRAPHICS_PROPERTIES[VEHIDCODE],0))</f>
        <v>1</v>
      </c>
      <c r="O40" s="30" t="str">
        <f>"item_"&amp;CONTROL[[#This Row],[VEHIDCODE]]</f>
        <v>item_rbd_Australia_NSWGR_Class_400</v>
      </c>
      <c r="P40" s="30" t="str">
        <f>"str_"&amp;CONTROL[[#This Row],[VEHIDCODE]]</f>
        <v>str_rbd_Australia_NSWGR_Class_400</v>
      </c>
      <c r="Q40" s="10" t="b">
        <f>_xlfn.XLOOKUP(CONTROL[[#This Row],[VEHIDCODE]],PROPERTIES[VEHIDCODE],PROPERTIES[EXCLUDE])</f>
        <v>0</v>
      </c>
    </row>
    <row r="41" spans="1:17">
      <c r="A41" s="2" t="s">
        <v>60</v>
      </c>
      <c r="B41" s="30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43" t="s">
        <v>1044</v>
      </c>
      <c r="G41" t="s">
        <v>2271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Row],[VEHIDCODE]],roster!A:A,roster!C:C))</f>
        <v>1</v>
      </c>
      <c r="N41" t="b">
        <f>ISNUMBER(_xlfn.XMATCH(CONTROL[[#This Row],[VEHIDCODE]],GRAPHICS_PROPERTIES[VEHIDCODE],0))</f>
        <v>1</v>
      </c>
      <c r="O41" s="30" t="str">
        <f>"item_"&amp;CONTROL[[#This Row],[VEHIDCODE]]</f>
        <v>item_rbd_Portugal_CP_USD_9050</v>
      </c>
      <c r="P41" s="30" t="str">
        <f>"str_"&amp;CONTROL[[#This Row],[VEHIDCODE]]</f>
        <v>str_rbd_Portugal_CP_USD_9050</v>
      </c>
      <c r="Q41" s="10" t="b">
        <f>_xlfn.XLOOKUP(CONTROL[[#This Row],[VEHIDCODE]],PROPERTIES[VEHIDCODE],PROPERTIES[EXCLUDE])</f>
        <v>0</v>
      </c>
    </row>
    <row r="42" spans="1:17">
      <c r="A42" s="2" t="s">
        <v>61</v>
      </c>
      <c r="B42" s="30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43" t="s">
        <v>2273</v>
      </c>
      <c r="G42" t="s">
        <v>2272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Row],[VEHIDCODE]],roster!A:A,roster!C:C))</f>
        <v>1</v>
      </c>
      <c r="N42" t="b">
        <f>ISNUMBER(_xlfn.XMATCH(CONTROL[[#This Row],[VEHIDCODE]],GRAPHICS_PROPERTIES[VEHIDCODE],0))</f>
        <v>1</v>
      </c>
      <c r="O42" s="30" t="str">
        <f>"item_"&amp;CONTROL[[#This Row],[VEHIDCODE]]</f>
        <v>item_rbd_Belgium_SNCB_Class_42</v>
      </c>
      <c r="P42" s="30" t="str">
        <f>"str_"&amp;CONTROL[[#This Row],[VEHIDCODE]]</f>
        <v>str_rbd_Belgium_SNCB_Class_42</v>
      </c>
      <c r="Q42" s="10" t="b">
        <f>_xlfn.XLOOKUP(CONTROL[[#This Row],[VEHIDCODE]],PROPERTIES[VEHIDCODE],PROPERTIES[EXCLUDE])</f>
        <v>0</v>
      </c>
    </row>
    <row r="43" spans="1:17">
      <c r="A43" s="2" t="s">
        <v>62</v>
      </c>
      <c r="B43" s="30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43" t="s">
        <v>2961</v>
      </c>
      <c r="G43" t="s">
        <v>2274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Row],[VEHIDCODE]],roster!A:A,roster!C:C))</f>
        <v>1</v>
      </c>
      <c r="N43" t="b">
        <f>ISNUMBER(_xlfn.XMATCH(CONTROL[[#This Row],[VEHIDCODE]],GRAPHICS_PROPERTIES[VEHIDCODE],0))</f>
        <v>1</v>
      </c>
      <c r="O43" s="30" t="str">
        <f>"item_"&amp;CONTROL[[#This Row],[VEHIDCODE]]</f>
        <v>item_rbd_Bulgaria_BDZ_19</v>
      </c>
      <c r="P43" s="30" t="str">
        <f>"str_"&amp;CONTROL[[#This Row],[VEHIDCODE]]</f>
        <v>str_rbd_Bulgaria_BDZ_19</v>
      </c>
      <c r="Q43" s="10" t="b">
        <f>_xlfn.XLOOKUP(CONTROL[[#This Row],[VEHIDCODE]],PROPERTIES[VEHIDCODE],PROPERTIES[EXCLUDE])</f>
        <v>0</v>
      </c>
    </row>
    <row r="44" spans="1:17">
      <c r="A44" s="2" t="s">
        <v>63</v>
      </c>
      <c r="B44" s="30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43" t="s">
        <v>1045</v>
      </c>
      <c r="G44" t="s">
        <v>2275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Row],[VEHIDCODE]],roster!A:A,roster!C:C))</f>
        <v>1</v>
      </c>
      <c r="N44" t="b">
        <f>ISNUMBER(_xlfn.XMATCH(CONTROL[[#This Row],[VEHIDCODE]],GRAPHICS_PROPERTIES[VEHIDCODE],0))</f>
        <v>1</v>
      </c>
      <c r="O44" s="30" t="str">
        <f>"item_"&amp;CONTROL[[#This Row],[VEHIDCODE]]</f>
        <v>item_rbd_Greece_OSE_AA71</v>
      </c>
      <c r="P44" s="30" t="str">
        <f>"str_"&amp;CONTROL[[#This Row],[VEHIDCODE]]</f>
        <v>str_rbd_Greece_OSE_AA71</v>
      </c>
      <c r="Q44" s="10" t="b">
        <f>_xlfn.XLOOKUP(CONTROL[[#This Row],[VEHIDCODE]],PROPERTIES[VEHIDCODE],PROPERTIES[EXCLUDE])</f>
        <v>0</v>
      </c>
    </row>
    <row r="45" spans="1:17">
      <c r="A45" s="2" t="s">
        <v>64</v>
      </c>
      <c r="B45" s="30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43" t="s">
        <v>2276</v>
      </c>
      <c r="G45" t="s">
        <v>2277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Row],[VEHIDCODE]],roster!A:A,roster!C:C))</f>
        <v>1</v>
      </c>
      <c r="N45" t="b">
        <f>ISNUMBER(_xlfn.XMATCH(CONTROL[[#This Row],[VEHIDCODE]],GRAPHICS_PROPERTIES[VEHIDCODE],0))</f>
        <v>1</v>
      </c>
      <c r="O45" s="30" t="str">
        <f>"item_"&amp;CONTROL[[#This Row],[VEHIDCODE]]</f>
        <v>item_rbd_Tunisia_SNCFT_Z431</v>
      </c>
      <c r="P45" s="30" t="str">
        <f>"str_"&amp;CONTROL[[#This Row],[VEHIDCODE]]</f>
        <v>str_rbd_Tunisia_SNCFT_Z431</v>
      </c>
      <c r="Q45" s="10" t="b">
        <f>_xlfn.XLOOKUP(CONTROL[[#This Row],[VEHIDCODE]],PROPERTIES[VEHIDCODE],PROPERTIES[EXCLUDE])</f>
        <v>0</v>
      </c>
    </row>
    <row r="46" spans="1:17">
      <c r="A46" s="2" t="s">
        <v>65</v>
      </c>
      <c r="B46" s="30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43" t="s">
        <v>2278</v>
      </c>
      <c r="G46" t="s">
        <v>2279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Row],[VEHIDCODE]],roster!A:A,roster!C:C))</f>
        <v>1</v>
      </c>
      <c r="N46" t="b">
        <f>ISNUMBER(_xlfn.XMATCH(CONTROL[[#This Row],[VEHIDCODE]],GRAPHICS_PROPERTIES[VEHIDCODE],0))</f>
        <v>1</v>
      </c>
      <c r="O46" s="30" t="str">
        <f>"item_"&amp;CONTROL[[#This Row],[VEHIDCODE]]</f>
        <v>item_rbd_USA_Amtrak_SPV_200</v>
      </c>
      <c r="P46" s="30" t="str">
        <f>"str_"&amp;CONTROL[[#This Row],[VEHIDCODE]]</f>
        <v>str_rbd_USA_Amtrak_SPV_200</v>
      </c>
      <c r="Q46" s="10" t="b">
        <f>_xlfn.XLOOKUP(CONTROL[[#This Row],[VEHIDCODE]],PROPERTIES[VEHIDCODE],PROPERTIES[EXCLUDE])</f>
        <v>0</v>
      </c>
    </row>
    <row r="47" spans="1:17">
      <c r="A47" s="2" t="s">
        <v>66</v>
      </c>
      <c r="B47" s="30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43" t="s">
        <v>1046</v>
      </c>
      <c r="G47" t="s">
        <v>2280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Row],[VEHIDCODE]],roster!A:A,roster!C:C))</f>
        <v>1</v>
      </c>
      <c r="N47" t="b">
        <f>ISNUMBER(_xlfn.XMATCH(CONTROL[[#This Row],[VEHIDCODE]],GRAPHICS_PROPERTIES[VEHIDCODE],0))</f>
        <v>1</v>
      </c>
      <c r="O47" s="30" t="str">
        <f>"item_"&amp;CONTROL[[#This Row],[VEHIDCODE]]</f>
        <v>item_rbd_Finland_VR_Dm12</v>
      </c>
      <c r="P47" s="30" t="str">
        <f>"str_"&amp;CONTROL[[#This Row],[VEHIDCODE]]</f>
        <v>str_rbd_Finland_VR_Dm12</v>
      </c>
      <c r="Q47" s="10" t="b">
        <f>_xlfn.XLOOKUP(CONTROL[[#This Row],[VEHIDCODE]],PROPERTIES[VEHIDCODE],PROPERTIES[EXCLUDE])</f>
        <v>0</v>
      </c>
    </row>
    <row r="48" spans="1:17">
      <c r="A48" s="2" t="s">
        <v>67</v>
      </c>
      <c r="B48" s="30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43" t="s">
        <v>2993</v>
      </c>
      <c r="G48" t="s">
        <v>2281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Row],[VEHIDCODE]],roster!A:A,roster!C:C))</f>
        <v>1</v>
      </c>
      <c r="N48" t="b">
        <f>ISNUMBER(_xlfn.XMATCH(CONTROL[[#This Row],[VEHIDCODE]],GRAPHICS_PROPERTIES[VEHIDCODE],0))</f>
        <v>1</v>
      </c>
      <c r="O48" s="30" t="str">
        <f>"item_"&amp;CONTROL[[#This Row],[VEHIDCODE]]</f>
        <v>item_rbd_Czech_Republic_CD_840</v>
      </c>
      <c r="P48" s="30" t="str">
        <f>"str_"&amp;CONTROL[[#This Row],[VEHIDCODE]]</f>
        <v>str_rbd_Czech_Republic_CD_840</v>
      </c>
      <c r="Q48" s="10" t="b">
        <f>_xlfn.XLOOKUP(CONTROL[[#This Row],[VEHIDCODE]],PROPERTIES[VEHIDCODE],PROPERTIES[EXCLUDE])</f>
        <v>0</v>
      </c>
    </row>
    <row r="49" spans="1:17">
      <c r="A49" s="2" t="s">
        <v>68</v>
      </c>
      <c r="B49" s="30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43" t="s">
        <v>2283</v>
      </c>
      <c r="G49" t="s">
        <v>2282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Row],[VEHIDCODE]],roster!A:A,roster!C:C))</f>
        <v>1</v>
      </c>
      <c r="N49" t="b">
        <f>ISNUMBER(_xlfn.XMATCH(CONTROL[[#This Row],[VEHIDCODE]],GRAPHICS_PROPERTIES[VEHIDCODE],0))</f>
        <v>1</v>
      </c>
      <c r="O49" s="30" t="str">
        <f>"item_"&amp;CONTROL[[#This Row],[VEHIDCODE]]</f>
        <v>item_rbd_Italy_FS_ALn_668</v>
      </c>
      <c r="P49" s="30" t="str">
        <f>"str_"&amp;CONTROL[[#This Row],[VEHIDCODE]]</f>
        <v>str_rbd_Italy_FS_ALn_668</v>
      </c>
      <c r="Q49" s="10" t="b">
        <f>_xlfn.XLOOKUP(CONTROL[[#This Row],[VEHIDCODE]],PROPERTIES[VEHIDCODE],PROPERTIES[EXCLUDE])</f>
        <v>0</v>
      </c>
    </row>
    <row r="50" spans="1:17">
      <c r="A50" s="2" t="s">
        <v>69</v>
      </c>
      <c r="B50" s="30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43" t="s">
        <v>2994</v>
      </c>
      <c r="G50" t="s">
        <v>2284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Row],[VEHIDCODE]],roster!A:A,roster!C:C))</f>
        <v>1</v>
      </c>
      <c r="N50" t="b">
        <f>ISNUMBER(_xlfn.XMATCH(CONTROL[[#This Row],[VEHIDCODE]],GRAPHICS_PROPERTIES[VEHIDCODE],0))</f>
        <v>1</v>
      </c>
      <c r="O50" s="30" t="str">
        <f>"item_"&amp;CONTROL[[#This Row],[VEHIDCODE]]</f>
        <v>item_rbe_Czech_Republic_CD_M400</v>
      </c>
      <c r="P50" s="30" t="str">
        <f>"str_"&amp;CONTROL[[#This Row],[VEHIDCODE]]</f>
        <v>str_rbe_Czech_Republic_CD_M400</v>
      </c>
      <c r="Q50" s="10" t="b">
        <f>_xlfn.XLOOKUP(CONTROL[[#This Row],[VEHIDCODE]],PROPERTIES[VEHIDCODE],PROPERTIES[EXCLUDE])</f>
        <v>0</v>
      </c>
    </row>
    <row r="51" spans="1:17">
      <c r="A51" s="2" t="s">
        <v>71</v>
      </c>
      <c r="B51" s="30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43" t="s">
        <v>1047</v>
      </c>
      <c r="G51" t="s">
        <v>2285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Row],[VEHIDCODE]],roster!A:A,roster!C:C))</f>
        <v>1</v>
      </c>
      <c r="N51" t="b">
        <f>ISNUMBER(_xlfn.XMATCH(CONTROL[[#This Row],[VEHIDCODE]],GRAPHICS_PROPERTIES[VEHIDCODE],0))</f>
        <v>1</v>
      </c>
      <c r="O51" s="30" t="str">
        <f>"item_"&amp;CONTROL[[#This Row],[VEHIDCODE]]</f>
        <v>item_rbe_France_SNCF_Z_7100</v>
      </c>
      <c r="P51" s="30" t="str">
        <f>"str_"&amp;CONTROL[[#This Row],[VEHIDCODE]]</f>
        <v>str_rbe_France_SNCF_Z_7100</v>
      </c>
      <c r="Q51" s="10" t="b">
        <f>_xlfn.XLOOKUP(CONTROL[[#This Row],[VEHIDCODE]],PROPERTIES[VEHIDCODE],PROPERTIES[EXCLUDE])</f>
        <v>0</v>
      </c>
    </row>
    <row r="52" spans="1:17">
      <c r="A52" s="2" t="s">
        <v>72</v>
      </c>
      <c r="B52" s="30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43" t="s">
        <v>1048</v>
      </c>
      <c r="G52" t="s">
        <v>2286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Row],[VEHIDCODE]],roster!A:A,roster!C:C))</f>
        <v>1</v>
      </c>
      <c r="N52" t="b">
        <f>ISNUMBER(_xlfn.XMATCH(CONTROL[[#This Row],[VEHIDCODE]],GRAPHICS_PROPERTIES[VEHIDCODE],0))</f>
        <v>1</v>
      </c>
      <c r="O52" s="30" t="str">
        <f>"item_"&amp;CONTROL[[#This Row],[VEHIDCODE]]</f>
        <v>item_rbe_Germany_Buckower_Kleinbahn_Nr_1_3</v>
      </c>
      <c r="P52" s="30" t="str">
        <f>"str_"&amp;CONTROL[[#This Row],[VEHIDCODE]]</f>
        <v>str_rbe_Germany_Buckower_Kleinbahn_Nr_1_3</v>
      </c>
      <c r="Q52" s="10" t="b">
        <f>_xlfn.XLOOKUP(CONTROL[[#This Row],[VEHIDCODE]],PROPERTIES[VEHIDCODE],PROPERTIES[EXCLUDE])</f>
        <v>0</v>
      </c>
    </row>
    <row r="53" spans="1:17">
      <c r="A53" s="2" t="s">
        <v>73</v>
      </c>
      <c r="B53" s="30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43" t="s">
        <v>2289</v>
      </c>
      <c r="G53" t="s">
        <v>2288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Row],[VEHIDCODE]],roster!A:A,roster!C:C))</f>
        <v>1</v>
      </c>
      <c r="N53" t="b">
        <f>ISNUMBER(_xlfn.XMATCH(CONTROL[[#This Row],[VEHIDCODE]],GRAPHICS_PROPERTIES[VEHIDCODE],0))</f>
        <v>1</v>
      </c>
      <c r="O53" s="30" t="str">
        <f>"item_"&amp;CONTROL[[#This Row],[VEHIDCODE]]</f>
        <v>item_rbe_Germany_DB_4792</v>
      </c>
      <c r="P53" s="30" t="str">
        <f>"str_"&amp;CONTROL[[#This Row],[VEHIDCODE]]</f>
        <v>str_rbe_Germany_DB_4792</v>
      </c>
      <c r="Q53" s="10" t="b">
        <f>_xlfn.XLOOKUP(CONTROL[[#This Row],[VEHIDCODE]],PROPERTIES[VEHIDCODE],PROPERTIES[EXCLUDE])</f>
        <v>0</v>
      </c>
    </row>
    <row r="54" spans="1:17">
      <c r="A54" s="2" t="s">
        <v>74</v>
      </c>
      <c r="B54" s="30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43" t="s">
        <v>2962</v>
      </c>
      <c r="G54" t="s">
        <v>2287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Row],[VEHIDCODE]],roster!A:A,roster!C:C))</f>
        <v>1</v>
      </c>
      <c r="N54" t="b">
        <f>ISNUMBER(_xlfn.XMATCH(CONTROL[[#This Row],[VEHIDCODE]],GRAPHICS_PROPERTIES[VEHIDCODE],0))</f>
        <v>1</v>
      </c>
      <c r="O54" s="30" t="str">
        <f>"item_"&amp;CONTROL[[#This Row],[VEHIDCODE]]</f>
        <v>item_rbe_Slovakia_ZSSK_490</v>
      </c>
      <c r="P54" s="30" t="str">
        <f>"str_"&amp;CONTROL[[#This Row],[VEHIDCODE]]</f>
        <v>str_rbe_Slovakia_ZSSK_490</v>
      </c>
      <c r="Q54" s="10" t="b">
        <f>_xlfn.XLOOKUP(CONTROL[[#This Row],[VEHIDCODE]],PROPERTIES[VEHIDCODE],PROPERTIES[EXCLUDE])</f>
        <v>0</v>
      </c>
    </row>
    <row r="55" spans="1:17">
      <c r="A55" s="2" t="s">
        <v>75</v>
      </c>
      <c r="B55" s="30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43" t="s">
        <v>1049</v>
      </c>
      <c r="G55" t="s">
        <v>2290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Row],[VEHIDCODE]],roster!A:A,roster!C:C))</f>
        <v>1</v>
      </c>
      <c r="N55" t="b">
        <f>ISNUMBER(_xlfn.XMATCH(CONTROL[[#This Row],[VEHIDCODE]],GRAPHICS_PROPERTIES[VEHIDCODE],0))</f>
        <v>1</v>
      </c>
      <c r="O55" s="30" t="str">
        <f>"item_"&amp;CONTROL[[#This Row],[VEHIDCODE]]</f>
        <v>item_rbe_Italy_FS_ALe_840</v>
      </c>
      <c r="P55" s="30" t="str">
        <f>"str_"&amp;CONTROL[[#This Row],[VEHIDCODE]]</f>
        <v>str_rbe_Italy_FS_ALe_840</v>
      </c>
      <c r="Q55" s="10" t="b">
        <f>_xlfn.XLOOKUP(CONTROL[[#This Row],[VEHIDCODE]],PROPERTIES[VEHIDCODE],PROPERTIES[EXCLUDE])</f>
        <v>0</v>
      </c>
    </row>
    <row r="56" spans="1:17">
      <c r="A56" s="2" t="s">
        <v>76</v>
      </c>
      <c r="B56" s="30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43" t="s">
        <v>1050</v>
      </c>
      <c r="G56" t="s">
        <v>2291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Row],[VEHIDCODE]],roster!A:A,roster!C:C))</f>
        <v>1</v>
      </c>
      <c r="N56" t="b">
        <f>ISNUMBER(_xlfn.XMATCH(CONTROL[[#This Row],[VEHIDCODE]],GRAPHICS_PROPERTIES[VEHIDCODE],0))</f>
        <v>1</v>
      </c>
      <c r="O56" s="30" t="str">
        <f>"item_"&amp;CONTROL[[#This Row],[VEHIDCODE]]</f>
        <v>item_rbe_Italy_FG_ALe_80</v>
      </c>
      <c r="P56" s="30" t="str">
        <f>"str_"&amp;CONTROL[[#This Row],[VEHIDCODE]]</f>
        <v>str_rbe_Italy_FG_ALe_80</v>
      </c>
      <c r="Q56" s="10" t="b">
        <f>_xlfn.XLOOKUP(CONTROL[[#This Row],[VEHIDCODE]],PROPERTIES[VEHIDCODE],PROPERTIES[EXCLUDE])</f>
        <v>0</v>
      </c>
    </row>
    <row r="57" spans="1:17">
      <c r="A57" s="2" t="s">
        <v>77</v>
      </c>
      <c r="B57" s="30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43" t="s">
        <v>1051</v>
      </c>
      <c r="G57" t="s">
        <v>2292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Row],[VEHIDCODE]],roster!A:A,roster!C:C))</f>
        <v>1</v>
      </c>
      <c r="N57" t="b">
        <f>ISNUMBER(_xlfn.XMATCH(CONTROL[[#This Row],[VEHIDCODE]],GRAPHICS_PROPERTIES[VEHIDCODE],0))</f>
        <v>1</v>
      </c>
      <c r="O57" s="30" t="str">
        <f>"item_"&amp;CONTROL[[#This Row],[VEHIDCODE]]</f>
        <v>item_rbe_Italy_FS_E623</v>
      </c>
      <c r="P57" s="30" t="str">
        <f>"str_"&amp;CONTROL[[#This Row],[VEHIDCODE]]</f>
        <v>str_rbe_Italy_FS_E623</v>
      </c>
      <c r="Q57" s="10" t="b">
        <f>_xlfn.XLOOKUP(CONTROL[[#This Row],[VEHIDCODE]],PROPERTIES[VEHIDCODE],PROPERTIES[EXCLUDE])</f>
        <v>0</v>
      </c>
    </row>
    <row r="58" spans="1:17">
      <c r="A58" s="2" t="s">
        <v>78</v>
      </c>
      <c r="B58" s="30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43" t="s">
        <v>1705</v>
      </c>
      <c r="G58" t="s">
        <v>2293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Row],[VEHIDCODE]],roster!A:A,roster!C:C))</f>
        <v>1</v>
      </c>
      <c r="N58" t="b">
        <f>ISNUMBER(_xlfn.XMATCH(CONTROL[[#This Row],[VEHIDCODE]],GRAPHICS_PROPERTIES[VEHIDCODE],0))</f>
        <v>1</v>
      </c>
      <c r="O58" s="30" t="str">
        <f>"item_"&amp;CONTROL[[#This Row],[VEHIDCODE]]</f>
        <v>item_rbe_Morocco_ONCFM_ZAB1000</v>
      </c>
      <c r="P58" s="30" t="str">
        <f>"str_"&amp;CONTROL[[#This Row],[VEHIDCODE]]</f>
        <v>str_rbe_Morocco_ONCFM_ZAB1000</v>
      </c>
      <c r="Q58" s="10" t="b">
        <f>_xlfn.XLOOKUP(CONTROL[[#This Row],[VEHIDCODE]],PROPERTIES[VEHIDCODE],PROPERTIES[EXCLUDE])</f>
        <v>0</v>
      </c>
    </row>
    <row r="59" spans="1:17">
      <c r="A59" s="2" t="s">
        <v>79</v>
      </c>
      <c r="B59" s="30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43" t="s">
        <v>1052</v>
      </c>
      <c r="G59" t="s">
        <v>2294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Row],[VEHIDCODE]],roster!A:A,roster!C:C))</f>
        <v>1</v>
      </c>
      <c r="N59" t="b">
        <f>ISNUMBER(_xlfn.XMATCH(CONTROL[[#This Row],[VEHIDCODE]],GRAPHICS_PROPERTIES[VEHIDCODE],0))</f>
        <v>1</v>
      </c>
      <c r="O59" s="30" t="str">
        <f>"item_"&amp;CONTROL[[#This Row],[VEHIDCODE]]</f>
        <v>item_rbe_Poland_PKP_EN81</v>
      </c>
      <c r="P59" s="30" t="str">
        <f>"str_"&amp;CONTROL[[#This Row],[VEHIDCODE]]</f>
        <v>str_rbe_Poland_PKP_EN81</v>
      </c>
      <c r="Q59" s="10" t="b">
        <f>_xlfn.XLOOKUP(CONTROL[[#This Row],[VEHIDCODE]],PROPERTIES[VEHIDCODE],PROPERTIES[EXCLUDE])</f>
        <v>0</v>
      </c>
    </row>
    <row r="60" spans="1:17">
      <c r="A60" s="2" t="s">
        <v>80</v>
      </c>
      <c r="B60" s="30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43" t="s">
        <v>2973</v>
      </c>
      <c r="G60" t="s">
        <v>2295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Row],[VEHIDCODE]],roster!A:A,roster!C:C))</f>
        <v>1</v>
      </c>
      <c r="N60" t="b">
        <f>ISNUMBER(_xlfn.XMATCH(CONTROL[[#This Row],[VEHIDCODE]],GRAPHICS_PROPERTIES[VEHIDCODE],0))</f>
        <v>1</v>
      </c>
      <c r="O60" s="30" t="str">
        <f>"item_"&amp;CONTROL[[#This Row],[VEHIDCODE]]</f>
        <v>item_rbe_Austria_OBB_4855</v>
      </c>
      <c r="P60" s="30" t="str">
        <f>"str_"&amp;CONTROL[[#This Row],[VEHIDCODE]]</f>
        <v>str_rbe_Austria_OBB_4855</v>
      </c>
      <c r="Q60" s="10" t="b">
        <f>_xlfn.XLOOKUP(CONTROL[[#This Row],[VEHIDCODE]],PROPERTIES[VEHIDCODE],PROPERTIES[EXCLUDE])</f>
        <v>0</v>
      </c>
    </row>
    <row r="61" spans="1:17">
      <c r="A61" s="2" t="s">
        <v>81</v>
      </c>
      <c r="B61" s="30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43" t="s">
        <v>1053</v>
      </c>
      <c r="G61" t="s">
        <v>2296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Row],[VEHIDCODE]],roster!A:A,roster!C:C))</f>
        <v>1</v>
      </c>
      <c r="N61" t="b">
        <f>ISNUMBER(_xlfn.XMATCH(CONTROL[[#This Row],[VEHIDCODE]],GRAPHICS_PROPERTIES[VEHIDCODE],0))</f>
        <v>1</v>
      </c>
      <c r="O61" s="30" t="str">
        <f>"item_"&amp;CONTROL[[#This Row],[VEHIDCODE]]</f>
        <v>item_rbe_Austria_MBS_ET_10109</v>
      </c>
      <c r="P61" s="30" t="str">
        <f>"str_"&amp;CONTROL[[#This Row],[VEHIDCODE]]</f>
        <v>str_rbe_Austria_MBS_ET_10109</v>
      </c>
      <c r="Q61" s="10" t="b">
        <f>_xlfn.XLOOKUP(CONTROL[[#This Row],[VEHIDCODE]],PROPERTIES[VEHIDCODE],PROPERTIES[EXCLUDE])</f>
        <v>0</v>
      </c>
    </row>
    <row r="62" spans="1:17">
      <c r="A62" s="2" t="s">
        <v>82</v>
      </c>
      <c r="B62" s="30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43" t="s">
        <v>1054</v>
      </c>
      <c r="G62" t="s">
        <v>2297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Row],[VEHIDCODE]],roster!A:A,roster!C:C))</f>
        <v>1</v>
      </c>
      <c r="N62" t="b">
        <f>ISNUMBER(_xlfn.XMATCH(CONTROL[[#This Row],[VEHIDCODE]],GRAPHICS_PROPERTIES[VEHIDCODE],0))</f>
        <v>1</v>
      </c>
      <c r="O62" s="30" t="str">
        <f>"item_"&amp;CONTROL[[#This Row],[VEHIDCODE]]</f>
        <v>item_rbe_Germany_DB_ET_85</v>
      </c>
      <c r="P62" s="30" t="str">
        <f>"str_"&amp;CONTROL[[#This Row],[VEHIDCODE]]</f>
        <v>str_rbe_Germany_DB_ET_85</v>
      </c>
      <c r="Q62" s="10" t="b">
        <f>_xlfn.XLOOKUP(CONTROL[[#This Row],[VEHIDCODE]],PROPERTIES[VEHIDCODE],PROPERTIES[EXCLUDE])</f>
        <v>0</v>
      </c>
    </row>
    <row r="63" spans="1:17">
      <c r="A63" s="2" t="s">
        <v>83</v>
      </c>
      <c r="B63" s="30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43" t="s">
        <v>1055</v>
      </c>
      <c r="G63" t="s">
        <v>2298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Row],[VEHIDCODE]],roster!A:A,roster!C:C))</f>
        <v>1</v>
      </c>
      <c r="N63" t="b">
        <f>ISNUMBER(_xlfn.XMATCH(CONTROL[[#This Row],[VEHIDCODE]],GRAPHICS_PROPERTIES[VEHIDCODE],0))</f>
        <v>1</v>
      </c>
      <c r="O63" s="30" t="str">
        <f>"item_"&amp;CONTROL[[#This Row],[VEHIDCODE]]</f>
        <v>item_rbe_Sweden_SJ_X16</v>
      </c>
      <c r="P63" s="30" t="str">
        <f>"str_"&amp;CONTROL[[#This Row],[VEHIDCODE]]</f>
        <v>str_rbe_Sweden_SJ_X16</v>
      </c>
      <c r="Q63" s="10" t="b">
        <f>_xlfn.XLOOKUP(CONTROL[[#This Row],[VEHIDCODE]],PROPERTIES[VEHIDCODE],PROPERTIES[EXCLUDE])</f>
        <v>0</v>
      </c>
    </row>
    <row r="64" spans="1:17">
      <c r="A64" s="2" t="s">
        <v>84</v>
      </c>
      <c r="B64" s="30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43" t="s">
        <v>1056</v>
      </c>
      <c r="G64" t="s">
        <v>2299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Row],[VEHIDCODE]],roster!A:A,roster!C:C))</f>
        <v>1</v>
      </c>
      <c r="N64" t="b">
        <f>ISNUMBER(_xlfn.XMATCH(CONTROL[[#This Row],[VEHIDCODE]],GRAPHICS_PROPERTIES[VEHIDCODE],0))</f>
        <v>1</v>
      </c>
      <c r="O64" s="30" t="str">
        <f>"item_"&amp;CONTROL[[#This Row],[VEHIDCODE]]</f>
        <v>item_rbe_USA_Pennsylvania_Railroad_Silverliner_II</v>
      </c>
      <c r="P64" s="30" t="str">
        <f>"str_"&amp;CONTROL[[#This Row],[VEHIDCODE]]</f>
        <v>str_rbe_USA_Pennsylvania_Railroad_Silverliner_II</v>
      </c>
      <c r="Q64" s="10" t="b">
        <f>_xlfn.XLOOKUP(CONTROL[[#This Row],[VEHIDCODE]],PROPERTIES[VEHIDCODE],PROPERTIES[EXCLUDE])</f>
        <v>0</v>
      </c>
    </row>
    <row r="65" spans="1:17">
      <c r="A65" s="2" t="s">
        <v>85</v>
      </c>
      <c r="B65" s="30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43" t="s">
        <v>1057</v>
      </c>
      <c r="G65" t="s">
        <v>2300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Row],[VEHIDCODE]],roster!A:A,roster!C:C))</f>
        <v>1</v>
      </c>
      <c r="N65" t="b">
        <f>ISNUMBER(_xlfn.XMATCH(CONTROL[[#This Row],[VEHIDCODE]],GRAPHICS_PROPERTIES[VEHIDCODE],0))</f>
        <v>1</v>
      </c>
      <c r="O65" s="30" t="str">
        <f>"item_"&amp;CONTROL[[#This Row],[VEHIDCODE]]</f>
        <v>item_rbe_USA_SEPTA_Silverliner_V</v>
      </c>
      <c r="P65" s="30" t="str">
        <f>"str_"&amp;CONTROL[[#This Row],[VEHIDCODE]]</f>
        <v>str_rbe_USA_SEPTA_Silverliner_V</v>
      </c>
      <c r="Q65" s="10" t="b">
        <f>_xlfn.XLOOKUP(CONTROL[[#This Row],[VEHIDCODE]],PROPERTIES[VEHIDCODE],PROPERTIES[EXCLUDE])</f>
        <v>0</v>
      </c>
    </row>
    <row r="66" spans="1:17">
      <c r="A66" s="2" t="s">
        <v>86</v>
      </c>
      <c r="B66" s="30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43" t="s">
        <v>1058</v>
      </c>
      <c r="G66" t="s">
        <v>2301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Row],[VEHIDCODE]],roster!A:A,roster!C:C))</f>
        <v>1</v>
      </c>
      <c r="N66" t="b">
        <f>ISNUMBER(_xlfn.XMATCH(CONTROL[[#This Row],[VEHIDCODE]],GRAPHICS_PROPERTIES[VEHIDCODE],0))</f>
        <v>1</v>
      </c>
      <c r="O66" s="30" t="str">
        <f>"item_"&amp;CONTROL[[#This Row],[VEHIDCODE]]</f>
        <v>item_steam_Belgium_Le_Belge</v>
      </c>
      <c r="P66" s="30" t="str">
        <f>"str_"&amp;CONTROL[[#This Row],[VEHIDCODE]]</f>
        <v>str_steam_Belgium_Le_Belge</v>
      </c>
      <c r="Q66" s="10" t="b">
        <f>_xlfn.XLOOKUP(CONTROL[[#This Row],[VEHIDCODE]],PROPERTIES[VEHIDCODE],PROPERTIES[EXCLUDE])</f>
        <v>0</v>
      </c>
    </row>
    <row r="67" spans="1:17">
      <c r="A67" s="2" t="s">
        <v>87</v>
      </c>
      <c r="B67" s="30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43" t="s">
        <v>1059</v>
      </c>
      <c r="G67" t="s">
        <v>2302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Row],[VEHIDCODE]],roster!A:A,roster!C:C))</f>
        <v>1</v>
      </c>
      <c r="N67" t="b">
        <f>ISNUMBER(_xlfn.XMATCH(CONTROL[[#This Row],[VEHIDCODE]],GRAPHICS_PROPERTIES[VEHIDCODE],0))</f>
        <v>1</v>
      </c>
      <c r="O67" s="30" t="str">
        <f>"item_"&amp;CONTROL[[#This Row],[VEHIDCODE]]</f>
        <v>item_steam_USA_4_4_0_American</v>
      </c>
      <c r="P67" s="30" t="str">
        <f>"str_"&amp;CONTROL[[#This Row],[VEHIDCODE]]</f>
        <v>str_steam_USA_4_4_0_American</v>
      </c>
      <c r="Q67" s="10" t="b">
        <f>_xlfn.XLOOKUP(CONTROL[[#This Row],[VEHIDCODE]],PROPERTIES[VEHIDCODE],PROPERTIES[EXCLUDE])</f>
        <v>0</v>
      </c>
    </row>
    <row r="68" spans="1:17">
      <c r="A68" s="2" t="s">
        <v>88</v>
      </c>
      <c r="B68" s="30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43" t="s">
        <v>1060</v>
      </c>
      <c r="G68" t="s">
        <v>2303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Row],[VEHIDCODE]],roster!A:A,roster!C:C))</f>
        <v>1</v>
      </c>
      <c r="N68" t="b">
        <f>ISNUMBER(_xlfn.XMATCH(CONTROL[[#This Row],[VEHIDCODE]],GRAPHICS_PROPERTIES[VEHIDCODE],0))</f>
        <v>1</v>
      </c>
      <c r="O68" s="30" t="str">
        <f>"item_"&amp;CONTROL[[#This Row],[VEHIDCODE]]</f>
        <v>item_steam_Switzerland_SBB_Ec_2_5</v>
      </c>
      <c r="P68" s="30" t="str">
        <f>"str_"&amp;CONTROL[[#This Row],[VEHIDCODE]]</f>
        <v>str_steam_Switzerland_SBB_Ec_2_5</v>
      </c>
      <c r="Q68" s="10" t="b">
        <f>_xlfn.XLOOKUP(CONTROL[[#This Row],[VEHIDCODE]],PROPERTIES[VEHIDCODE],PROPERTIES[EXCLUDE])</f>
        <v>0</v>
      </c>
    </row>
    <row r="69" spans="1:17">
      <c r="A69" s="2" t="s">
        <v>89</v>
      </c>
      <c r="B69" s="30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43" t="s">
        <v>1061</v>
      </c>
      <c r="G69" t="s">
        <v>2304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Row],[VEHIDCODE]],roster!A:A,roster!C:C))</f>
        <v>1</v>
      </c>
      <c r="N69" t="b">
        <f>ISNUMBER(_xlfn.XMATCH(CONTROL[[#This Row],[VEHIDCODE]],GRAPHICS_PROPERTIES[VEHIDCODE],0))</f>
        <v>1</v>
      </c>
      <c r="O69" s="30" t="str">
        <f>"item_"&amp;CONTROL[[#This Row],[VEHIDCODE]]</f>
        <v>item_steam_USA_4_6_0_Ten_wheeler</v>
      </c>
      <c r="P69" s="30" t="str">
        <f>"str_"&amp;CONTROL[[#This Row],[VEHIDCODE]]</f>
        <v>str_steam_USA_4_6_0_Ten_wheeler</v>
      </c>
      <c r="Q69" s="10" t="b">
        <f>_xlfn.XLOOKUP(CONTROL[[#This Row],[VEHIDCODE]],PROPERTIES[VEHIDCODE],PROPERTIES[EXCLUDE])</f>
        <v>0</v>
      </c>
    </row>
    <row r="70" spans="1:17">
      <c r="A70" s="2" t="s">
        <v>90</v>
      </c>
      <c r="B70" s="30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43" t="s">
        <v>1062</v>
      </c>
      <c r="G70" t="s">
        <v>2305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Row],[VEHIDCODE]],roster!A:A,roster!C:C))</f>
        <v>1</v>
      </c>
      <c r="N70" t="b">
        <f>ISNUMBER(_xlfn.XMATCH(CONTROL[[#This Row],[VEHIDCODE]],GRAPHICS_PROPERTIES[VEHIDCODE],0))</f>
        <v>1</v>
      </c>
      <c r="O70" s="30" t="str">
        <f>"item_"&amp;CONTROL[[#This Row],[VEHIDCODE]]</f>
        <v>item_steam_USA_2_8_0_Consolidation</v>
      </c>
      <c r="P70" s="30" t="str">
        <f>"str_"&amp;CONTROL[[#This Row],[VEHIDCODE]]</f>
        <v>str_steam_USA_2_8_0_Consolidation</v>
      </c>
      <c r="Q70" s="10" t="b">
        <f>_xlfn.XLOOKUP(CONTROL[[#This Row],[VEHIDCODE]],PROPERTIES[VEHIDCODE],PROPERTIES[EXCLUDE])</f>
        <v>0</v>
      </c>
    </row>
    <row r="71" spans="1:17">
      <c r="A71" s="2" t="s">
        <v>91</v>
      </c>
      <c r="B71" s="30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43" t="s">
        <v>2982</v>
      </c>
      <c r="G71" t="s">
        <v>2306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Row],[VEHIDCODE]],roster!A:A,roster!C:C))</f>
        <v>1</v>
      </c>
      <c r="N71" t="b">
        <f>ISNUMBER(_xlfn.XMATCH(CONTROL[[#This Row],[VEHIDCODE]],GRAPHICS_PROPERTIES[VEHIDCODE],0))</f>
        <v>1</v>
      </c>
      <c r="O71" s="30" t="str">
        <f>"item_"&amp;CONTROL[[#This Row],[VEHIDCODE]]</f>
        <v>item_steam_Hungary_MAV_377</v>
      </c>
      <c r="P71" s="30" t="str">
        <f>"str_"&amp;CONTROL[[#This Row],[VEHIDCODE]]</f>
        <v>str_steam_Hungary_MAV_377</v>
      </c>
      <c r="Q71" s="10" t="b">
        <f>_xlfn.XLOOKUP(CONTROL[[#This Row],[VEHIDCODE]],PROPERTIES[VEHIDCODE],PROPERTIES[EXCLUDE])</f>
        <v>0</v>
      </c>
    </row>
    <row r="72" spans="1:17">
      <c r="A72" s="2" t="s">
        <v>92</v>
      </c>
      <c r="B72" s="30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43" t="s">
        <v>1063</v>
      </c>
      <c r="G72" t="s">
        <v>2307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Row],[VEHIDCODE]],roster!A:A,roster!C:C))</f>
        <v>1</v>
      </c>
      <c r="N72" t="b">
        <f>ISNUMBER(_xlfn.XMATCH(CONTROL[[#This Row],[VEHIDCODE]],GRAPHICS_PROPERTIES[VEHIDCODE],0))</f>
        <v>1</v>
      </c>
      <c r="O72" s="30" t="str">
        <f>"item_"&amp;CONTROL[[#This Row],[VEHIDCODE]]</f>
        <v>item_steam_Austria_KkStB_99</v>
      </c>
      <c r="P72" s="30" t="str">
        <f>"str_"&amp;CONTROL[[#This Row],[VEHIDCODE]]</f>
        <v>str_steam_Austria_KkStB_99</v>
      </c>
      <c r="Q72" s="10" t="b">
        <f>_xlfn.XLOOKUP(CONTROL[[#This Row],[VEHIDCODE]],PROPERTIES[VEHIDCODE],PROPERTIES[EXCLUDE])</f>
        <v>0</v>
      </c>
    </row>
    <row r="73" spans="1:17">
      <c r="A73" s="2" t="s">
        <v>93</v>
      </c>
      <c r="B73" s="30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43" t="s">
        <v>1064</v>
      </c>
      <c r="G73" t="s">
        <v>2308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Row],[VEHIDCODE]],roster!A:A,roster!C:C))</f>
        <v>1</v>
      </c>
      <c r="N73" t="b">
        <f>ISNUMBER(_xlfn.XMATCH(CONTROL[[#This Row],[VEHIDCODE]],GRAPHICS_PROPERTIES[VEHIDCODE],0))</f>
        <v>1</v>
      </c>
      <c r="O73" s="30" t="str">
        <f>"item_"&amp;CONTROL[[#This Row],[VEHIDCODE]]</f>
        <v>item_steam_UK_Caledonian_Railway_439</v>
      </c>
      <c r="P73" s="30" t="str">
        <f>"str_"&amp;CONTROL[[#This Row],[VEHIDCODE]]</f>
        <v>str_steam_UK_Caledonian_Railway_439</v>
      </c>
      <c r="Q73" s="10" t="b">
        <f>_xlfn.XLOOKUP(CONTROL[[#This Row],[VEHIDCODE]],PROPERTIES[VEHIDCODE],PROPERTIES[EXCLUDE])</f>
        <v>0</v>
      </c>
    </row>
    <row r="74" spans="1:17">
      <c r="A74" s="2" t="s">
        <v>94</v>
      </c>
      <c r="B74" s="30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43" t="s">
        <v>1065</v>
      </c>
      <c r="G74" t="s">
        <v>2309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Row],[VEHIDCODE]],roster!A:A,roster!C:C))</f>
        <v>1</v>
      </c>
      <c r="N74" t="b">
        <f>ISNUMBER(_xlfn.XMATCH(CONTROL[[#This Row],[VEHIDCODE]],GRAPHICS_PROPERTIES[VEHIDCODE],0))</f>
        <v>1</v>
      </c>
      <c r="O74" s="30" t="str">
        <f>"item_"&amp;CONTROL[[#This Row],[VEHIDCODE]]</f>
        <v>item_steam_Switzerland_SBB_A_3_5</v>
      </c>
      <c r="P74" s="30" t="str">
        <f>"str_"&amp;CONTROL[[#This Row],[VEHIDCODE]]</f>
        <v>str_steam_Switzerland_SBB_A_3_5</v>
      </c>
      <c r="Q74" s="10" t="b">
        <f>_xlfn.XLOOKUP(CONTROL[[#This Row],[VEHIDCODE]],PROPERTIES[VEHIDCODE],PROPERTIES[EXCLUDE])</f>
        <v>0</v>
      </c>
    </row>
    <row r="75" spans="1:17">
      <c r="A75" s="2" t="s">
        <v>95</v>
      </c>
      <c r="B75" s="30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43" t="s">
        <v>1066</v>
      </c>
      <c r="G75" t="s">
        <v>2310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Row],[VEHIDCODE]],roster!A:A,roster!C:C))</f>
        <v>1</v>
      </c>
      <c r="N75" t="b">
        <f>ISNUMBER(_xlfn.XMATCH(CONTROL[[#This Row],[VEHIDCODE]],GRAPHICS_PROPERTIES[VEHIDCODE],0))</f>
        <v>1</v>
      </c>
      <c r="O75" s="30" t="str">
        <f>"item_"&amp;CONTROL[[#This Row],[VEHIDCODE]]</f>
        <v>item_steam_Switzerland_SBB_E_3_3</v>
      </c>
      <c r="P75" s="30" t="str">
        <f>"str_"&amp;CONTROL[[#This Row],[VEHIDCODE]]</f>
        <v>str_steam_Switzerland_SBB_E_3_3</v>
      </c>
      <c r="Q75" s="10" t="b">
        <f>_xlfn.XLOOKUP(CONTROL[[#This Row],[VEHIDCODE]],PROPERTIES[VEHIDCODE],PROPERTIES[EXCLUDE])</f>
        <v>0</v>
      </c>
    </row>
    <row r="76" spans="1:17">
      <c r="A76" s="2" t="s">
        <v>96</v>
      </c>
      <c r="B76" s="30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43" t="s">
        <v>1067</v>
      </c>
      <c r="G76" t="s">
        <v>2311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Row],[VEHIDCODE]],roster!A:A,roster!C:C))</f>
        <v>1</v>
      </c>
      <c r="N76" t="b">
        <f>ISNUMBER(_xlfn.XMATCH(CONTROL[[#This Row],[VEHIDCODE]],GRAPHICS_PROPERTIES[VEHIDCODE],0))</f>
        <v>1</v>
      </c>
      <c r="O76" s="30" t="str">
        <f>"item_"&amp;CONTROL[[#This Row],[VEHIDCODE]]</f>
        <v>item_steam_Austria_KkStB_299</v>
      </c>
      <c r="P76" s="30" t="str">
        <f>"str_"&amp;CONTROL[[#This Row],[VEHIDCODE]]</f>
        <v>str_steam_Austria_KkStB_299</v>
      </c>
      <c r="Q76" s="10" t="b">
        <f>_xlfn.XLOOKUP(CONTROL[[#This Row],[VEHIDCODE]],PROPERTIES[VEHIDCODE],PROPERTIES[EXCLUDE])</f>
        <v>0</v>
      </c>
    </row>
    <row r="77" spans="1:17">
      <c r="A77" s="2" t="s">
        <v>97</v>
      </c>
      <c r="B77" s="30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43" t="s">
        <v>1068</v>
      </c>
      <c r="G77" t="s">
        <v>2312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Row],[VEHIDCODE]],roster!A:A,roster!C:C))</f>
        <v>1</v>
      </c>
      <c r="N77" t="b">
        <f>ISNUMBER(_xlfn.XMATCH(CONTROL[[#This Row],[VEHIDCODE]],GRAPHICS_PROPERTIES[VEHIDCODE],0))</f>
        <v>1</v>
      </c>
      <c r="O77" s="30" t="str">
        <f>"item_"&amp;CONTROL[[#This Row],[VEHIDCODE]]</f>
        <v>item_steam_New_Zealand_NZR_X_Class</v>
      </c>
      <c r="P77" s="30" t="str">
        <f>"str_"&amp;CONTROL[[#This Row],[VEHIDCODE]]</f>
        <v>str_steam_New_Zealand_NZR_X_Class</v>
      </c>
      <c r="Q77" s="10" t="b">
        <f>_xlfn.XLOOKUP(CONTROL[[#This Row],[VEHIDCODE]],PROPERTIES[VEHIDCODE],PROPERTIES[EXCLUDE])</f>
        <v>0</v>
      </c>
    </row>
    <row r="78" spans="1:17">
      <c r="A78" s="2" t="s">
        <v>98</v>
      </c>
      <c r="B78" s="30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43" t="s">
        <v>2983</v>
      </c>
      <c r="G78" t="s">
        <v>2313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Row],[VEHIDCODE]],roster!A:A,roster!C:C))</f>
        <v>1</v>
      </c>
      <c r="N78" t="b">
        <f>ISNUMBER(_xlfn.XMATCH(CONTROL[[#This Row],[VEHIDCODE]],GRAPHICS_PROPERTIES[VEHIDCODE],0))</f>
        <v>1</v>
      </c>
      <c r="O78" s="30" t="str">
        <f>"item_"&amp;CONTROL[[#This Row],[VEHIDCODE]]</f>
        <v>item_steam_Croatia_HZ_51</v>
      </c>
      <c r="P78" s="30" t="str">
        <f>"str_"&amp;CONTROL[[#This Row],[VEHIDCODE]]</f>
        <v>str_steam_Croatia_HZ_51</v>
      </c>
      <c r="Q78" s="10" t="b">
        <f>_xlfn.XLOOKUP(CONTROL[[#This Row],[VEHIDCODE]],PROPERTIES[VEHIDCODE],PROPERTIES[EXCLUDE])</f>
        <v>0</v>
      </c>
    </row>
    <row r="79" spans="1:17">
      <c r="A79" s="2" t="s">
        <v>99</v>
      </c>
      <c r="B79" s="30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43" t="s">
        <v>1069</v>
      </c>
      <c r="G79" t="s">
        <v>2314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Row],[VEHIDCODE]],roster!A:A,roster!C:C))</f>
        <v>1</v>
      </c>
      <c r="N79" t="b">
        <f>ISNUMBER(_xlfn.XMATCH(CONTROL[[#This Row],[VEHIDCODE]],GRAPHICS_PROPERTIES[VEHIDCODE],0))</f>
        <v>1</v>
      </c>
      <c r="O79" s="30" t="str">
        <f>"item_"&amp;CONTROL[[#This Row],[VEHIDCODE]]</f>
        <v>item_steam_Italy_FS_880</v>
      </c>
      <c r="P79" s="30" t="str">
        <f>"str_"&amp;CONTROL[[#This Row],[VEHIDCODE]]</f>
        <v>str_steam_Italy_FS_880</v>
      </c>
      <c r="Q79" s="10" t="b">
        <f>_xlfn.XLOOKUP(CONTROL[[#This Row],[VEHIDCODE]],PROPERTIES[VEHIDCODE],PROPERTIES[EXCLUDE])</f>
        <v>0</v>
      </c>
    </row>
    <row r="80" spans="1:17">
      <c r="A80" s="2" t="s">
        <v>100</v>
      </c>
      <c r="B80" s="30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43" t="s">
        <v>1070</v>
      </c>
      <c r="G80" t="s">
        <v>2315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Row],[VEHIDCODE]],roster!A:A,roster!C:C))</f>
        <v>1</v>
      </c>
      <c r="N80" t="b">
        <f>ISNUMBER(_xlfn.XMATCH(CONTROL[[#This Row],[VEHIDCODE]],GRAPHICS_PROPERTIES[VEHIDCODE],0))</f>
        <v>1</v>
      </c>
      <c r="O80" s="30" t="str">
        <f>"item_"&amp;CONTROL[[#This Row],[VEHIDCODE]]</f>
        <v>item_steam_Argentina_FCNEA_11B_2_8_0</v>
      </c>
      <c r="P80" s="30" t="str">
        <f>"str_"&amp;CONTROL[[#This Row],[VEHIDCODE]]</f>
        <v>str_steam_Argentina_FCNEA_11B_2_8_0</v>
      </c>
      <c r="Q80" s="10" t="b">
        <f>_xlfn.XLOOKUP(CONTROL[[#This Row],[VEHIDCODE]],PROPERTIES[VEHIDCODE],PROPERTIES[EXCLUDE])</f>
        <v>0</v>
      </c>
    </row>
    <row r="81" spans="1:17">
      <c r="A81" s="2" t="s">
        <v>101</v>
      </c>
      <c r="B81" s="30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43" t="s">
        <v>1071</v>
      </c>
      <c r="G81" t="s">
        <v>2899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Row],[VEHIDCODE]],roster!A:A,roster!C:C))</f>
        <v>1</v>
      </c>
      <c r="N81" t="b">
        <f>ISNUMBER(_xlfn.XMATCH(CONTROL[[#This Row],[VEHIDCODE]],GRAPHICS_PROPERTIES[VEHIDCODE],0))</f>
        <v>1</v>
      </c>
      <c r="O81" s="30" t="str">
        <f>"item_"&amp;CONTROL[[#This Row],[VEHIDCODE]]</f>
        <v>item_steam_France_SNCF_140C</v>
      </c>
      <c r="P81" s="30" t="str">
        <f>"str_"&amp;CONTROL[[#This Row],[VEHIDCODE]]</f>
        <v>str_steam_France_SNCF_140C</v>
      </c>
      <c r="Q81" s="10" t="b">
        <f>_xlfn.XLOOKUP(CONTROL[[#This Row],[VEHIDCODE]],PROPERTIES[VEHIDCODE],PROPERTIES[EXCLUDE])</f>
        <v>0</v>
      </c>
    </row>
    <row r="82" spans="1:17">
      <c r="A82" s="2" t="s">
        <v>102</v>
      </c>
      <c r="B82" s="30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43" t="s">
        <v>1072</v>
      </c>
      <c r="G82" t="s">
        <v>2898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Row],[VEHIDCODE]],roster!A:A,roster!C:C))</f>
        <v>1</v>
      </c>
      <c r="N82" t="b">
        <f>ISNUMBER(_xlfn.XMATCH(CONTROL[[#This Row],[VEHIDCODE]],GRAPHICS_PROPERTIES[VEHIDCODE],0))</f>
        <v>1</v>
      </c>
      <c r="O82" s="30" t="str">
        <f>"item_"&amp;CONTROL[[#This Row],[VEHIDCODE]]</f>
        <v>item_steam_France_SNCF_141TA</v>
      </c>
      <c r="P82" s="30" t="str">
        <f>"str_"&amp;CONTROL[[#This Row],[VEHIDCODE]]</f>
        <v>str_steam_France_SNCF_141TA</v>
      </c>
      <c r="Q82" s="10" t="b">
        <f>_xlfn.XLOOKUP(CONTROL[[#This Row],[VEHIDCODE]],PROPERTIES[VEHIDCODE],PROPERTIES[EXCLUDE])</f>
        <v>0</v>
      </c>
    </row>
    <row r="83" spans="1:17">
      <c r="A83" s="2" t="s">
        <v>103</v>
      </c>
      <c r="B83" s="30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43" t="s">
        <v>2317</v>
      </c>
      <c r="G83" t="s">
        <v>2316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Row],[VEHIDCODE]],roster!A:A,roster!C:C))</f>
        <v>1</v>
      </c>
      <c r="N83" t="b">
        <f>ISNUMBER(_xlfn.XMATCH(CONTROL[[#This Row],[VEHIDCODE]],GRAPHICS_PROPERTIES[VEHIDCODE],0))</f>
        <v>1</v>
      </c>
      <c r="O83" s="30" t="str">
        <f>"item_"&amp;CONTROL[[#This Row],[VEHIDCODE]]</f>
        <v>item_steam_UK_GWR_4900</v>
      </c>
      <c r="P83" s="30" t="str">
        <f>"str_"&amp;CONTROL[[#This Row],[VEHIDCODE]]</f>
        <v>str_steam_UK_GWR_4900</v>
      </c>
      <c r="Q83" s="10" t="b">
        <f>_xlfn.XLOOKUP(CONTROL[[#This Row],[VEHIDCODE]],PROPERTIES[VEHIDCODE],PROPERTIES[EXCLUDE])</f>
        <v>0</v>
      </c>
    </row>
    <row r="84" spans="1:17">
      <c r="A84" s="2" t="s">
        <v>104</v>
      </c>
      <c r="B84" s="30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43" t="s">
        <v>2318</v>
      </c>
      <c r="G84" t="s">
        <v>2319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Row],[VEHIDCODE]],roster!A:A,roster!C:C))</f>
        <v>1</v>
      </c>
      <c r="N84" t="b">
        <f>ISNUMBER(_xlfn.XMATCH(CONTROL[[#This Row],[VEHIDCODE]],GRAPHICS_PROPERTIES[VEHIDCODE],0))</f>
        <v>1</v>
      </c>
      <c r="O84" s="30" t="str">
        <f>"item_"&amp;CONTROL[[#This Row],[VEHIDCODE]]</f>
        <v>item_steam_UK_GWR_5700</v>
      </c>
      <c r="P84" s="30" t="str">
        <f>"str_"&amp;CONTROL[[#This Row],[VEHIDCODE]]</f>
        <v>str_steam_UK_GWR_5700</v>
      </c>
      <c r="Q84" s="10" t="b">
        <f>_xlfn.XLOOKUP(CONTROL[[#This Row],[VEHIDCODE]],PROPERTIES[VEHIDCODE],PROPERTIES[EXCLUDE])</f>
        <v>0</v>
      </c>
    </row>
    <row r="85" spans="1:17">
      <c r="A85" s="2" t="s">
        <v>105</v>
      </c>
      <c r="B85" s="30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43" t="s">
        <v>2320</v>
      </c>
      <c r="G85" t="s">
        <v>2321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Row],[VEHIDCODE]],roster!A:A,roster!C:C))</f>
        <v>1</v>
      </c>
      <c r="N85" t="b">
        <f>ISNUMBER(_xlfn.XMATCH(CONTROL[[#This Row],[VEHIDCODE]],GRAPHICS_PROPERTIES[VEHIDCODE],0))</f>
        <v>1</v>
      </c>
      <c r="O85" s="30" t="str">
        <f>"item_"&amp;CONTROL[[#This Row],[VEHIDCODE]]</f>
        <v>item_steam_Netherlands_NS_6300</v>
      </c>
      <c r="P85" s="30" t="str">
        <f>"str_"&amp;CONTROL[[#This Row],[VEHIDCODE]]</f>
        <v>str_steam_Netherlands_NS_6300</v>
      </c>
      <c r="Q85" s="10" t="b">
        <f>_xlfn.XLOOKUP(CONTROL[[#This Row],[VEHIDCODE]],PROPERTIES[VEHIDCODE],PROPERTIES[EXCLUDE])</f>
        <v>0</v>
      </c>
    </row>
    <row r="86" spans="1:17">
      <c r="A86" s="2" t="s">
        <v>106</v>
      </c>
      <c r="B86" s="30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43" t="s">
        <v>2322</v>
      </c>
      <c r="G86" t="s">
        <v>2323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Row],[VEHIDCODE]],roster!A:A,roster!C:C))</f>
        <v>1</v>
      </c>
      <c r="N86" t="b">
        <f>ISNUMBER(_xlfn.XMATCH(CONTROL[[#This Row],[VEHIDCODE]],GRAPHICS_PROPERTIES[VEHIDCODE],0))</f>
        <v>1</v>
      </c>
      <c r="O86" s="30" t="str">
        <f>"item_"&amp;CONTROL[[#This Row],[VEHIDCODE]]</f>
        <v>item_steam_USA_AT_SF_5000</v>
      </c>
      <c r="P86" s="30" t="str">
        <f>"str_"&amp;CONTROL[[#This Row],[VEHIDCODE]]</f>
        <v>str_steam_USA_AT_SF_5000</v>
      </c>
      <c r="Q86" s="10" t="b">
        <f>_xlfn.XLOOKUP(CONTROL[[#This Row],[VEHIDCODE]],PROPERTIES[VEHIDCODE],PROPERTIES[EXCLUDE])</f>
        <v>0</v>
      </c>
    </row>
    <row r="87" spans="1:17">
      <c r="A87" s="2" t="s">
        <v>107</v>
      </c>
      <c r="B87" s="30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43" t="s">
        <v>1073</v>
      </c>
      <c r="G87" t="s">
        <v>2324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Row],[VEHIDCODE]],roster!A:A,roster!C:C))</f>
        <v>1</v>
      </c>
      <c r="N87" t="b">
        <f>ISNUMBER(_xlfn.XMATCH(CONTROL[[#This Row],[VEHIDCODE]],GRAPHICS_PROPERTIES[VEHIDCODE],0))</f>
        <v>1</v>
      </c>
      <c r="O87" s="30" t="str">
        <f>"item_"&amp;CONTROL[[#This Row],[VEHIDCODE]]</f>
        <v>item_steam_Germany_Prussian_S10</v>
      </c>
      <c r="P87" s="30" t="str">
        <f>"str_"&amp;CONTROL[[#This Row],[VEHIDCODE]]</f>
        <v>str_steam_Germany_Prussian_S10</v>
      </c>
      <c r="Q87" s="10" t="b">
        <f>_xlfn.XLOOKUP(CONTROL[[#This Row],[VEHIDCODE]],PROPERTIES[VEHIDCODE],PROPERTIES[EXCLUDE])</f>
        <v>0</v>
      </c>
    </row>
    <row r="88" spans="1:17">
      <c r="A88" s="2" t="s">
        <v>108</v>
      </c>
      <c r="B88" s="30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43" t="s">
        <v>1074</v>
      </c>
      <c r="G88" t="s">
        <v>2325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Row],[VEHIDCODE]],roster!A:A,roster!C:C))</f>
        <v>1</v>
      </c>
      <c r="N88" t="b">
        <f>ISNUMBER(_xlfn.XMATCH(CONTROL[[#This Row],[VEHIDCODE]],GRAPHICS_PROPERTIES[VEHIDCODE],0))</f>
        <v>1</v>
      </c>
      <c r="O88" s="30" t="str">
        <f>"item_"&amp;CONTROL[[#This Row],[VEHIDCODE]]</f>
        <v>item_steam_UK_LMS_5MT_Black_Five</v>
      </c>
      <c r="P88" s="30" t="str">
        <f>"str_"&amp;CONTROL[[#This Row],[VEHIDCODE]]</f>
        <v>str_steam_UK_LMS_5MT_Black_Five</v>
      </c>
      <c r="Q88" s="10" t="b">
        <f>_xlfn.XLOOKUP(CONTROL[[#This Row],[VEHIDCODE]],PROPERTIES[VEHIDCODE],PROPERTIES[EXCLUDE])</f>
        <v>0</v>
      </c>
    </row>
    <row r="89" spans="1:17">
      <c r="A89" s="2" t="s">
        <v>109</v>
      </c>
      <c r="B89" s="30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43" t="s">
        <v>1075</v>
      </c>
      <c r="G89" t="s">
        <v>2326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Row],[VEHIDCODE]],roster!A:A,roster!C:C))</f>
        <v>1</v>
      </c>
      <c r="N89" t="b">
        <f>ISNUMBER(_xlfn.XMATCH(CONTROL[[#This Row],[VEHIDCODE]],GRAPHICS_PROPERTIES[VEHIDCODE],0))</f>
        <v>1</v>
      </c>
      <c r="O89" s="30" t="str">
        <f>"item_"&amp;CONTROL[[#This Row],[VEHIDCODE]]</f>
        <v>item_steam_Russia_RZD_9P</v>
      </c>
      <c r="P89" s="30" t="str">
        <f>"str_"&amp;CONTROL[[#This Row],[VEHIDCODE]]</f>
        <v>str_steam_Russia_RZD_9P</v>
      </c>
      <c r="Q89" s="10" t="b">
        <f>_xlfn.XLOOKUP(CONTROL[[#This Row],[VEHIDCODE]],PROPERTIES[VEHIDCODE],PROPERTIES[EXCLUDE])</f>
        <v>0</v>
      </c>
    </row>
    <row r="90" spans="1:17">
      <c r="A90" s="2" t="s">
        <v>110</v>
      </c>
      <c r="B90" s="30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43" t="s">
        <v>1076</v>
      </c>
      <c r="G90" t="s">
        <v>2327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Row],[VEHIDCODE]],roster!A:A,roster!C:C))</f>
        <v>1</v>
      </c>
      <c r="N90" t="b">
        <f>ISNUMBER(_xlfn.XMATCH(CONTROL[[#This Row],[VEHIDCODE]],GRAPHICS_PROPERTIES[VEHIDCODE],0))</f>
        <v>1</v>
      </c>
      <c r="O90" s="30" t="str">
        <f>"item_"&amp;CONTROL[[#This Row],[VEHIDCODE]]</f>
        <v>item_steam_UK_LNER_A4_Gresley</v>
      </c>
      <c r="P90" s="30" t="str">
        <f>"str_"&amp;CONTROL[[#This Row],[VEHIDCODE]]</f>
        <v>str_steam_UK_LNER_A4_Gresley</v>
      </c>
      <c r="Q90" s="10" t="b">
        <f>_xlfn.XLOOKUP(CONTROL[[#This Row],[VEHIDCODE]],PROPERTIES[VEHIDCODE],PROPERTIES[EXCLUDE])</f>
        <v>0</v>
      </c>
    </row>
    <row r="91" spans="1:17">
      <c r="A91" s="2" t="s">
        <v>111</v>
      </c>
      <c r="B91" s="30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43" t="s">
        <v>1077</v>
      </c>
      <c r="G91" t="s">
        <v>2328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Row],[VEHIDCODE]],roster!A:A,roster!C:C))</f>
        <v>1</v>
      </c>
      <c r="N91" t="b">
        <f>ISNUMBER(_xlfn.XMATCH(CONTROL[[#This Row],[VEHIDCODE]],GRAPHICS_PROPERTIES[VEHIDCODE],0))</f>
        <v>1</v>
      </c>
      <c r="O91" s="30" t="str">
        <f>"item_"&amp;CONTROL[[#This Row],[VEHIDCODE]]</f>
        <v>item_steam_Canada_CPR_Royal_Hudson</v>
      </c>
      <c r="P91" s="30" t="str">
        <f>"str_"&amp;CONTROL[[#This Row],[VEHIDCODE]]</f>
        <v>str_steam_Canada_CPR_Royal_Hudson</v>
      </c>
      <c r="Q91" s="10" t="b">
        <f>_xlfn.XLOOKUP(CONTROL[[#This Row],[VEHIDCODE]],PROPERTIES[VEHIDCODE],PROPERTIES[EXCLUDE])</f>
        <v>0</v>
      </c>
    </row>
    <row r="92" spans="1:17">
      <c r="A92" s="2" t="s">
        <v>112</v>
      </c>
      <c r="B92" s="30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43" t="s">
        <v>1078</v>
      </c>
      <c r="G92" t="s">
        <v>2900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Row],[VEHIDCODE]],roster!A:A,roster!C:C))</f>
        <v>1</v>
      </c>
      <c r="N92" t="b">
        <f>ISNUMBER(_xlfn.XMATCH(CONTROL[[#This Row],[VEHIDCODE]],GRAPHICS_PROPERTIES[VEHIDCODE],0))</f>
        <v>1</v>
      </c>
      <c r="O92" s="30" t="str">
        <f>"item_"&amp;CONTROL[[#This Row],[VEHIDCODE]]</f>
        <v>item_steam_Denmark_DSB_E</v>
      </c>
      <c r="P92" s="30" t="str">
        <f>"str_"&amp;CONTROL[[#This Row],[VEHIDCODE]]</f>
        <v>str_steam_Denmark_DSB_E</v>
      </c>
      <c r="Q92" s="10" t="b">
        <f>_xlfn.XLOOKUP(CONTROL[[#This Row],[VEHIDCODE]],PROPERTIES[VEHIDCODE],PROPERTIES[EXCLUDE])</f>
        <v>0</v>
      </c>
    </row>
    <row r="93" spans="1:17">
      <c r="A93" s="2" t="s">
        <v>113</v>
      </c>
      <c r="B93" s="30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43" t="s">
        <v>2894</v>
      </c>
      <c r="G93" t="s">
        <v>2895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Row],[VEHIDCODE]],roster!A:A,roster!C:C))</f>
        <v>1</v>
      </c>
      <c r="N93" t="b">
        <f>ISNUMBER(_xlfn.XMATCH(CONTROL[[#This Row],[VEHIDCODE]],GRAPHICS_PROPERTIES[VEHIDCODE],0))</f>
        <v>1</v>
      </c>
      <c r="O93" s="30" t="str">
        <f>"item_"&amp;CONTROL[[#This Row],[VEHIDCODE]]</f>
        <v>item_steam_Germany_DB_52</v>
      </c>
      <c r="P93" s="30" t="str">
        <f>"str_"&amp;CONTROL[[#This Row],[VEHIDCODE]]</f>
        <v>str_steam_Germany_DB_52</v>
      </c>
      <c r="Q93" s="10" t="b">
        <f>_xlfn.XLOOKUP(CONTROL[[#This Row],[VEHIDCODE]],PROPERTIES[VEHIDCODE],PROPERTIES[EXCLUDE])</f>
        <v>0</v>
      </c>
    </row>
    <row r="94" spans="1:17">
      <c r="A94" s="2" t="s">
        <v>114</v>
      </c>
      <c r="B94" s="30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43" t="s">
        <v>1079</v>
      </c>
      <c r="G94" t="s">
        <v>2329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Row],[VEHIDCODE]],roster!A:A,roster!C:C))</f>
        <v>1</v>
      </c>
      <c r="N94" t="b">
        <f>ISNUMBER(_xlfn.XMATCH(CONTROL[[#This Row],[VEHIDCODE]],GRAPHICS_PROPERTIES[VEHIDCODE],0))</f>
        <v>1</v>
      </c>
      <c r="O94" s="30" t="str">
        <f>"item_"&amp;CONTROL[[#This Row],[VEHIDCODE]]</f>
        <v>item_steam_UK_LNER_A1_Peppercorn</v>
      </c>
      <c r="P94" s="30" t="str">
        <f>"str_"&amp;CONTROL[[#This Row],[VEHIDCODE]]</f>
        <v>str_steam_UK_LNER_A1_Peppercorn</v>
      </c>
      <c r="Q94" s="10" t="b">
        <f>_xlfn.XLOOKUP(CONTROL[[#This Row],[VEHIDCODE]],PROPERTIES[VEHIDCODE],PROPERTIES[EXCLUDE])</f>
        <v>0</v>
      </c>
    </row>
    <row r="95" spans="1:17">
      <c r="A95" s="2" t="s">
        <v>115</v>
      </c>
      <c r="B95" s="30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43" t="s">
        <v>2216</v>
      </c>
      <c r="G95" t="s">
        <v>2330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Row],[VEHIDCODE]],roster!A:A,roster!C:C))</f>
        <v>1</v>
      </c>
      <c r="N95" t="b">
        <f>ISNUMBER(_xlfn.XMATCH(CONTROL[[#This Row],[VEHIDCODE]],GRAPHICS_PROPERTIES[VEHIDCODE],0))</f>
        <v>1</v>
      </c>
      <c r="O95" s="30" t="str">
        <f>"item_"&amp;CONTROL[[#This Row],[VEHIDCODE]]</f>
        <v>item_steam_South_Africa_SAR_25</v>
      </c>
      <c r="P95" s="30" t="str">
        <f>"str_"&amp;CONTROL[[#This Row],[VEHIDCODE]]</f>
        <v>str_steam_South_Africa_SAR_25</v>
      </c>
      <c r="Q95" s="10" t="b">
        <f>_xlfn.XLOOKUP(CONTROL[[#This Row],[VEHIDCODE]],PROPERTIES[VEHIDCODE],PROPERTIES[EXCLUDE])</f>
        <v>0</v>
      </c>
    </row>
    <row r="96" spans="1:17">
      <c r="A96" s="2" t="s">
        <v>116</v>
      </c>
      <c r="B96" s="30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43" t="s">
        <v>1080</v>
      </c>
      <c r="G96" t="s">
        <v>2331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Row],[VEHIDCODE]],roster!A:A,roster!C:C))</f>
        <v>1</v>
      </c>
      <c r="N96" t="b">
        <f>ISNUMBER(_xlfn.XMATCH(CONTROL[[#This Row],[VEHIDCODE]],GRAPHICS_PROPERTIES[VEHIDCODE],0))</f>
        <v>1</v>
      </c>
      <c r="O96" s="30" t="str">
        <f>"item_"&amp;CONTROL[[#This Row],[VEHIDCODE]]</f>
        <v>item_steam_Russia_RZD_P36</v>
      </c>
      <c r="P96" s="30" t="str">
        <f>"str_"&amp;CONTROL[[#This Row],[VEHIDCODE]]</f>
        <v>str_steam_Russia_RZD_P36</v>
      </c>
      <c r="Q96" s="10" t="b">
        <f>_xlfn.XLOOKUP(CONTROL[[#This Row],[VEHIDCODE]],PROPERTIES[VEHIDCODE],PROPERTIES[EXCLUDE])</f>
        <v>0</v>
      </c>
    </row>
    <row r="97" spans="1:17">
      <c r="A97" s="2" t="s">
        <v>117</v>
      </c>
      <c r="B97" s="30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43" t="s">
        <v>1081</v>
      </c>
      <c r="G97" t="s">
        <v>2332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Row],[VEHIDCODE]],roster!A:A,roster!C:C))</f>
        <v>1</v>
      </c>
      <c r="N97" t="b">
        <f>ISNUMBER(_xlfn.XMATCH(CONTROL[[#This Row],[VEHIDCODE]],GRAPHICS_PROPERTIES[VEHIDCODE],0))</f>
        <v>1</v>
      </c>
      <c r="O97" s="30" t="str">
        <f>"item_"&amp;CONTROL[[#This Row],[VEHIDCODE]]</f>
        <v>item_steam_France_SNCF_150B</v>
      </c>
      <c r="P97" s="30" t="str">
        <f>"str_"&amp;CONTROL[[#This Row],[VEHIDCODE]]</f>
        <v>str_steam_France_SNCF_150B</v>
      </c>
      <c r="Q97" s="10" t="b">
        <f>_xlfn.XLOOKUP(CONTROL[[#This Row],[VEHIDCODE]],PROPERTIES[VEHIDCODE],PROPERTIES[EXCLUDE])</f>
        <v>0</v>
      </c>
    </row>
    <row r="98" spans="1:17">
      <c r="A98" s="2" t="s">
        <v>118</v>
      </c>
      <c r="B98" s="30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43" t="s">
        <v>1082</v>
      </c>
      <c r="G98" t="s">
        <v>2333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Row],[VEHIDCODE]],roster!A:A,roster!C:C))</f>
        <v>1</v>
      </c>
      <c r="N98" t="b">
        <f>ISNUMBER(_xlfn.XMATCH(CONTROL[[#This Row],[VEHIDCODE]],GRAPHICS_PROPERTIES[VEHIDCODE],0))</f>
        <v>1</v>
      </c>
      <c r="O98" s="30" t="str">
        <f>"item_"&amp;CONTROL[[#This Row],[VEHIDCODE]]</f>
        <v>item_steam_Italy_FS_895</v>
      </c>
      <c r="P98" s="30" t="str">
        <f>"str_"&amp;CONTROL[[#This Row],[VEHIDCODE]]</f>
        <v>str_steam_Italy_FS_895</v>
      </c>
      <c r="Q98" s="10" t="b">
        <f>_xlfn.XLOOKUP(CONTROL[[#This Row],[VEHIDCODE]],PROPERTIES[VEHIDCODE],PROPERTIES[EXCLUDE])</f>
        <v>0</v>
      </c>
    </row>
    <row r="99" spans="1:17">
      <c r="A99" s="2" t="s">
        <v>119</v>
      </c>
      <c r="B99" s="30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43" t="s">
        <v>1083</v>
      </c>
      <c r="G99" t="s">
        <v>2334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Row],[VEHIDCODE]],roster!A:A,roster!C:C))</f>
        <v>1</v>
      </c>
      <c r="N99" t="b">
        <f>ISNUMBER(_xlfn.XMATCH(CONTROL[[#This Row],[VEHIDCODE]],GRAPHICS_PROPERTIES[VEHIDCODE],0))</f>
        <v>1</v>
      </c>
      <c r="O99" s="30" t="str">
        <f>"item_"&amp;CONTROL[[#This Row],[VEHIDCODE]]</f>
        <v>item_steam_Poland_PKP_Okz32</v>
      </c>
      <c r="P99" s="30" t="str">
        <f>"str_"&amp;CONTROL[[#This Row],[VEHIDCODE]]</f>
        <v>str_steam_Poland_PKP_Okz32</v>
      </c>
      <c r="Q99" s="10" t="b">
        <f>_xlfn.XLOOKUP(CONTROL[[#This Row],[VEHIDCODE]],PROPERTIES[VEHIDCODE],PROPERTIES[EXCLUDE])</f>
        <v>0</v>
      </c>
    </row>
    <row r="100" spans="1:17">
      <c r="A100" s="2" t="s">
        <v>120</v>
      </c>
      <c r="B100" s="30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43" t="s">
        <v>2335</v>
      </c>
      <c r="G100" t="s">
        <v>2336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Row],[VEHIDCODE]],roster!A:A,roster!C:C))</f>
        <v>1</v>
      </c>
      <c r="N100" t="b">
        <f>ISNUMBER(_xlfn.XMATCH(CONTROL[[#This Row],[VEHIDCODE]],GRAPHICS_PROPERTIES[VEHIDCODE],0))</f>
        <v>1</v>
      </c>
      <c r="O100" s="30" t="str">
        <f>"item_"&amp;CONTROL[[#This Row],[VEHIDCODE]]</f>
        <v>item_steam_Switzerland_SBB_C_5_6</v>
      </c>
      <c r="P100" s="30" t="str">
        <f>"str_"&amp;CONTROL[[#This Row],[VEHIDCODE]]</f>
        <v>str_steam_Switzerland_SBB_C_5_6</v>
      </c>
      <c r="Q100" s="10" t="b">
        <f>_xlfn.XLOOKUP(CONTROL[[#This Row],[VEHIDCODE]],PROPERTIES[VEHIDCODE],PROPERTIES[EXCLUDE])</f>
        <v>0</v>
      </c>
    </row>
    <row r="101" spans="1:17">
      <c r="A101" s="2" t="s">
        <v>121</v>
      </c>
      <c r="B101" s="30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43" t="s">
        <v>1084</v>
      </c>
      <c r="G101" t="s">
        <v>2337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Row],[VEHIDCODE]],roster!A:A,roster!C:C))</f>
        <v>1</v>
      </c>
      <c r="N101" t="b">
        <f>ISNUMBER(_xlfn.XMATCH(CONTROL[[#This Row],[VEHIDCODE]],GRAPHICS_PROPERTIES[VEHIDCODE],0))</f>
        <v>1</v>
      </c>
      <c r="O101" s="30" t="str">
        <f>"item_"&amp;CONTROL[[#This Row],[VEHIDCODE]]</f>
        <v>item_steam_USA_UP_4000_Big_Boy</v>
      </c>
      <c r="P101" s="30" t="str">
        <f>"str_"&amp;CONTROL[[#This Row],[VEHIDCODE]]</f>
        <v>str_steam_USA_UP_4000_Big_Boy</v>
      </c>
      <c r="Q101" s="10" t="b">
        <f>_xlfn.XLOOKUP(CONTROL[[#This Row],[VEHIDCODE]],PROPERTIES[VEHIDCODE],PROPERTIES[EXCLUDE])</f>
        <v>0</v>
      </c>
    </row>
    <row r="102" spans="1:17">
      <c r="A102" s="2" t="s">
        <v>122</v>
      </c>
      <c r="B102" s="30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43" t="s">
        <v>2892</v>
      </c>
      <c r="G102" t="s">
        <v>2338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Row],[VEHIDCODE]],roster!A:A,roster!C:C))</f>
        <v>1</v>
      </c>
      <c r="N102" t="b">
        <f>ISNUMBER(_xlfn.XMATCH(CONTROL[[#This Row],[VEHIDCODE]],GRAPHICS_PROPERTIES[VEHIDCODE],0))</f>
        <v>1</v>
      </c>
      <c r="O102" s="30" t="str">
        <f>"item_"&amp;CONTROL[[#This Row],[VEHIDCODE]]</f>
        <v>item_steam_Netherlands_NRS_11</v>
      </c>
      <c r="P102" s="30" t="str">
        <f>"str_"&amp;CONTROL[[#This Row],[VEHIDCODE]]</f>
        <v>str_steam_Netherlands_NRS_11</v>
      </c>
      <c r="Q102" s="10" t="b">
        <f>_xlfn.XLOOKUP(CONTROL[[#This Row],[VEHIDCODE]],PROPERTIES[VEHIDCODE],PROPERTIES[EXCLUDE])</f>
        <v>0</v>
      </c>
    </row>
    <row r="103" spans="1:17">
      <c r="A103" s="2" t="s">
        <v>123</v>
      </c>
      <c r="B103" s="30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43" t="s">
        <v>1085</v>
      </c>
      <c r="G103" t="s">
        <v>2339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Row],[VEHIDCODE]],roster!A:A,roster!C:C))</f>
        <v>1</v>
      </c>
      <c r="N103" t="b">
        <f>ISNUMBER(_xlfn.XMATCH(CONTROL[[#This Row],[VEHIDCODE]],GRAPHICS_PROPERTIES[VEHIDCODE],0))</f>
        <v>1</v>
      </c>
      <c r="O103" s="30" t="str">
        <f>"item_"&amp;CONTROL[[#This Row],[VEHIDCODE]]</f>
        <v>item_steam_UK_GWR_Iron_DUKe_Class</v>
      </c>
      <c r="P103" s="30" t="str">
        <f>"str_"&amp;CONTROL[[#This Row],[VEHIDCODE]]</f>
        <v>str_steam_UK_GWR_Iron_DUKe_Class</v>
      </c>
      <c r="Q103" s="10" t="b">
        <f>_xlfn.XLOOKUP(CONTROL[[#This Row],[VEHIDCODE]],PROPERTIES[VEHIDCODE],PROPERTIES[EXCLUDE])</f>
        <v>0</v>
      </c>
    </row>
    <row r="104" spans="1:17">
      <c r="A104" s="2" t="s">
        <v>124</v>
      </c>
      <c r="B104" s="30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43" t="s">
        <v>1086</v>
      </c>
      <c r="G104" t="s">
        <v>2340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Row],[VEHIDCODE]],roster!A:A,roster!C:C))</f>
        <v>1</v>
      </c>
      <c r="N104" t="b">
        <f>ISNUMBER(_xlfn.XMATCH(CONTROL[[#This Row],[VEHIDCODE]],GRAPHICS_PROPERTIES[VEHIDCODE],0))</f>
        <v>1</v>
      </c>
      <c r="O104" s="30" t="str">
        <f>"item_"&amp;CONTROL[[#This Row],[VEHIDCODE]]</f>
        <v>item_steam_Australia_Sidney_Railway_Locomotive_No1</v>
      </c>
      <c r="P104" s="30" t="str">
        <f>"str_"&amp;CONTROL[[#This Row],[VEHIDCODE]]</f>
        <v>str_steam_Australia_Sidney_Railway_Locomotive_No1</v>
      </c>
      <c r="Q104" s="10" t="b">
        <f>_xlfn.XLOOKUP(CONTROL[[#This Row],[VEHIDCODE]],PROPERTIES[VEHIDCODE],PROPERTIES[EXCLUDE])</f>
        <v>0</v>
      </c>
    </row>
    <row r="105" spans="1:17">
      <c r="A105" s="2" t="s">
        <v>125</v>
      </c>
      <c r="B105" s="30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43" t="s">
        <v>1087</v>
      </c>
      <c r="G105" t="s">
        <v>2341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Row],[VEHIDCODE]],roster!A:A,roster!C:C))</f>
        <v>1</v>
      </c>
      <c r="N105" t="b">
        <f>ISNUMBER(_xlfn.XMATCH(CONTROL[[#This Row],[VEHIDCODE]],GRAPHICS_PROPERTIES[VEHIDCODE],0))</f>
        <v>1</v>
      </c>
      <c r="O105" s="30" t="str">
        <f>"item_"&amp;CONTROL[[#This Row],[VEHIDCODE]]</f>
        <v>item_steam_USA_Central_Pacific_4_2_2</v>
      </c>
      <c r="P105" s="30" t="str">
        <f>"str_"&amp;CONTROL[[#This Row],[VEHIDCODE]]</f>
        <v>str_steam_USA_Central_Pacific_4_2_2</v>
      </c>
      <c r="Q105" s="10" t="b">
        <f>_xlfn.XLOOKUP(CONTROL[[#This Row],[VEHIDCODE]],PROPERTIES[VEHIDCODE],PROPERTIES[EXCLUDE])</f>
        <v>0</v>
      </c>
    </row>
    <row r="106" spans="1:17">
      <c r="A106" s="2" t="s">
        <v>126</v>
      </c>
      <c r="B106" s="30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43" t="s">
        <v>1088</v>
      </c>
      <c r="G106" t="s">
        <v>2342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Row],[VEHIDCODE]],roster!A:A,roster!C:C))</f>
        <v>1</v>
      </c>
      <c r="N106" t="b">
        <f>ISNUMBER(_xlfn.XMATCH(CONTROL[[#This Row],[VEHIDCODE]],GRAPHICS_PROPERTIES[VEHIDCODE],0))</f>
        <v>1</v>
      </c>
      <c r="O106" s="30" t="str">
        <f>"item_"&amp;CONTROL[[#This Row],[VEHIDCODE]]</f>
        <v>item_steam_Netherlands_NS_700</v>
      </c>
      <c r="P106" s="30" t="str">
        <f>"str_"&amp;CONTROL[[#This Row],[VEHIDCODE]]</f>
        <v>str_steam_Netherlands_NS_700</v>
      </c>
      <c r="Q106" s="10" t="b">
        <f>_xlfn.XLOOKUP(CONTROL[[#This Row],[VEHIDCODE]],PROPERTIES[VEHIDCODE],PROPERTIES[EXCLUDE])</f>
        <v>0</v>
      </c>
    </row>
    <row r="107" spans="1:17">
      <c r="A107" s="2" t="s">
        <v>127</v>
      </c>
      <c r="B107" s="30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43" t="s">
        <v>1089</v>
      </c>
      <c r="G107" t="s">
        <v>2343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Row],[VEHIDCODE]],roster!A:A,roster!C:C))</f>
        <v>1</v>
      </c>
      <c r="N107" t="b">
        <f>ISNUMBER(_xlfn.XMATCH(CONTROL[[#This Row],[VEHIDCODE]],GRAPHICS_PROPERTIES[VEHIDCODE],0))</f>
        <v>1</v>
      </c>
      <c r="O107" s="30" t="str">
        <f>"item_"&amp;CONTROL[[#This Row],[VEHIDCODE]]</f>
        <v>item_steam_South_Africa_Natal_Government_Railways_2_6_0T</v>
      </c>
      <c r="P107" s="30" t="str">
        <f>"str_"&amp;CONTROL[[#This Row],[VEHIDCODE]]</f>
        <v>str_steam_South_Africa_Natal_Government_Railways_2_6_0T</v>
      </c>
      <c r="Q107" s="10" t="b">
        <f>_xlfn.XLOOKUP(CONTROL[[#This Row],[VEHIDCODE]],PROPERTIES[VEHIDCODE],PROPERTIES[EXCLUDE])</f>
        <v>0</v>
      </c>
    </row>
    <row r="108" spans="1:17">
      <c r="A108" s="2" t="s">
        <v>128</v>
      </c>
      <c r="B108" s="30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43" t="s">
        <v>1090</v>
      </c>
      <c r="G108" t="s">
        <v>2344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Row],[VEHIDCODE]],roster!A:A,roster!C:C))</f>
        <v>1</v>
      </c>
      <c r="N108" t="b">
        <f>ISNUMBER(_xlfn.XMATCH(CONTROL[[#This Row],[VEHIDCODE]],GRAPHICS_PROPERTIES[VEHIDCODE],0))</f>
        <v>1</v>
      </c>
      <c r="O108" s="30" t="str">
        <f>"item_"&amp;CONTROL[[#This Row],[VEHIDCODE]]</f>
        <v>item_steam_Australia_NSWGR_Z25_Class</v>
      </c>
      <c r="P108" s="30" t="str">
        <f>"str_"&amp;CONTROL[[#This Row],[VEHIDCODE]]</f>
        <v>str_steam_Australia_NSWGR_Z25_Class</v>
      </c>
      <c r="Q108" s="10" t="b">
        <f>_xlfn.XLOOKUP(CONTROL[[#This Row],[VEHIDCODE]],PROPERTIES[VEHIDCODE],PROPERTIES[EXCLUDE])</f>
        <v>0</v>
      </c>
    </row>
    <row r="109" spans="1:17">
      <c r="A109" s="2" t="s">
        <v>129</v>
      </c>
      <c r="B109" s="30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43" t="s">
        <v>1091</v>
      </c>
      <c r="G109" t="s">
        <v>2346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Row],[VEHIDCODE]],roster!A:A,roster!C:C))</f>
        <v>1</v>
      </c>
      <c r="N109" t="b">
        <f>ISNUMBER(_xlfn.XMATCH(CONTROL[[#This Row],[VEHIDCODE]],GRAPHICS_PROPERTIES[VEHIDCODE],0))</f>
        <v>1</v>
      </c>
      <c r="O109" s="30" t="str">
        <f>"item_"&amp;CONTROL[[#This Row],[VEHIDCODE]]</f>
        <v>item_steam_Canada_Canadian_Pacific_374</v>
      </c>
      <c r="P109" s="30" t="str">
        <f>"str_"&amp;CONTROL[[#This Row],[VEHIDCODE]]</f>
        <v>str_steam_Canada_Canadian_Pacific_374</v>
      </c>
      <c r="Q109" s="10" t="b">
        <f>_xlfn.XLOOKUP(CONTROL[[#This Row],[VEHIDCODE]],PROPERTIES[VEHIDCODE],PROPERTIES[EXCLUDE])</f>
        <v>0</v>
      </c>
    </row>
    <row r="110" spans="1:17">
      <c r="A110" s="2" t="s">
        <v>130</v>
      </c>
      <c r="B110" s="30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43" t="s">
        <v>1092</v>
      </c>
      <c r="G110" t="s">
        <v>2345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Row],[VEHIDCODE]],roster!A:A,roster!C:C))</f>
        <v>1</v>
      </c>
      <c r="N110" t="b">
        <f>ISNUMBER(_xlfn.XMATCH(CONTROL[[#This Row],[VEHIDCODE]],GRAPHICS_PROPERTIES[VEHIDCODE],0))</f>
        <v>1</v>
      </c>
      <c r="O110" s="30" t="str">
        <f>"item_"&amp;CONTROL[[#This Row],[VEHIDCODE]]</f>
        <v>item_steam_South_Africa_PPR_35_tonner_4_6_0T</v>
      </c>
      <c r="P110" s="30" t="str">
        <f>"str_"&amp;CONTROL[[#This Row],[VEHIDCODE]]</f>
        <v>str_steam_South_Africa_PPR_35_tonner_4_6_0T</v>
      </c>
      <c r="Q110" s="10" t="b">
        <f>_xlfn.XLOOKUP(CONTROL[[#This Row],[VEHIDCODE]],PROPERTIES[VEHIDCODE],PROPERTIES[EXCLUDE])</f>
        <v>0</v>
      </c>
    </row>
    <row r="111" spans="1:17">
      <c r="A111" s="2" t="s">
        <v>131</v>
      </c>
      <c r="B111" s="30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43" t="s">
        <v>1093</v>
      </c>
      <c r="G111" t="s">
        <v>2347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Row],[VEHIDCODE]],roster!A:A,roster!C:C))</f>
        <v>1</v>
      </c>
      <c r="N111" t="b">
        <f>ISNUMBER(_xlfn.XMATCH(CONTROL[[#This Row],[VEHIDCODE]],GRAPHICS_PROPERTIES[VEHIDCODE],0))</f>
        <v>1</v>
      </c>
      <c r="O111" s="30" t="str">
        <f>"item_"&amp;CONTROL[[#This Row],[VEHIDCODE]]</f>
        <v>item_steam_Spain_RENFE_Class_040</v>
      </c>
      <c r="P111" s="30" t="str">
        <f>"str_"&amp;CONTROL[[#This Row],[VEHIDCODE]]</f>
        <v>str_steam_Spain_RENFE_Class_040</v>
      </c>
      <c r="Q111" s="10" t="b">
        <f>_xlfn.XLOOKUP(CONTROL[[#This Row],[VEHIDCODE]],PROPERTIES[VEHIDCODE],PROPERTIES[EXCLUDE])</f>
        <v>0</v>
      </c>
    </row>
    <row r="112" spans="1:17">
      <c r="A112" s="2" t="s">
        <v>132</v>
      </c>
      <c r="B112" s="30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43" t="s">
        <v>2212</v>
      </c>
      <c r="G112" t="s">
        <v>2348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Row],[VEHIDCODE]],roster!A:A,roster!C:C))</f>
        <v>1</v>
      </c>
      <c r="N112" t="b">
        <f>ISNUMBER(_xlfn.XMATCH(CONTROL[[#This Row],[VEHIDCODE]],GRAPHICS_PROPERTIES[VEHIDCODE],0))</f>
        <v>1</v>
      </c>
      <c r="O112" s="30" t="str">
        <f>"item_"&amp;CONTROL[[#This Row],[VEHIDCODE]]</f>
        <v>item_steam_Germany_Saxon_IV_K</v>
      </c>
      <c r="P112" s="30" t="str">
        <f>"str_"&amp;CONTROL[[#This Row],[VEHIDCODE]]</f>
        <v>str_steam_Germany_Saxon_IV_K</v>
      </c>
      <c r="Q112" s="10" t="b">
        <f>_xlfn.XLOOKUP(CONTROL[[#This Row],[VEHIDCODE]],PROPERTIES[VEHIDCODE],PROPERTIES[EXCLUDE])</f>
        <v>0</v>
      </c>
    </row>
    <row r="113" spans="1:17">
      <c r="A113" s="2" t="s">
        <v>133</v>
      </c>
      <c r="B113" s="30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43" t="s">
        <v>1094</v>
      </c>
      <c r="G113" t="s">
        <v>2349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Row],[VEHIDCODE]],roster!A:A,roster!C:C))</f>
        <v>1</v>
      </c>
      <c r="N113" t="b">
        <f>ISNUMBER(_xlfn.XMATCH(CONTROL[[#This Row],[VEHIDCODE]],GRAPHICS_PROPERTIES[VEHIDCODE],0))</f>
        <v>1</v>
      </c>
      <c r="O113" s="30" t="str">
        <f>"item_"&amp;CONTROL[[#This Row],[VEHIDCODE]]</f>
        <v>item_steam_Germany_Prussian_S_3</v>
      </c>
      <c r="P113" s="30" t="str">
        <f>"str_"&amp;CONTROL[[#This Row],[VEHIDCODE]]</f>
        <v>str_steam_Germany_Prussian_S_3</v>
      </c>
      <c r="Q113" s="10" t="b">
        <f>_xlfn.XLOOKUP(CONTROL[[#This Row],[VEHIDCODE]],PROPERTIES[VEHIDCODE],PROPERTIES[EXCLUDE])</f>
        <v>0</v>
      </c>
    </row>
    <row r="114" spans="1:17">
      <c r="A114" s="2" t="s">
        <v>134</v>
      </c>
      <c r="B114" s="30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43" t="s">
        <v>1095</v>
      </c>
      <c r="G114" t="s">
        <v>2350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Row],[VEHIDCODE]],roster!A:A,roster!C:C))</f>
        <v>1</v>
      </c>
      <c r="N114" t="b">
        <f>ISNUMBER(_xlfn.XMATCH(CONTROL[[#This Row],[VEHIDCODE]],GRAPHICS_PROPERTIES[VEHIDCODE],0))</f>
        <v>1</v>
      </c>
      <c r="O114" s="30" t="str">
        <f>"item_"&amp;CONTROL[[#This Row],[VEHIDCODE]]</f>
        <v>item_steam_Norway_NSB_Class_XXI</v>
      </c>
      <c r="P114" s="30" t="str">
        <f>"str_"&amp;CONTROL[[#This Row],[VEHIDCODE]]</f>
        <v>str_steam_Norway_NSB_Class_XXI</v>
      </c>
      <c r="Q114" s="10" t="b">
        <f>_xlfn.XLOOKUP(CONTROL[[#This Row],[VEHIDCODE]],PROPERTIES[VEHIDCODE],PROPERTIES[EXCLUDE])</f>
        <v>0</v>
      </c>
    </row>
    <row r="115" spans="1:17">
      <c r="A115" s="2" t="s">
        <v>135</v>
      </c>
      <c r="B115" s="30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43" t="s">
        <v>1096</v>
      </c>
      <c r="G115" t="s">
        <v>2351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Row],[VEHIDCODE]],roster!A:A,roster!C:C))</f>
        <v>1</v>
      </c>
      <c r="N115" t="b">
        <f>ISNUMBER(_xlfn.XMATCH(CONTROL[[#This Row],[VEHIDCODE]],GRAPHICS_PROPERTIES[VEHIDCODE],0))</f>
        <v>1</v>
      </c>
      <c r="O115" s="30" t="str">
        <f>"item_"&amp;CONTROL[[#This Row],[VEHIDCODE]]</f>
        <v>item_steam_USA_PRR_D16</v>
      </c>
      <c r="P115" s="30" t="str">
        <f>"str_"&amp;CONTROL[[#This Row],[VEHIDCODE]]</f>
        <v>str_steam_USA_PRR_D16</v>
      </c>
      <c r="Q115" s="10" t="b">
        <f>_xlfn.XLOOKUP(CONTROL[[#This Row],[VEHIDCODE]],PROPERTIES[VEHIDCODE],PROPERTIES[EXCLUDE])</f>
        <v>0</v>
      </c>
    </row>
    <row r="116" spans="1:17">
      <c r="A116" s="2" t="s">
        <v>136</v>
      </c>
      <c r="B116" s="30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43" t="s">
        <v>1097</v>
      </c>
      <c r="G116" t="s">
        <v>2352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Row],[VEHIDCODE]],roster!A:A,roster!C:C))</f>
        <v>1</v>
      </c>
      <c r="N116" t="b">
        <f>ISNUMBER(_xlfn.XMATCH(CONTROL[[#This Row],[VEHIDCODE]],GRAPHICS_PROPERTIES[VEHIDCODE],0))</f>
        <v>1</v>
      </c>
      <c r="O116" s="30" t="str">
        <f>"item_"&amp;CONTROL[[#This Row],[VEHIDCODE]]</f>
        <v>item_steam_Netherlands_NS_8100</v>
      </c>
      <c r="P116" s="30" t="str">
        <f>"str_"&amp;CONTROL[[#This Row],[VEHIDCODE]]</f>
        <v>str_steam_Netherlands_NS_8100</v>
      </c>
      <c r="Q116" s="10" t="b">
        <f>_xlfn.XLOOKUP(CONTROL[[#This Row],[VEHIDCODE]],PROPERTIES[VEHIDCODE],PROPERTIES[EXCLUDE])</f>
        <v>0</v>
      </c>
    </row>
    <row r="117" spans="1:17">
      <c r="A117" s="2" t="s">
        <v>137</v>
      </c>
      <c r="B117" s="30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43" t="s">
        <v>2353</v>
      </c>
      <c r="G117" t="s">
        <v>2354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Row],[VEHIDCODE]],roster!A:A,roster!C:C))</f>
        <v>1</v>
      </c>
      <c r="N117" t="b">
        <f>ISNUMBER(_xlfn.XMATCH(CONTROL[[#This Row],[VEHIDCODE]],GRAPHICS_PROPERTIES[VEHIDCODE],0))</f>
        <v>1</v>
      </c>
      <c r="O117" s="30" t="str">
        <f>"item_"&amp;CONTROL[[#This Row],[VEHIDCODE]]</f>
        <v>item_steam_South_Africa_SAR_MD_Class</v>
      </c>
      <c r="P117" s="30" t="str">
        <f>"str_"&amp;CONTROL[[#This Row],[VEHIDCODE]]</f>
        <v>str_steam_South_Africa_SAR_MD_Class</v>
      </c>
      <c r="Q117" s="10" t="b">
        <f>_xlfn.XLOOKUP(CONTROL[[#This Row],[VEHIDCODE]],PROPERTIES[VEHIDCODE],PROPERTIES[EXCLUDE])</f>
        <v>0</v>
      </c>
    </row>
    <row r="118" spans="1:17">
      <c r="A118" s="2" t="s">
        <v>138</v>
      </c>
      <c r="B118" s="30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43" t="s">
        <v>3044</v>
      </c>
      <c r="G118" t="s">
        <v>2355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Row],[VEHIDCODE]],roster!A:A,roster!C:C))</f>
        <v>1</v>
      </c>
      <c r="N118" t="b">
        <f>ISNUMBER(_xlfn.XMATCH(CONTROL[[#This Row],[VEHIDCODE]],GRAPHICS_PROPERTIES[VEHIDCODE],0))</f>
        <v>1</v>
      </c>
      <c r="O118" s="30" t="str">
        <f>"item_"&amp;CONTROL[[#This Row],[VEHIDCODE]]</f>
        <v>item_steam_Angola_South_West_African_2_8_0</v>
      </c>
      <c r="P118" s="30" t="str">
        <f>"str_"&amp;CONTROL[[#This Row],[VEHIDCODE]]</f>
        <v>str_steam_Angola_South_West_African_2_8_0</v>
      </c>
      <c r="Q118" s="10" t="b">
        <f>_xlfn.XLOOKUP(CONTROL[[#This Row],[VEHIDCODE]],PROPERTIES[VEHIDCODE],PROPERTIES[EXCLUDE])</f>
        <v>0</v>
      </c>
    </row>
    <row r="119" spans="1:17">
      <c r="A119" s="2" t="s">
        <v>139</v>
      </c>
      <c r="B119" s="30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43" t="s">
        <v>1098</v>
      </c>
      <c r="G119" t="s">
        <v>2356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Row],[VEHIDCODE]],roster!A:A,roster!C:C))</f>
        <v>1</v>
      </c>
      <c r="N119" t="b">
        <f>ISNUMBER(_xlfn.XMATCH(CONTROL[[#This Row],[VEHIDCODE]],GRAPHICS_PROPERTIES[VEHIDCODE],0))</f>
        <v>1</v>
      </c>
      <c r="O119" s="30" t="str">
        <f>"item_"&amp;CONTROL[[#This Row],[VEHIDCODE]]</f>
        <v>item_steam_UK_LNER_N7</v>
      </c>
      <c r="P119" s="30" t="str">
        <f>"str_"&amp;CONTROL[[#This Row],[VEHIDCODE]]</f>
        <v>str_steam_UK_LNER_N7</v>
      </c>
      <c r="Q119" s="10" t="b">
        <f>_xlfn.XLOOKUP(CONTROL[[#This Row],[VEHIDCODE]],PROPERTIES[VEHIDCODE],PROPERTIES[EXCLUDE])</f>
        <v>0</v>
      </c>
    </row>
    <row r="120" spans="1:17">
      <c r="A120" s="2" t="s">
        <v>140</v>
      </c>
      <c r="B120" s="30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43" t="s">
        <v>2211</v>
      </c>
      <c r="G120" t="s">
        <v>2357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Row],[VEHIDCODE]],roster!A:A,roster!C:C))</f>
        <v>1</v>
      </c>
      <c r="N120" t="b">
        <f>ISNUMBER(_xlfn.XMATCH(CONTROL[[#This Row],[VEHIDCODE]],GRAPHICS_PROPERTIES[VEHIDCODE],0))</f>
        <v>1</v>
      </c>
      <c r="O120" s="30" t="str">
        <f>"item_"&amp;CONTROL[[#This Row],[VEHIDCODE]]</f>
        <v>item_steam_Germany_Saxon_XX_HV</v>
      </c>
      <c r="P120" s="30" t="str">
        <f>"str_"&amp;CONTROL[[#This Row],[VEHIDCODE]]</f>
        <v>str_steam_Germany_Saxon_XX_HV</v>
      </c>
      <c r="Q120" s="10" t="b">
        <f>_xlfn.XLOOKUP(CONTROL[[#This Row],[VEHIDCODE]],PROPERTIES[VEHIDCODE],PROPERTIES[EXCLUDE])</f>
        <v>0</v>
      </c>
    </row>
    <row r="121" spans="1:17">
      <c r="A121" s="2" t="s">
        <v>141</v>
      </c>
      <c r="B121" s="30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43" t="s">
        <v>1099</v>
      </c>
      <c r="G121" t="s">
        <v>2358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Row],[VEHIDCODE]],roster!A:A,roster!C:C))</f>
        <v>1</v>
      </c>
      <c r="N121" t="b">
        <f>ISNUMBER(_xlfn.XMATCH(CONTROL[[#This Row],[VEHIDCODE]],GRAPHICS_PROPERTIES[VEHIDCODE],0))</f>
        <v>1</v>
      </c>
      <c r="O121" s="30" t="str">
        <f>"item_"&amp;CONTROL[[#This Row],[VEHIDCODE]]</f>
        <v>item_steam_Belgium_NMBS_Type_7</v>
      </c>
      <c r="P121" s="30" t="str">
        <f>"str_"&amp;CONTROL[[#This Row],[VEHIDCODE]]</f>
        <v>str_steam_Belgium_NMBS_Type_7</v>
      </c>
      <c r="Q121" s="10" t="b">
        <f>_xlfn.XLOOKUP(CONTROL[[#This Row],[VEHIDCODE]],PROPERTIES[VEHIDCODE],PROPERTIES[EXCLUDE])</f>
        <v>0</v>
      </c>
    </row>
    <row r="122" spans="1:17">
      <c r="A122" s="2" t="s">
        <v>142</v>
      </c>
      <c r="B122" s="30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43" t="s">
        <v>1100</v>
      </c>
      <c r="G122" t="s">
        <v>2359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Row],[VEHIDCODE]],roster!A:A,roster!C:C))</f>
        <v>1</v>
      </c>
      <c r="N122" t="b">
        <f>ISNUMBER(_xlfn.XMATCH(CONTROL[[#This Row],[VEHIDCODE]],GRAPHICS_PROPERTIES[VEHIDCODE],0))</f>
        <v>1</v>
      </c>
      <c r="O122" s="30" t="str">
        <f>"item_"&amp;CONTROL[[#This Row],[VEHIDCODE]]</f>
        <v>item_steam_Ireland_DSER_15</v>
      </c>
      <c r="P122" s="30" t="str">
        <f>"str_"&amp;CONTROL[[#This Row],[VEHIDCODE]]</f>
        <v>str_steam_Ireland_DSER_15</v>
      </c>
      <c r="Q122" s="10" t="b">
        <f>_xlfn.XLOOKUP(CONTROL[[#This Row],[VEHIDCODE]],PROPERTIES[VEHIDCODE],PROPERTIES[EXCLUDE])</f>
        <v>0</v>
      </c>
    </row>
    <row r="123" spans="1:17">
      <c r="A123" s="2" t="s">
        <v>143</v>
      </c>
      <c r="B123" s="30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43" t="s">
        <v>1101</v>
      </c>
      <c r="G123" t="s">
        <v>2360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Row],[VEHIDCODE]],roster!A:A,roster!C:C))</f>
        <v>1</v>
      </c>
      <c r="N123" t="b">
        <f>ISNUMBER(_xlfn.XMATCH(CONTROL[[#This Row],[VEHIDCODE]],GRAPHICS_PROPERTIES[VEHIDCODE],0))</f>
        <v>1</v>
      </c>
      <c r="O123" s="30" t="str">
        <f>"item_"&amp;CONTROL[[#This Row],[VEHIDCODE]]</f>
        <v>item_steam_USA_Sierra_Railroad_28</v>
      </c>
      <c r="P123" s="30" t="str">
        <f>"str_"&amp;CONTROL[[#This Row],[VEHIDCODE]]</f>
        <v>str_steam_USA_Sierra_Railroad_28</v>
      </c>
      <c r="Q123" s="10" t="b">
        <f>_xlfn.XLOOKUP(CONTROL[[#This Row],[VEHIDCODE]],PROPERTIES[VEHIDCODE],PROPERTIES[EXCLUDE])</f>
        <v>0</v>
      </c>
    </row>
    <row r="124" spans="1:17">
      <c r="A124" s="2" t="s">
        <v>144</v>
      </c>
      <c r="B124" s="30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43" t="s">
        <v>2902</v>
      </c>
      <c r="G124" t="s">
        <v>2361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Row],[VEHIDCODE]],roster!A:A,roster!C:C))</f>
        <v>1</v>
      </c>
      <c r="N124" t="b">
        <f>ISNUMBER(_xlfn.XMATCH(CONTROL[[#This Row],[VEHIDCODE]],GRAPHICS_PROPERTIES[VEHIDCODE],0))</f>
        <v>1</v>
      </c>
      <c r="O124" s="30" t="str">
        <f>"item_"&amp;CONTROL[[#This Row],[VEHIDCODE]]</f>
        <v>item_steam_Canada_CN_U_1_Class</v>
      </c>
      <c r="P124" s="30" t="str">
        <f>"str_"&amp;CONTROL[[#This Row],[VEHIDCODE]]</f>
        <v>str_steam_Canada_CN_U_1_Class</v>
      </c>
      <c r="Q124" s="10" t="b">
        <f>_xlfn.XLOOKUP(CONTROL[[#This Row],[VEHIDCODE]],PROPERTIES[VEHIDCODE],PROPERTIES[EXCLUDE])</f>
        <v>0</v>
      </c>
    </row>
    <row r="125" spans="1:17">
      <c r="A125" s="2" t="s">
        <v>145</v>
      </c>
      <c r="B125" s="30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43" t="s">
        <v>1102</v>
      </c>
      <c r="G125" t="s">
        <v>2362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Row],[VEHIDCODE]],roster!A:A,roster!C:C))</f>
        <v>1</v>
      </c>
      <c r="N125" t="b">
        <f>ISNUMBER(_xlfn.XMATCH(CONTROL[[#This Row],[VEHIDCODE]],GRAPHICS_PROPERTIES[VEHIDCODE],0))</f>
        <v>1</v>
      </c>
      <c r="O125" s="30" t="str">
        <f>"item_"&amp;CONTROL[[#This Row],[VEHIDCODE]]</f>
        <v>item_steam_India_Indian_Railways_XB_Class</v>
      </c>
      <c r="P125" s="30" t="str">
        <f>"str_"&amp;CONTROL[[#This Row],[VEHIDCODE]]</f>
        <v>str_steam_India_Indian_Railways_XB_Class</v>
      </c>
      <c r="Q125" s="10" t="b">
        <f>_xlfn.XLOOKUP(CONTROL[[#This Row],[VEHIDCODE]],PROPERTIES[VEHIDCODE],PROPERTIES[EXCLUDE])</f>
        <v>0</v>
      </c>
    </row>
    <row r="126" spans="1:17">
      <c r="A126" s="2" t="s">
        <v>146</v>
      </c>
      <c r="B126" s="30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43" t="s">
        <v>1103</v>
      </c>
      <c r="G126" t="s">
        <v>2363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Row],[VEHIDCODE]],roster!A:A,roster!C:C))</f>
        <v>1</v>
      </c>
      <c r="N126" t="b">
        <f>ISNUMBER(_xlfn.XMATCH(CONTROL[[#This Row],[VEHIDCODE]],GRAPHICS_PROPERTIES[VEHIDCODE],0))</f>
        <v>1</v>
      </c>
      <c r="O126" s="30" t="str">
        <f>"item_"&amp;CONTROL[[#This Row],[VEHIDCODE]]</f>
        <v>item_steam_Iraq_Iraqi_State_Railways_PC_Class</v>
      </c>
      <c r="P126" s="30" t="str">
        <f>"str_"&amp;CONTROL[[#This Row],[VEHIDCODE]]</f>
        <v>str_steam_Iraq_Iraqi_State_Railways_PC_Class</v>
      </c>
      <c r="Q126" s="10" t="b">
        <f>_xlfn.XLOOKUP(CONTROL[[#This Row],[VEHIDCODE]],PROPERTIES[VEHIDCODE],PROPERTIES[EXCLUDE])</f>
        <v>0</v>
      </c>
    </row>
    <row r="127" spans="1:17">
      <c r="A127" s="2" t="s">
        <v>147</v>
      </c>
      <c r="B127" s="30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43" t="s">
        <v>2963</v>
      </c>
      <c r="G127" t="s">
        <v>1696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Row],[VEHIDCODE]],roster!A:A,roster!C:C))</f>
        <v>1</v>
      </c>
      <c r="N127" t="b">
        <f>ISNUMBER(_xlfn.XMATCH(CONTROL[[#This Row],[VEHIDCODE]],GRAPHICS_PROPERTIES[VEHIDCODE],0))</f>
        <v>1</v>
      </c>
      <c r="O127" s="30" t="str">
        <f>"item_"&amp;CONTROL[[#This Row],[VEHIDCODE]]</f>
        <v>item_steam_Egypt_ENR_1100</v>
      </c>
      <c r="P127" s="30" t="str">
        <f>"str_"&amp;CONTROL[[#This Row],[VEHIDCODE]]</f>
        <v>str_steam_Egypt_ENR_1100</v>
      </c>
      <c r="Q127" s="10" t="b">
        <f>_xlfn.XLOOKUP(CONTROL[[#This Row],[VEHIDCODE]],PROPERTIES[VEHIDCODE],PROPERTIES[EXCLUDE])</f>
        <v>0</v>
      </c>
    </row>
    <row r="128" spans="1:17">
      <c r="A128" s="2" t="s">
        <v>148</v>
      </c>
      <c r="B128" s="30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43" t="s">
        <v>1104</v>
      </c>
      <c r="G128" t="s">
        <v>2364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Row],[VEHIDCODE]],roster!A:A,roster!C:C))</f>
        <v>1</v>
      </c>
      <c r="N128" t="b">
        <f>ISNUMBER(_xlfn.XMATCH(CONTROL[[#This Row],[VEHIDCODE]],GRAPHICS_PROPERTIES[VEHIDCODE],0))</f>
        <v>1</v>
      </c>
      <c r="O128" s="30" t="str">
        <f>"item_"&amp;CONTROL[[#This Row],[VEHIDCODE]]</f>
        <v>item_steam_UK_GWR_1600_Class</v>
      </c>
      <c r="P128" s="30" t="str">
        <f>"str_"&amp;CONTROL[[#This Row],[VEHIDCODE]]</f>
        <v>str_steam_UK_GWR_1600_Class</v>
      </c>
      <c r="Q128" s="10" t="b">
        <f>_xlfn.XLOOKUP(CONTROL[[#This Row],[VEHIDCODE]],PROPERTIES[VEHIDCODE],PROPERTIES[EXCLUDE])</f>
        <v>0</v>
      </c>
    </row>
    <row r="129" spans="1:17">
      <c r="A129" s="2" t="s">
        <v>149</v>
      </c>
      <c r="B129" s="30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43" t="s">
        <v>1105</v>
      </c>
      <c r="G129" t="s">
        <v>2365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Row],[VEHIDCODE]],roster!A:A,roster!C:C))</f>
        <v>1</v>
      </c>
      <c r="N129" t="b">
        <f>ISNUMBER(_xlfn.XMATCH(CONTROL[[#This Row],[VEHIDCODE]],GRAPHICS_PROPERTIES[VEHIDCODE],0))</f>
        <v>1</v>
      </c>
      <c r="O129" s="30" t="str">
        <f>"item_"&amp;CONTROL[[#This Row],[VEHIDCODE]]</f>
        <v>item_steam_Australia_Victorian_Railways_R_Class</v>
      </c>
      <c r="P129" s="30" t="str">
        <f>"str_"&amp;CONTROL[[#This Row],[VEHIDCODE]]</f>
        <v>str_steam_Australia_Victorian_Railways_R_Class</v>
      </c>
      <c r="Q129" s="10" t="b">
        <f>_xlfn.XLOOKUP(CONTROL[[#This Row],[VEHIDCODE]],PROPERTIES[VEHIDCODE],PROPERTIES[EXCLUDE])</f>
        <v>0</v>
      </c>
    </row>
    <row r="130" spans="1:17">
      <c r="A130" s="2" t="s">
        <v>150</v>
      </c>
      <c r="B130" s="30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43" t="s">
        <v>1106</v>
      </c>
      <c r="G130" t="s">
        <v>2366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Row],[VEHIDCODE]],roster!A:A,roster!C:C))</f>
        <v>1</v>
      </c>
      <c r="N130" t="b">
        <f>ISNUMBER(_xlfn.XMATCH(CONTROL[[#This Row],[VEHIDCODE]],GRAPHICS_PROPERTIES[VEHIDCODE],0))</f>
        <v>1</v>
      </c>
      <c r="O130" s="30" t="str">
        <f>"item_"&amp;CONTROL[[#This Row],[VEHIDCODE]]</f>
        <v>item_steam_Germany_DB_9977_79</v>
      </c>
      <c r="P130" s="30" t="str">
        <f>"str_"&amp;CONTROL[[#This Row],[VEHIDCODE]]</f>
        <v>str_steam_Germany_DB_9977_79</v>
      </c>
      <c r="Q130" s="10" t="b">
        <f>_xlfn.XLOOKUP(CONTROL[[#This Row],[VEHIDCODE]],PROPERTIES[VEHIDCODE],PROPERTIES[EXCLUDE])</f>
        <v>0</v>
      </c>
    </row>
    <row r="131" spans="1:17">
      <c r="A131" s="2" t="s">
        <v>151</v>
      </c>
      <c r="B131" s="30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43" t="s">
        <v>2897</v>
      </c>
      <c r="G131" t="s">
        <v>2896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Row],[VEHIDCODE]],roster!A:A,roster!C:C))</f>
        <v>1</v>
      </c>
      <c r="N131" t="b">
        <f>ISNUMBER(_xlfn.XMATCH(CONTROL[[#This Row],[VEHIDCODE]],GRAPHICS_PROPERTIES[VEHIDCODE],0))</f>
        <v>1</v>
      </c>
      <c r="O131" s="30" t="str">
        <f>"item_"&amp;CONTROL[[#This Row],[VEHIDCODE]]</f>
        <v>item_steam_Germany_DB_18_201</v>
      </c>
      <c r="P131" s="30" t="str">
        <f>"str_"&amp;CONTROL[[#This Row],[VEHIDCODE]]</f>
        <v>str_steam_Germany_DB_18_201</v>
      </c>
      <c r="Q131" s="10" t="b">
        <f>_xlfn.XLOOKUP(CONTROL[[#This Row],[VEHIDCODE]],PROPERTIES[VEHIDCODE],PROPERTIES[EXCLUDE])</f>
        <v>0</v>
      </c>
    </row>
    <row r="132" spans="1:17">
      <c r="A132" s="2" t="s">
        <v>152</v>
      </c>
      <c r="B132" s="30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43" t="s">
        <v>1107</v>
      </c>
      <c r="G132" t="s">
        <v>2367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Row],[VEHIDCODE]],roster!A:A,roster!C:C))</f>
        <v>1</v>
      </c>
      <c r="N132" t="b">
        <f>ISNUMBER(_xlfn.XMATCH(CONTROL[[#This Row],[VEHIDCODE]],GRAPHICS_PROPERTIES[VEHIDCODE],0))</f>
        <v>1</v>
      </c>
      <c r="O132" s="30" t="str">
        <f>"item_"&amp;CONTROL[[#This Row],[VEHIDCODE]]</f>
        <v>item_steam_New_Zealand_NZR_WAB</v>
      </c>
      <c r="P132" s="30" t="str">
        <f>"str_"&amp;CONTROL[[#This Row],[VEHIDCODE]]</f>
        <v>str_steam_New_Zealand_NZR_WAB</v>
      </c>
      <c r="Q132" s="10" t="b">
        <f>_xlfn.XLOOKUP(CONTROL[[#This Row],[VEHIDCODE]],PROPERTIES[VEHIDCODE],PROPERTIES[EXCLUDE])</f>
        <v>0</v>
      </c>
    </row>
    <row r="133" spans="1:17">
      <c r="A133" s="2" t="s">
        <v>153</v>
      </c>
      <c r="B133" s="30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43" t="s">
        <v>1108</v>
      </c>
      <c r="G133" t="s">
        <v>2368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Row],[VEHIDCODE]],roster!A:A,roster!C:C))</f>
        <v>1</v>
      </c>
      <c r="N133" t="b">
        <f>ISNUMBER(_xlfn.XMATCH(CONTROL[[#This Row],[VEHIDCODE]],GRAPHICS_PROPERTIES[VEHIDCODE],0))</f>
        <v>1</v>
      </c>
      <c r="O133" s="30" t="str">
        <f>"item_"&amp;CONTROL[[#This Row],[VEHIDCODE]]</f>
        <v>item_steam_Australia_NSWGR_D57</v>
      </c>
      <c r="P133" s="30" t="str">
        <f>"str_"&amp;CONTROL[[#This Row],[VEHIDCODE]]</f>
        <v>str_steam_Australia_NSWGR_D57</v>
      </c>
      <c r="Q133" s="10" t="b">
        <f>_xlfn.XLOOKUP(CONTROL[[#This Row],[VEHIDCODE]],PROPERTIES[VEHIDCODE],PROPERTIES[EXCLUDE])</f>
        <v>0</v>
      </c>
    </row>
    <row r="134" spans="1:17">
      <c r="A134" s="2" t="s">
        <v>154</v>
      </c>
      <c r="B134" s="30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43" t="s">
        <v>1109</v>
      </c>
      <c r="G134" t="s">
        <v>2369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Row],[VEHIDCODE]],roster!A:A,roster!C:C))</f>
        <v>1</v>
      </c>
      <c r="N134" t="b">
        <f>ISNUMBER(_xlfn.XMATCH(CONTROL[[#This Row],[VEHIDCODE]],GRAPHICS_PROPERTIES[VEHIDCODE],0))</f>
        <v>1</v>
      </c>
      <c r="O134" s="30" t="str">
        <f>"item_"&amp;CONTROL[[#This Row],[VEHIDCODE]]</f>
        <v>item_steam_Australia_South_Australian_Railways_520</v>
      </c>
      <c r="P134" s="30" t="str">
        <f>"str_"&amp;CONTROL[[#This Row],[VEHIDCODE]]</f>
        <v>str_steam_Australia_South_Australian_Railways_520</v>
      </c>
      <c r="Q134" s="10" t="b">
        <f>_xlfn.XLOOKUP(CONTROL[[#This Row],[VEHIDCODE]],PROPERTIES[VEHIDCODE],PROPERTIES[EXCLUDE])</f>
        <v>0</v>
      </c>
    </row>
    <row r="135" spans="1:17">
      <c r="A135" s="2" t="s">
        <v>155</v>
      </c>
      <c r="B135" s="30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43" t="s">
        <v>1110</v>
      </c>
      <c r="G135" t="s">
        <v>2370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Row],[VEHIDCODE]],roster!A:A,roster!C:C))</f>
        <v>1</v>
      </c>
      <c r="N135" t="b">
        <f>ISNUMBER(_xlfn.XMATCH(CONTROL[[#This Row],[VEHIDCODE]],GRAPHICS_PROPERTIES[VEHIDCODE],0))</f>
        <v>1</v>
      </c>
      <c r="O135" s="30" t="str">
        <f>"item_"&amp;CONTROL[[#This Row],[VEHIDCODE]]</f>
        <v>item_steam_Australia_NSWGR_AD60</v>
      </c>
      <c r="P135" s="30" t="str">
        <f>"str_"&amp;CONTROL[[#This Row],[VEHIDCODE]]</f>
        <v>str_steam_Australia_NSWGR_AD60</v>
      </c>
      <c r="Q135" s="10" t="b">
        <f>_xlfn.XLOOKUP(CONTROL[[#This Row],[VEHIDCODE]],PROPERTIES[VEHIDCODE],PROPERTIES[EXCLUDE])</f>
        <v>0</v>
      </c>
    </row>
    <row r="136" spans="1:17">
      <c r="A136" s="2" t="s">
        <v>156</v>
      </c>
      <c r="B136" s="30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43" t="s">
        <v>1111</v>
      </c>
      <c r="G136" t="s">
        <v>2371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Row],[VEHIDCODE]],roster!A:A,roster!C:C))</f>
        <v>1</v>
      </c>
      <c r="N136" t="b">
        <f>ISNUMBER(_xlfn.XMATCH(CONTROL[[#This Row],[VEHIDCODE]],GRAPHICS_PROPERTIES[VEHIDCODE],0))</f>
        <v>1</v>
      </c>
      <c r="O136" s="30" t="str">
        <f>"item_"&amp;CONTROL[[#This Row],[VEHIDCODE]]</f>
        <v>item_steam_Uruguay_AFE_N1_2_6_0</v>
      </c>
      <c r="P136" s="30" t="str">
        <f>"str_"&amp;CONTROL[[#This Row],[VEHIDCODE]]</f>
        <v>str_steam_Uruguay_AFE_N1_2_6_0</v>
      </c>
      <c r="Q136" s="10" t="b">
        <f>_xlfn.XLOOKUP(CONTROL[[#This Row],[VEHIDCODE]],PROPERTIES[VEHIDCODE],PROPERTIES[EXCLUDE])</f>
        <v>0</v>
      </c>
    </row>
    <row r="137" spans="1:17">
      <c r="A137" s="2" t="s">
        <v>157</v>
      </c>
      <c r="B137" s="30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43" t="s">
        <v>1112</v>
      </c>
      <c r="G137" t="s">
        <v>2373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Row],[VEHIDCODE]],roster!A:A,roster!C:C))</f>
        <v>1</v>
      </c>
      <c r="N137" t="b">
        <f>ISNUMBER(_xlfn.XMATCH(CONTROL[[#This Row],[VEHIDCODE]],GRAPHICS_PROPERTIES[VEHIDCODE],0))</f>
        <v>1</v>
      </c>
      <c r="O137" s="30" t="str">
        <f>"item_"&amp;CONTROL[[#This Row],[VEHIDCODE]]</f>
        <v>item_steam_Argentina_FCCA_PS11</v>
      </c>
      <c r="P137" s="30" t="str">
        <f>"str_"&amp;CONTROL[[#This Row],[VEHIDCODE]]</f>
        <v>str_steam_Argentina_FCCA_PS11</v>
      </c>
      <c r="Q137" s="10" t="b">
        <f>_xlfn.XLOOKUP(CONTROL[[#This Row],[VEHIDCODE]],PROPERTIES[VEHIDCODE],PROPERTIES[EXCLUDE])</f>
        <v>0</v>
      </c>
    </row>
    <row r="138" spans="1:17">
      <c r="A138" s="2" t="s">
        <v>158</v>
      </c>
      <c r="B138" s="30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43" t="s">
        <v>3275</v>
      </c>
      <c r="G138" t="s">
        <v>3274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Row],[VEHIDCODE]],roster!A:A,roster!C:C))</f>
        <v>1</v>
      </c>
      <c r="N138" t="b">
        <f>ISNUMBER(_xlfn.XMATCH(CONTROL[[#This Row],[VEHIDCODE]],GRAPHICS_PROPERTIES[VEHIDCODE],0))</f>
        <v>1</v>
      </c>
      <c r="O138" s="30" t="str">
        <f>"item_"&amp;CONTROL[[#This Row],[VEHIDCODE]]</f>
        <v>item_steam_South_Africa_Harbour_Board_EL_0_4_0</v>
      </c>
      <c r="P138" s="30" t="str">
        <f>"str_"&amp;CONTROL[[#This Row],[VEHIDCODE]]</f>
        <v>str_steam_South_Africa_Harbour_Board_EL_0_4_0</v>
      </c>
      <c r="Q138" s="10" t="b">
        <f>_xlfn.XLOOKUP(CONTROL[[#This Row],[VEHIDCODE]],PROPERTIES[VEHIDCODE],PROPERTIES[EXCLUDE])</f>
        <v>0</v>
      </c>
    </row>
    <row r="139" spans="1:17">
      <c r="A139" s="2" t="s">
        <v>159</v>
      </c>
      <c r="B139" s="30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43" t="s">
        <v>1113</v>
      </c>
      <c r="G139" t="s">
        <v>2374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Row],[VEHIDCODE]],roster!A:A,roster!C:C))</f>
        <v>1</v>
      </c>
      <c r="N139" t="b">
        <f>ISNUMBER(_xlfn.XMATCH(CONTROL[[#This Row],[VEHIDCODE]],GRAPHICS_PROPERTIES[VEHIDCODE],0))</f>
        <v>1</v>
      </c>
      <c r="O139" s="30" t="str">
        <f>"item_"&amp;CONTROL[[#This Row],[VEHIDCODE]]</f>
        <v>item_steam_Mozambique_Beira_Railway_BR6_F2_Falcon</v>
      </c>
      <c r="P139" s="30" t="str">
        <f>"str_"&amp;CONTROL[[#This Row],[VEHIDCODE]]</f>
        <v>str_steam_Mozambique_Beira_Railway_BR6_F2_Falcon</v>
      </c>
      <c r="Q139" s="10" t="b">
        <f>_xlfn.XLOOKUP(CONTROL[[#This Row],[VEHIDCODE]],PROPERTIES[VEHIDCODE],PROPERTIES[EXCLUDE])</f>
        <v>0</v>
      </c>
    </row>
    <row r="140" spans="1:17">
      <c r="A140" s="2" t="s">
        <v>160</v>
      </c>
      <c r="B140" s="30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43" t="s">
        <v>1114</v>
      </c>
      <c r="G140" t="s">
        <v>2375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Row],[VEHIDCODE]],roster!A:A,roster!C:C))</f>
        <v>1</v>
      </c>
      <c r="N140" t="b">
        <f>ISNUMBER(_xlfn.XMATCH(CONTROL[[#This Row],[VEHIDCODE]],GRAPHICS_PROPERTIES[VEHIDCODE],0))</f>
        <v>1</v>
      </c>
      <c r="O140" s="30" t="str">
        <f>"item_"&amp;CONTROL[[#This Row],[VEHIDCODE]]</f>
        <v>item_steam_Eritrea_Eritrean_Railway_R440</v>
      </c>
      <c r="P140" s="30" t="str">
        <f>"str_"&amp;CONTROL[[#This Row],[VEHIDCODE]]</f>
        <v>str_steam_Eritrea_Eritrean_Railway_R440</v>
      </c>
      <c r="Q140" s="10" t="b">
        <f>_xlfn.XLOOKUP(CONTROL[[#This Row],[VEHIDCODE]],PROPERTIES[VEHIDCODE],PROPERTIES[EXCLUDE])</f>
        <v>0</v>
      </c>
    </row>
    <row r="141" spans="1:17">
      <c r="A141" s="2" t="s">
        <v>161</v>
      </c>
      <c r="B141" s="30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43" t="s">
        <v>1115</v>
      </c>
      <c r="G141" t="s">
        <v>2376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Row],[VEHIDCODE]],roster!A:A,roster!C:C))</f>
        <v>1</v>
      </c>
      <c r="N141" t="b">
        <f>ISNUMBER(_xlfn.XMATCH(CONTROL[[#This Row],[VEHIDCODE]],GRAPHICS_PROPERTIES[VEHIDCODE],0))</f>
        <v>1</v>
      </c>
      <c r="O141" s="30" t="str">
        <f>"item_"&amp;CONTROL[[#This Row],[VEHIDCODE]]</f>
        <v>item_steam_Kenya_East_African_Railway_23</v>
      </c>
      <c r="P141" s="30" t="str">
        <f>"str_"&amp;CONTROL[[#This Row],[VEHIDCODE]]</f>
        <v>str_steam_Kenya_East_African_Railway_23</v>
      </c>
      <c r="Q141" s="10" t="b">
        <f>_xlfn.XLOOKUP(CONTROL[[#This Row],[VEHIDCODE]],PROPERTIES[VEHIDCODE],PROPERTIES[EXCLUDE])</f>
        <v>0</v>
      </c>
    </row>
    <row r="142" spans="1:17">
      <c r="A142" s="2" t="s">
        <v>162</v>
      </c>
      <c r="B142" s="30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43" t="s">
        <v>1116</v>
      </c>
      <c r="G142" t="s">
        <v>2377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Row],[VEHIDCODE]],roster!A:A,roster!C:C))</f>
        <v>1</v>
      </c>
      <c r="N142" t="b">
        <f>ISNUMBER(_xlfn.XMATCH(CONTROL[[#This Row],[VEHIDCODE]],GRAPHICS_PROPERTIES[VEHIDCODE],0))</f>
        <v>1</v>
      </c>
      <c r="O142" s="30" t="str">
        <f>"item_"&amp;CONTROL[[#This Row],[VEHIDCODE]]</f>
        <v>item_steam_Kenya_East_African_Railway_21</v>
      </c>
      <c r="P142" s="30" t="str">
        <f>"str_"&amp;CONTROL[[#This Row],[VEHIDCODE]]</f>
        <v>str_steam_Kenya_East_African_Railway_21</v>
      </c>
      <c r="Q142" s="10" t="b">
        <f>_xlfn.XLOOKUP(CONTROL[[#This Row],[VEHIDCODE]],PROPERTIES[VEHIDCODE],PROPERTIES[EXCLUDE])</f>
        <v>0</v>
      </c>
    </row>
    <row r="143" spans="1:17">
      <c r="A143" s="2" t="s">
        <v>163</v>
      </c>
      <c r="B143" s="30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43" t="s">
        <v>1117</v>
      </c>
      <c r="G143" t="s">
        <v>2378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Row],[VEHIDCODE]],roster!A:A,roster!C:C))</f>
        <v>1</v>
      </c>
      <c r="N143" t="b">
        <f>ISNUMBER(_xlfn.XMATCH(CONTROL[[#This Row],[VEHIDCODE]],GRAPHICS_PROPERTIES[VEHIDCODE],0))</f>
        <v>1</v>
      </c>
      <c r="O143" s="30" t="str">
        <f>"item_"&amp;CONTROL[[#This Row],[VEHIDCODE]]</f>
        <v>item_steam_Zimbabwe_Zimbabwe_Railways_15</v>
      </c>
      <c r="P143" s="30" t="str">
        <f>"str_"&amp;CONTROL[[#This Row],[VEHIDCODE]]</f>
        <v>str_steam_Zimbabwe_Zimbabwe_Railways_15</v>
      </c>
      <c r="Q143" s="10" t="b">
        <f>_xlfn.XLOOKUP(CONTROL[[#This Row],[VEHIDCODE]],PROPERTIES[VEHIDCODE],PROPERTIES[EXCLUDE])</f>
        <v>0</v>
      </c>
    </row>
    <row r="144" spans="1:17">
      <c r="A144" s="2" t="s">
        <v>164</v>
      </c>
      <c r="B144" s="30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43" t="s">
        <v>1118</v>
      </c>
      <c r="G144" t="s">
        <v>2379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Row],[VEHIDCODE]],roster!A:A,roster!C:C))</f>
        <v>1</v>
      </c>
      <c r="N144" t="b">
        <f>ISNUMBER(_xlfn.XMATCH(CONTROL[[#This Row],[VEHIDCODE]],GRAPHICS_PROPERTIES[VEHIDCODE],0))</f>
        <v>1</v>
      </c>
      <c r="O144" s="30" t="str">
        <f>"item_"&amp;CONTROL[[#This Row],[VEHIDCODE]]</f>
        <v>item_steam_South_Africa_SAR_GMA_4_8_2_2_8_4</v>
      </c>
      <c r="P144" s="30" t="str">
        <f>"str_"&amp;CONTROL[[#This Row],[VEHIDCODE]]</f>
        <v>str_steam_South_Africa_SAR_GMA_4_8_2_2_8_4</v>
      </c>
      <c r="Q144" s="10" t="b">
        <f>_xlfn.XLOOKUP(CONTROL[[#This Row],[VEHIDCODE]],PROPERTIES[VEHIDCODE],PROPERTIES[EXCLUDE])</f>
        <v>0</v>
      </c>
    </row>
    <row r="145" spans="1:17">
      <c r="A145" s="2" t="s">
        <v>165</v>
      </c>
      <c r="B145" s="30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43" t="s">
        <v>1119</v>
      </c>
      <c r="G145" t="s">
        <v>2380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Row],[VEHIDCODE]],roster!A:A,roster!C:C))</f>
        <v>1</v>
      </c>
      <c r="N145" t="b">
        <f>ISNUMBER(_xlfn.XMATCH(CONTROL[[#This Row],[VEHIDCODE]],GRAPHICS_PROPERTIES[VEHIDCODE],0))</f>
        <v>1</v>
      </c>
      <c r="O145" s="30" t="str">
        <f>"item_"&amp;CONTROL[[#This Row],[VEHIDCODE]]</f>
        <v>item_steam_Kenya_East_African_Railway_31</v>
      </c>
      <c r="P145" s="30" t="str">
        <f>"str_"&amp;CONTROL[[#This Row],[VEHIDCODE]]</f>
        <v>str_steam_Kenya_East_African_Railway_31</v>
      </c>
      <c r="Q145" s="10" t="b">
        <f>_xlfn.XLOOKUP(CONTROL[[#This Row],[VEHIDCODE]],PROPERTIES[VEHIDCODE],PROPERTIES[EXCLUDE])</f>
        <v>0</v>
      </c>
    </row>
    <row r="146" spans="1:17">
      <c r="A146" s="2" t="s">
        <v>166</v>
      </c>
      <c r="B146" s="30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43" t="s">
        <v>2893</v>
      </c>
      <c r="G146" t="s">
        <v>2381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Row],[VEHIDCODE]],roster!A:A,roster!C:C))</f>
        <v>1</v>
      </c>
      <c r="N146" t="b">
        <f>ISNUMBER(_xlfn.XMATCH(CONTROL[[#This Row],[VEHIDCODE]],GRAPHICS_PROPERTIES[VEHIDCODE],0))</f>
        <v>1</v>
      </c>
      <c r="O146" s="30" t="str">
        <f>"item_"&amp;CONTROL[[#This Row],[VEHIDCODE]]</f>
        <v>item_steam_India_Fairy_Queen</v>
      </c>
      <c r="P146" s="30" t="str">
        <f>"str_"&amp;CONTROL[[#This Row],[VEHIDCODE]]</f>
        <v>str_steam_India_Fairy_Queen</v>
      </c>
      <c r="Q146" s="10" t="b">
        <f>_xlfn.XLOOKUP(CONTROL[[#This Row],[VEHIDCODE]],PROPERTIES[VEHIDCODE],PROPERTIES[EXCLUDE])</f>
        <v>0</v>
      </c>
    </row>
    <row r="147" spans="1:17">
      <c r="A147" s="2" t="s">
        <v>167</v>
      </c>
      <c r="B147" s="30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43" t="s">
        <v>1120</v>
      </c>
      <c r="G147" t="s">
        <v>2382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Row],[VEHIDCODE]],roster!A:A,roster!C:C))</f>
        <v>1</v>
      </c>
      <c r="N147" t="b">
        <f>ISNUMBER(_xlfn.XMATCH(CONTROL[[#This Row],[VEHIDCODE]],GRAPHICS_PROPERTIES[VEHIDCODE],0))</f>
        <v>1</v>
      </c>
      <c r="O147" s="30" t="str">
        <f>"item_"&amp;CONTROL[[#This Row],[VEHIDCODE]]</f>
        <v>item_steam_India_DHR_B</v>
      </c>
      <c r="P147" s="30" t="str">
        <f>"str_"&amp;CONTROL[[#This Row],[VEHIDCODE]]</f>
        <v>str_steam_India_DHR_B</v>
      </c>
      <c r="Q147" s="10" t="b">
        <f>_xlfn.XLOOKUP(CONTROL[[#This Row],[VEHIDCODE]],PROPERTIES[VEHIDCODE],PROPERTIES[EXCLUDE])</f>
        <v>0</v>
      </c>
    </row>
    <row r="148" spans="1:17">
      <c r="A148" s="2" t="s">
        <v>168</v>
      </c>
      <c r="B148" s="30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43" t="s">
        <v>1703</v>
      </c>
      <c r="G148" t="s">
        <v>2383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Row],[VEHIDCODE]],roster!A:A,roster!C:C))</f>
        <v>1</v>
      </c>
      <c r="N148" t="b">
        <f>ISNUMBER(_xlfn.XMATCH(CONTROL[[#This Row],[VEHIDCODE]],GRAPHICS_PROPERTIES[VEHIDCODE],0))</f>
        <v>1</v>
      </c>
      <c r="O148" s="30" t="str">
        <f>"item_"&amp;CONTROL[[#This Row],[VEHIDCODE]]</f>
        <v>item_steam_China_China_Railways_H</v>
      </c>
      <c r="P148" s="30" t="str">
        <f>"str_"&amp;CONTROL[[#This Row],[VEHIDCODE]]</f>
        <v>str_steam_China_China_Railways_H</v>
      </c>
      <c r="Q148" s="10" t="b">
        <f>_xlfn.XLOOKUP(CONTROL[[#This Row],[VEHIDCODE]],PROPERTIES[VEHIDCODE],PROPERTIES[EXCLUDE])</f>
        <v>0</v>
      </c>
    </row>
    <row r="149" spans="1:17">
      <c r="A149" s="2" t="s">
        <v>169</v>
      </c>
      <c r="B149" s="30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43" t="s">
        <v>1121</v>
      </c>
      <c r="G149" t="s">
        <v>2385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Row],[VEHIDCODE]],roster!A:A,roster!C:C))</f>
        <v>1</v>
      </c>
      <c r="N149" t="b">
        <f>ISNUMBER(_xlfn.XMATCH(CONTROL[[#This Row],[VEHIDCODE]],GRAPHICS_PROPERTIES[VEHIDCODE],0))</f>
        <v>1</v>
      </c>
      <c r="O149" s="30" t="str">
        <f>"item_"&amp;CONTROL[[#This Row],[VEHIDCODE]]</f>
        <v>item_steam_Russia_RZD_U</v>
      </c>
      <c r="P149" s="30" t="str">
        <f>"str_"&amp;CONTROL[[#This Row],[VEHIDCODE]]</f>
        <v>str_steam_Russia_RZD_U</v>
      </c>
      <c r="Q149" s="10" t="b">
        <f>_xlfn.XLOOKUP(CONTROL[[#This Row],[VEHIDCODE]],PROPERTIES[VEHIDCODE],PROPERTIES[EXCLUDE])</f>
        <v>0</v>
      </c>
    </row>
    <row r="150" spans="1:17">
      <c r="A150" s="2" t="s">
        <v>170</v>
      </c>
      <c r="B150" s="30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43" t="s">
        <v>1122</v>
      </c>
      <c r="G150" t="s">
        <v>2384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Row],[VEHIDCODE]],roster!A:A,roster!C:C))</f>
        <v>1</v>
      </c>
      <c r="N150" t="b">
        <f>ISNUMBER(_xlfn.XMATCH(CONTROL[[#This Row],[VEHIDCODE]],GRAPHICS_PROPERTIES[VEHIDCODE],0))</f>
        <v>1</v>
      </c>
      <c r="O150" s="30" t="str">
        <f>"item_"&amp;CONTROL[[#This Row],[VEHIDCODE]]</f>
        <v>item_steam_Russia_RZD_E</v>
      </c>
      <c r="P150" s="30" t="str">
        <f>"str_"&amp;CONTROL[[#This Row],[VEHIDCODE]]</f>
        <v>str_steam_Russia_RZD_E</v>
      </c>
      <c r="Q150" s="10" t="b">
        <f>_xlfn.XLOOKUP(CONTROL[[#This Row],[VEHIDCODE]],PROPERTIES[VEHIDCODE],PROPERTIES[EXCLUDE])</f>
        <v>0</v>
      </c>
    </row>
    <row r="151" spans="1:17">
      <c r="A151" s="2" t="s">
        <v>171</v>
      </c>
      <c r="B151" s="30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43" t="s">
        <v>2387</v>
      </c>
      <c r="G151" t="s">
        <v>2386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Row],[VEHIDCODE]],roster!A:A,roster!C:C))</f>
        <v>1</v>
      </c>
      <c r="N151" t="b">
        <f>ISNUMBER(_xlfn.XMATCH(CONTROL[[#This Row],[VEHIDCODE]],GRAPHICS_PROPERTIES[VEHIDCODE],0))</f>
        <v>1</v>
      </c>
      <c r="O151" s="30" t="str">
        <f>"item_"&amp;CONTROL[[#This Row],[VEHIDCODE]]</f>
        <v>item_steam_Israel_Israel_Railways_H</v>
      </c>
      <c r="P151" s="30" t="str">
        <f>"str_"&amp;CONTROL[[#This Row],[VEHIDCODE]]</f>
        <v>str_steam_Israel_Israel_Railways_H</v>
      </c>
      <c r="Q151" s="10" t="b">
        <f>_xlfn.XLOOKUP(CONTROL[[#This Row],[VEHIDCODE]],PROPERTIES[VEHIDCODE],PROPERTIES[EXCLUDE])</f>
        <v>0</v>
      </c>
    </row>
    <row r="152" spans="1:17">
      <c r="A152" s="2" t="s">
        <v>172</v>
      </c>
      <c r="B152" s="30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43" t="s">
        <v>1123</v>
      </c>
      <c r="G152" t="s">
        <v>2388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Row],[VEHIDCODE]],roster!A:A,roster!C:C))</f>
        <v>1</v>
      </c>
      <c r="N152" t="b">
        <f>ISNUMBER(_xlfn.XMATCH(CONTROL[[#This Row],[VEHIDCODE]],GRAPHICS_PROPERTIES[VEHIDCODE],0))</f>
        <v>1</v>
      </c>
      <c r="O152" s="30" t="str">
        <f>"item_"&amp;CONTROL[[#This Row],[VEHIDCODE]]</f>
        <v>item_steam_Italy_FS_480</v>
      </c>
      <c r="P152" s="30" t="str">
        <f>"str_"&amp;CONTROL[[#This Row],[VEHIDCODE]]</f>
        <v>str_steam_Italy_FS_480</v>
      </c>
      <c r="Q152" s="10" t="b">
        <f>_xlfn.XLOOKUP(CONTROL[[#This Row],[VEHIDCODE]],PROPERTIES[VEHIDCODE],PROPERTIES[EXCLUDE])</f>
        <v>0</v>
      </c>
    </row>
    <row r="153" spans="1:17">
      <c r="A153" s="2" t="s">
        <v>173</v>
      </c>
      <c r="B153" s="30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43" t="s">
        <v>1124</v>
      </c>
      <c r="G153" t="s">
        <v>2389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Row],[VEHIDCODE]],roster!A:A,roster!C:C))</f>
        <v>1</v>
      </c>
      <c r="N153" t="b">
        <f>ISNUMBER(_xlfn.XMATCH(CONTROL[[#This Row],[VEHIDCODE]],GRAPHICS_PROPERTIES[VEHIDCODE],0))</f>
        <v>1</v>
      </c>
      <c r="O153" s="30" t="str">
        <f>"item_"&amp;CONTROL[[#This Row],[VEHIDCODE]]</f>
        <v>item_steam_Italy_FS_691</v>
      </c>
      <c r="P153" s="30" t="str">
        <f>"str_"&amp;CONTROL[[#This Row],[VEHIDCODE]]</f>
        <v>str_steam_Italy_FS_691</v>
      </c>
      <c r="Q153" s="10" t="b">
        <f>_xlfn.XLOOKUP(CONTROL[[#This Row],[VEHIDCODE]],PROPERTIES[VEHIDCODE],PROPERTIES[EXCLUDE])</f>
        <v>0</v>
      </c>
    </row>
    <row r="154" spans="1:17">
      <c r="A154" s="2" t="s">
        <v>174</v>
      </c>
      <c r="B154" s="30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43" t="s">
        <v>1125</v>
      </c>
      <c r="G154" t="s">
        <v>2390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Row],[VEHIDCODE]],roster!A:A,roster!C:C))</f>
        <v>1</v>
      </c>
      <c r="N154" t="b">
        <f>ISNUMBER(_xlfn.XMATCH(CONTROL[[#This Row],[VEHIDCODE]],GRAPHICS_PROPERTIES[VEHIDCODE],0))</f>
        <v>1</v>
      </c>
      <c r="O154" s="30" t="str">
        <f>"item_"&amp;CONTROL[[#This Row],[VEHIDCODE]]</f>
        <v>item_steam_Greece_SEK_Lb</v>
      </c>
      <c r="P154" s="30" t="str">
        <f>"str_"&amp;CONTROL[[#This Row],[VEHIDCODE]]</f>
        <v>str_steam_Greece_SEK_Lb</v>
      </c>
      <c r="Q154" s="10" t="b">
        <f>_xlfn.XLOOKUP(CONTROL[[#This Row],[VEHIDCODE]],PROPERTIES[VEHIDCODE],PROPERTIES[EXCLUDE])</f>
        <v>0</v>
      </c>
    </row>
    <row r="155" spans="1:17">
      <c r="A155" s="2" t="s">
        <v>175</v>
      </c>
      <c r="B155" s="30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43" t="s">
        <v>1126</v>
      </c>
      <c r="G155" t="s">
        <v>2391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Row],[VEHIDCODE]],roster!A:A,roster!C:C))</f>
        <v>1</v>
      </c>
      <c r="N155" t="b">
        <f>ISNUMBER(_xlfn.XMATCH(CONTROL[[#This Row],[VEHIDCODE]],GRAPHICS_PROPERTIES[VEHIDCODE],0))</f>
        <v>1</v>
      </c>
      <c r="O155" s="30" t="str">
        <f>"item_"&amp;CONTROL[[#This Row],[VEHIDCODE]]</f>
        <v>item_steam_Albania_HSH_01</v>
      </c>
      <c r="P155" s="30" t="str">
        <f>"str_"&amp;CONTROL[[#This Row],[VEHIDCODE]]</f>
        <v>str_steam_Albania_HSH_01</v>
      </c>
      <c r="Q155" s="10" t="b">
        <f>_xlfn.XLOOKUP(CONTROL[[#This Row],[VEHIDCODE]],PROPERTIES[VEHIDCODE],PROPERTIES[EXCLUDE])</f>
        <v>0</v>
      </c>
    </row>
    <row r="156" spans="1:17">
      <c r="A156" s="2" t="s">
        <v>176</v>
      </c>
      <c r="B156" s="30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43" t="s">
        <v>1127</v>
      </c>
      <c r="G156" t="s">
        <v>2392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Row],[VEHIDCODE]],roster!A:A,roster!C:C))</f>
        <v>1</v>
      </c>
      <c r="N156" t="b">
        <f>ISNUMBER(_xlfn.XMATCH(CONTROL[[#This Row],[VEHIDCODE]],GRAPHICS_PROPERTIES[VEHIDCODE],0))</f>
        <v>1</v>
      </c>
      <c r="O156" s="30" t="str">
        <f>"item_"&amp;CONTROL[[#This Row],[VEHIDCODE]]</f>
        <v>item_steam_Spain_RENFE_242F</v>
      </c>
      <c r="P156" s="30" t="str">
        <f>"str_"&amp;CONTROL[[#This Row],[VEHIDCODE]]</f>
        <v>str_steam_Spain_RENFE_242F</v>
      </c>
      <c r="Q156" s="10" t="b">
        <f>_xlfn.XLOOKUP(CONTROL[[#This Row],[VEHIDCODE]],PROPERTIES[VEHIDCODE],PROPERTIES[EXCLUDE])</f>
        <v>0</v>
      </c>
    </row>
    <row r="157" spans="1:17">
      <c r="A157" s="2" t="s">
        <v>177</v>
      </c>
      <c r="B157" s="30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43" t="s">
        <v>2995</v>
      </c>
      <c r="G157" t="s">
        <v>2393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Row],[VEHIDCODE]],roster!A:A,roster!C:C))</f>
        <v>1</v>
      </c>
      <c r="N157" t="b">
        <f>ISNUMBER(_xlfn.XMATCH(CONTROL[[#This Row],[VEHIDCODE]],GRAPHICS_PROPERTIES[VEHIDCODE],0))</f>
        <v>1</v>
      </c>
      <c r="O157" s="30" t="str">
        <f>"item_"&amp;CONTROL[[#This Row],[VEHIDCODE]]</f>
        <v>item_steam_Czech_Republic_CD_5341</v>
      </c>
      <c r="P157" s="30" t="str">
        <f>"str_"&amp;CONTROL[[#This Row],[VEHIDCODE]]</f>
        <v>str_steam_Czech_Republic_CD_5341</v>
      </c>
      <c r="Q157" s="10" t="b">
        <f>_xlfn.XLOOKUP(CONTROL[[#This Row],[VEHIDCODE]],PROPERTIES[VEHIDCODE],PROPERTIES[EXCLUDE])</f>
        <v>0</v>
      </c>
    </row>
    <row r="158" spans="1:17">
      <c r="A158" s="2" t="s">
        <v>178</v>
      </c>
      <c r="B158" s="30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43" t="s">
        <v>1128</v>
      </c>
      <c r="G158" t="s">
        <v>2394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Row],[VEHIDCODE]],roster!A:A,roster!C:C))</f>
        <v>1</v>
      </c>
      <c r="N158" t="b">
        <f>ISNUMBER(_xlfn.XMATCH(CONTROL[[#This Row],[VEHIDCODE]],GRAPHICS_PROPERTIES[VEHIDCODE],0))</f>
        <v>1</v>
      </c>
      <c r="O158" s="30" t="str">
        <f>"item_"&amp;CONTROL[[#This Row],[VEHIDCODE]]</f>
        <v>item_steam_Poland_PKP_Ok22</v>
      </c>
      <c r="P158" s="30" t="str">
        <f>"str_"&amp;CONTROL[[#This Row],[VEHIDCODE]]</f>
        <v>str_steam_Poland_PKP_Ok22</v>
      </c>
      <c r="Q158" s="10" t="b">
        <f>_xlfn.XLOOKUP(CONTROL[[#This Row],[VEHIDCODE]],PROPERTIES[VEHIDCODE],PROPERTIES[EXCLUDE])</f>
        <v>0</v>
      </c>
    </row>
    <row r="159" spans="1:17">
      <c r="A159" s="2" t="s">
        <v>179</v>
      </c>
      <c r="B159" s="30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43" t="s">
        <v>2984</v>
      </c>
      <c r="G159" t="s">
        <v>2395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Row],[VEHIDCODE]],roster!A:A,roster!C:C))</f>
        <v>1</v>
      </c>
      <c r="N159" t="b">
        <f>ISNUMBER(_xlfn.XMATCH(CONTROL[[#This Row],[VEHIDCODE]],GRAPHICS_PROPERTIES[VEHIDCODE],0))</f>
        <v>1</v>
      </c>
      <c r="O159" s="30" t="str">
        <f>"item_"&amp;CONTROL[[#This Row],[VEHIDCODE]]</f>
        <v>item_steam_Croatia_HZ_11</v>
      </c>
      <c r="P159" s="30" t="str">
        <f>"str_"&amp;CONTROL[[#This Row],[VEHIDCODE]]</f>
        <v>str_steam_Croatia_HZ_11</v>
      </c>
      <c r="Q159" s="10" t="b">
        <f>_xlfn.XLOOKUP(CONTROL[[#This Row],[VEHIDCODE]],PROPERTIES[VEHIDCODE],PROPERTIES[EXCLUDE])</f>
        <v>0</v>
      </c>
    </row>
    <row r="160" spans="1:17">
      <c r="A160" s="2" t="s">
        <v>180</v>
      </c>
      <c r="B160" s="30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43" t="s">
        <v>2985</v>
      </c>
      <c r="G160" t="s">
        <v>2396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Row],[VEHIDCODE]],roster!A:A,roster!C:C))</f>
        <v>1</v>
      </c>
      <c r="N160" t="b">
        <f>ISNUMBER(_xlfn.XMATCH(CONTROL[[#This Row],[VEHIDCODE]],GRAPHICS_PROPERTIES[VEHIDCODE],0))</f>
        <v>1</v>
      </c>
      <c r="O160" s="30" t="str">
        <f>"item_"&amp;CONTROL[[#This Row],[VEHIDCODE]]</f>
        <v>item_steam_Hungary_MAV_242</v>
      </c>
      <c r="P160" s="30" t="str">
        <f>"str_"&amp;CONTROL[[#This Row],[VEHIDCODE]]</f>
        <v>str_steam_Hungary_MAV_242</v>
      </c>
      <c r="Q160" s="10" t="b">
        <f>_xlfn.XLOOKUP(CONTROL[[#This Row],[VEHIDCODE]],PROPERTIES[VEHIDCODE],PROPERTIES[EXCLUDE])</f>
        <v>0</v>
      </c>
    </row>
    <row r="161" spans="1:17">
      <c r="A161" s="2" t="s">
        <v>181</v>
      </c>
      <c r="B161" s="30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43" t="s">
        <v>2996</v>
      </c>
      <c r="G161" t="s">
        <v>2901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Row],[VEHIDCODE]],roster!A:A,roster!C:C))</f>
        <v>1</v>
      </c>
      <c r="N161" t="b">
        <f>ISNUMBER(_xlfn.XMATCH(CONTROL[[#This Row],[VEHIDCODE]],GRAPHICS_PROPERTIES[VEHIDCODE],0))</f>
        <v>1</v>
      </c>
      <c r="O161" s="30" t="str">
        <f>"item_"&amp;CONTROL[[#This Row],[VEHIDCODE]]</f>
        <v>item_steam_Czech_Republic_CD_4590</v>
      </c>
      <c r="P161" s="30" t="str">
        <f>"str_"&amp;CONTROL[[#This Row],[VEHIDCODE]]</f>
        <v>str_steam_Czech_Republic_CD_4590</v>
      </c>
      <c r="Q161" s="10" t="b">
        <f>_xlfn.XLOOKUP(CONTROL[[#This Row],[VEHIDCODE]],PROPERTIES[VEHIDCODE],PROPERTIES[EXCLUDE])</f>
        <v>0</v>
      </c>
    </row>
    <row r="162" spans="1:17">
      <c r="A162" s="2" t="s">
        <v>182</v>
      </c>
      <c r="B162" s="30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43" t="s">
        <v>1129</v>
      </c>
      <c r="G162" t="s">
        <v>2397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Row],[VEHIDCODE]],roster!A:A,roster!C:C))</f>
        <v>1</v>
      </c>
      <c r="N162" t="b">
        <f>ISNUMBER(_xlfn.XMATCH(CONTROL[[#This Row],[VEHIDCODE]],GRAPHICS_PROPERTIES[VEHIDCODE],0))</f>
        <v>1</v>
      </c>
      <c r="O162" s="30" t="str">
        <f>"item_"&amp;CONTROL[[#This Row],[VEHIDCODE]]</f>
        <v>item_steam_Poland_PKP_OI49</v>
      </c>
      <c r="P162" s="30" t="str">
        <f>"str_"&amp;CONTROL[[#This Row],[VEHIDCODE]]</f>
        <v>str_steam_Poland_PKP_OI49</v>
      </c>
      <c r="Q162" s="10" t="b">
        <f>_xlfn.XLOOKUP(CONTROL[[#This Row],[VEHIDCODE]],PROPERTIES[VEHIDCODE],PROPERTIES[EXCLUDE])</f>
        <v>0</v>
      </c>
    </row>
    <row r="163" spans="1:17">
      <c r="A163" s="2" t="s">
        <v>183</v>
      </c>
      <c r="B163" s="30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43" t="s">
        <v>3009</v>
      </c>
      <c r="G163" t="s">
        <v>2398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Row],[VEHIDCODE]],roster!A:A,roster!C:C))</f>
        <v>1</v>
      </c>
      <c r="N163" t="b">
        <f>ISNUMBER(_xlfn.XMATCH(CONTROL[[#This Row],[VEHIDCODE]],GRAPHICS_PROPERTIES[VEHIDCODE],0))</f>
        <v>1</v>
      </c>
      <c r="O163" s="30" t="str">
        <f>"item_"&amp;CONTROL[[#This Row],[VEHIDCODE]]</f>
        <v>item_steam_Austria_KKStB_310</v>
      </c>
      <c r="P163" s="30" t="str">
        <f>"str_"&amp;CONTROL[[#This Row],[VEHIDCODE]]</f>
        <v>str_steam_Austria_KKStB_310</v>
      </c>
      <c r="Q163" s="10" t="b">
        <f>_xlfn.XLOOKUP(CONTROL[[#This Row],[VEHIDCODE]],PROPERTIES[VEHIDCODE],PROPERTIES[EXCLUDE])</f>
        <v>0</v>
      </c>
    </row>
    <row r="164" spans="1:17">
      <c r="A164" s="2" t="s">
        <v>184</v>
      </c>
      <c r="B164" s="30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43" t="s">
        <v>1130</v>
      </c>
      <c r="G164" t="s">
        <v>2399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Row],[VEHIDCODE]],roster!A:A,roster!C:C))</f>
        <v>1</v>
      </c>
      <c r="N164" t="b">
        <f>ISNUMBER(_xlfn.XMATCH(CONTROL[[#This Row],[VEHIDCODE]],GRAPHICS_PROPERTIES[VEHIDCODE],0))</f>
        <v>1</v>
      </c>
      <c r="O164" s="30" t="str">
        <f>"item_"&amp;CONTROL[[#This Row],[VEHIDCODE]]</f>
        <v>item_steam_USA_Southern_Pacific_GS_4_Daylight</v>
      </c>
      <c r="P164" s="30" t="str">
        <f>"str_"&amp;CONTROL[[#This Row],[VEHIDCODE]]</f>
        <v>str_steam_USA_Southern_Pacific_GS_4_Daylight</v>
      </c>
      <c r="Q164" s="10" t="b">
        <f>_xlfn.XLOOKUP(CONTROL[[#This Row],[VEHIDCODE]],PROPERTIES[VEHIDCODE],PROPERTIES[EXCLUDE])</f>
        <v>0</v>
      </c>
    </row>
    <row r="165" spans="1:17">
      <c r="A165" s="2" t="s">
        <v>185</v>
      </c>
      <c r="B165" s="30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43" t="s">
        <v>1131</v>
      </c>
      <c r="G165" t="s">
        <v>2400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Row],[VEHIDCODE]],roster!A:A,roster!C:C))</f>
        <v>1</v>
      </c>
      <c r="N165" t="b">
        <f>ISNUMBER(_xlfn.XMATCH(CONTROL[[#This Row],[VEHIDCODE]],GRAPHICS_PROPERTIES[VEHIDCODE],0))</f>
        <v>1</v>
      </c>
      <c r="O165" s="30" t="str">
        <f>"item_"&amp;CONTROL[[#This Row],[VEHIDCODE]]</f>
        <v>item_steam_Ireland_GS_WR_101</v>
      </c>
      <c r="P165" s="30" t="str">
        <f>"str_"&amp;CONTROL[[#This Row],[VEHIDCODE]]</f>
        <v>str_steam_Ireland_GS_WR_101</v>
      </c>
      <c r="Q165" s="10" t="b">
        <f>_xlfn.XLOOKUP(CONTROL[[#This Row],[VEHIDCODE]],PROPERTIES[VEHIDCODE],PROPERTIES[EXCLUDE])</f>
        <v>0</v>
      </c>
    </row>
    <row r="166" spans="1:17">
      <c r="A166" s="2" t="s">
        <v>186</v>
      </c>
      <c r="B166" s="30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43" t="s">
        <v>1132</v>
      </c>
      <c r="G166" t="s">
        <v>2401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Row],[VEHIDCODE]],roster!A:A,roster!C:C))</f>
        <v>1</v>
      </c>
      <c r="N166" t="b">
        <f>ISNUMBER(_xlfn.XMATCH(CONTROL[[#This Row],[VEHIDCODE]],GRAPHICS_PROPERTIES[VEHIDCODE],0))</f>
        <v>1</v>
      </c>
      <c r="O166" s="30" t="str">
        <f>"item_"&amp;CONTROL[[#This Row],[VEHIDCODE]]</f>
        <v>item_steam_USA_NYC_H_6A_Light_Mikado</v>
      </c>
      <c r="P166" s="30" t="str">
        <f>"str_"&amp;CONTROL[[#This Row],[VEHIDCODE]]</f>
        <v>str_steam_USA_NYC_H_6A_Light_Mikado</v>
      </c>
      <c r="Q166" s="10" t="b">
        <f>_xlfn.XLOOKUP(CONTROL[[#This Row],[VEHIDCODE]],PROPERTIES[VEHIDCODE],PROPERTIES[EXCLUDE])</f>
        <v>0</v>
      </c>
    </row>
    <row r="167" spans="1:17">
      <c r="A167" s="2" t="s">
        <v>187</v>
      </c>
      <c r="B167" s="30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43" t="s">
        <v>2964</v>
      </c>
      <c r="G167" t="s">
        <v>2402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Row],[VEHIDCODE]],roster!A:A,roster!C:C))</f>
        <v>1</v>
      </c>
      <c r="N167" t="b">
        <f>ISNUMBER(_xlfn.XMATCH(CONTROL[[#This Row],[VEHIDCODE]],GRAPHICS_PROPERTIES[VEHIDCODE],0))</f>
        <v>1</v>
      </c>
      <c r="O167" s="30" t="str">
        <f>"item_"&amp;CONTROL[[#This Row],[VEHIDCODE]]</f>
        <v>item_steam_Argentina_FCGR_315</v>
      </c>
      <c r="P167" s="30" t="str">
        <f>"str_"&amp;CONTROL[[#This Row],[VEHIDCODE]]</f>
        <v>str_steam_Argentina_FCGR_315</v>
      </c>
      <c r="Q167" s="10" t="b">
        <f>_xlfn.XLOOKUP(CONTROL[[#This Row],[VEHIDCODE]],PROPERTIES[VEHIDCODE],PROPERTIES[EXCLUDE])</f>
        <v>0</v>
      </c>
    </row>
    <row r="168" spans="1:17">
      <c r="A168" s="2" t="s">
        <v>188</v>
      </c>
      <c r="B168" s="30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43" t="s">
        <v>1133</v>
      </c>
      <c r="G168" t="s">
        <v>2403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Row],[VEHIDCODE]],roster!A:A,roster!C:C))</f>
        <v>1</v>
      </c>
      <c r="N168" t="b">
        <f>ISNUMBER(_xlfn.XMATCH(CONTROL[[#This Row],[VEHIDCODE]],GRAPHICS_PROPERTIES[VEHIDCODE],0))</f>
        <v>1</v>
      </c>
      <c r="O168" s="30" t="str">
        <f>"item_"&amp;CONTROL[[#This Row],[VEHIDCODE]]</f>
        <v>item_steam_Australia_NSWGR_C35</v>
      </c>
      <c r="P168" s="30" t="str">
        <f>"str_"&amp;CONTROL[[#This Row],[VEHIDCODE]]</f>
        <v>str_steam_Australia_NSWGR_C35</v>
      </c>
      <c r="Q168" s="10" t="b">
        <f>_xlfn.XLOOKUP(CONTROL[[#This Row],[VEHIDCODE]],PROPERTIES[VEHIDCODE],PROPERTIES[EXCLUDE])</f>
        <v>0</v>
      </c>
    </row>
    <row r="169" spans="1:17">
      <c r="A169" s="2" t="s">
        <v>189</v>
      </c>
      <c r="B169" s="30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43" t="s">
        <v>1134</v>
      </c>
      <c r="G169" t="s">
        <v>2404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Row],[VEHIDCODE]],roster!A:A,roster!C:C))</f>
        <v>1</v>
      </c>
      <c r="N169" t="b">
        <f>ISNUMBER(_xlfn.XMATCH(CONTROL[[#This Row],[VEHIDCODE]],GRAPHICS_PROPERTIES[VEHIDCODE],0))</f>
        <v>1</v>
      </c>
      <c r="O169" s="30" t="str">
        <f>"item_"&amp;CONTROL[[#This Row],[VEHIDCODE]]</f>
        <v>item_steam_Belgium_NMBS_SNCB_Type_29</v>
      </c>
      <c r="P169" s="30" t="str">
        <f>"str_"&amp;CONTROL[[#This Row],[VEHIDCODE]]</f>
        <v>str_steam_Belgium_NMBS_SNCB_Type_29</v>
      </c>
      <c r="Q169" s="10" t="b">
        <f>_xlfn.XLOOKUP(CONTROL[[#This Row],[VEHIDCODE]],PROPERTIES[VEHIDCODE],PROPERTIES[EXCLUDE])</f>
        <v>0</v>
      </c>
    </row>
    <row r="170" spans="1:17">
      <c r="A170" s="2" t="s">
        <v>190</v>
      </c>
      <c r="B170" s="30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43" t="s">
        <v>2405</v>
      </c>
      <c r="G170" t="s">
        <v>2406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Row],[VEHIDCODE]],roster!A:A,roster!C:C))</f>
        <v>1</v>
      </c>
      <c r="N170" t="b">
        <f>ISNUMBER(_xlfn.XMATCH(CONTROL[[#This Row],[VEHIDCODE]],GRAPHICS_PROPERTIES[VEHIDCODE],0))</f>
        <v>1</v>
      </c>
      <c r="O170" s="30" t="str">
        <f>"item_"&amp;CONTROL[[#This Row],[VEHIDCODE]]</f>
        <v>item_steam_Chile_FCAB_4_8_2</v>
      </c>
      <c r="P170" s="30" t="str">
        <f>"str_"&amp;CONTROL[[#This Row],[VEHIDCODE]]</f>
        <v>str_steam_Chile_FCAB_4_8_2</v>
      </c>
      <c r="Q170" s="10" t="b">
        <f>_xlfn.XLOOKUP(CONTROL[[#This Row],[VEHIDCODE]],PROPERTIES[VEHIDCODE],PROPERTIES[EXCLUDE])</f>
        <v>0</v>
      </c>
    </row>
    <row r="171" spans="1:17">
      <c r="A171" s="2" t="s">
        <v>191</v>
      </c>
      <c r="B171" s="30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43" t="s">
        <v>1135</v>
      </c>
      <c r="G171" t="s">
        <v>2407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Row],[VEHIDCODE]],roster!A:A,roster!C:C))</f>
        <v>1</v>
      </c>
      <c r="N171" t="b">
        <f>ISNUMBER(_xlfn.XMATCH(CONTROL[[#This Row],[VEHIDCODE]],GRAPHICS_PROPERTIES[VEHIDCODE],0))</f>
        <v>1</v>
      </c>
      <c r="O171" s="30" t="str">
        <f>"item_"&amp;CONTROL[[#This Row],[VEHIDCODE]]</f>
        <v>item_steam_China_Railways_QJ</v>
      </c>
      <c r="P171" s="30" t="str">
        <f>"str_"&amp;CONTROL[[#This Row],[VEHIDCODE]]</f>
        <v>str_steam_China_Railways_QJ</v>
      </c>
      <c r="Q171" s="10" t="b">
        <f>_xlfn.XLOOKUP(CONTROL[[#This Row],[VEHIDCODE]],PROPERTIES[VEHIDCODE],PROPERTIES[EXCLUDE])</f>
        <v>0</v>
      </c>
    </row>
    <row r="172" spans="1:17">
      <c r="A172" s="2" t="s">
        <v>192</v>
      </c>
      <c r="B172" s="30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43" t="s">
        <v>1136</v>
      </c>
      <c r="G172" t="s">
        <v>2408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Row],[VEHIDCODE]],roster!A:A,roster!C:C))</f>
        <v>1</v>
      </c>
      <c r="N172" t="b">
        <f>ISNUMBER(_xlfn.XMATCH(CONTROL[[#This Row],[VEHIDCODE]],GRAPHICS_PROPERTIES[VEHIDCODE],0))</f>
        <v>1</v>
      </c>
      <c r="O172" s="30" t="str">
        <f>"item_"&amp;CONTROL[[#This Row],[VEHIDCODE]]</f>
        <v>item_diesel_Germany_DB_Kof_II</v>
      </c>
      <c r="P172" s="30" t="str">
        <f>"str_"&amp;CONTROL[[#This Row],[VEHIDCODE]]</f>
        <v>str_diesel_Germany_DB_Kof_II</v>
      </c>
      <c r="Q172" s="10" t="b">
        <f>_xlfn.XLOOKUP(CONTROL[[#This Row],[VEHIDCODE]],PROPERTIES[VEHIDCODE],PROPERTIES[EXCLUDE])</f>
        <v>0</v>
      </c>
    </row>
    <row r="173" spans="1:17">
      <c r="A173" s="2" t="s">
        <v>193</v>
      </c>
      <c r="B173" s="30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43" t="s">
        <v>2409</v>
      </c>
      <c r="G173" t="s">
        <v>2411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Row],[VEHIDCODE]],roster!A:A,roster!C:C))</f>
        <v>1</v>
      </c>
      <c r="N173" t="b">
        <f>ISNUMBER(_xlfn.XMATCH(CONTROL[[#This Row],[VEHIDCODE]],GRAPHICS_PROPERTIES[VEHIDCODE],0))</f>
        <v>1</v>
      </c>
      <c r="O173" s="30" t="str">
        <f>"item_"&amp;CONTROL[[#This Row],[VEHIDCODE]]</f>
        <v>item_diesel_USA_CNJ_ALCo_GE_IR_Boxcab</v>
      </c>
      <c r="P173" s="30" t="str">
        <f>"str_"&amp;CONTROL[[#This Row],[VEHIDCODE]]</f>
        <v>str_diesel_USA_CNJ_ALCo_GE_IR_Boxcab</v>
      </c>
      <c r="Q173" s="10" t="b">
        <f>_xlfn.XLOOKUP(CONTROL[[#This Row],[VEHIDCODE]],PROPERTIES[VEHIDCODE],PROPERTIES[EXCLUDE])</f>
        <v>0</v>
      </c>
    </row>
    <row r="174" spans="1:17">
      <c r="A174" s="2" t="s">
        <v>194</v>
      </c>
      <c r="B174" s="30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43" t="s">
        <v>1137</v>
      </c>
      <c r="G174" t="s">
        <v>2410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Row],[VEHIDCODE]],roster!A:A,roster!C:C))</f>
        <v>1</v>
      </c>
      <c r="N174" t="b">
        <f>ISNUMBER(_xlfn.XMATCH(CONTROL[[#This Row],[VEHIDCODE]],GRAPHICS_PROPERTIES[VEHIDCODE],0))</f>
        <v>1</v>
      </c>
      <c r="O174" s="30" t="str">
        <f>"item_"&amp;CONTROL[[#This Row],[VEHIDCODE]]</f>
        <v>item_diesel_Netherlands_NS_200</v>
      </c>
      <c r="P174" s="30" t="str">
        <f>"str_"&amp;CONTROL[[#This Row],[VEHIDCODE]]</f>
        <v>str_diesel_Netherlands_NS_200</v>
      </c>
      <c r="Q174" s="10" t="b">
        <f>_xlfn.XLOOKUP(CONTROL[[#This Row],[VEHIDCODE]],PROPERTIES[VEHIDCODE],PROPERTIES[EXCLUDE])</f>
        <v>0</v>
      </c>
    </row>
    <row r="175" spans="1:17">
      <c r="A175" s="2" t="s">
        <v>195</v>
      </c>
      <c r="B175" s="30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43" t="s">
        <v>1138</v>
      </c>
      <c r="G175" t="s">
        <v>2412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Row],[VEHIDCODE]],roster!A:A,roster!C:C))</f>
        <v>1</v>
      </c>
      <c r="N175" t="b">
        <f>ISNUMBER(_xlfn.XMATCH(CONTROL[[#This Row],[VEHIDCODE]],GRAPHICS_PROPERTIES[VEHIDCODE],0))</f>
        <v>1</v>
      </c>
      <c r="O175" s="30" t="str">
        <f>"item_"&amp;CONTROL[[#This Row],[VEHIDCODE]]</f>
        <v>item_diesel_Germany_DB_270</v>
      </c>
      <c r="P175" s="30" t="str">
        <f>"str_"&amp;CONTROL[[#This Row],[VEHIDCODE]]</f>
        <v>str_diesel_Germany_DB_270</v>
      </c>
      <c r="Q175" s="10" t="b">
        <f>_xlfn.XLOOKUP(CONTROL[[#This Row],[VEHIDCODE]],PROPERTIES[VEHIDCODE],PROPERTIES[EXCLUDE])</f>
        <v>0</v>
      </c>
    </row>
    <row r="176" spans="1:17">
      <c r="A176" s="2" t="s">
        <v>196</v>
      </c>
      <c r="B176" s="30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43" t="s">
        <v>1139</v>
      </c>
      <c r="G176" t="s">
        <v>2413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Row],[VEHIDCODE]],roster!A:A,roster!C:C))</f>
        <v>1</v>
      </c>
      <c r="N176" t="b">
        <f>ISNUMBER(_xlfn.XMATCH(CONTROL[[#This Row],[VEHIDCODE]],GRAPHICS_PROPERTIES[VEHIDCODE],0))</f>
        <v>1</v>
      </c>
      <c r="O176" s="30" t="str">
        <f>"item_"&amp;CONTROL[[#This Row],[VEHIDCODE]]</f>
        <v>item_diesel_Switzerland_SBB_Am_4_6</v>
      </c>
      <c r="P176" s="30" t="str">
        <f>"str_"&amp;CONTROL[[#This Row],[VEHIDCODE]]</f>
        <v>str_diesel_Switzerland_SBB_Am_4_6</v>
      </c>
      <c r="Q176" s="10" t="b">
        <f>_xlfn.XLOOKUP(CONTROL[[#This Row],[VEHIDCODE]],PROPERTIES[VEHIDCODE],PROPERTIES[EXCLUDE])</f>
        <v>0</v>
      </c>
    </row>
    <row r="177" spans="1:17">
      <c r="A177" s="2" t="s">
        <v>197</v>
      </c>
      <c r="B177" s="30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43" t="s">
        <v>1140</v>
      </c>
      <c r="G177" t="s">
        <v>2414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Row],[VEHIDCODE]],roster!A:A,roster!C:C))</f>
        <v>1</v>
      </c>
      <c r="N177" t="b">
        <f>ISNUMBER(_xlfn.XMATCH(CONTROL[[#This Row],[VEHIDCODE]],GRAPHICS_PROPERTIES[VEHIDCODE],0))</f>
        <v>1</v>
      </c>
      <c r="O177" s="30" t="str">
        <f>"item_"&amp;CONTROL[[#This Row],[VEHIDCODE]]</f>
        <v>item_diesel_Australia_NSWGR_79</v>
      </c>
      <c r="P177" s="30" t="str">
        <f>"str_"&amp;CONTROL[[#This Row],[VEHIDCODE]]</f>
        <v>str_diesel_Australia_NSWGR_79</v>
      </c>
      <c r="Q177" s="10" t="b">
        <f>_xlfn.XLOOKUP(CONTROL[[#This Row],[VEHIDCODE]],PROPERTIES[VEHIDCODE],PROPERTIES[EXCLUDE])</f>
        <v>0</v>
      </c>
    </row>
    <row r="178" spans="1:17">
      <c r="A178" s="2" t="s">
        <v>198</v>
      </c>
      <c r="B178" s="30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43" t="s">
        <v>1141</v>
      </c>
      <c r="G178" t="s">
        <v>2416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Row],[VEHIDCODE]],roster!A:A,roster!C:C))</f>
        <v>1</v>
      </c>
      <c r="N178" t="b">
        <f>ISNUMBER(_xlfn.XMATCH(CONTROL[[#This Row],[VEHIDCODE]],GRAPHICS_PROPERTIES[VEHIDCODE],0))</f>
        <v>1</v>
      </c>
      <c r="O178" s="30" t="str">
        <f>"item_"&amp;CONTROL[[#This Row],[VEHIDCODE]]</f>
        <v>item_diesel_USA_Western_Pacific_ALCO_S_2</v>
      </c>
      <c r="P178" s="30" t="str">
        <f>"str_"&amp;CONTROL[[#This Row],[VEHIDCODE]]</f>
        <v>str_diesel_USA_Western_Pacific_ALCO_S_2</v>
      </c>
      <c r="Q178" s="10" t="b">
        <f>_xlfn.XLOOKUP(CONTROL[[#This Row],[VEHIDCODE]],PROPERTIES[VEHIDCODE],PROPERTIES[EXCLUDE])</f>
        <v>0</v>
      </c>
    </row>
    <row r="179" spans="1:17">
      <c r="A179" s="2" t="s">
        <v>199</v>
      </c>
      <c r="B179" s="30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43" t="s">
        <v>1142</v>
      </c>
      <c r="G179" t="s">
        <v>2415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Row],[VEHIDCODE]],roster!A:A,roster!C:C))</f>
        <v>1</v>
      </c>
      <c r="N179" t="b">
        <f>ISNUMBER(_xlfn.XMATCH(CONTROL[[#This Row],[VEHIDCODE]],GRAPHICS_PROPERTIES[VEHIDCODE],0))</f>
        <v>1</v>
      </c>
      <c r="O179" s="30" t="str">
        <f>"item_"&amp;CONTROL[[#This Row],[VEHIDCODE]]</f>
        <v>item_diesel_USA_AT_SF_EMD_F3</v>
      </c>
      <c r="P179" s="30" t="str">
        <f>"str_"&amp;CONTROL[[#This Row],[VEHIDCODE]]</f>
        <v>str_diesel_USA_AT_SF_EMD_F3</v>
      </c>
      <c r="Q179" s="10" t="b">
        <f>_xlfn.XLOOKUP(CONTROL[[#This Row],[VEHIDCODE]],PROPERTIES[VEHIDCODE],PROPERTIES[EXCLUDE])</f>
        <v>0</v>
      </c>
    </row>
    <row r="180" spans="1:17">
      <c r="A180" s="2" t="s">
        <v>200</v>
      </c>
      <c r="B180" s="30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43" t="s">
        <v>1143</v>
      </c>
      <c r="G180" t="s">
        <v>2418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Row],[VEHIDCODE]],roster!A:A,roster!C:C))</f>
        <v>1</v>
      </c>
      <c r="N180" t="b">
        <f>ISNUMBER(_xlfn.XMATCH(CONTROL[[#This Row],[VEHIDCODE]],GRAPHICS_PROPERTIES[VEHIDCODE],0))</f>
        <v>1</v>
      </c>
      <c r="O180" s="30" t="str">
        <f>"item_"&amp;CONTROL[[#This Row],[VEHIDCODE]]</f>
        <v>item_diesel_USA_UP_EMD_E8</v>
      </c>
      <c r="P180" s="30" t="str">
        <f>"str_"&amp;CONTROL[[#This Row],[VEHIDCODE]]</f>
        <v>str_diesel_USA_UP_EMD_E8</v>
      </c>
      <c r="Q180" s="10" t="b">
        <f>_xlfn.XLOOKUP(CONTROL[[#This Row],[VEHIDCODE]],PROPERTIES[VEHIDCODE],PROPERTIES[EXCLUDE])</f>
        <v>0</v>
      </c>
    </row>
    <row r="181" spans="1:17">
      <c r="A181" s="2" t="s">
        <v>201</v>
      </c>
      <c r="B181" s="30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43" t="s">
        <v>1144</v>
      </c>
      <c r="G181" t="s">
        <v>2420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Row],[VEHIDCODE]],roster!A:A,roster!C:C))</f>
        <v>1</v>
      </c>
      <c r="N181" t="b">
        <f>ISNUMBER(_xlfn.XMATCH(CONTROL[[#This Row],[VEHIDCODE]],GRAPHICS_PROPERTIES[VEHIDCODE],0))</f>
        <v>1</v>
      </c>
      <c r="O181" s="30" t="str">
        <f>"item_"&amp;CONTROL[[#This Row],[VEHIDCODE]]</f>
        <v>item_diesel_Brazil_EFCB_ALCO_RS_3</v>
      </c>
      <c r="P181" s="30" t="str">
        <f>"str_"&amp;CONTROL[[#This Row],[VEHIDCODE]]</f>
        <v>str_diesel_Brazil_EFCB_ALCO_RS_3</v>
      </c>
      <c r="Q181" s="10" t="b">
        <f>_xlfn.XLOOKUP(CONTROL[[#This Row],[VEHIDCODE]],PROPERTIES[VEHIDCODE],PROPERTIES[EXCLUDE])</f>
        <v>0</v>
      </c>
    </row>
    <row r="182" spans="1:17">
      <c r="A182" s="2" t="s">
        <v>202</v>
      </c>
      <c r="B182" s="30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43" t="s">
        <v>1145</v>
      </c>
      <c r="G182" t="s">
        <v>2421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Row],[VEHIDCODE]],roster!A:A,roster!C:C))</f>
        <v>1</v>
      </c>
      <c r="N182" t="b">
        <f>ISNUMBER(_xlfn.XMATCH(CONTROL[[#This Row],[VEHIDCODE]],GRAPHICS_PROPERTIES[VEHIDCODE],0))</f>
        <v>1</v>
      </c>
      <c r="O182" s="30" t="str">
        <f>"item_"&amp;CONTROL[[#This Row],[VEHIDCODE]]</f>
        <v>item_diesel_Netherlands_NS_600</v>
      </c>
      <c r="P182" s="30" t="str">
        <f>"str_"&amp;CONTROL[[#This Row],[VEHIDCODE]]</f>
        <v>str_diesel_Netherlands_NS_600</v>
      </c>
      <c r="Q182" s="10" t="b">
        <f>_xlfn.XLOOKUP(CONTROL[[#This Row],[VEHIDCODE]],PROPERTIES[VEHIDCODE],PROPERTIES[EXCLUDE])</f>
        <v>0</v>
      </c>
    </row>
    <row r="183" spans="1:17">
      <c r="A183" s="2" t="s">
        <v>203</v>
      </c>
      <c r="B183" s="30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43" t="s">
        <v>1146</v>
      </c>
      <c r="G183" t="s">
        <v>2422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Row],[VEHIDCODE]],roster!A:A,roster!C:C))</f>
        <v>1</v>
      </c>
      <c r="N183" t="b">
        <f>ISNUMBER(_xlfn.XMATCH(CONTROL[[#This Row],[VEHIDCODE]],GRAPHICS_PROPERTIES[VEHIDCODE],0))</f>
        <v>1</v>
      </c>
      <c r="O183" s="30" t="str">
        <f>"item_"&amp;CONTROL[[#This Row],[VEHIDCODE]]</f>
        <v>item_diesel_USA_Pennsylvania_Railroad_RF_16_Sharknose</v>
      </c>
      <c r="P183" s="30" t="str">
        <f>"str_"&amp;CONTROL[[#This Row],[VEHIDCODE]]</f>
        <v>str_diesel_USA_Pennsylvania_Railroad_RF_16_Sharknose</v>
      </c>
      <c r="Q183" s="10" t="b">
        <f>_xlfn.XLOOKUP(CONTROL[[#This Row],[VEHIDCODE]],PROPERTIES[VEHIDCODE],PROPERTIES[EXCLUDE])</f>
        <v>0</v>
      </c>
    </row>
    <row r="184" spans="1:17">
      <c r="A184" s="2" t="s">
        <v>204</v>
      </c>
      <c r="B184" s="30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43" t="s">
        <v>1147</v>
      </c>
      <c r="G184" t="s">
        <v>2371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Row],[VEHIDCODE]],roster!A:A,roster!C:C))</f>
        <v>1</v>
      </c>
      <c r="N184" t="b">
        <f>ISNUMBER(_xlfn.XMATCH(CONTROL[[#This Row],[VEHIDCODE]],GRAPHICS_PROPERTIES[VEHIDCODE],0))</f>
        <v>1</v>
      </c>
      <c r="O184" s="30" t="str">
        <f>"item_"&amp;CONTROL[[#This Row],[VEHIDCODE]]</f>
        <v>item_diesel_Uruguay_AFE_1500</v>
      </c>
      <c r="P184" s="30" t="str">
        <f>"str_"&amp;CONTROL[[#This Row],[VEHIDCODE]]</f>
        <v>str_diesel_Uruguay_AFE_1500</v>
      </c>
      <c r="Q184" s="10" t="b">
        <f>_xlfn.XLOOKUP(CONTROL[[#This Row],[VEHIDCODE]],PROPERTIES[VEHIDCODE],PROPERTIES[EXCLUDE])</f>
        <v>0</v>
      </c>
    </row>
    <row r="185" spans="1:17">
      <c r="A185" s="2" t="s">
        <v>205</v>
      </c>
      <c r="B185" s="30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43" t="s">
        <v>2423</v>
      </c>
      <c r="G185" t="s">
        <v>2424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Row],[VEHIDCODE]],roster!A:A,roster!C:C))</f>
        <v>1</v>
      </c>
      <c r="N185" t="b">
        <f>ISNUMBER(_xlfn.XMATCH(CONTROL[[#This Row],[VEHIDCODE]],GRAPHICS_PROPERTIES[VEHIDCODE],0))</f>
        <v>1</v>
      </c>
      <c r="O185" s="30" t="str">
        <f>"item_"&amp;CONTROL[[#This Row],[VEHIDCODE]]</f>
        <v>item_diesel_Canada_CPR_Trainmaster</v>
      </c>
      <c r="P185" s="30" t="str">
        <f>"str_"&amp;CONTROL[[#This Row],[VEHIDCODE]]</f>
        <v>str_diesel_Canada_CPR_Trainmaster</v>
      </c>
      <c r="Q185" s="10" t="b">
        <f>_xlfn.XLOOKUP(CONTROL[[#This Row],[VEHIDCODE]],PROPERTIES[VEHIDCODE],PROPERTIES[EXCLUDE])</f>
        <v>0</v>
      </c>
    </row>
    <row r="186" spans="1:17">
      <c r="A186" s="2" t="s">
        <v>206</v>
      </c>
      <c r="B186" s="30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43" t="s">
        <v>3035</v>
      </c>
      <c r="G186" t="s">
        <v>2425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Row],[VEHIDCODE]],roster!A:A,roster!C:C))</f>
        <v>1</v>
      </c>
      <c r="N186" t="b">
        <f>ISNUMBER(_xlfn.XMATCH(CONTROL[[#This Row],[VEHIDCODE]],GRAPHICS_PROPERTIES[VEHIDCODE],0))</f>
        <v>1</v>
      </c>
      <c r="O186" s="30" t="str">
        <f>"item_"&amp;CONTROL[[#This Row],[VEHIDCODE]]</f>
        <v>item_diesel_Liberia_Liberia_Railways_Class_08</v>
      </c>
      <c r="P186" s="30" t="str">
        <f>"str_"&amp;CONTROL[[#This Row],[VEHIDCODE]]</f>
        <v>str_diesel_Liberia_Liberia_Railways_Class_08</v>
      </c>
      <c r="Q186" s="10" t="b">
        <f>_xlfn.XLOOKUP(CONTROL[[#This Row],[VEHIDCODE]],PROPERTIES[VEHIDCODE],PROPERTIES[EXCLUDE])</f>
        <v>0</v>
      </c>
    </row>
    <row r="187" spans="1:17">
      <c r="A187" s="2" t="s">
        <v>207</v>
      </c>
      <c r="B187" s="30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43" t="s">
        <v>2974</v>
      </c>
      <c r="G187" t="s">
        <v>2426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Row],[VEHIDCODE]],roster!A:A,roster!C:C))</f>
        <v>1</v>
      </c>
      <c r="N187" t="b">
        <f>ISNUMBER(_xlfn.XMATCH(CONTROL[[#This Row],[VEHIDCODE]],GRAPHICS_PROPERTIES[VEHIDCODE],0))</f>
        <v>1</v>
      </c>
      <c r="O187" s="30" t="str">
        <f>"item_"&amp;CONTROL[[#This Row],[VEHIDCODE]]</f>
        <v>item_diesel_Austria_OBB_2060</v>
      </c>
      <c r="P187" s="30" t="str">
        <f>"str_"&amp;CONTROL[[#This Row],[VEHIDCODE]]</f>
        <v>str_diesel_Austria_OBB_2060</v>
      </c>
      <c r="Q187" s="10" t="b">
        <f>_xlfn.XLOOKUP(CONTROL[[#This Row],[VEHIDCODE]],PROPERTIES[VEHIDCODE],PROPERTIES[EXCLUDE])</f>
        <v>0</v>
      </c>
    </row>
    <row r="188" spans="1:17">
      <c r="A188" s="2" t="s">
        <v>208</v>
      </c>
      <c r="B188" s="30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43" t="s">
        <v>1148</v>
      </c>
      <c r="G188" t="s">
        <v>2427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Row],[VEHIDCODE]],roster!A:A,roster!C:C))</f>
        <v>1</v>
      </c>
      <c r="N188" t="b">
        <f>ISNUMBER(_xlfn.XMATCH(CONTROL[[#This Row],[VEHIDCODE]],GRAPHICS_PROPERTIES[VEHIDCODE],0))</f>
        <v>1</v>
      </c>
      <c r="O188" s="30" t="str">
        <f>"item_"&amp;CONTROL[[#This Row],[VEHIDCODE]]</f>
        <v>item_diesel_Canada_CNR_SW1200</v>
      </c>
      <c r="P188" s="30" t="str">
        <f>"str_"&amp;CONTROL[[#This Row],[VEHIDCODE]]</f>
        <v>str_diesel_Canada_CNR_SW1200</v>
      </c>
      <c r="Q188" s="10" t="b">
        <f>_xlfn.XLOOKUP(CONTROL[[#This Row],[VEHIDCODE]],PROPERTIES[VEHIDCODE],PROPERTIES[EXCLUDE])</f>
        <v>0</v>
      </c>
    </row>
    <row r="189" spans="1:17">
      <c r="A189" s="2" t="s">
        <v>209</v>
      </c>
      <c r="B189" s="30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43" t="s">
        <v>1149</v>
      </c>
      <c r="G189" t="s">
        <v>2428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Row],[VEHIDCODE]],roster!A:A,roster!C:C))</f>
        <v>1</v>
      </c>
      <c r="N189" t="b">
        <f>ISNUMBER(_xlfn.XMATCH(CONTROL[[#This Row],[VEHIDCODE]],GRAPHICS_PROPERTIES[VEHIDCODE],0))</f>
        <v>1</v>
      </c>
      <c r="O189" s="30" t="str">
        <f>"item_"&amp;CONTROL[[#This Row],[VEHIDCODE]]</f>
        <v>item_diesel_Canada_VIA_Rail_FP9</v>
      </c>
      <c r="P189" s="30" t="str">
        <f>"str_"&amp;CONTROL[[#This Row],[VEHIDCODE]]</f>
        <v>str_diesel_Canada_VIA_Rail_FP9</v>
      </c>
      <c r="Q189" s="10" t="b">
        <f>_xlfn.XLOOKUP(CONTROL[[#This Row],[VEHIDCODE]],PROPERTIES[VEHIDCODE],PROPERTIES[EXCLUDE])</f>
        <v>0</v>
      </c>
    </row>
    <row r="190" spans="1:17">
      <c r="A190" s="2" t="s">
        <v>210</v>
      </c>
      <c r="B190" s="30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43" t="s">
        <v>2986</v>
      </c>
      <c r="G190" t="s">
        <v>2417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Row],[VEHIDCODE]],roster!A:A,roster!C:C))</f>
        <v>1</v>
      </c>
      <c r="N190" t="b">
        <f>ISNUMBER(_xlfn.XMATCH(CONTROL[[#This Row],[VEHIDCODE]],GRAPHICS_PROPERTIES[VEHIDCODE],0))</f>
        <v>1</v>
      </c>
      <c r="O190" s="30" t="str">
        <f>"item_"&amp;CONTROL[[#This Row],[VEHIDCODE]]</f>
        <v>item_diesel_Hungary_MAV_M44</v>
      </c>
      <c r="P190" s="30" t="str">
        <f>"str_"&amp;CONTROL[[#This Row],[VEHIDCODE]]</f>
        <v>str_diesel_Hungary_MAV_M44</v>
      </c>
      <c r="Q190" s="10" t="b">
        <f>_xlfn.XLOOKUP(CONTROL[[#This Row],[VEHIDCODE]],PROPERTIES[VEHIDCODE],PROPERTIES[EXCLUDE])</f>
        <v>0</v>
      </c>
    </row>
    <row r="191" spans="1:17">
      <c r="A191" s="2" t="s">
        <v>211</v>
      </c>
      <c r="B191" s="30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43" t="s">
        <v>2987</v>
      </c>
      <c r="G191" t="s">
        <v>2429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Row],[VEHIDCODE]],roster!A:A,roster!C:C))</f>
        <v>1</v>
      </c>
      <c r="N191" t="b">
        <f>ISNUMBER(_xlfn.XMATCH(CONTROL[[#This Row],[VEHIDCODE]],GRAPHICS_PROPERTIES[VEHIDCODE],0))</f>
        <v>1</v>
      </c>
      <c r="O191" s="30" t="str">
        <f>"item_"&amp;CONTROL[[#This Row],[VEHIDCODE]]</f>
        <v>item_diesel_Hungary_MAV_M28</v>
      </c>
      <c r="P191" s="30" t="str">
        <f>"str_"&amp;CONTROL[[#This Row],[VEHIDCODE]]</f>
        <v>str_diesel_Hungary_MAV_M28</v>
      </c>
      <c r="Q191" s="10" t="b">
        <f>_xlfn.XLOOKUP(CONTROL[[#This Row],[VEHIDCODE]],PROPERTIES[VEHIDCODE],PROPERTIES[EXCLUDE])</f>
        <v>0</v>
      </c>
    </row>
    <row r="192" spans="1:17">
      <c r="A192" s="2" t="s">
        <v>212</v>
      </c>
      <c r="B192" s="30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43" t="s">
        <v>1150</v>
      </c>
      <c r="G192" t="s">
        <v>2430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Row],[VEHIDCODE]],roster!A:A,roster!C:C))</f>
        <v>1</v>
      </c>
      <c r="N192" t="b">
        <f>ISNUMBER(_xlfn.XMATCH(CONTROL[[#This Row],[VEHIDCODE]],GRAPHICS_PROPERTIES[VEHIDCODE],0))</f>
        <v>1</v>
      </c>
      <c r="O192" s="30" t="str">
        <f>"item_"&amp;CONTROL[[#This Row],[VEHIDCODE]]</f>
        <v>item_diesel_Belgium_NMBS_SNCB_83</v>
      </c>
      <c r="P192" s="30" t="str">
        <f>"str_"&amp;CONTROL[[#This Row],[VEHIDCODE]]</f>
        <v>str_diesel_Belgium_NMBS_SNCB_83</v>
      </c>
      <c r="Q192" s="10" t="b">
        <f>_xlfn.XLOOKUP(CONTROL[[#This Row],[VEHIDCODE]],PROPERTIES[VEHIDCODE],PROPERTIES[EXCLUDE])</f>
        <v>0</v>
      </c>
    </row>
    <row r="193" spans="1:17">
      <c r="A193" s="2" t="s">
        <v>213</v>
      </c>
      <c r="B193" s="30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43" t="s">
        <v>1151</v>
      </c>
      <c r="G193" t="s">
        <v>2431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Row],[VEHIDCODE]],roster!A:A,roster!C:C))</f>
        <v>1</v>
      </c>
      <c r="N193" t="b">
        <f>ISNUMBER(_xlfn.XMATCH(CONTROL[[#This Row],[VEHIDCODE]],GRAPHICS_PROPERTIES[VEHIDCODE],0))</f>
        <v>1</v>
      </c>
      <c r="O193" s="30" t="str">
        <f>"item_"&amp;CONTROL[[#This Row],[VEHIDCODE]]</f>
        <v>item_diesel_Germany_DB_220</v>
      </c>
      <c r="P193" s="30" t="str">
        <f>"str_"&amp;CONTROL[[#This Row],[VEHIDCODE]]</f>
        <v>str_diesel_Germany_DB_220</v>
      </c>
      <c r="Q193" s="10" t="b">
        <f>_xlfn.XLOOKUP(CONTROL[[#This Row],[VEHIDCODE]],PROPERTIES[VEHIDCODE],PROPERTIES[EXCLUDE])</f>
        <v>0</v>
      </c>
    </row>
    <row r="194" spans="1:17">
      <c r="A194" s="2" t="s">
        <v>214</v>
      </c>
      <c r="B194" s="30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43" t="s">
        <v>1152</v>
      </c>
      <c r="G194" t="s">
        <v>2432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Row],[VEHIDCODE]],roster!A:A,roster!C:C))</f>
        <v>1</v>
      </c>
      <c r="N194" t="b">
        <f>ISNUMBER(_xlfn.XMATCH(CONTROL[[#This Row],[VEHIDCODE]],GRAPHICS_PROPERTIES[VEHIDCODE],0))</f>
        <v>1</v>
      </c>
      <c r="O194" s="30" t="str">
        <f>"item_"&amp;CONTROL[[#This Row],[VEHIDCODE]]</f>
        <v>item_diesel_USA_Amtrak_FL9</v>
      </c>
      <c r="P194" s="30" t="str">
        <f>"str_"&amp;CONTROL[[#This Row],[VEHIDCODE]]</f>
        <v>str_diesel_USA_Amtrak_FL9</v>
      </c>
      <c r="Q194" s="10" t="b">
        <f>_xlfn.XLOOKUP(CONTROL[[#This Row],[VEHIDCODE]],PROPERTIES[VEHIDCODE],PROPERTIES[EXCLUDE])</f>
        <v>0</v>
      </c>
    </row>
    <row r="195" spans="1:17">
      <c r="A195" s="2" t="s">
        <v>215</v>
      </c>
      <c r="B195" s="30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43" t="s">
        <v>2997</v>
      </c>
      <c r="G195" t="s">
        <v>2433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Row],[VEHIDCODE]],roster!A:A,roster!C:C))</f>
        <v>1</v>
      </c>
      <c r="N195" t="b">
        <f>ISNUMBER(_xlfn.XMATCH(CONTROL[[#This Row],[VEHIDCODE]],GRAPHICS_PROPERTIES[VEHIDCODE],0))</f>
        <v>1</v>
      </c>
      <c r="O195" s="30" t="str">
        <f>"item_"&amp;CONTROL[[#This Row],[VEHIDCODE]]</f>
        <v>item_diesel_Czech_Republic_CD_720_ChME2</v>
      </c>
      <c r="P195" s="30" t="str">
        <f>"str_"&amp;CONTROL[[#This Row],[VEHIDCODE]]</f>
        <v>str_diesel_Czech_Republic_CD_720_ChME2</v>
      </c>
      <c r="Q195" s="10" t="b">
        <f>_xlfn.XLOOKUP(CONTROL[[#This Row],[VEHIDCODE]],PROPERTIES[VEHIDCODE],PROPERTIES[EXCLUDE])</f>
        <v>0</v>
      </c>
    </row>
    <row r="196" spans="1:17">
      <c r="A196" s="2" t="s">
        <v>216</v>
      </c>
      <c r="B196" s="30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43" t="s">
        <v>1153</v>
      </c>
      <c r="G196" t="s">
        <v>2434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Row],[VEHIDCODE]],roster!A:A,roster!C:C))</f>
        <v>1</v>
      </c>
      <c r="N196" t="b">
        <f>ISNUMBER(_xlfn.XMATCH(CONTROL[[#This Row],[VEHIDCODE]],GRAPHICS_PROPERTIES[VEHIDCODE],0))</f>
        <v>1</v>
      </c>
      <c r="O196" s="30" t="str">
        <f>"item_"&amp;CONTROL[[#This Row],[VEHIDCODE]]</f>
        <v>item_diesel_Finland_VR_Dr12</v>
      </c>
      <c r="P196" s="30" t="str">
        <f>"str_"&amp;CONTROL[[#This Row],[VEHIDCODE]]</f>
        <v>str_diesel_Finland_VR_Dr12</v>
      </c>
      <c r="Q196" s="10" t="b">
        <f>_xlfn.XLOOKUP(CONTROL[[#This Row],[VEHIDCODE]],PROPERTIES[VEHIDCODE],PROPERTIES[EXCLUDE])</f>
        <v>0</v>
      </c>
    </row>
    <row r="197" spans="1:17">
      <c r="A197" s="2" t="s">
        <v>217</v>
      </c>
      <c r="B197" s="30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43" t="s">
        <v>1154</v>
      </c>
      <c r="G197" t="s">
        <v>2435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Row],[VEHIDCODE]],roster!A:A,roster!C:C))</f>
        <v>1</v>
      </c>
      <c r="N197" t="b">
        <f>ISNUMBER(_xlfn.XMATCH(CONTROL[[#This Row],[VEHIDCODE]],GRAPHICS_PROPERTIES[VEHIDCODE],0))</f>
        <v>1</v>
      </c>
      <c r="O197" s="30" t="str">
        <f>"item_"&amp;CONTROL[[#This Row],[VEHIDCODE]]</f>
        <v>item_diesel_Romania_CFR_060_DA</v>
      </c>
      <c r="P197" s="30" t="str">
        <f>"str_"&amp;CONTROL[[#This Row],[VEHIDCODE]]</f>
        <v>str_diesel_Romania_CFR_060_DA</v>
      </c>
      <c r="Q197" s="10" t="b">
        <f>_xlfn.XLOOKUP(CONTROL[[#This Row],[VEHIDCODE]],PROPERTIES[VEHIDCODE],PROPERTIES[EXCLUDE])</f>
        <v>0</v>
      </c>
    </row>
    <row r="198" spans="1:17">
      <c r="A198" s="2" t="s">
        <v>218</v>
      </c>
      <c r="B198" s="30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43" t="s">
        <v>1155</v>
      </c>
      <c r="G198" t="s">
        <v>2436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Row],[VEHIDCODE]],roster!A:A,roster!C:C))</f>
        <v>1</v>
      </c>
      <c r="N198" t="b">
        <f>ISNUMBER(_xlfn.XMATCH(CONTROL[[#This Row],[VEHIDCODE]],GRAPHICS_PROPERTIES[VEHIDCODE],0))</f>
        <v>1</v>
      </c>
      <c r="O198" s="30" t="str">
        <f>"item_"&amp;CONTROL[[#This Row],[VEHIDCODE]]</f>
        <v>item_diesel_Brazil_BF_EMD_GL8</v>
      </c>
      <c r="P198" s="30" t="str">
        <f>"str_"&amp;CONTROL[[#This Row],[VEHIDCODE]]</f>
        <v>str_diesel_Brazil_BF_EMD_GL8</v>
      </c>
      <c r="Q198" s="10" t="b">
        <f>_xlfn.XLOOKUP(CONTROL[[#This Row],[VEHIDCODE]],PROPERTIES[VEHIDCODE],PROPERTIES[EXCLUDE])</f>
        <v>0</v>
      </c>
    </row>
    <row r="199" spans="1:17">
      <c r="A199" s="2" t="s">
        <v>219</v>
      </c>
      <c r="B199" s="30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43" t="s">
        <v>1156</v>
      </c>
      <c r="G199" t="s">
        <v>2437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Row],[VEHIDCODE]],roster!A:A,roster!C:C))</f>
        <v>1</v>
      </c>
      <c r="N199" t="b">
        <f>ISNUMBER(_xlfn.XMATCH(CONTROL[[#This Row],[VEHIDCODE]],GRAPHICS_PROPERTIES[VEHIDCODE],0))</f>
        <v>1</v>
      </c>
      <c r="O199" s="30" t="str">
        <f>"item_"&amp;CONTROL[[#This Row],[VEHIDCODE]]</f>
        <v>item_diesel_Brazil_EFVM_ML4000</v>
      </c>
      <c r="P199" s="30" t="str">
        <f>"str_"&amp;CONTROL[[#This Row],[VEHIDCODE]]</f>
        <v>str_diesel_Brazil_EFVM_ML4000</v>
      </c>
      <c r="Q199" s="10" t="b">
        <f>_xlfn.XLOOKUP(CONTROL[[#This Row],[VEHIDCODE]],PROPERTIES[VEHIDCODE],PROPERTIES[EXCLUDE])</f>
        <v>0</v>
      </c>
    </row>
    <row r="200" spans="1:17">
      <c r="A200" s="2" t="s">
        <v>220</v>
      </c>
      <c r="B200" s="30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43" t="s">
        <v>1157</v>
      </c>
      <c r="G200" t="s">
        <v>2438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Row],[VEHIDCODE]],roster!A:A,roster!C:C))</f>
        <v>1</v>
      </c>
      <c r="N200" t="b">
        <f>ISNUMBER(_xlfn.XMATCH(CONTROL[[#This Row],[VEHIDCODE]],GRAPHICS_PROPERTIES[VEHIDCODE],0))</f>
        <v>1</v>
      </c>
      <c r="O200" s="30" t="str">
        <f>"item_"&amp;CONTROL[[#This Row],[VEHIDCODE]]</f>
        <v>item_diesel_Russia_RZD_TEP60</v>
      </c>
      <c r="P200" s="30" t="str">
        <f>"str_"&amp;CONTROL[[#This Row],[VEHIDCODE]]</f>
        <v>str_diesel_Russia_RZD_TEP60</v>
      </c>
      <c r="Q200" s="10" t="b">
        <f>_xlfn.XLOOKUP(CONTROL[[#This Row],[VEHIDCODE]],PROPERTIES[VEHIDCODE],PROPERTIES[EXCLUDE])</f>
        <v>0</v>
      </c>
    </row>
    <row r="201" spans="1:17">
      <c r="A201" s="2" t="s">
        <v>221</v>
      </c>
      <c r="B201" s="30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43" t="s">
        <v>1158</v>
      </c>
      <c r="G201" t="s">
        <v>2439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Row],[VEHIDCODE]],roster!A:A,roster!C:C))</f>
        <v>1</v>
      </c>
      <c r="N201" t="b">
        <f>ISNUMBER(_xlfn.XMATCH(CONTROL[[#This Row],[VEHIDCODE]],GRAPHICS_PROPERTIES[VEHIDCODE],0))</f>
        <v>1</v>
      </c>
      <c r="O201" s="30" t="str">
        <f>"item_"&amp;CONTROL[[#This Row],[VEHIDCODE]]</f>
        <v>item_diesel_Belgium_NMBS_SNCB_62</v>
      </c>
      <c r="P201" s="30" t="str">
        <f>"str_"&amp;CONTROL[[#This Row],[VEHIDCODE]]</f>
        <v>str_diesel_Belgium_NMBS_SNCB_62</v>
      </c>
      <c r="Q201" s="10" t="b">
        <f>_xlfn.XLOOKUP(CONTROL[[#This Row],[VEHIDCODE]],PROPERTIES[VEHIDCODE],PROPERTIES[EXCLUDE])</f>
        <v>0</v>
      </c>
    </row>
    <row r="202" spans="1:17">
      <c r="A202" s="2" t="s">
        <v>222</v>
      </c>
      <c r="B202" s="30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43" t="s">
        <v>1159</v>
      </c>
      <c r="G202" t="s">
        <v>2440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Row],[VEHIDCODE]],roster!A:A,roster!C:C))</f>
        <v>1</v>
      </c>
      <c r="N202" t="b">
        <f>ISNUMBER(_xlfn.XMATCH(CONTROL[[#This Row],[VEHIDCODE]],GRAPHICS_PROPERTIES[VEHIDCODE],0))</f>
        <v>1</v>
      </c>
      <c r="O202" s="30" t="str">
        <f>"item_"&amp;CONTROL[[#This Row],[VEHIDCODE]]</f>
        <v>item_diesel_Denmark_DSB_MaK_100</v>
      </c>
      <c r="P202" s="30" t="str">
        <f>"str_"&amp;CONTROL[[#This Row],[VEHIDCODE]]</f>
        <v>str_diesel_Denmark_DSB_MaK_100</v>
      </c>
      <c r="Q202" s="10" t="b">
        <f>_xlfn.XLOOKUP(CONTROL[[#This Row],[VEHIDCODE]],PROPERTIES[VEHIDCODE],PROPERTIES[EXCLUDE])</f>
        <v>0</v>
      </c>
    </row>
    <row r="203" spans="1:17">
      <c r="A203" s="2" t="s">
        <v>223</v>
      </c>
      <c r="B203" s="30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43" t="s">
        <v>1160</v>
      </c>
      <c r="G203" t="s">
        <v>2441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Row],[VEHIDCODE]],roster!A:A,roster!C:C))</f>
        <v>1</v>
      </c>
      <c r="N203" t="b">
        <f>ISNUMBER(_xlfn.XMATCH(CONTROL[[#This Row],[VEHIDCODE]],GRAPHICS_PROPERTIES[VEHIDCODE],0))</f>
        <v>1</v>
      </c>
      <c r="O203" s="30" t="str">
        <f>"item_"&amp;CONTROL[[#This Row],[VEHIDCODE]]</f>
        <v>item_diesel_India_Indian_Railways_WDM_2</v>
      </c>
      <c r="P203" s="30" t="str">
        <f>"str_"&amp;CONTROL[[#This Row],[VEHIDCODE]]</f>
        <v>str_diesel_India_Indian_Railways_WDM_2</v>
      </c>
      <c r="Q203" s="10" t="b">
        <f>_xlfn.XLOOKUP(CONTROL[[#This Row],[VEHIDCODE]],PROPERTIES[VEHIDCODE],PROPERTIES[EXCLUDE])</f>
        <v>0</v>
      </c>
    </row>
    <row r="204" spans="1:17">
      <c r="A204" s="2" t="s">
        <v>224</v>
      </c>
      <c r="B204" s="30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43" t="s">
        <v>1161</v>
      </c>
      <c r="G204" t="s">
        <v>2442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Row],[VEHIDCODE]],roster!A:A,roster!C:C))</f>
        <v>1</v>
      </c>
      <c r="N204" t="b">
        <f>ISNUMBER(_xlfn.XMATCH(CONTROL[[#This Row],[VEHIDCODE]],GRAPHICS_PROPERTIES[VEHIDCODE],0))</f>
        <v>1</v>
      </c>
      <c r="O204" s="30" t="str">
        <f>"item_"&amp;CONTROL[[#This Row],[VEHIDCODE]]</f>
        <v>item_diesel_UK_BR_14</v>
      </c>
      <c r="P204" s="30" t="str">
        <f>"str_"&amp;CONTROL[[#This Row],[VEHIDCODE]]</f>
        <v>str_diesel_UK_BR_14</v>
      </c>
      <c r="Q204" s="10" t="b">
        <f>_xlfn.XLOOKUP(CONTROL[[#This Row],[VEHIDCODE]],PROPERTIES[VEHIDCODE],PROPERTIES[EXCLUDE])</f>
        <v>0</v>
      </c>
    </row>
    <row r="205" spans="1:17">
      <c r="A205" s="2" t="s">
        <v>225</v>
      </c>
      <c r="B205" s="30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43" t="s">
        <v>1162</v>
      </c>
      <c r="G205" t="s">
        <v>2443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Row],[VEHIDCODE]],roster!A:A,roster!C:C))</f>
        <v>1</v>
      </c>
      <c r="N205" t="b">
        <f>ISNUMBER(_xlfn.XMATCH(CONTROL[[#This Row],[VEHIDCODE]],GRAPHICS_PROPERTIES[VEHIDCODE],0))</f>
        <v>1</v>
      </c>
      <c r="O205" s="30" t="str">
        <f>"item_"&amp;CONTROL[[#This Row],[VEHIDCODE]]</f>
        <v>item_diesel_Russia_RZD_ChME3</v>
      </c>
      <c r="P205" s="30" t="str">
        <f>"str_"&amp;CONTROL[[#This Row],[VEHIDCODE]]</f>
        <v>str_diesel_Russia_RZD_ChME3</v>
      </c>
      <c r="Q205" s="10" t="b">
        <f>_xlfn.XLOOKUP(CONTROL[[#This Row],[VEHIDCODE]],PROPERTIES[VEHIDCODE],PROPERTIES[EXCLUDE])</f>
        <v>0</v>
      </c>
    </row>
    <row r="206" spans="1:17">
      <c r="A206" s="2" t="s">
        <v>226</v>
      </c>
      <c r="B206" s="30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43" t="s">
        <v>3045</v>
      </c>
      <c r="G206" t="s">
        <v>2444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Row],[VEHIDCODE]],roster!A:A,roster!C:C))</f>
        <v>1</v>
      </c>
      <c r="N206" t="b">
        <f>ISNUMBER(_xlfn.XMATCH(CONTROL[[#This Row],[VEHIDCODE]],GRAPHICS_PROPERTIES[VEHIDCODE],0))</f>
        <v>1</v>
      </c>
      <c r="O206" s="30" t="str">
        <f>"item_"&amp;CONTROL[[#This Row],[VEHIDCODE]]</f>
        <v>item_diesel_Argentina_MF_GM_EMD_J16CW_AC</v>
      </c>
      <c r="P206" s="30" t="str">
        <f>"str_"&amp;CONTROL[[#This Row],[VEHIDCODE]]</f>
        <v>str_diesel_Argentina_MF_GM_EMD_J16CW_AC</v>
      </c>
      <c r="Q206" s="10" t="b">
        <f>_xlfn.XLOOKUP(CONTROL[[#This Row],[VEHIDCODE]],PROPERTIES[VEHIDCODE],PROPERTIES[EXCLUDE])</f>
        <v>0</v>
      </c>
    </row>
    <row r="207" spans="1:17">
      <c r="A207" s="2" t="s">
        <v>227</v>
      </c>
      <c r="B207" s="30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43" t="s">
        <v>1163</v>
      </c>
      <c r="G207" t="s">
        <v>2445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Row],[VEHIDCODE]],roster!A:A,roster!C:C))</f>
        <v>1</v>
      </c>
      <c r="N207" t="b">
        <f>ISNUMBER(_xlfn.XMATCH(CONTROL[[#This Row],[VEHIDCODE]],GRAPHICS_PROPERTIES[VEHIDCODE],0))</f>
        <v>1</v>
      </c>
      <c r="O207" s="30" t="str">
        <f>"item_"&amp;CONTROL[[#This Row],[VEHIDCODE]]</f>
        <v>item_diesel_Russia_RZD_M62</v>
      </c>
      <c r="P207" s="30" t="str">
        <f>"str_"&amp;CONTROL[[#This Row],[VEHIDCODE]]</f>
        <v>str_diesel_Russia_RZD_M62</v>
      </c>
      <c r="Q207" s="10" t="b">
        <f>_xlfn.XLOOKUP(CONTROL[[#This Row],[VEHIDCODE]],PROPERTIES[VEHIDCODE],PROPERTIES[EXCLUDE])</f>
        <v>0</v>
      </c>
    </row>
    <row r="208" spans="1:17">
      <c r="A208" s="2" t="s">
        <v>228</v>
      </c>
      <c r="B208" s="30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43" t="s">
        <v>1164</v>
      </c>
      <c r="G208" t="s">
        <v>2446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Row],[VEHIDCODE]],roster!A:A,roster!C:C))</f>
        <v>1</v>
      </c>
      <c r="N208" t="b">
        <f>ISNUMBER(_xlfn.XMATCH(CONTROL[[#This Row],[VEHIDCODE]],GRAPHICS_PROPERTIES[VEHIDCODE],0))</f>
        <v>1</v>
      </c>
      <c r="O208" s="30" t="str">
        <f>"item_"&amp;CONTROL[[#This Row],[VEHIDCODE]]</f>
        <v>item_diesel_Australia_NSWGR_422</v>
      </c>
      <c r="P208" s="30" t="str">
        <f>"str_"&amp;CONTROL[[#This Row],[VEHIDCODE]]</f>
        <v>str_diesel_Australia_NSWGR_422</v>
      </c>
      <c r="Q208" s="10" t="b">
        <f>_xlfn.XLOOKUP(CONTROL[[#This Row],[VEHIDCODE]],PROPERTIES[VEHIDCODE],PROPERTIES[EXCLUDE])</f>
        <v>0</v>
      </c>
    </row>
    <row r="209" spans="1:17">
      <c r="A209" s="2" t="s">
        <v>229</v>
      </c>
      <c r="B209" s="30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43" t="s">
        <v>1165</v>
      </c>
      <c r="G209" t="s">
        <v>2447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Row],[VEHIDCODE]],roster!A:A,roster!C:C))</f>
        <v>1</v>
      </c>
      <c r="N209" t="b">
        <f>ISNUMBER(_xlfn.XMATCH(CONTROL[[#This Row],[VEHIDCODE]],GRAPHICS_PROPERTIES[VEHIDCODE],0))</f>
        <v>1</v>
      </c>
      <c r="O209" s="30" t="str">
        <f>"item_"&amp;CONTROL[[#This Row],[VEHIDCODE]]</f>
        <v>item_diesel_Egypt_ENR_G22W</v>
      </c>
      <c r="P209" s="30" t="str">
        <f>"str_"&amp;CONTROL[[#This Row],[VEHIDCODE]]</f>
        <v>str_diesel_Egypt_ENR_G22W</v>
      </c>
      <c r="Q209" s="10" t="b">
        <f>_xlfn.XLOOKUP(CONTROL[[#This Row],[VEHIDCODE]],PROPERTIES[VEHIDCODE],PROPERTIES[EXCLUDE])</f>
        <v>0</v>
      </c>
    </row>
    <row r="210" spans="1:17">
      <c r="A210" s="2" t="s">
        <v>230</v>
      </c>
      <c r="B210" s="30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43" t="s">
        <v>1166</v>
      </c>
      <c r="G210" t="s">
        <v>2448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Row],[VEHIDCODE]],roster!A:A,roster!C:C))</f>
        <v>1</v>
      </c>
      <c r="N210" t="b">
        <f>ISNUMBER(_xlfn.XMATCH(CONTROL[[#This Row],[VEHIDCODE]],GRAPHICS_PROPERTIES[VEHIDCODE],0))</f>
        <v>1</v>
      </c>
      <c r="O210" s="30" t="str">
        <f>"item_"&amp;CONTROL[[#This Row],[VEHIDCODE]]</f>
        <v>item_diesel_USA_UP_EMD_DDA40X</v>
      </c>
      <c r="P210" s="30" t="str">
        <f>"str_"&amp;CONTROL[[#This Row],[VEHIDCODE]]</f>
        <v>str_diesel_USA_UP_EMD_DDA40X</v>
      </c>
      <c r="Q210" s="10" t="b">
        <f>_xlfn.XLOOKUP(CONTROL[[#This Row],[VEHIDCODE]],PROPERTIES[VEHIDCODE],PROPERTIES[EXCLUDE])</f>
        <v>0</v>
      </c>
    </row>
    <row r="211" spans="1:17">
      <c r="A211" s="2" t="s">
        <v>231</v>
      </c>
      <c r="B211" s="30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43" t="s">
        <v>3218</v>
      </c>
      <c r="G211" t="s">
        <v>2449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Row],[VEHIDCODE]],roster!A:A,roster!C:C))</f>
        <v>1</v>
      </c>
      <c r="N211" t="b">
        <f>ISNUMBER(_xlfn.XMATCH(CONTROL[[#This Row],[VEHIDCODE]],GRAPHICS_PROPERTIES[VEHIDCODE],0))</f>
        <v>1</v>
      </c>
      <c r="O211" s="30" t="str">
        <f>"item_"&amp;CONTROL[[#This Row],[VEHIDCODE]]</f>
        <v>item_diesel_Australia_Queensland_Rail_2100</v>
      </c>
      <c r="P211" s="30" t="str">
        <f>"str_"&amp;CONTROL[[#This Row],[VEHIDCODE]]</f>
        <v>str_diesel_Australia_Queensland_Rail_2100</v>
      </c>
      <c r="Q211" s="10" t="b">
        <f>_xlfn.XLOOKUP(CONTROL[[#This Row],[VEHIDCODE]],PROPERTIES[VEHIDCODE],PROPERTIES[EXCLUDE])</f>
        <v>0</v>
      </c>
    </row>
    <row r="212" spans="1:17">
      <c r="A212" s="2" t="s">
        <v>232</v>
      </c>
      <c r="B212" s="30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43" t="s">
        <v>1167</v>
      </c>
      <c r="G212" t="s">
        <v>2450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Row],[VEHIDCODE]],roster!A:A,roster!C:C))</f>
        <v>1</v>
      </c>
      <c r="N212" t="b">
        <f>ISNUMBER(_xlfn.XMATCH(CONTROL[[#This Row],[VEHIDCODE]],GRAPHICS_PROPERTIES[VEHIDCODE],0))</f>
        <v>1</v>
      </c>
      <c r="O212" s="30" t="str">
        <f>"item_"&amp;CONTROL[[#This Row],[VEHIDCODE]]</f>
        <v>item_diesel_Croatia_HZ_2062</v>
      </c>
      <c r="P212" s="30" t="str">
        <f>"str_"&amp;CONTROL[[#This Row],[VEHIDCODE]]</f>
        <v>str_diesel_Croatia_HZ_2062</v>
      </c>
      <c r="Q212" s="10" t="b">
        <f>_xlfn.XLOOKUP(CONTROL[[#This Row],[VEHIDCODE]],PROPERTIES[VEHIDCODE],PROPERTIES[EXCLUDE])</f>
        <v>0</v>
      </c>
    </row>
    <row r="213" spans="1:17">
      <c r="A213" s="2" t="s">
        <v>233</v>
      </c>
      <c r="B213" s="30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43" t="s">
        <v>1168</v>
      </c>
      <c r="G213" t="s">
        <v>2451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Row],[VEHIDCODE]],roster!A:A,roster!C:C))</f>
        <v>1</v>
      </c>
      <c r="N213" t="b">
        <f>ISNUMBER(_xlfn.XMATCH(CONTROL[[#This Row],[VEHIDCODE]],GRAPHICS_PROPERTIES[VEHIDCODE],0))</f>
        <v>1</v>
      </c>
      <c r="O213" s="30" t="str">
        <f>"item_"&amp;CONTROL[[#This Row],[VEHIDCODE]]</f>
        <v>item_diesel_Sweden_SJ_V4</v>
      </c>
      <c r="P213" s="30" t="str">
        <f>"str_"&amp;CONTROL[[#This Row],[VEHIDCODE]]</f>
        <v>str_diesel_Sweden_SJ_V4</v>
      </c>
      <c r="Q213" s="10" t="b">
        <f>_xlfn.XLOOKUP(CONTROL[[#This Row],[VEHIDCODE]],PROPERTIES[VEHIDCODE],PROPERTIES[EXCLUDE])</f>
        <v>0</v>
      </c>
    </row>
    <row r="214" spans="1:17">
      <c r="A214" s="2" t="s">
        <v>234</v>
      </c>
      <c r="B214" s="30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43" t="s">
        <v>1169</v>
      </c>
      <c r="G214" t="s">
        <v>2452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Row],[VEHIDCODE]],roster!A:A,roster!C:C))</f>
        <v>1</v>
      </c>
      <c r="N214" t="b">
        <f>ISNUMBER(_xlfn.XMATCH(CONTROL[[#This Row],[VEHIDCODE]],GRAPHICS_PROPERTIES[VEHIDCODE],0))</f>
        <v>1</v>
      </c>
      <c r="O214" s="30" t="str">
        <f>"item_"&amp;CONTROL[[#This Row],[VEHIDCODE]]</f>
        <v>item_diesel_Canada_CNR_MLW_M420W</v>
      </c>
      <c r="P214" s="30" t="str">
        <f>"str_"&amp;CONTROL[[#This Row],[VEHIDCODE]]</f>
        <v>str_diesel_Canada_CNR_MLW_M420W</v>
      </c>
      <c r="Q214" s="10" t="b">
        <f>_xlfn.XLOOKUP(CONTROL[[#This Row],[VEHIDCODE]],PROPERTIES[VEHIDCODE],PROPERTIES[EXCLUDE])</f>
        <v>0</v>
      </c>
    </row>
    <row r="215" spans="1:17">
      <c r="A215" s="2" t="s">
        <v>892</v>
      </c>
      <c r="B215" s="30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43" t="s">
        <v>1170</v>
      </c>
      <c r="G215" t="s">
        <v>2453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Row],[VEHIDCODE]],roster!A:A,roster!C:C))</f>
        <v>1</v>
      </c>
      <c r="N215" t="b">
        <f>ISNUMBER(_xlfn.XMATCH(CONTROL[[#This Row],[VEHIDCODE]],GRAPHICS_PROPERTIES[VEHIDCODE],0))</f>
        <v>1</v>
      </c>
      <c r="O215" s="30" t="str">
        <f>"item_"&amp;CONTROL[[#This Row],[VEHIDCODE]]</f>
        <v>item_diesel_USA_Amtrak_SDP_40F</v>
      </c>
      <c r="P215" s="30" t="str">
        <f>"str_"&amp;CONTROL[[#This Row],[VEHIDCODE]]</f>
        <v>str_diesel_USA_Amtrak_SDP_40F</v>
      </c>
      <c r="Q215" s="10" t="b">
        <f>_xlfn.XLOOKUP(CONTROL[[#This Row],[VEHIDCODE]],PROPERTIES[VEHIDCODE],PROPERTIES[EXCLUDE])</f>
        <v>0</v>
      </c>
    </row>
    <row r="216" spans="1:17">
      <c r="A216" s="2" t="s">
        <v>235</v>
      </c>
      <c r="B216" s="30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43" t="s">
        <v>1171</v>
      </c>
      <c r="G216" t="s">
        <v>2454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Row],[VEHIDCODE]],roster!A:A,roster!C:C))</f>
        <v>1</v>
      </c>
      <c r="N216" t="b">
        <f>ISNUMBER(_xlfn.XMATCH(CONTROL[[#This Row],[VEHIDCODE]],GRAPHICS_PROPERTIES[VEHIDCODE],0))</f>
        <v>1</v>
      </c>
      <c r="O216" s="30" t="str">
        <f>"item_"&amp;CONTROL[[#This Row],[VEHIDCODE]]</f>
        <v>item_diesel_China_China_Railways_DFH3</v>
      </c>
      <c r="P216" s="30" t="str">
        <f>"str_"&amp;CONTROL[[#This Row],[VEHIDCODE]]</f>
        <v>str_diesel_China_China_Railways_DFH3</v>
      </c>
      <c r="Q216" s="10" t="b">
        <f>_xlfn.XLOOKUP(CONTROL[[#This Row],[VEHIDCODE]],PROPERTIES[VEHIDCODE],PROPERTIES[EXCLUDE])</f>
        <v>0</v>
      </c>
    </row>
    <row r="217" spans="1:17">
      <c r="A217" s="2" t="s">
        <v>236</v>
      </c>
      <c r="B217" s="30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43" t="s">
        <v>1172</v>
      </c>
      <c r="G217" t="s">
        <v>2455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Row],[VEHIDCODE]],roster!A:A,roster!C:C))</f>
        <v>1</v>
      </c>
      <c r="N217" t="b">
        <f>ISNUMBER(_xlfn.XMATCH(CONTROL[[#This Row],[VEHIDCODE]],GRAPHICS_PROPERTIES[VEHIDCODE],0))</f>
        <v>1</v>
      </c>
      <c r="O217" s="30" t="str">
        <f>"item_"&amp;CONTROL[[#This Row],[VEHIDCODE]]</f>
        <v>item_diesel_Panama_Panama_Canal_Railway_EMD_F40PH</v>
      </c>
      <c r="P217" s="30" t="str">
        <f>"str_"&amp;CONTROL[[#This Row],[VEHIDCODE]]</f>
        <v>str_diesel_Panama_Panama_Canal_Railway_EMD_F40PH</v>
      </c>
      <c r="Q217" s="10" t="b">
        <f>_xlfn.XLOOKUP(CONTROL[[#This Row],[VEHIDCODE]],PROPERTIES[VEHIDCODE],PROPERTIES[EXCLUDE])</f>
        <v>0</v>
      </c>
    </row>
    <row r="218" spans="1:17">
      <c r="A218" s="2" t="s">
        <v>237</v>
      </c>
      <c r="B218" s="30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43" t="s">
        <v>1173</v>
      </c>
      <c r="G218" t="s">
        <v>2456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Row],[VEHIDCODE]],roster!A:A,roster!C:C))</f>
        <v>1</v>
      </c>
      <c r="N218" t="b">
        <f>ISNUMBER(_xlfn.XMATCH(CONTROL[[#This Row],[VEHIDCODE]],GRAPHICS_PROPERTIES[VEHIDCODE],0))</f>
        <v>1</v>
      </c>
      <c r="O218" s="30" t="str">
        <f>"item_"&amp;CONTROL[[#This Row],[VEHIDCODE]]</f>
        <v>item_diesel_Portugal_CP_1900</v>
      </c>
      <c r="P218" s="30" t="str">
        <f>"str_"&amp;CONTROL[[#This Row],[VEHIDCODE]]</f>
        <v>str_diesel_Portugal_CP_1900</v>
      </c>
      <c r="Q218" s="10" t="b">
        <f>_xlfn.XLOOKUP(CONTROL[[#This Row],[VEHIDCODE]],PROPERTIES[VEHIDCODE],PROPERTIES[EXCLUDE])</f>
        <v>0</v>
      </c>
    </row>
    <row r="219" spans="1:17">
      <c r="A219" s="2" t="s">
        <v>238</v>
      </c>
      <c r="B219" s="30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43" t="s">
        <v>1174</v>
      </c>
      <c r="G219" t="s">
        <v>2457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Row],[VEHIDCODE]],roster!A:A,roster!C:C))</f>
        <v>1</v>
      </c>
      <c r="N219" t="b">
        <f>ISNUMBER(_xlfn.XMATCH(CONTROL[[#This Row],[VEHIDCODE]],GRAPHICS_PROPERTIES[VEHIDCODE],0))</f>
        <v>1</v>
      </c>
      <c r="O219" s="30" t="str">
        <f>"item_"&amp;CONTROL[[#This Row],[VEHIDCODE]]</f>
        <v>item_diesel_Finland_VR_Dr16</v>
      </c>
      <c r="P219" s="30" t="str">
        <f>"str_"&amp;CONTROL[[#This Row],[VEHIDCODE]]</f>
        <v>str_diesel_Finland_VR_Dr16</v>
      </c>
      <c r="Q219" s="10" t="b">
        <f>_xlfn.XLOOKUP(CONTROL[[#This Row],[VEHIDCODE]],PROPERTIES[VEHIDCODE],PROPERTIES[EXCLUDE])</f>
        <v>0</v>
      </c>
    </row>
    <row r="220" spans="1:17">
      <c r="A220" s="2" t="s">
        <v>239</v>
      </c>
      <c r="B220" s="30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43" t="s">
        <v>1175</v>
      </c>
      <c r="G220" t="s">
        <v>2458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Row],[VEHIDCODE]],roster!A:A,roster!C:C))</f>
        <v>1</v>
      </c>
      <c r="N220" t="b">
        <f>ISNUMBER(_xlfn.XMATCH(CONTROL[[#This Row],[VEHIDCODE]],GRAPHICS_PROPERTIES[VEHIDCODE],0))</f>
        <v>1</v>
      </c>
      <c r="O220" s="30" t="str">
        <f>"item_"&amp;CONTROL[[#This Row],[VEHIDCODE]]</f>
        <v>item_diesel_Russia_RZD_TEP80</v>
      </c>
      <c r="P220" s="30" t="str">
        <f>"str_"&amp;CONTROL[[#This Row],[VEHIDCODE]]</f>
        <v>str_diesel_Russia_RZD_TEP80</v>
      </c>
      <c r="Q220" s="10" t="b">
        <f>_xlfn.XLOOKUP(CONTROL[[#This Row],[VEHIDCODE]],PROPERTIES[VEHIDCODE],PROPERTIES[EXCLUDE])</f>
        <v>0</v>
      </c>
    </row>
    <row r="221" spans="1:17">
      <c r="A221" s="2" t="s">
        <v>240</v>
      </c>
      <c r="B221" s="30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43" t="s">
        <v>1176</v>
      </c>
      <c r="G221" t="s">
        <v>2459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Row],[VEHIDCODE]],roster!A:A,roster!C:C))</f>
        <v>1</v>
      </c>
      <c r="N221" t="b">
        <f>ISNUMBER(_xlfn.XMATCH(CONTROL[[#This Row],[VEHIDCODE]],GRAPHICS_PROPERTIES[VEHIDCODE],0))</f>
        <v>1</v>
      </c>
      <c r="O221" s="30" t="str">
        <f>"item_"&amp;CONTROL[[#This Row],[VEHIDCODE]]</f>
        <v>item_diesel_Australia_Australian_National_AN</v>
      </c>
      <c r="P221" s="30" t="str">
        <f>"str_"&amp;CONTROL[[#This Row],[VEHIDCODE]]</f>
        <v>str_diesel_Australia_Australian_National_AN</v>
      </c>
      <c r="Q221" s="10" t="b">
        <f>_xlfn.XLOOKUP(CONTROL[[#This Row],[VEHIDCODE]],PROPERTIES[VEHIDCODE],PROPERTIES[EXCLUDE])</f>
        <v>0</v>
      </c>
    </row>
    <row r="222" spans="1:17">
      <c r="A222" s="2" t="s">
        <v>241</v>
      </c>
      <c r="B222" s="30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43" t="s">
        <v>1177</v>
      </c>
      <c r="G222" t="s">
        <v>2460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Row],[VEHIDCODE]],roster!A:A,roster!C:C))</f>
        <v>1</v>
      </c>
      <c r="N222" t="b">
        <f>ISNUMBER(_xlfn.XMATCH(CONTROL[[#This Row],[VEHIDCODE]],GRAPHICS_PROPERTIES[VEHIDCODE],0))</f>
        <v>1</v>
      </c>
      <c r="O222" s="30" t="str">
        <f>"item_"&amp;CONTROL[[#This Row],[VEHIDCODE]]</f>
        <v>item_diesel_USA_Amtrak_P42DC_Genesis</v>
      </c>
      <c r="P222" s="30" t="str">
        <f>"str_"&amp;CONTROL[[#This Row],[VEHIDCODE]]</f>
        <v>str_diesel_USA_Amtrak_P42DC_Genesis</v>
      </c>
      <c r="Q222" s="10" t="b">
        <f>_xlfn.XLOOKUP(CONTROL[[#This Row],[VEHIDCODE]],PROPERTIES[VEHIDCODE],PROPERTIES[EXCLUDE])</f>
        <v>0</v>
      </c>
    </row>
    <row r="223" spans="1:17">
      <c r="A223" s="2" t="s">
        <v>242</v>
      </c>
      <c r="B223" s="30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43" t="s">
        <v>2998</v>
      </c>
      <c r="G223" t="s">
        <v>2461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Row],[VEHIDCODE]],roster!A:A,roster!C:C))</f>
        <v>1</v>
      </c>
      <c r="N223" t="b">
        <f>ISNUMBER(_xlfn.XMATCH(CONTROL[[#This Row],[VEHIDCODE]],GRAPHICS_PROPERTIES[VEHIDCODE],0))</f>
        <v>1</v>
      </c>
      <c r="O223" s="30" t="str">
        <f>"item_"&amp;CONTROL[[#This Row],[VEHIDCODE]]</f>
        <v>item_diesel_Turkey_TCDD_DH7000</v>
      </c>
      <c r="P223" s="30" t="str">
        <f>"str_"&amp;CONTROL[[#This Row],[VEHIDCODE]]</f>
        <v>str_diesel_Turkey_TCDD_DH7000</v>
      </c>
      <c r="Q223" s="10" t="b">
        <f>_xlfn.XLOOKUP(CONTROL[[#This Row],[VEHIDCODE]],PROPERTIES[VEHIDCODE],PROPERTIES[EXCLUDE])</f>
        <v>0</v>
      </c>
    </row>
    <row r="224" spans="1:17">
      <c r="A224" s="2" t="s">
        <v>243</v>
      </c>
      <c r="B224" s="30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43" t="s">
        <v>1178</v>
      </c>
      <c r="G224" t="s">
        <v>2905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Row],[VEHIDCODE]],roster!A:A,roster!C:C))</f>
        <v>1</v>
      </c>
      <c r="N224" t="b">
        <f>ISNUMBER(_xlfn.XMATCH(CONTROL[[#This Row],[VEHIDCODE]],GRAPHICS_PROPERTIES[VEHIDCODE],0))</f>
        <v>1</v>
      </c>
      <c r="O224" s="30" t="str">
        <f>"item_"&amp;CONTROL[[#This Row],[VEHIDCODE]]</f>
        <v>item_diesel_Argentina_MF_GE_U20C</v>
      </c>
      <c r="P224" s="30" t="str">
        <f>"str_"&amp;CONTROL[[#This Row],[VEHIDCODE]]</f>
        <v>str_diesel_Argentina_MF_GE_U20C</v>
      </c>
      <c r="Q224" s="10" t="b">
        <f>_xlfn.XLOOKUP(CONTROL[[#This Row],[VEHIDCODE]],PROPERTIES[VEHIDCODE],PROPERTIES[EXCLUDE])</f>
        <v>0</v>
      </c>
    </row>
    <row r="225" spans="1:17">
      <c r="A225" s="2" t="s">
        <v>244</v>
      </c>
      <c r="B225" s="30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43" t="s">
        <v>1179</v>
      </c>
      <c r="G225" t="s">
        <v>2462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Row],[VEHIDCODE]],roster!A:A,roster!C:C))</f>
        <v>1</v>
      </c>
      <c r="N225" t="b">
        <f>ISNUMBER(_xlfn.XMATCH(CONTROL[[#This Row],[VEHIDCODE]],GRAPHICS_PROPERTIES[VEHIDCODE],0))</f>
        <v>1</v>
      </c>
      <c r="O225" s="30" t="str">
        <f>"item_"&amp;CONTROL[[#This Row],[VEHIDCODE]]</f>
        <v>item_diesel_Belgium_NMBS_SNCB_7800</v>
      </c>
      <c r="P225" s="30" t="str">
        <f>"str_"&amp;CONTROL[[#This Row],[VEHIDCODE]]</f>
        <v>str_diesel_Belgium_NMBS_SNCB_7800</v>
      </c>
      <c r="Q225" s="10" t="b">
        <f>_xlfn.XLOOKUP(CONTROL[[#This Row],[VEHIDCODE]],PROPERTIES[VEHIDCODE],PROPERTIES[EXCLUDE])</f>
        <v>0</v>
      </c>
    </row>
    <row r="226" spans="1:17">
      <c r="A226" s="2" t="s">
        <v>245</v>
      </c>
      <c r="B226" s="30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43" t="s">
        <v>1180</v>
      </c>
      <c r="G226" t="s">
        <v>2463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Row],[VEHIDCODE]],roster!A:A,roster!C:C))</f>
        <v>1</v>
      </c>
      <c r="N226" t="b">
        <f>ISNUMBER(_xlfn.XMATCH(CONTROL[[#This Row],[VEHIDCODE]],GRAPHICS_PROPERTIES[VEHIDCODE],0))</f>
        <v>1</v>
      </c>
      <c r="O226" s="30" t="str">
        <f>"item_"&amp;CONTROL[[#This Row],[VEHIDCODE]]</f>
        <v>item_diesel_UK_BR_66</v>
      </c>
      <c r="P226" s="30" t="str">
        <f>"str_"&amp;CONTROL[[#This Row],[VEHIDCODE]]</f>
        <v>str_diesel_UK_BR_66</v>
      </c>
      <c r="Q226" s="10" t="b">
        <f>_xlfn.XLOOKUP(CONTROL[[#This Row],[VEHIDCODE]],PROPERTIES[VEHIDCODE],PROPERTIES[EXCLUDE])</f>
        <v>0</v>
      </c>
    </row>
    <row r="227" spans="1:17">
      <c r="A227" s="2" t="s">
        <v>246</v>
      </c>
      <c r="B227" s="30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43" t="s">
        <v>1181</v>
      </c>
      <c r="G227" t="s">
        <v>2464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Row],[VEHIDCODE]],roster!A:A,roster!C:C))</f>
        <v>1</v>
      </c>
      <c r="N227" t="b">
        <f>ISNUMBER(_xlfn.XMATCH(CONTROL[[#This Row],[VEHIDCODE]],GRAPHICS_PROPERTIES[VEHIDCODE],0))</f>
        <v>1</v>
      </c>
      <c r="O227" s="30" t="str">
        <f>"item_"&amp;CONTROL[[#This Row],[VEHIDCODE]]</f>
        <v>item_diesel_UK_BR_67</v>
      </c>
      <c r="P227" s="30" t="str">
        <f>"str_"&amp;CONTROL[[#This Row],[VEHIDCODE]]</f>
        <v>str_diesel_UK_BR_67</v>
      </c>
      <c r="Q227" s="10" t="b">
        <f>_xlfn.XLOOKUP(CONTROL[[#This Row],[VEHIDCODE]],PROPERTIES[VEHIDCODE],PROPERTIES[EXCLUDE])</f>
        <v>0</v>
      </c>
    </row>
    <row r="228" spans="1:17">
      <c r="A228" s="2" t="s">
        <v>247</v>
      </c>
      <c r="B228" s="30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43" t="s">
        <v>1182</v>
      </c>
      <c r="G228" t="s">
        <v>2465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Row],[VEHIDCODE]],roster!A:A,roster!C:C))</f>
        <v>1</v>
      </c>
      <c r="N228" t="b">
        <f>ISNUMBER(_xlfn.XMATCH(CONTROL[[#This Row],[VEHIDCODE]],GRAPHICS_PROPERTIES[VEHIDCODE],0))</f>
        <v>1</v>
      </c>
      <c r="O228" s="30" t="str">
        <f>"item_"&amp;CONTROL[[#This Row],[VEHIDCODE]]</f>
        <v>item_diesel_Iran_RAI_DE43CA_Prima</v>
      </c>
      <c r="P228" s="30" t="str">
        <f>"str_"&amp;CONTROL[[#This Row],[VEHIDCODE]]</f>
        <v>str_diesel_Iran_RAI_DE43CA_Prima</v>
      </c>
      <c r="Q228" s="10" t="b">
        <f>_xlfn.XLOOKUP(CONTROL[[#This Row],[VEHIDCODE]],PROPERTIES[VEHIDCODE],PROPERTIES[EXCLUDE])</f>
        <v>0</v>
      </c>
    </row>
    <row r="229" spans="1:17">
      <c r="A229" s="2" t="s">
        <v>248</v>
      </c>
      <c r="B229" s="30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43" t="s">
        <v>1183</v>
      </c>
      <c r="G229" t="s">
        <v>2466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Row],[VEHIDCODE]],roster!A:A,roster!C:C))</f>
        <v>1</v>
      </c>
      <c r="N229" t="b">
        <f>ISNUMBER(_xlfn.XMATCH(CONTROL[[#This Row],[VEHIDCODE]],GRAPHICS_PROPERTIES[VEHIDCODE],0))</f>
        <v>1</v>
      </c>
      <c r="O229" s="30" t="str">
        <f>"item_"&amp;CONTROL[[#This Row],[VEHIDCODE]]</f>
        <v>item_diesel_Ukraine_UZ_TEP150</v>
      </c>
      <c r="P229" s="30" t="str">
        <f>"str_"&amp;CONTROL[[#This Row],[VEHIDCODE]]</f>
        <v>str_diesel_Ukraine_UZ_TEP150</v>
      </c>
      <c r="Q229" s="10" t="b">
        <f>_xlfn.XLOOKUP(CONTROL[[#This Row],[VEHIDCODE]],PROPERTIES[VEHIDCODE],PROPERTIES[EXCLUDE])</f>
        <v>0</v>
      </c>
    </row>
    <row r="230" spans="1:17">
      <c r="A230" s="2" t="s">
        <v>249</v>
      </c>
      <c r="B230" s="30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43" t="s">
        <v>1184</v>
      </c>
      <c r="G230" t="s">
        <v>2467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Row],[VEHIDCODE]],roster!A:A,roster!C:C))</f>
        <v>1</v>
      </c>
      <c r="N230" t="b">
        <f>ISNUMBER(_xlfn.XMATCH(CONTROL[[#This Row],[VEHIDCODE]],GRAPHICS_PROPERTIES[VEHIDCODE],0))</f>
        <v>1</v>
      </c>
      <c r="O230" s="30" t="str">
        <f>"item_"&amp;CONTROL[[#This Row],[VEHIDCODE]]</f>
        <v>item_diesel_China_China_Railways_HXN5</v>
      </c>
      <c r="P230" s="30" t="str">
        <f>"str_"&amp;CONTROL[[#This Row],[VEHIDCODE]]</f>
        <v>str_diesel_China_China_Railways_HXN5</v>
      </c>
      <c r="Q230" s="10" t="b">
        <f>_xlfn.XLOOKUP(CONTROL[[#This Row],[VEHIDCODE]],PROPERTIES[VEHIDCODE],PROPERTIES[EXCLUDE])</f>
        <v>0</v>
      </c>
    </row>
    <row r="231" spans="1:17">
      <c r="A231" s="2" t="s">
        <v>250</v>
      </c>
      <c r="B231" s="30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43" t="s">
        <v>1185</v>
      </c>
      <c r="G231" t="s">
        <v>2468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Row],[VEHIDCODE]],roster!A:A,roster!C:C))</f>
        <v>1</v>
      </c>
      <c r="N231" t="b">
        <f>ISNUMBER(_xlfn.XMATCH(CONTROL[[#This Row],[VEHIDCODE]],GRAPHICS_PROPERTIES[VEHIDCODE],0))</f>
        <v>1</v>
      </c>
      <c r="O231" s="30" t="str">
        <f>"item_"&amp;CONTROL[[#This Row],[VEHIDCODE]]</f>
        <v>item_diesel_Germany_DB_261_Gravita_10BB</v>
      </c>
      <c r="P231" s="30" t="str">
        <f>"str_"&amp;CONTROL[[#This Row],[VEHIDCODE]]</f>
        <v>str_diesel_Germany_DB_261_Gravita_10BB</v>
      </c>
      <c r="Q231" s="10" t="b">
        <f>_xlfn.XLOOKUP(CONTROL[[#This Row],[VEHIDCODE]],PROPERTIES[VEHIDCODE],PROPERTIES[EXCLUDE])</f>
        <v>0</v>
      </c>
    </row>
    <row r="232" spans="1:17">
      <c r="A232" s="2" t="s">
        <v>251</v>
      </c>
      <c r="B232" s="30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43" t="s">
        <v>1186</v>
      </c>
      <c r="G232" t="s">
        <v>2469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Row],[VEHIDCODE]],roster!A:A,roster!C:C))</f>
        <v>1</v>
      </c>
      <c r="N232" t="b">
        <f>ISNUMBER(_xlfn.XMATCH(CONTROL[[#This Row],[VEHIDCODE]],GRAPHICS_PROPERTIES[VEHIDCODE],0))</f>
        <v>1</v>
      </c>
      <c r="O232" s="30" t="str">
        <f>"item_"&amp;CONTROL[[#This Row],[VEHIDCODE]]</f>
        <v>item_diesel_Russia_RZD_GT1</v>
      </c>
      <c r="P232" s="30" t="str">
        <f>"str_"&amp;CONTROL[[#This Row],[VEHIDCODE]]</f>
        <v>str_diesel_Russia_RZD_GT1</v>
      </c>
      <c r="Q232" s="10" t="b">
        <f>_xlfn.XLOOKUP(CONTROL[[#This Row],[VEHIDCODE]],PROPERTIES[VEHIDCODE],PROPERTIES[EXCLUDE])</f>
        <v>0</v>
      </c>
    </row>
    <row r="233" spans="1:17">
      <c r="A233" s="2" t="s">
        <v>252</v>
      </c>
      <c r="B233" s="30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43" t="s">
        <v>3430</v>
      </c>
      <c r="G233" t="s">
        <v>2471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Row],[VEHIDCODE]],roster!A:A,roster!C:C))</f>
        <v>1</v>
      </c>
      <c r="N233" t="b">
        <f>ISNUMBER(_xlfn.XMATCH(CONTROL[[#This Row],[VEHIDCODE]],GRAPHICS_PROPERTIES[VEHIDCODE],0))</f>
        <v>1</v>
      </c>
      <c r="O233" s="30" t="str">
        <f>"item_"&amp;CONTROL[[#This Row],[VEHIDCODE]]</f>
        <v>item_diesel_China_MTR_8000</v>
      </c>
      <c r="P233" s="30" t="str">
        <f>"str_"&amp;CONTROL[[#This Row],[VEHIDCODE]]</f>
        <v>str_diesel_China_MTR_8000</v>
      </c>
      <c r="Q233" s="10" t="b">
        <f>_xlfn.XLOOKUP(CONTROL[[#This Row],[VEHIDCODE]],PROPERTIES[VEHIDCODE],PROPERTIES[EXCLUDE])</f>
        <v>0</v>
      </c>
    </row>
    <row r="234" spans="1:17">
      <c r="A234" s="2" t="s">
        <v>253</v>
      </c>
      <c r="B234" s="30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43" t="s">
        <v>1665</v>
      </c>
      <c r="G234" t="s">
        <v>2472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Row],[VEHIDCODE]],roster!A:A,roster!C:C))</f>
        <v>1</v>
      </c>
      <c r="N234" t="b">
        <f>ISNUMBER(_xlfn.XMATCH(CONTROL[[#This Row],[VEHIDCODE]],GRAPHICS_PROPERTIES[VEHIDCODE],0))</f>
        <v>1</v>
      </c>
      <c r="O234" s="30" t="str">
        <f>"item_"&amp;CONTROL[[#This Row],[VEHIDCODE]]</f>
        <v>item_diesel_Germany_HVLE_V490</v>
      </c>
      <c r="P234" s="30" t="str">
        <f>"str_"&amp;CONTROL[[#This Row],[VEHIDCODE]]</f>
        <v>str_diesel_Germany_HVLE_V490</v>
      </c>
      <c r="Q234" s="10" t="b">
        <f>_xlfn.XLOOKUP(CONTROL[[#This Row],[VEHIDCODE]],PROPERTIES[VEHIDCODE],PROPERTIES[EXCLUDE])</f>
        <v>0</v>
      </c>
    </row>
    <row r="235" spans="1:17">
      <c r="A235" s="2" t="s">
        <v>254</v>
      </c>
      <c r="B235" s="30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43" t="s">
        <v>1187</v>
      </c>
      <c r="G235" t="s">
        <v>2443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Row],[VEHIDCODE]],roster!A:A,roster!C:C))</f>
        <v>1</v>
      </c>
      <c r="N235" t="b">
        <f>ISNUMBER(_xlfn.XMATCH(CONTROL[[#This Row],[VEHIDCODE]],GRAPHICS_PROPERTIES[VEHIDCODE],0))</f>
        <v>1</v>
      </c>
      <c r="O235" s="30" t="str">
        <f>"item_"&amp;CONTROL[[#This Row],[VEHIDCODE]]</f>
        <v>item_diesel_Russia_RZD_Emch_3</v>
      </c>
      <c r="P235" s="30" t="str">
        <f>"str_"&amp;CONTROL[[#This Row],[VEHIDCODE]]</f>
        <v>str_diesel_Russia_RZD_Emch_3</v>
      </c>
      <c r="Q235" s="10" t="b">
        <f>_xlfn.XLOOKUP(CONTROL[[#This Row],[VEHIDCODE]],PROPERTIES[VEHIDCODE],PROPERTIES[EXCLUDE])</f>
        <v>0</v>
      </c>
    </row>
    <row r="236" spans="1:17">
      <c r="A236" s="2" t="s">
        <v>255</v>
      </c>
      <c r="B236" s="30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43" t="s">
        <v>1188</v>
      </c>
      <c r="G236" t="s">
        <v>2473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Row],[VEHIDCODE]],roster!A:A,roster!C:C))</f>
        <v>1</v>
      </c>
      <c r="N236" t="b">
        <f>ISNUMBER(_xlfn.XMATCH(CONTROL[[#This Row],[VEHIDCODE]],GRAPHICS_PROPERTIES[VEHIDCODE],0))</f>
        <v>1</v>
      </c>
      <c r="O236" s="30" t="str">
        <f>"item_"&amp;CONTROL[[#This Row],[VEHIDCODE]]</f>
        <v>item_diesel_Canada_CNR_9000</v>
      </c>
      <c r="P236" s="30" t="str">
        <f>"str_"&amp;CONTROL[[#This Row],[VEHIDCODE]]</f>
        <v>str_diesel_Canada_CNR_9000</v>
      </c>
      <c r="Q236" s="10" t="b">
        <f>_xlfn.XLOOKUP(CONTROL[[#This Row],[VEHIDCODE]],PROPERTIES[VEHIDCODE],PROPERTIES[EXCLUDE])</f>
        <v>0</v>
      </c>
    </row>
    <row r="237" spans="1:17">
      <c r="A237" s="2" t="s">
        <v>3065</v>
      </c>
      <c r="B237" s="30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43" t="s">
        <v>1189</v>
      </c>
      <c r="G237" t="s">
        <v>2474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Row],[VEHIDCODE]],roster!A:A,roster!C:C))</f>
        <v>1</v>
      </c>
      <c r="N237" t="b">
        <f>ISNUMBER(_xlfn.XMATCH(CONTROL[[#This Row],[VEHIDCODE]],GRAPHICS_PROPERTIES[VEHIDCODE],0))</f>
        <v>1</v>
      </c>
      <c r="O237" s="30" t="str">
        <f>"item_"&amp;CONTROL[[#This Row],[VEHIDCODE]]</f>
        <v>item_diesel_UK_LMS_7051_diesel_shunter</v>
      </c>
      <c r="P237" s="30" t="str">
        <f>"str_"&amp;CONTROL[[#This Row],[VEHIDCODE]]</f>
        <v>str_diesel_UK_LMS_7051_diesel_shunter</v>
      </c>
      <c r="Q237" s="10" t="b">
        <f>_xlfn.XLOOKUP(CONTROL[[#This Row],[VEHIDCODE]],PROPERTIES[VEHIDCODE],PROPERTIES[EXCLUDE])</f>
        <v>0</v>
      </c>
    </row>
    <row r="238" spans="1:17">
      <c r="A238" s="2" t="s">
        <v>256</v>
      </c>
      <c r="B238" s="30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43" t="s">
        <v>1190</v>
      </c>
      <c r="G238" t="s">
        <v>2475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Row],[VEHIDCODE]],roster!A:A,roster!C:C))</f>
        <v>1</v>
      </c>
      <c r="N238" t="b">
        <f>ISNUMBER(_xlfn.XMATCH(CONTROL[[#This Row],[VEHIDCODE]],GRAPHICS_PROPERTIES[VEHIDCODE],0))</f>
        <v>1</v>
      </c>
      <c r="O238" s="30" t="str">
        <f>"item_"&amp;CONTROL[[#This Row],[VEHIDCODE]]</f>
        <v>item_diesel_USA_Rock_Island_EMC_TA</v>
      </c>
      <c r="P238" s="30" t="str">
        <f>"str_"&amp;CONTROL[[#This Row],[VEHIDCODE]]</f>
        <v>str_diesel_USA_Rock_Island_EMC_TA</v>
      </c>
      <c r="Q238" s="10" t="b">
        <f>_xlfn.XLOOKUP(CONTROL[[#This Row],[VEHIDCODE]],PROPERTIES[VEHIDCODE],PROPERTIES[EXCLUDE])</f>
        <v>0</v>
      </c>
    </row>
    <row r="239" spans="1:17">
      <c r="A239" s="2" t="s">
        <v>257</v>
      </c>
      <c r="B239" s="30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43" t="s">
        <v>1191</v>
      </c>
      <c r="G239" t="s">
        <v>2476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Row],[VEHIDCODE]],roster!A:A,roster!C:C))</f>
        <v>1</v>
      </c>
      <c r="N239" t="b">
        <f>ISNUMBER(_xlfn.XMATCH(CONTROL[[#This Row],[VEHIDCODE]],GRAPHICS_PROPERTIES[VEHIDCODE],0))</f>
        <v>1</v>
      </c>
      <c r="O239" s="30" t="str">
        <f>"item_"&amp;CONTROL[[#This Row],[VEHIDCODE]]</f>
        <v>item_diesel_USA_NYC_Baldwin_VO_660</v>
      </c>
      <c r="P239" s="30" t="str">
        <f>"str_"&amp;CONTROL[[#This Row],[VEHIDCODE]]</f>
        <v>str_diesel_USA_NYC_Baldwin_VO_660</v>
      </c>
      <c r="Q239" s="10" t="b">
        <f>_xlfn.XLOOKUP(CONTROL[[#This Row],[VEHIDCODE]],PROPERTIES[VEHIDCODE],PROPERTIES[EXCLUDE])</f>
        <v>0</v>
      </c>
    </row>
    <row r="240" spans="1:17">
      <c r="A240" s="2" t="s">
        <v>258</v>
      </c>
      <c r="B240" s="30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43" t="s">
        <v>1192</v>
      </c>
      <c r="G240" t="s">
        <v>2477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Row],[VEHIDCODE]],roster!A:A,roster!C:C))</f>
        <v>1</v>
      </c>
      <c r="N240" t="b">
        <f>ISNUMBER(_xlfn.XMATCH(CONTROL[[#This Row],[VEHIDCODE]],GRAPHICS_PROPERTIES[VEHIDCODE],0))</f>
        <v>1</v>
      </c>
      <c r="O240" s="30" t="str">
        <f>"item_"&amp;CONTROL[[#This Row],[VEHIDCODE]]</f>
        <v>item_diesel_UK_BR_Class_D3_7</v>
      </c>
      <c r="P240" s="30" t="str">
        <f>"str_"&amp;CONTROL[[#This Row],[VEHIDCODE]]</f>
        <v>str_diesel_UK_BR_Class_D3_7</v>
      </c>
      <c r="Q240" s="10" t="b">
        <f>_xlfn.XLOOKUP(CONTROL[[#This Row],[VEHIDCODE]],PROPERTIES[VEHIDCODE],PROPERTIES[EXCLUDE])</f>
        <v>0</v>
      </c>
    </row>
    <row r="241" spans="1:17">
      <c r="A241" s="2" t="s">
        <v>259</v>
      </c>
      <c r="B241" s="30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43" t="s">
        <v>1193</v>
      </c>
      <c r="G241" t="s">
        <v>2478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Row],[VEHIDCODE]],roster!A:A,roster!C:C))</f>
        <v>1</v>
      </c>
      <c r="N241" t="b">
        <f>ISNUMBER(_xlfn.XMATCH(CONTROL[[#This Row],[VEHIDCODE]],GRAPHICS_PROPERTIES[VEHIDCODE],0))</f>
        <v>1</v>
      </c>
      <c r="O241" s="30" t="str">
        <f>"item_"&amp;CONTROL[[#This Row],[VEHIDCODE]]</f>
        <v>item_diesel_Australia_Queensland_Railways_DL_Class</v>
      </c>
      <c r="P241" s="30" t="str">
        <f>"str_"&amp;CONTROL[[#This Row],[VEHIDCODE]]</f>
        <v>str_diesel_Australia_Queensland_Railways_DL_Class</v>
      </c>
      <c r="Q241" s="10" t="b">
        <f>_xlfn.XLOOKUP(CONTROL[[#This Row],[VEHIDCODE]],PROPERTIES[VEHIDCODE],PROPERTIES[EXCLUDE])</f>
        <v>0</v>
      </c>
    </row>
    <row r="242" spans="1:17">
      <c r="A242" s="2" t="s">
        <v>260</v>
      </c>
      <c r="B242" s="30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43" t="s">
        <v>1194</v>
      </c>
      <c r="G242" t="s">
        <v>2479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Row],[VEHIDCODE]],roster!A:A,roster!C:C))</f>
        <v>1</v>
      </c>
      <c r="N242" t="b">
        <f>ISNUMBER(_xlfn.XMATCH(CONTROL[[#This Row],[VEHIDCODE]],GRAPHICS_PROPERTIES[VEHIDCODE],0))</f>
        <v>1</v>
      </c>
      <c r="O242" s="30" t="str">
        <f>"item_"&amp;CONTROL[[#This Row],[VEHIDCODE]]</f>
        <v>item_diesel_USA_PRR_FM_H_10_44</v>
      </c>
      <c r="P242" s="30" t="str">
        <f>"str_"&amp;CONTROL[[#This Row],[VEHIDCODE]]</f>
        <v>str_diesel_USA_PRR_FM_H_10_44</v>
      </c>
      <c r="Q242" s="10" t="b">
        <f>_xlfn.XLOOKUP(CONTROL[[#This Row],[VEHIDCODE]],PROPERTIES[VEHIDCODE],PROPERTIES[EXCLUDE])</f>
        <v>0</v>
      </c>
    </row>
    <row r="243" spans="1:17">
      <c r="A243" s="2" t="s">
        <v>261</v>
      </c>
      <c r="B243" s="30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43" t="s">
        <v>1195</v>
      </c>
      <c r="G243" t="s">
        <v>2480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Row],[VEHIDCODE]],roster!A:A,roster!C:C))</f>
        <v>1</v>
      </c>
      <c r="N243" t="b">
        <f>ISNUMBER(_xlfn.XMATCH(CONTROL[[#This Row],[VEHIDCODE]],GRAPHICS_PROPERTIES[VEHIDCODE],0))</f>
        <v>1</v>
      </c>
      <c r="O243" s="30" t="str">
        <f>"item_"&amp;CONTROL[[#This Row],[VEHIDCODE]]</f>
        <v>item_diesel_Algeria_SNTF_Baldwin_DRS6_4_1000</v>
      </c>
      <c r="P243" s="30" t="str">
        <f>"str_"&amp;CONTROL[[#This Row],[VEHIDCODE]]</f>
        <v>str_diesel_Algeria_SNTF_Baldwin_DRS6_4_1000</v>
      </c>
      <c r="Q243" s="10" t="b">
        <f>_xlfn.XLOOKUP(CONTROL[[#This Row],[VEHIDCODE]],PROPERTIES[VEHIDCODE],PROPERTIES[EXCLUDE])</f>
        <v>0</v>
      </c>
    </row>
    <row r="244" spans="1:17">
      <c r="A244" s="2" t="s">
        <v>262</v>
      </c>
      <c r="B244" s="30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43" t="s">
        <v>3006</v>
      </c>
      <c r="G244" t="s">
        <v>2481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Row],[VEHIDCODE]],roster!A:A,roster!C:C))</f>
        <v>1</v>
      </c>
      <c r="N244" t="b">
        <f>ISNUMBER(_xlfn.XMATCH(CONTROL[[#This Row],[VEHIDCODE]],GRAPHICS_PROPERTIES[VEHIDCODE],0))</f>
        <v>1</v>
      </c>
      <c r="O244" s="30" t="str">
        <f>"item_"&amp;CONTROL[[#This Row],[VEHIDCODE]]</f>
        <v>item_diesel_Ireland_CIE_113</v>
      </c>
      <c r="P244" s="30" t="str">
        <f>"str_"&amp;CONTROL[[#This Row],[VEHIDCODE]]</f>
        <v>str_diesel_Ireland_CIE_113</v>
      </c>
      <c r="Q244" s="10" t="b">
        <f>_xlfn.XLOOKUP(CONTROL[[#This Row],[VEHIDCODE]],PROPERTIES[VEHIDCODE],PROPERTIES[EXCLUDE])</f>
        <v>0</v>
      </c>
    </row>
    <row r="245" spans="1:17">
      <c r="A245" s="2" t="s">
        <v>263</v>
      </c>
      <c r="B245" s="30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43" t="s">
        <v>1196</v>
      </c>
      <c r="G245" t="s">
        <v>2482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Row],[VEHIDCODE]],roster!A:A,roster!C:C))</f>
        <v>1</v>
      </c>
      <c r="N245" t="b">
        <f>ISNUMBER(_xlfn.XMATCH(CONTROL[[#This Row],[VEHIDCODE]],GRAPHICS_PROPERTIES[VEHIDCODE],0))</f>
        <v>1</v>
      </c>
      <c r="O245" s="30" t="str">
        <f>"item_"&amp;CONTROL[[#This Row],[VEHIDCODE]]</f>
        <v>item_diesel_Brazil_EFC_3300_Baldwin_AS_616</v>
      </c>
      <c r="P245" s="30" t="str">
        <f>"str_"&amp;CONTROL[[#This Row],[VEHIDCODE]]</f>
        <v>str_diesel_Brazil_EFC_3300_Baldwin_AS_616</v>
      </c>
      <c r="Q245" s="10" t="b">
        <f>_xlfn.XLOOKUP(CONTROL[[#This Row],[VEHIDCODE]],PROPERTIES[VEHIDCODE],PROPERTIES[EXCLUDE])</f>
        <v>0</v>
      </c>
    </row>
    <row r="246" spans="1:17">
      <c r="A246" s="2" t="s">
        <v>264</v>
      </c>
      <c r="B246" s="30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43" t="s">
        <v>1197</v>
      </c>
      <c r="G246" t="s">
        <v>2483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Row],[VEHIDCODE]],roster!A:A,roster!C:C))</f>
        <v>1</v>
      </c>
      <c r="N246" t="b">
        <f>ISNUMBER(_xlfn.XMATCH(CONTROL[[#This Row],[VEHIDCODE]],GRAPHICS_PROPERTIES[VEHIDCODE],0))</f>
        <v>1</v>
      </c>
      <c r="O246" s="30" t="str">
        <f>"item_"&amp;CONTROL[[#This Row],[VEHIDCODE]]</f>
        <v>item_diesel_Mexico_CHP_500_FM_H_16_44</v>
      </c>
      <c r="P246" s="30" t="str">
        <f>"str_"&amp;CONTROL[[#This Row],[VEHIDCODE]]</f>
        <v>str_diesel_Mexico_CHP_500_FM_H_16_44</v>
      </c>
      <c r="Q246" s="10" t="b">
        <f>_xlfn.XLOOKUP(CONTROL[[#This Row],[VEHIDCODE]],PROPERTIES[VEHIDCODE],PROPERTIES[EXCLUDE])</f>
        <v>0</v>
      </c>
    </row>
    <row r="247" spans="1:17">
      <c r="A247" s="2" t="s">
        <v>265</v>
      </c>
      <c r="B247" s="30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43" t="s">
        <v>1198</v>
      </c>
      <c r="G247" t="s">
        <v>2485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Row],[VEHIDCODE]],roster!A:A,roster!C:C))</f>
        <v>1</v>
      </c>
      <c r="N247" t="b">
        <f>ISNUMBER(_xlfn.XMATCH(CONTROL[[#This Row],[VEHIDCODE]],GRAPHICS_PROPERTIES[VEHIDCODE],0))</f>
        <v>1</v>
      </c>
      <c r="O247" s="30" t="str">
        <f>"item_"&amp;CONTROL[[#This Row],[VEHIDCODE]]</f>
        <v>item_diesel_Australia_South_Australian_Railways_900</v>
      </c>
      <c r="P247" s="30" t="str">
        <f>"str_"&amp;CONTROL[[#This Row],[VEHIDCODE]]</f>
        <v>str_diesel_Australia_South_Australian_Railways_900</v>
      </c>
      <c r="Q247" s="10" t="b">
        <f>_xlfn.XLOOKUP(CONTROL[[#This Row],[VEHIDCODE]],PROPERTIES[VEHIDCODE],PROPERTIES[EXCLUDE])</f>
        <v>0</v>
      </c>
    </row>
    <row r="248" spans="1:17">
      <c r="A248" s="2" t="s">
        <v>266</v>
      </c>
      <c r="B248" s="30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43" t="s">
        <v>1199</v>
      </c>
      <c r="G248" t="s">
        <v>2484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Row],[VEHIDCODE]],roster!A:A,roster!C:C))</f>
        <v>1</v>
      </c>
      <c r="N248" t="b">
        <f>ISNUMBER(_xlfn.XMATCH(CONTROL[[#This Row],[VEHIDCODE]],GRAPHICS_PROPERTIES[VEHIDCODE],0))</f>
        <v>1</v>
      </c>
      <c r="O248" s="30" t="str">
        <f>"item_"&amp;CONTROL[[#This Row],[VEHIDCODE]]</f>
        <v>item_diesel_Sri_Lanka_Sri_Lanka_Railways_M2</v>
      </c>
      <c r="P248" s="30" t="str">
        <f>"str_"&amp;CONTROL[[#This Row],[VEHIDCODE]]</f>
        <v>str_diesel_Sri_Lanka_Sri_Lanka_Railways_M2</v>
      </c>
      <c r="Q248" s="10" t="b">
        <f>_xlfn.XLOOKUP(CONTROL[[#This Row],[VEHIDCODE]],PROPERTIES[VEHIDCODE],PROPERTIES[EXCLUDE])</f>
        <v>0</v>
      </c>
    </row>
    <row r="249" spans="1:17">
      <c r="A249" s="2" t="s">
        <v>267</v>
      </c>
      <c r="B249" s="30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43" t="s">
        <v>3007</v>
      </c>
      <c r="G249" t="s">
        <v>2486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Row],[VEHIDCODE]],roster!A:A,roster!C:C))</f>
        <v>1</v>
      </c>
      <c r="N249" t="b">
        <f>ISNUMBER(_xlfn.XMATCH(CONTROL[[#This Row],[VEHIDCODE]],GRAPHICS_PROPERTIES[VEHIDCODE],0))</f>
        <v>1</v>
      </c>
      <c r="O249" s="30" t="str">
        <f>"item_"&amp;CONTROL[[#This Row],[VEHIDCODE]]</f>
        <v>item_diesel_Ireland_CIE_001</v>
      </c>
      <c r="P249" s="30" t="str">
        <f>"str_"&amp;CONTROL[[#This Row],[VEHIDCODE]]</f>
        <v>str_diesel_Ireland_CIE_001</v>
      </c>
      <c r="Q249" s="10" t="b">
        <f>_xlfn.XLOOKUP(CONTROL[[#This Row],[VEHIDCODE]],PROPERTIES[VEHIDCODE],PROPERTIES[EXCLUDE])</f>
        <v>0</v>
      </c>
    </row>
    <row r="250" spans="1:17">
      <c r="A250" s="2" t="s">
        <v>268</v>
      </c>
      <c r="B250" s="30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43" t="s">
        <v>1200</v>
      </c>
      <c r="G250" t="s">
        <v>2487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Row],[VEHIDCODE]],roster!A:A,roster!C:C))</f>
        <v>1</v>
      </c>
      <c r="N250" t="b">
        <f>ISNUMBER(_xlfn.XMATCH(CONTROL[[#This Row],[VEHIDCODE]],GRAPHICS_PROPERTIES[VEHIDCODE],0))</f>
        <v>1</v>
      </c>
      <c r="O250" s="30" t="str">
        <f>"item_"&amp;CONTROL[[#This Row],[VEHIDCODE]]</f>
        <v>item_diesel_Italy_FS_D341</v>
      </c>
      <c r="P250" s="30" t="str">
        <f>"str_"&amp;CONTROL[[#This Row],[VEHIDCODE]]</f>
        <v>str_diesel_Italy_FS_D341</v>
      </c>
      <c r="Q250" s="10" t="b">
        <f>_xlfn.XLOOKUP(CONTROL[[#This Row],[VEHIDCODE]],PROPERTIES[VEHIDCODE],PROPERTIES[EXCLUDE])</f>
        <v>0</v>
      </c>
    </row>
    <row r="251" spans="1:17">
      <c r="A251" s="2" t="s">
        <v>269</v>
      </c>
      <c r="B251" s="30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43" t="s">
        <v>1201</v>
      </c>
      <c r="G251" t="s">
        <v>2488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Row],[VEHIDCODE]],roster!A:A,roster!C:C))</f>
        <v>1</v>
      </c>
      <c r="N251" t="b">
        <f>ISNUMBER(_xlfn.XMATCH(CONTROL[[#This Row],[VEHIDCODE]],GRAPHICS_PROPERTIES[VEHIDCODE],0))</f>
        <v>1</v>
      </c>
      <c r="O251" s="30" t="str">
        <f>"item_"&amp;CONTROL[[#This Row],[VEHIDCODE]]</f>
        <v>item_diesel_Australia_NSWGR_44</v>
      </c>
      <c r="P251" s="30" t="str">
        <f>"str_"&amp;CONTROL[[#This Row],[VEHIDCODE]]</f>
        <v>str_diesel_Australia_NSWGR_44</v>
      </c>
      <c r="Q251" s="10" t="b">
        <f>_xlfn.XLOOKUP(CONTROL[[#This Row],[VEHIDCODE]],PROPERTIES[VEHIDCODE],PROPERTIES[EXCLUDE])</f>
        <v>0</v>
      </c>
    </row>
    <row r="252" spans="1:17">
      <c r="A252" s="2" t="s">
        <v>270</v>
      </c>
      <c r="B252" s="30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43" t="s">
        <v>1202</v>
      </c>
      <c r="G252" t="s">
        <v>2489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Row],[VEHIDCODE]],roster!A:A,roster!C:C))</f>
        <v>1</v>
      </c>
      <c r="N252" t="b">
        <f>ISNUMBER(_xlfn.XMATCH(CONTROL[[#This Row],[VEHIDCODE]],GRAPHICS_PROPERTIES[VEHIDCODE],0))</f>
        <v>1</v>
      </c>
      <c r="O252" s="30" t="str">
        <f>"item_"&amp;CONTROL[[#This Row],[VEHIDCODE]]</f>
        <v>item_diesel_Zimbabwe_Zimbabwe_Railways_DH_1</v>
      </c>
      <c r="P252" s="30" t="str">
        <f>"str_"&amp;CONTROL[[#This Row],[VEHIDCODE]]</f>
        <v>str_diesel_Zimbabwe_Zimbabwe_Railways_DH_1</v>
      </c>
      <c r="Q252" s="10" t="b">
        <f>_xlfn.XLOOKUP(CONTROL[[#This Row],[VEHIDCODE]],PROPERTIES[VEHIDCODE],PROPERTIES[EXCLUDE])</f>
        <v>0</v>
      </c>
    </row>
    <row r="253" spans="1:17">
      <c r="A253" s="2" t="s">
        <v>271</v>
      </c>
      <c r="B253" s="30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43" t="s">
        <v>1203</v>
      </c>
      <c r="G253" t="s">
        <v>2490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Row],[VEHIDCODE]],roster!A:A,roster!C:C))</f>
        <v>1</v>
      </c>
      <c r="N253" t="b">
        <f>ISNUMBER(_xlfn.XMATCH(CONTROL[[#This Row],[VEHIDCODE]],GRAPHICS_PROPERTIES[VEHIDCODE],0))</f>
        <v>1</v>
      </c>
      <c r="O253" s="30" t="str">
        <f>"item_"&amp;CONTROL[[#This Row],[VEHIDCODE]]</f>
        <v>item_diesel_South_Korea_Korail_6000_EMD_SD18</v>
      </c>
      <c r="P253" s="30" t="str">
        <f>"str_"&amp;CONTROL[[#This Row],[VEHIDCODE]]</f>
        <v>str_diesel_South_Korea_Korail_6000_EMD_SD18</v>
      </c>
      <c r="Q253" s="10" t="b">
        <f>_xlfn.XLOOKUP(CONTROL[[#This Row],[VEHIDCODE]],PROPERTIES[VEHIDCODE],PROPERTIES[EXCLUDE])</f>
        <v>0</v>
      </c>
    </row>
    <row r="254" spans="1:17">
      <c r="A254" s="2" t="s">
        <v>272</v>
      </c>
      <c r="B254" s="30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43" t="s">
        <v>1204</v>
      </c>
      <c r="G254" t="s">
        <v>2491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Row],[VEHIDCODE]],roster!A:A,roster!C:C))</f>
        <v>1</v>
      </c>
      <c r="N254" t="b">
        <f>ISNUMBER(_xlfn.XMATCH(CONTROL[[#This Row],[VEHIDCODE]],GRAPHICS_PROPERTIES[VEHIDCODE],0))</f>
        <v>1</v>
      </c>
      <c r="O254" s="30" t="str">
        <f>"item_"&amp;CONTROL[[#This Row],[VEHIDCODE]]</f>
        <v>item_diesel_Italy_FS_D345</v>
      </c>
      <c r="P254" s="30" t="str">
        <f>"str_"&amp;CONTROL[[#This Row],[VEHIDCODE]]</f>
        <v>str_diesel_Italy_FS_D345</v>
      </c>
      <c r="Q254" s="10" t="b">
        <f>_xlfn.XLOOKUP(CONTROL[[#This Row],[VEHIDCODE]],PROPERTIES[VEHIDCODE],PROPERTIES[EXCLUDE])</f>
        <v>0</v>
      </c>
    </row>
    <row r="255" spans="1:17">
      <c r="A255" s="2" t="s">
        <v>273</v>
      </c>
      <c r="B255" s="30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43" t="s">
        <v>1205</v>
      </c>
      <c r="G255" t="s">
        <v>2492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Row],[VEHIDCODE]],roster!A:A,roster!C:C))</f>
        <v>1</v>
      </c>
      <c r="N255" t="b">
        <f>ISNUMBER(_xlfn.XMATCH(CONTROL[[#This Row],[VEHIDCODE]],GRAPHICS_PROPERTIES[VEHIDCODE],0))</f>
        <v>1</v>
      </c>
      <c r="O255" s="30" t="str">
        <f>"item_"&amp;CONTROL[[#This Row],[VEHIDCODE]]</f>
        <v>item_diesel_Norway_NSB_Di4</v>
      </c>
      <c r="P255" s="30" t="str">
        <f>"str_"&amp;CONTROL[[#This Row],[VEHIDCODE]]</f>
        <v>str_diesel_Norway_NSB_Di4</v>
      </c>
      <c r="Q255" s="10" t="b">
        <f>_xlfn.XLOOKUP(CONTROL[[#This Row],[VEHIDCODE]],PROPERTIES[VEHIDCODE],PROPERTIES[EXCLUDE])</f>
        <v>0</v>
      </c>
    </row>
    <row r="256" spans="1:17">
      <c r="A256" s="2" t="s">
        <v>274</v>
      </c>
      <c r="B256" s="30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43" t="s">
        <v>1206</v>
      </c>
      <c r="G256" t="s">
        <v>2493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Row],[VEHIDCODE]],roster!A:A,roster!C:C))</f>
        <v>1</v>
      </c>
      <c r="N256" t="b">
        <f>ISNUMBER(_xlfn.XMATCH(CONTROL[[#This Row],[VEHIDCODE]],GRAPHICS_PROPERTIES[VEHIDCODE],0))</f>
        <v>1</v>
      </c>
      <c r="O256" s="30" t="str">
        <f>"item_"&amp;CONTROL[[#This Row],[VEHIDCODE]]</f>
        <v>item_diesel_China_China_Railways_DF8</v>
      </c>
      <c r="P256" s="30" t="str">
        <f>"str_"&amp;CONTROL[[#This Row],[VEHIDCODE]]</f>
        <v>str_diesel_China_China_Railways_DF8</v>
      </c>
      <c r="Q256" s="10" t="b">
        <f>_xlfn.XLOOKUP(CONTROL[[#This Row],[VEHIDCODE]],PROPERTIES[VEHIDCODE],PROPERTIES[EXCLUDE])</f>
        <v>0</v>
      </c>
    </row>
    <row r="257" spans="1:17">
      <c r="A257" s="2" t="s">
        <v>275</v>
      </c>
      <c r="B257" s="30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43" t="s">
        <v>1207</v>
      </c>
      <c r="G257" t="s">
        <v>2494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Row],[VEHIDCODE]],roster!A:A,roster!C:C))</f>
        <v>1</v>
      </c>
      <c r="N257" t="b">
        <f>ISNUMBER(_xlfn.XMATCH(CONTROL[[#This Row],[VEHIDCODE]],GRAPHICS_PROPERTIES[VEHIDCODE],0))</f>
        <v>1</v>
      </c>
      <c r="O257" s="30" t="str">
        <f>"item_"&amp;CONTROL[[#This Row],[VEHIDCODE]]</f>
        <v>item_diesel_Australia_Pacific_National_G_Class</v>
      </c>
      <c r="P257" s="30" t="str">
        <f>"str_"&amp;CONTROL[[#This Row],[VEHIDCODE]]</f>
        <v>str_diesel_Australia_Pacific_National_G_Class</v>
      </c>
      <c r="Q257" s="10" t="b">
        <f>_xlfn.XLOOKUP(CONTROL[[#This Row],[VEHIDCODE]],PROPERTIES[VEHIDCODE],PROPERTIES[EXCLUDE])</f>
        <v>0</v>
      </c>
    </row>
    <row r="258" spans="1:17">
      <c r="A258" s="2" t="s">
        <v>276</v>
      </c>
      <c r="B258" s="30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43" t="s">
        <v>1208</v>
      </c>
      <c r="G258" t="s">
        <v>2495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Row],[VEHIDCODE]],roster!A:A,roster!C:C))</f>
        <v>1</v>
      </c>
      <c r="N258" t="b">
        <f>ISNUMBER(_xlfn.XMATCH(CONTROL[[#This Row],[VEHIDCODE]],GRAPHICS_PROPERTIES[VEHIDCODE],0))</f>
        <v>1</v>
      </c>
      <c r="O258" s="30" t="str">
        <f>"item_"&amp;CONTROL[[#This Row],[VEHIDCODE]]</f>
        <v>item_diesel_UK_BR_60</v>
      </c>
      <c r="P258" s="30" t="str">
        <f>"str_"&amp;CONTROL[[#This Row],[VEHIDCODE]]</f>
        <v>str_diesel_UK_BR_60</v>
      </c>
      <c r="Q258" s="10" t="b">
        <f>_xlfn.XLOOKUP(CONTROL[[#This Row],[VEHIDCODE]],PROPERTIES[VEHIDCODE],PROPERTIES[EXCLUDE])</f>
        <v>0</v>
      </c>
    </row>
    <row r="259" spans="1:17">
      <c r="A259" s="2" t="s">
        <v>277</v>
      </c>
      <c r="B259" s="30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43" t="s">
        <v>1209</v>
      </c>
      <c r="G259" t="s">
        <v>2496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Row],[VEHIDCODE]],roster!A:A,roster!C:C))</f>
        <v>1</v>
      </c>
      <c r="N259" t="b">
        <f>ISNUMBER(_xlfn.XMATCH(CONTROL[[#This Row],[VEHIDCODE]],GRAPHICS_PROPERTIES[VEHIDCODE],0))</f>
        <v>1</v>
      </c>
      <c r="O259" s="30" t="str">
        <f>"item_"&amp;CONTROL[[#This Row],[VEHIDCODE]]</f>
        <v>item_diesel_Australia_Westrail_P_Class</v>
      </c>
      <c r="P259" s="30" t="str">
        <f>"str_"&amp;CONTROL[[#This Row],[VEHIDCODE]]</f>
        <v>str_diesel_Australia_Westrail_P_Class</v>
      </c>
      <c r="Q259" s="10" t="b">
        <f>_xlfn.XLOOKUP(CONTROL[[#This Row],[VEHIDCODE]],PROPERTIES[VEHIDCODE],PROPERTIES[EXCLUDE])</f>
        <v>0</v>
      </c>
    </row>
    <row r="260" spans="1:17">
      <c r="A260" s="2" t="s">
        <v>278</v>
      </c>
      <c r="B260" s="30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43" t="s">
        <v>1210</v>
      </c>
      <c r="G260" t="s">
        <v>2497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Row],[VEHIDCODE]],roster!A:A,roster!C:C))</f>
        <v>1</v>
      </c>
      <c r="N260" t="b">
        <f>ISNUMBER(_xlfn.XMATCH(CONTROL[[#This Row],[VEHIDCODE]],GRAPHICS_PROPERTIES[VEHIDCODE],0))</f>
        <v>1</v>
      </c>
      <c r="O260" s="30" t="str">
        <f>"item_"&amp;CONTROL[[#This Row],[VEHIDCODE]]</f>
        <v>item_diesel_Saudi_Arabia_Saudi_Railways_4000_EMD_SD70ACS</v>
      </c>
      <c r="P260" s="30" t="str">
        <f>"str_"&amp;CONTROL[[#This Row],[VEHIDCODE]]</f>
        <v>str_diesel_Saudi_Arabia_Saudi_Railways_4000_EMD_SD70ACS</v>
      </c>
      <c r="Q260" s="10" t="b">
        <f>_xlfn.XLOOKUP(CONTROL[[#This Row],[VEHIDCODE]],PROPERTIES[VEHIDCODE],PROPERTIES[EXCLUDE])</f>
        <v>0</v>
      </c>
    </row>
    <row r="261" spans="1:17">
      <c r="A261" s="2" t="s">
        <v>279</v>
      </c>
      <c r="B261" s="30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43" t="s">
        <v>3008</v>
      </c>
      <c r="G261" t="s">
        <v>2498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Row],[VEHIDCODE]],roster!A:A,roster!C:C))</f>
        <v>1</v>
      </c>
      <c r="N261" t="b">
        <f>ISNUMBER(_xlfn.XMATCH(CONTROL[[#This Row],[VEHIDCODE]],GRAPHICS_PROPERTIES[VEHIDCODE],0))</f>
        <v>1</v>
      </c>
      <c r="O261" s="30" t="str">
        <f>"item_"&amp;CONTROL[[#This Row],[VEHIDCODE]]</f>
        <v>item_diesel_Ireland_IE_201</v>
      </c>
      <c r="P261" s="30" t="str">
        <f>"str_"&amp;CONTROL[[#This Row],[VEHIDCODE]]</f>
        <v>str_diesel_Ireland_IE_201</v>
      </c>
      <c r="Q261" s="10" t="b">
        <f>_xlfn.XLOOKUP(CONTROL[[#This Row],[VEHIDCODE]],PROPERTIES[VEHIDCODE],PROPERTIES[EXCLUDE])</f>
        <v>0</v>
      </c>
    </row>
    <row r="262" spans="1:17">
      <c r="A262" s="2" t="s">
        <v>280</v>
      </c>
      <c r="B262" s="30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43" t="s">
        <v>1211</v>
      </c>
      <c r="G262" t="s">
        <v>2499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Row],[VEHIDCODE]],roster!A:A,roster!C:C))</f>
        <v>1</v>
      </c>
      <c r="N262" t="b">
        <f>ISNUMBER(_xlfn.XMATCH(CONTROL[[#This Row],[VEHIDCODE]],GRAPHICS_PROPERTIES[VEHIDCODE],0))</f>
        <v>1</v>
      </c>
      <c r="O262" s="30" t="str">
        <f>"item_"&amp;CONTROL[[#This Row],[VEHIDCODE]]</f>
        <v>item_diesel_USA_Metrolink_EMD_F59PH</v>
      </c>
      <c r="P262" s="30" t="str">
        <f>"str_"&amp;CONTROL[[#This Row],[VEHIDCODE]]</f>
        <v>str_diesel_USA_Metrolink_EMD_F59PH</v>
      </c>
      <c r="Q262" s="10" t="b">
        <f>_xlfn.XLOOKUP(CONTROL[[#This Row],[VEHIDCODE]],PROPERTIES[VEHIDCODE],PROPERTIES[EXCLUDE])</f>
        <v>0</v>
      </c>
    </row>
    <row r="263" spans="1:17">
      <c r="A263" s="2" t="s">
        <v>281</v>
      </c>
      <c r="B263" s="30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43" t="s">
        <v>1212</v>
      </c>
      <c r="G263" t="s">
        <v>2500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Row],[VEHIDCODE]],roster!A:A,roster!C:C))</f>
        <v>1</v>
      </c>
      <c r="N263" t="b">
        <f>ISNUMBER(_xlfn.XMATCH(CONTROL[[#This Row],[VEHIDCODE]],GRAPHICS_PROPERTIES[VEHIDCODE],0))</f>
        <v>1</v>
      </c>
      <c r="O263" s="30" t="str">
        <f>"item_"&amp;CONTROL[[#This Row],[VEHIDCODE]]</f>
        <v>item_diesel_France_SNCF_461000</v>
      </c>
      <c r="P263" s="30" t="str">
        <f>"str_"&amp;CONTROL[[#This Row],[VEHIDCODE]]</f>
        <v>str_diesel_France_SNCF_461000</v>
      </c>
      <c r="Q263" s="10" t="b">
        <f>_xlfn.XLOOKUP(CONTROL[[#This Row],[VEHIDCODE]],PROPERTIES[VEHIDCODE],PROPERTIES[EXCLUDE])</f>
        <v>0</v>
      </c>
    </row>
    <row r="264" spans="1:17">
      <c r="A264" s="2" t="s">
        <v>282</v>
      </c>
      <c r="B264" s="30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43" t="s">
        <v>1213</v>
      </c>
      <c r="G264" t="s">
        <v>2501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Row],[VEHIDCODE]],roster!A:A,roster!C:C))</f>
        <v>1</v>
      </c>
      <c r="N264" t="b">
        <f>ISNUMBER(_xlfn.XMATCH(CONTROL[[#This Row],[VEHIDCODE]],GRAPHICS_PROPERTIES[VEHIDCODE],0))</f>
        <v>1</v>
      </c>
      <c r="O264" s="30" t="str">
        <f>"item_"&amp;CONTROL[[#This Row],[VEHIDCODE]]</f>
        <v>item_diesel_Italy_ACT_D_200</v>
      </c>
      <c r="P264" s="30" t="str">
        <f>"str_"&amp;CONTROL[[#This Row],[VEHIDCODE]]</f>
        <v>str_diesel_Italy_ACT_D_200</v>
      </c>
      <c r="Q264" s="10" t="b">
        <f>_xlfn.XLOOKUP(CONTROL[[#This Row],[VEHIDCODE]],PROPERTIES[VEHIDCODE],PROPERTIES[EXCLUDE])</f>
        <v>0</v>
      </c>
    </row>
    <row r="265" spans="1:17">
      <c r="A265" s="2" t="s">
        <v>283</v>
      </c>
      <c r="B265" s="30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43" t="s">
        <v>1214</v>
      </c>
      <c r="G265" t="s">
        <v>2502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Row],[VEHIDCODE]],roster!A:A,roster!C:C))</f>
        <v>1</v>
      </c>
      <c r="N265" t="b">
        <f>ISNUMBER(_xlfn.XMATCH(CONTROL[[#This Row],[VEHIDCODE]],GRAPHICS_PROPERTIES[VEHIDCODE],0))</f>
        <v>1</v>
      </c>
      <c r="O265" s="30" t="str">
        <f>"item_"&amp;CONTROL[[#This Row],[VEHIDCODE]]</f>
        <v>item_diesel_Canada_GO_Transit_MP40PH_3C</v>
      </c>
      <c r="P265" s="30" t="str">
        <f>"str_"&amp;CONTROL[[#This Row],[VEHIDCODE]]</f>
        <v>str_diesel_Canada_GO_Transit_MP40PH_3C</v>
      </c>
      <c r="Q265" s="10" t="b">
        <f>_xlfn.XLOOKUP(CONTROL[[#This Row],[VEHIDCODE]],PROPERTIES[VEHIDCODE],PROPERTIES[EXCLUDE])</f>
        <v>0</v>
      </c>
    </row>
    <row r="266" spans="1:17">
      <c r="A266" s="2" t="s">
        <v>284</v>
      </c>
      <c r="B266" s="30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43" t="s">
        <v>1215</v>
      </c>
      <c r="G266" t="s">
        <v>2503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Row],[VEHIDCODE]],roster!A:A,roster!C:C))</f>
        <v>1</v>
      </c>
      <c r="N266" t="b">
        <f>ISNUMBER(_xlfn.XMATCH(CONTROL[[#This Row],[VEHIDCODE]],GRAPHICS_PROPERTIES[VEHIDCODE],0))</f>
        <v>1</v>
      </c>
      <c r="O266" s="30" t="str">
        <f>"item_"&amp;CONTROL[[#This Row],[VEHIDCODE]]</f>
        <v>item_diesel_Spain_RENFE_Class_334</v>
      </c>
      <c r="P266" s="30" t="str">
        <f>"str_"&amp;CONTROL[[#This Row],[VEHIDCODE]]</f>
        <v>str_diesel_Spain_RENFE_Class_334</v>
      </c>
      <c r="Q266" s="10" t="b">
        <f>_xlfn.XLOOKUP(CONTROL[[#This Row],[VEHIDCODE]],PROPERTIES[VEHIDCODE],PROPERTIES[EXCLUDE])</f>
        <v>0</v>
      </c>
    </row>
    <row r="267" spans="1:17">
      <c r="A267" s="2" t="s">
        <v>285</v>
      </c>
      <c r="B267" s="30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43" t="s">
        <v>1216</v>
      </c>
      <c r="G267" t="s">
        <v>2504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Row],[VEHIDCODE]],roster!A:A,roster!C:C))</f>
        <v>1</v>
      </c>
      <c r="N267" t="b">
        <f>ISNUMBER(_xlfn.XMATCH(CONTROL[[#This Row],[VEHIDCODE]],GRAPHICS_PROPERTIES[VEHIDCODE],0))</f>
        <v>1</v>
      </c>
      <c r="O267" s="30" t="str">
        <f>"item_"&amp;CONTROL[[#This Row],[VEHIDCODE]]</f>
        <v>item_diesel_Indonesia_Indonesia_Railways_CC300</v>
      </c>
      <c r="P267" s="30" t="str">
        <f>"str_"&amp;CONTROL[[#This Row],[VEHIDCODE]]</f>
        <v>str_diesel_Indonesia_Indonesia_Railways_CC300</v>
      </c>
      <c r="Q267" s="10" t="b">
        <f>_xlfn.XLOOKUP(CONTROL[[#This Row],[VEHIDCODE]],PROPERTIES[VEHIDCODE],PROPERTIES[EXCLUDE])</f>
        <v>0</v>
      </c>
    </row>
    <row r="268" spans="1:17">
      <c r="A268" s="2" t="s">
        <v>286</v>
      </c>
      <c r="B268" s="30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43" t="s">
        <v>1217</v>
      </c>
      <c r="G268" t="s">
        <v>2402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Row],[VEHIDCODE]],roster!A:A,roster!C:C))</f>
        <v>1</v>
      </c>
      <c r="N268" t="b">
        <f>ISNUMBER(_xlfn.XMATCH(CONTROL[[#This Row],[VEHIDCODE]],GRAPHICS_PROPERTIES[VEHIDCODE],0))</f>
        <v>1</v>
      </c>
      <c r="O268" s="30" t="str">
        <f>"item_"&amp;CONTROL[[#This Row],[VEHIDCODE]]</f>
        <v>item_diesel_Argentina_Great_Southern_Railway_DH501</v>
      </c>
      <c r="P268" s="30" t="str">
        <f>"str_"&amp;CONTROL[[#This Row],[VEHIDCODE]]</f>
        <v>str_diesel_Argentina_Great_Southern_Railway_DH501</v>
      </c>
      <c r="Q268" s="10" t="b">
        <f>_xlfn.XLOOKUP(CONTROL[[#This Row],[VEHIDCODE]],PROPERTIES[VEHIDCODE],PROPERTIES[EXCLUDE])</f>
        <v>0</v>
      </c>
    </row>
    <row r="269" spans="1:17">
      <c r="A269" s="2" t="s">
        <v>287</v>
      </c>
      <c r="B269" s="30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43" t="s">
        <v>1218</v>
      </c>
      <c r="G269" t="s">
        <v>2505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Row],[VEHIDCODE]],roster!A:A,roster!C:C))</f>
        <v>1</v>
      </c>
      <c r="N269" t="b">
        <f>ISNUMBER(_xlfn.XMATCH(CONTROL[[#This Row],[VEHIDCODE]],GRAPHICS_PROPERTIES[VEHIDCODE],0))</f>
        <v>1</v>
      </c>
      <c r="O269" s="30" t="str">
        <f>"item_"&amp;CONTROL[[#This Row],[VEHIDCODE]]</f>
        <v>item_diesel_Brazil_EE_VFFLB</v>
      </c>
      <c r="P269" s="30" t="str">
        <f>"str_"&amp;CONTROL[[#This Row],[VEHIDCODE]]</f>
        <v>str_diesel_Brazil_EE_VFFLB</v>
      </c>
      <c r="Q269" s="10" t="b">
        <f>_xlfn.XLOOKUP(CONTROL[[#This Row],[VEHIDCODE]],PROPERTIES[VEHIDCODE],PROPERTIES[EXCLUDE])</f>
        <v>0</v>
      </c>
    </row>
    <row r="270" spans="1:17">
      <c r="A270" s="2" t="s">
        <v>288</v>
      </c>
      <c r="B270" s="30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43" t="s">
        <v>1219</v>
      </c>
      <c r="G270" t="s">
        <v>2506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Row],[VEHIDCODE]],roster!A:A,roster!C:C))</f>
        <v>1</v>
      </c>
      <c r="N270" t="b">
        <f>ISNUMBER(_xlfn.XMATCH(CONTROL[[#This Row],[VEHIDCODE]],GRAPHICS_PROPERTIES[VEHIDCODE],0))</f>
        <v>1</v>
      </c>
      <c r="O270" s="30" t="str">
        <f>"item_"&amp;CONTROL[[#This Row],[VEHIDCODE]]</f>
        <v>item_diesel_Chile_EFE_GE_U5B</v>
      </c>
      <c r="P270" s="30" t="str">
        <f>"str_"&amp;CONTROL[[#This Row],[VEHIDCODE]]</f>
        <v>str_diesel_Chile_EFE_GE_U5B</v>
      </c>
      <c r="Q270" s="10" t="b">
        <f>_xlfn.XLOOKUP(CONTROL[[#This Row],[VEHIDCODE]],PROPERTIES[VEHIDCODE],PROPERTIES[EXCLUDE])</f>
        <v>0</v>
      </c>
    </row>
    <row r="271" spans="1:17">
      <c r="A271" s="2" t="s">
        <v>289</v>
      </c>
      <c r="B271" s="30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43" t="s">
        <v>1220</v>
      </c>
      <c r="G271" t="s">
        <v>2507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Row],[VEHIDCODE]],roster!A:A,roster!C:C))</f>
        <v>1</v>
      </c>
      <c r="N271" t="b">
        <f>ISNUMBER(_xlfn.XMATCH(CONTROL[[#This Row],[VEHIDCODE]],GRAPHICS_PROPERTIES[VEHIDCODE],0))</f>
        <v>1</v>
      </c>
      <c r="O271" s="30" t="str">
        <f>"item_"&amp;CONTROL[[#This Row],[VEHIDCODE]]</f>
        <v>item_diesel_Peru_Ferrocarril_Central_Andino_Alco_RSD_39</v>
      </c>
      <c r="P271" s="30" t="str">
        <f>"str_"&amp;CONTROL[[#This Row],[VEHIDCODE]]</f>
        <v>str_diesel_Peru_Ferrocarril_Central_Andino_Alco_RSD_39</v>
      </c>
      <c r="Q271" s="10" t="b">
        <f>_xlfn.XLOOKUP(CONTROL[[#This Row],[VEHIDCODE]],PROPERTIES[VEHIDCODE],PROPERTIES[EXCLUDE])</f>
        <v>0</v>
      </c>
    </row>
    <row r="272" spans="1:17">
      <c r="A272" s="2" t="s">
        <v>290</v>
      </c>
      <c r="B272" s="30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43" t="s">
        <v>1221</v>
      </c>
      <c r="G272" t="s">
        <v>2508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Row],[VEHIDCODE]],roster!A:A,roster!C:C))</f>
        <v>1</v>
      </c>
      <c r="N272" t="b">
        <f>ISNUMBER(_xlfn.XMATCH(CONTROL[[#This Row],[VEHIDCODE]],GRAPHICS_PROPERTIES[VEHIDCODE],0))</f>
        <v>1</v>
      </c>
      <c r="O272" s="30" t="str">
        <f>"item_"&amp;CONTROL[[#This Row],[VEHIDCODE]]</f>
        <v>item_diesel_Brazil_EFVM_EMD_DDM45</v>
      </c>
      <c r="P272" s="30" t="str">
        <f>"str_"&amp;CONTROL[[#This Row],[VEHIDCODE]]</f>
        <v>str_diesel_Brazil_EFVM_EMD_DDM45</v>
      </c>
      <c r="Q272" s="10" t="b">
        <f>_xlfn.XLOOKUP(CONTROL[[#This Row],[VEHIDCODE]],PROPERTIES[VEHIDCODE],PROPERTIES[EXCLUDE])</f>
        <v>0</v>
      </c>
    </row>
    <row r="273" spans="1:17">
      <c r="A273" s="2" t="s">
        <v>291</v>
      </c>
      <c r="B273" s="30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43" t="s">
        <v>1222</v>
      </c>
      <c r="G273" t="s">
        <v>2509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Row],[VEHIDCODE]],roster!A:A,roster!C:C))</f>
        <v>1</v>
      </c>
      <c r="N273" t="b">
        <f>ISNUMBER(_xlfn.XMATCH(CONTROL[[#This Row],[VEHIDCODE]],GRAPHICS_PROPERTIES[VEHIDCODE],0))</f>
        <v>1</v>
      </c>
      <c r="O273" s="30" t="str">
        <f>"item_"&amp;CONTROL[[#This Row],[VEHIDCODE]]</f>
        <v>item_diesel_Peru_Ferrocarril_Central_Andino_GE_C39_8</v>
      </c>
      <c r="P273" s="30" t="str">
        <f>"str_"&amp;CONTROL[[#This Row],[VEHIDCODE]]</f>
        <v>str_diesel_Peru_Ferrocarril_Central_Andino_GE_C39_8</v>
      </c>
      <c r="Q273" s="10" t="b">
        <f>_xlfn.XLOOKUP(CONTROL[[#This Row],[VEHIDCODE]],PROPERTIES[VEHIDCODE],PROPERTIES[EXCLUDE])</f>
        <v>0</v>
      </c>
    </row>
    <row r="274" spans="1:17">
      <c r="A274" s="2" t="s">
        <v>292</v>
      </c>
      <c r="B274" s="30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43" t="s">
        <v>1223</v>
      </c>
      <c r="G274" t="s">
        <v>2510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Row],[VEHIDCODE]],roster!A:A,roster!C:C))</f>
        <v>1</v>
      </c>
      <c r="N274" t="b">
        <f>ISNUMBER(_xlfn.XMATCH(CONTROL[[#This Row],[VEHIDCODE]],GRAPHICS_PROPERTIES[VEHIDCODE],0))</f>
        <v>1</v>
      </c>
      <c r="O274" s="30" t="str">
        <f>"item_"&amp;CONTROL[[#This Row],[VEHIDCODE]]</f>
        <v>item_diesel_Argentina_SOFSE_3193</v>
      </c>
      <c r="P274" s="30" t="str">
        <f>"str_"&amp;CONTROL[[#This Row],[VEHIDCODE]]</f>
        <v>str_diesel_Argentina_SOFSE_3193</v>
      </c>
      <c r="Q274" s="10" t="b">
        <f>_xlfn.XLOOKUP(CONTROL[[#This Row],[VEHIDCODE]],PROPERTIES[VEHIDCODE],PROPERTIES[EXCLUDE])</f>
        <v>0</v>
      </c>
    </row>
    <row r="275" spans="1:17">
      <c r="A275" s="2" t="s">
        <v>293</v>
      </c>
      <c r="B275" s="30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43" t="s">
        <v>2512</v>
      </c>
      <c r="G275" t="s">
        <v>2511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Row],[VEHIDCODE]],roster!A:A,roster!C:C))</f>
        <v>1</v>
      </c>
      <c r="N275" t="b">
        <f>ISNUMBER(_xlfn.XMATCH(CONTROL[[#This Row],[VEHIDCODE]],GRAPHICS_PROPERTIES[VEHIDCODE],0))</f>
        <v>1</v>
      </c>
      <c r="O275" s="30" t="str">
        <f>"item_"&amp;CONTROL[[#This Row],[VEHIDCODE]]</f>
        <v>item_diesel_Argentina_SOFSE_CNR_CKD8</v>
      </c>
      <c r="P275" s="30" t="str">
        <f>"str_"&amp;CONTROL[[#This Row],[VEHIDCODE]]</f>
        <v>str_diesel_Argentina_SOFSE_CNR_CKD8</v>
      </c>
      <c r="Q275" s="10" t="b">
        <f>_xlfn.XLOOKUP(CONTROL[[#This Row],[VEHIDCODE]],PROPERTIES[VEHIDCODE],PROPERTIES[EXCLUDE])</f>
        <v>0</v>
      </c>
    </row>
    <row r="276" spans="1:17">
      <c r="A276" s="2" t="s">
        <v>294</v>
      </c>
      <c r="B276" s="30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43" t="s">
        <v>1224</v>
      </c>
      <c r="G276" t="s">
        <v>2513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Row],[VEHIDCODE]],roster!A:A,roster!C:C))</f>
        <v>1</v>
      </c>
      <c r="N276" t="b">
        <f>ISNUMBER(_xlfn.XMATCH(CONTROL[[#This Row],[VEHIDCODE]],GRAPHICS_PROPERTIES[VEHIDCODE],0))</f>
        <v>1</v>
      </c>
      <c r="O276" s="30" t="str">
        <f>"item_"&amp;CONTROL[[#This Row],[VEHIDCODE]]</f>
        <v>item_diesel_South_Africa_SAR_DS</v>
      </c>
      <c r="P276" s="30" t="str">
        <f>"str_"&amp;CONTROL[[#This Row],[VEHIDCODE]]</f>
        <v>str_diesel_South_Africa_SAR_DS</v>
      </c>
      <c r="Q276" s="10" t="b">
        <f>_xlfn.XLOOKUP(CONTROL[[#This Row],[VEHIDCODE]],PROPERTIES[VEHIDCODE],PROPERTIES[EXCLUDE])</f>
        <v>0</v>
      </c>
    </row>
    <row r="277" spans="1:17">
      <c r="A277" s="2" t="s">
        <v>295</v>
      </c>
      <c r="B277" s="30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43" t="s">
        <v>1225</v>
      </c>
      <c r="G277" t="s">
        <v>2514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Row],[VEHIDCODE]],roster!A:A,roster!C:C))</f>
        <v>1</v>
      </c>
      <c r="N277" t="b">
        <f>ISNUMBER(_xlfn.XMATCH(CONTROL[[#This Row],[VEHIDCODE]],GRAPHICS_PROPERTIES[VEHIDCODE],0))</f>
        <v>1</v>
      </c>
      <c r="O277" s="30" t="str">
        <f>"item_"&amp;CONTROL[[#This Row],[VEHIDCODE]]</f>
        <v>item_diesel_Algeria_SNTF_040_DG</v>
      </c>
      <c r="P277" s="30" t="str">
        <f>"str_"&amp;CONTROL[[#This Row],[VEHIDCODE]]</f>
        <v>str_diesel_Algeria_SNTF_040_DG</v>
      </c>
      <c r="Q277" s="10" t="b">
        <f>_xlfn.XLOOKUP(CONTROL[[#This Row],[VEHIDCODE]],PROPERTIES[VEHIDCODE],PROPERTIES[EXCLUDE])</f>
        <v>0</v>
      </c>
    </row>
    <row r="278" spans="1:17">
      <c r="A278" s="2" t="s">
        <v>296</v>
      </c>
      <c r="B278" s="30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43" t="s">
        <v>1226</v>
      </c>
      <c r="G278" t="s">
        <v>2515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Row],[VEHIDCODE]],roster!A:A,roster!C:C))</f>
        <v>1</v>
      </c>
      <c r="N278" t="b">
        <f>ISNUMBER(_xlfn.XMATCH(CONTROL[[#This Row],[VEHIDCODE]],GRAPHICS_PROPERTIES[VEHIDCODE],0))</f>
        <v>1</v>
      </c>
      <c r="O278" s="30" t="str">
        <f>"item_"&amp;CONTROL[[#This Row],[VEHIDCODE]]</f>
        <v>item_diesel_Tunisia_SNCFT_040_DF</v>
      </c>
      <c r="P278" s="30" t="str">
        <f>"str_"&amp;CONTROL[[#This Row],[VEHIDCODE]]</f>
        <v>str_diesel_Tunisia_SNCFT_040_DF</v>
      </c>
      <c r="Q278" s="10" t="b">
        <f>_xlfn.XLOOKUP(CONTROL[[#This Row],[VEHIDCODE]],PROPERTIES[VEHIDCODE],PROPERTIES[EXCLUDE])</f>
        <v>0</v>
      </c>
    </row>
    <row r="279" spans="1:17">
      <c r="A279" s="2" t="s">
        <v>297</v>
      </c>
      <c r="B279" s="30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43" t="s">
        <v>1227</v>
      </c>
      <c r="G279" t="s">
        <v>2516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Row],[VEHIDCODE]],roster!A:A,roster!C:C))</f>
        <v>1</v>
      </c>
      <c r="N279" t="b">
        <f>ISNUMBER(_xlfn.XMATCH(CONTROL[[#This Row],[VEHIDCODE]],GRAPHICS_PROPERTIES[VEHIDCODE],0))</f>
        <v>1</v>
      </c>
      <c r="O279" s="30" t="str">
        <f>"item_"&amp;CONTROL[[#This Row],[VEHIDCODE]]</f>
        <v>item_diesel_Egypt_ENR_TE114E</v>
      </c>
      <c r="P279" s="30" t="str">
        <f>"str_"&amp;CONTROL[[#This Row],[VEHIDCODE]]</f>
        <v>str_diesel_Egypt_ENR_TE114E</v>
      </c>
      <c r="Q279" s="10" t="b">
        <f>_xlfn.XLOOKUP(CONTROL[[#This Row],[VEHIDCODE]],PROPERTIES[VEHIDCODE],PROPERTIES[EXCLUDE])</f>
        <v>0</v>
      </c>
    </row>
    <row r="280" spans="1:17">
      <c r="A280" s="2" t="s">
        <v>298</v>
      </c>
      <c r="B280" s="30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43" t="s">
        <v>1228</v>
      </c>
      <c r="G280" t="s">
        <v>2517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Row],[VEHIDCODE]],roster!A:A,roster!C:C))</f>
        <v>1</v>
      </c>
      <c r="N280" t="b">
        <f>ISNUMBER(_xlfn.XMATCH(CONTROL[[#This Row],[VEHIDCODE]],GRAPHICS_PROPERTIES[VEHIDCODE],0))</f>
        <v>1</v>
      </c>
      <c r="O280" s="30" t="str">
        <f>"item_"&amp;CONTROL[[#This Row],[VEHIDCODE]]</f>
        <v>item_diesel_Tunisia_SNCFT_040_DJ</v>
      </c>
      <c r="P280" s="30" t="str">
        <f>"str_"&amp;CONTROL[[#This Row],[VEHIDCODE]]</f>
        <v>str_diesel_Tunisia_SNCFT_040_DJ</v>
      </c>
      <c r="Q280" s="10" t="b">
        <f>_xlfn.XLOOKUP(CONTROL[[#This Row],[VEHIDCODE]],PROPERTIES[VEHIDCODE],PROPERTIES[EXCLUDE])</f>
        <v>0</v>
      </c>
    </row>
    <row r="281" spans="1:17">
      <c r="A281" s="2" t="s">
        <v>299</v>
      </c>
      <c r="B281" s="30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43" t="s">
        <v>1229</v>
      </c>
      <c r="G281" t="s">
        <v>2518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Row],[VEHIDCODE]],roster!A:A,roster!C:C))</f>
        <v>1</v>
      </c>
      <c r="N281" t="b">
        <f>ISNUMBER(_xlfn.XMATCH(CONTROL[[#This Row],[VEHIDCODE]],GRAPHICS_PROPERTIES[VEHIDCODE],0))</f>
        <v>1</v>
      </c>
      <c r="O281" s="30" t="str">
        <f>"item_"&amp;CONTROL[[#This Row],[VEHIDCODE]]</f>
        <v>item_diesel_Morocco_ONCF_DF_100</v>
      </c>
      <c r="P281" s="30" t="str">
        <f>"str_"&amp;CONTROL[[#This Row],[VEHIDCODE]]</f>
        <v>str_diesel_Morocco_ONCF_DF_100</v>
      </c>
      <c r="Q281" s="10" t="b">
        <f>_xlfn.XLOOKUP(CONTROL[[#This Row],[VEHIDCODE]],PROPERTIES[VEHIDCODE],PROPERTIES[EXCLUDE])</f>
        <v>0</v>
      </c>
    </row>
    <row r="282" spans="1:17">
      <c r="A282" s="2" t="s">
        <v>300</v>
      </c>
      <c r="B282" s="30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43" t="s">
        <v>1230</v>
      </c>
      <c r="G282" t="s">
        <v>2519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Row],[VEHIDCODE]],roster!A:A,roster!C:C))</f>
        <v>1</v>
      </c>
      <c r="N282" t="b">
        <f>ISNUMBER(_xlfn.XMATCH(CONTROL[[#This Row],[VEHIDCODE]],GRAPHICS_PROPERTIES[VEHIDCODE],0))</f>
        <v>1</v>
      </c>
      <c r="O282" s="30" t="str">
        <f>"item_"&amp;CONTROL[[#This Row],[VEHIDCODE]]</f>
        <v>item_diesel_Ukraine_UZ_TEP10L</v>
      </c>
      <c r="P282" s="30" t="str">
        <f>"str_"&amp;CONTROL[[#This Row],[VEHIDCODE]]</f>
        <v>str_diesel_Ukraine_UZ_TEP10L</v>
      </c>
      <c r="Q282" s="10" t="b">
        <f>_xlfn.XLOOKUP(CONTROL[[#This Row],[VEHIDCODE]],PROPERTIES[VEHIDCODE],PROPERTIES[EXCLUDE])</f>
        <v>0</v>
      </c>
    </row>
    <row r="283" spans="1:17">
      <c r="A283" s="2" t="s">
        <v>301</v>
      </c>
      <c r="B283" s="30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43" t="s">
        <v>1231</v>
      </c>
      <c r="G283" t="s">
        <v>2520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Row],[VEHIDCODE]],roster!A:A,roster!C:C))</f>
        <v>1</v>
      </c>
      <c r="N283" t="b">
        <f>ISNUMBER(_xlfn.XMATCH(CONTROL[[#This Row],[VEHIDCODE]],GRAPHICS_PROPERTIES[VEHIDCODE],0))</f>
        <v>1</v>
      </c>
      <c r="O283" s="30" t="str">
        <f>"item_"&amp;CONTROL[[#This Row],[VEHIDCODE]]</f>
        <v>item_diesel_Belarus_BCh_2TE10M</v>
      </c>
      <c r="P283" s="30" t="str">
        <f>"str_"&amp;CONTROL[[#This Row],[VEHIDCODE]]</f>
        <v>str_diesel_Belarus_BCh_2TE10M</v>
      </c>
      <c r="Q283" s="10" t="b">
        <f>_xlfn.XLOOKUP(CONTROL[[#This Row],[VEHIDCODE]],PROPERTIES[VEHIDCODE],PROPERTIES[EXCLUDE])</f>
        <v>0</v>
      </c>
    </row>
    <row r="284" spans="1:17">
      <c r="A284" s="2" t="s">
        <v>302</v>
      </c>
      <c r="B284" s="30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43" t="s">
        <v>1232</v>
      </c>
      <c r="G284" t="s">
        <v>2521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Row],[VEHIDCODE]],roster!A:A,roster!C:C))</f>
        <v>1</v>
      </c>
      <c r="N284" t="b">
        <f>ISNUMBER(_xlfn.XMATCH(CONTROL[[#This Row],[VEHIDCODE]],GRAPHICS_PROPERTIES[VEHIDCODE],0))</f>
        <v>1</v>
      </c>
      <c r="O284" s="30" t="str">
        <f>"item_"&amp;CONTROL[[#This Row],[VEHIDCODE]]</f>
        <v>item_diesel_Poland_PKP_SP32</v>
      </c>
      <c r="P284" s="30" t="str">
        <f>"str_"&amp;CONTROL[[#This Row],[VEHIDCODE]]</f>
        <v>str_diesel_Poland_PKP_SP32</v>
      </c>
      <c r="Q284" s="10" t="b">
        <f>_xlfn.XLOOKUP(CONTROL[[#This Row],[VEHIDCODE]],PROPERTIES[VEHIDCODE],PROPERTIES[EXCLUDE])</f>
        <v>0</v>
      </c>
    </row>
    <row r="285" spans="1:17">
      <c r="A285" s="2" t="s">
        <v>303</v>
      </c>
      <c r="B285" s="30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43" t="s">
        <v>1233</v>
      </c>
      <c r="G285" t="s">
        <v>2522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Row],[VEHIDCODE]],roster!A:A,roster!C:C))</f>
        <v>1</v>
      </c>
      <c r="N285" t="b">
        <f>ISNUMBER(_xlfn.XMATCH(CONTROL[[#This Row],[VEHIDCODE]],GRAPHICS_PROPERTIES[VEHIDCODE],0))</f>
        <v>1</v>
      </c>
      <c r="O285" s="30" t="str">
        <f>"item_"&amp;CONTROL[[#This Row],[VEHIDCODE]]</f>
        <v>item_diesel_Ukraine_UZ_2TE126</v>
      </c>
      <c r="P285" s="30" t="str">
        <f>"str_"&amp;CONTROL[[#This Row],[VEHIDCODE]]</f>
        <v>str_diesel_Ukraine_UZ_2TE126</v>
      </c>
      <c r="Q285" s="10" t="b">
        <f>_xlfn.XLOOKUP(CONTROL[[#This Row],[VEHIDCODE]],PROPERTIES[VEHIDCODE],PROPERTIES[EXCLUDE])</f>
        <v>0</v>
      </c>
    </row>
    <row r="286" spans="1:17">
      <c r="A286" s="2" t="s">
        <v>304</v>
      </c>
      <c r="B286" s="30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43" t="s">
        <v>1234</v>
      </c>
      <c r="G286" t="s">
        <v>2523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Row],[VEHIDCODE]],roster!A:A,roster!C:C))</f>
        <v>1</v>
      </c>
      <c r="N286" t="b">
        <f>ISNUMBER(_xlfn.XMATCH(CONTROL[[#This Row],[VEHIDCODE]],GRAPHICS_PROPERTIES[VEHIDCODE],0))</f>
        <v>1</v>
      </c>
      <c r="O286" s="30" t="str">
        <f>"item_"&amp;CONTROL[[#This Row],[VEHIDCODE]]</f>
        <v>item_diesel_Ukraine_UZ_2TE10Ut</v>
      </c>
      <c r="P286" s="30" t="str">
        <f>"str_"&amp;CONTROL[[#This Row],[VEHIDCODE]]</f>
        <v>str_diesel_Ukraine_UZ_2TE10Ut</v>
      </c>
      <c r="Q286" s="10" t="b">
        <f>_xlfn.XLOOKUP(CONTROL[[#This Row],[VEHIDCODE]],PROPERTIES[VEHIDCODE],PROPERTIES[EXCLUDE])</f>
        <v>0</v>
      </c>
    </row>
    <row r="287" spans="1:17">
      <c r="A287" s="2" t="s">
        <v>305</v>
      </c>
      <c r="B287" s="30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43" t="s">
        <v>1235</v>
      </c>
      <c r="G287" t="s">
        <v>2524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Row],[VEHIDCODE]],roster!A:A,roster!C:C))</f>
        <v>1</v>
      </c>
      <c r="N287" t="b">
        <f>ISNUMBER(_xlfn.XMATCH(CONTROL[[#This Row],[VEHIDCODE]],GRAPHICS_PROPERTIES[VEHIDCODE],0))</f>
        <v>1</v>
      </c>
      <c r="O287" s="30" t="str">
        <f>"item_"&amp;CONTROL[[#This Row],[VEHIDCODE]]</f>
        <v>item_diesel_Serbia_ZS_621</v>
      </c>
      <c r="P287" s="30" t="str">
        <f>"str_"&amp;CONTROL[[#This Row],[VEHIDCODE]]</f>
        <v>str_diesel_Serbia_ZS_621</v>
      </c>
      <c r="Q287" s="10" t="b">
        <f>_xlfn.XLOOKUP(CONTROL[[#This Row],[VEHIDCODE]],PROPERTIES[VEHIDCODE],PROPERTIES[EXCLUDE])</f>
        <v>0</v>
      </c>
    </row>
    <row r="288" spans="1:17">
      <c r="A288" s="2" t="s">
        <v>306</v>
      </c>
      <c r="B288" s="30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43" t="s">
        <v>1236</v>
      </c>
      <c r="G288" t="s">
        <v>2525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Row],[VEHIDCODE]],roster!A:A,roster!C:C))</f>
        <v>1</v>
      </c>
      <c r="N288" t="b">
        <f>ISNUMBER(_xlfn.XMATCH(CONTROL[[#This Row],[VEHIDCODE]],GRAPHICS_PROPERTIES[VEHIDCODE],0))</f>
        <v>1</v>
      </c>
      <c r="O288" s="30" t="str">
        <f>"item_"&amp;CONTROL[[#This Row],[VEHIDCODE]]</f>
        <v>item_diesel_Italy_FS_207</v>
      </c>
      <c r="P288" s="30" t="str">
        <f>"str_"&amp;CONTROL[[#This Row],[VEHIDCODE]]</f>
        <v>str_diesel_Italy_FS_207</v>
      </c>
      <c r="Q288" s="10" t="b">
        <f>_xlfn.XLOOKUP(CONTROL[[#This Row],[VEHIDCODE]],PROPERTIES[VEHIDCODE],PROPERTIES[EXCLUDE])</f>
        <v>0</v>
      </c>
    </row>
    <row r="289" spans="1:17">
      <c r="A289" s="2" t="s">
        <v>307</v>
      </c>
      <c r="B289" s="30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43" t="s">
        <v>1237</v>
      </c>
      <c r="G289" t="s">
        <v>2526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Row],[VEHIDCODE]],roster!A:A,roster!C:C))</f>
        <v>1</v>
      </c>
      <c r="N289" t="b">
        <f>ISNUMBER(_xlfn.XMATCH(CONTROL[[#This Row],[VEHIDCODE]],GRAPHICS_PROPERTIES[VEHIDCODE],0))</f>
        <v>1</v>
      </c>
      <c r="O289" s="30" t="str">
        <f>"item_"&amp;CONTROL[[#This Row],[VEHIDCODE]]</f>
        <v>item_diesel_Russia_RZD_Db</v>
      </c>
      <c r="P289" s="30" t="str">
        <f>"str_"&amp;CONTROL[[#This Row],[VEHIDCODE]]</f>
        <v>str_diesel_Russia_RZD_Db</v>
      </c>
      <c r="Q289" s="10" t="b">
        <f>_xlfn.XLOOKUP(CONTROL[[#This Row],[VEHIDCODE]],PROPERTIES[VEHIDCODE],PROPERTIES[EXCLUDE])</f>
        <v>0</v>
      </c>
    </row>
    <row r="290" spans="1:17">
      <c r="A290" s="2" t="s">
        <v>308</v>
      </c>
      <c r="B290" s="30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43" t="s">
        <v>1238</v>
      </c>
      <c r="G290" t="s">
        <v>2527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Row],[VEHIDCODE]],roster!A:A,roster!C:C))</f>
        <v>1</v>
      </c>
      <c r="N290" t="b">
        <f>ISNUMBER(_xlfn.XMATCH(CONTROL[[#This Row],[VEHIDCODE]],GRAPHICS_PROPERTIES[VEHIDCODE],0))</f>
        <v>1</v>
      </c>
      <c r="O290" s="30" t="str">
        <f>"item_"&amp;CONTROL[[#This Row],[VEHIDCODE]]</f>
        <v>item_diesel_Portugal_CP_1500</v>
      </c>
      <c r="P290" s="30" t="str">
        <f>"str_"&amp;CONTROL[[#This Row],[VEHIDCODE]]</f>
        <v>str_diesel_Portugal_CP_1500</v>
      </c>
      <c r="Q290" s="10" t="b">
        <f>_xlfn.XLOOKUP(CONTROL[[#This Row],[VEHIDCODE]],PROPERTIES[VEHIDCODE],PROPERTIES[EXCLUDE])</f>
        <v>0</v>
      </c>
    </row>
    <row r="291" spans="1:17">
      <c r="A291" s="2" t="s">
        <v>309</v>
      </c>
      <c r="B291" s="30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43" t="s">
        <v>1239</v>
      </c>
      <c r="G291" t="s">
        <v>2528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Row],[VEHIDCODE]],roster!A:A,roster!C:C))</f>
        <v>1</v>
      </c>
      <c r="N291" t="b">
        <f>ISNUMBER(_xlfn.XMATCH(CONTROL[[#This Row],[VEHIDCODE]],GRAPHICS_PROPERTIES[VEHIDCODE],0))</f>
        <v>1</v>
      </c>
      <c r="O291" s="30" t="str">
        <f>"item_"&amp;CONTROL[[#This Row],[VEHIDCODE]]</f>
        <v>item_diesel_France_SNCF_BB_67400</v>
      </c>
      <c r="P291" s="30" t="str">
        <f>"str_"&amp;CONTROL[[#This Row],[VEHIDCODE]]</f>
        <v>str_diesel_France_SNCF_BB_67400</v>
      </c>
      <c r="Q291" s="10" t="b">
        <f>_xlfn.XLOOKUP(CONTROL[[#This Row],[VEHIDCODE]],PROPERTIES[VEHIDCODE],PROPERTIES[EXCLUDE])</f>
        <v>0</v>
      </c>
    </row>
    <row r="292" spans="1:17">
      <c r="A292" s="2" t="s">
        <v>310</v>
      </c>
      <c r="B292" s="30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43" t="s">
        <v>1240</v>
      </c>
      <c r="G292" t="s">
        <v>2529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Row],[VEHIDCODE]],roster!A:A,roster!C:C))</f>
        <v>1</v>
      </c>
      <c r="N292" t="b">
        <f>ISNUMBER(_xlfn.XMATCH(CONTROL[[#This Row],[VEHIDCODE]],GRAPHICS_PROPERTIES[VEHIDCODE],0))</f>
        <v>1</v>
      </c>
      <c r="O292" s="30" t="str">
        <f>"item_"&amp;CONTROL[[#This Row],[VEHIDCODE]]</f>
        <v>item_diesel_Netherlands_NS_6400</v>
      </c>
      <c r="P292" s="30" t="str">
        <f>"str_"&amp;CONTROL[[#This Row],[VEHIDCODE]]</f>
        <v>str_diesel_Netherlands_NS_6400</v>
      </c>
      <c r="Q292" s="10" t="b">
        <f>_xlfn.XLOOKUP(CONTROL[[#This Row],[VEHIDCODE]],PROPERTIES[VEHIDCODE],PROPERTIES[EXCLUDE])</f>
        <v>0</v>
      </c>
    </row>
    <row r="293" spans="1:17">
      <c r="A293" s="2" t="s">
        <v>311</v>
      </c>
      <c r="B293" s="30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43" t="s">
        <v>1241</v>
      </c>
      <c r="G293" t="s">
        <v>2530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Row],[VEHIDCODE]],roster!A:A,roster!C:C))</f>
        <v>1</v>
      </c>
      <c r="N293" t="b">
        <f>ISNUMBER(_xlfn.XMATCH(CONTROL[[#This Row],[VEHIDCODE]],GRAPHICS_PROPERTIES[VEHIDCODE],0))</f>
        <v>1</v>
      </c>
      <c r="O293" s="30" t="str">
        <f>"item_"&amp;CONTROL[[#This Row],[VEHIDCODE]]</f>
        <v>item_diesel_Egypt_ENR_2400_GE_ES40ACi</v>
      </c>
      <c r="P293" s="30" t="str">
        <f>"str_"&amp;CONTROL[[#This Row],[VEHIDCODE]]</f>
        <v>str_diesel_Egypt_ENR_2400_GE_ES40ACi</v>
      </c>
      <c r="Q293" s="10" t="b">
        <f>_xlfn.XLOOKUP(CONTROL[[#This Row],[VEHIDCODE]],PROPERTIES[VEHIDCODE],PROPERTIES[EXCLUDE])</f>
        <v>0</v>
      </c>
    </row>
    <row r="294" spans="1:17">
      <c r="A294" s="2" t="s">
        <v>312</v>
      </c>
      <c r="B294" s="30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43" t="s">
        <v>2214</v>
      </c>
      <c r="G294" t="s">
        <v>2531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Row],[VEHIDCODE]],roster!A:A,roster!C:C))</f>
        <v>1</v>
      </c>
      <c r="N294" t="b">
        <f>ISNUMBER(_xlfn.XMATCH(CONTROL[[#This Row],[VEHIDCODE]],GRAPHICS_PROPERTIES[VEHIDCODE],0))</f>
        <v>1</v>
      </c>
      <c r="O294" s="30" t="str">
        <f>"item_"&amp;CONTROL[[#This Row],[VEHIDCODE]]</f>
        <v>item_diesel_South_Africa_SAR_Afro_4000</v>
      </c>
      <c r="P294" s="30" t="str">
        <f>"str_"&amp;CONTROL[[#This Row],[VEHIDCODE]]</f>
        <v>str_diesel_South_Africa_SAR_Afro_4000</v>
      </c>
      <c r="Q294" s="10" t="b">
        <f>_xlfn.XLOOKUP(CONTROL[[#This Row],[VEHIDCODE]],PROPERTIES[VEHIDCODE],PROPERTIES[EXCLUDE])</f>
        <v>0</v>
      </c>
    </row>
    <row r="295" spans="1:17">
      <c r="A295" s="2" t="s">
        <v>313</v>
      </c>
      <c r="B295" s="30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43" t="s">
        <v>1242</v>
      </c>
      <c r="G295" t="s">
        <v>2532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Row],[VEHIDCODE]],roster!A:A,roster!C:C))</f>
        <v>1</v>
      </c>
      <c r="N295" t="b">
        <f>ISNUMBER(_xlfn.XMATCH(CONTROL[[#This Row],[VEHIDCODE]],GRAPHICS_PROPERTIES[VEHIDCODE],0))</f>
        <v>1</v>
      </c>
      <c r="O295" s="30" t="str">
        <f>"item_"&amp;CONTROL[[#This Row],[VEHIDCODE]]</f>
        <v>item_diesel_Spain_RENFE_308</v>
      </c>
      <c r="P295" s="30" t="str">
        <f>"str_"&amp;CONTROL[[#This Row],[VEHIDCODE]]</f>
        <v>str_diesel_Spain_RENFE_308</v>
      </c>
      <c r="Q295" s="10" t="b">
        <f>_xlfn.XLOOKUP(CONTROL[[#This Row],[VEHIDCODE]],PROPERTIES[VEHIDCODE],PROPERTIES[EXCLUDE])</f>
        <v>0</v>
      </c>
    </row>
    <row r="296" spans="1:17">
      <c r="A296" s="2" t="s">
        <v>314</v>
      </c>
      <c r="B296" s="30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43" t="s">
        <v>1243</v>
      </c>
      <c r="G296" t="s">
        <v>2533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Row],[VEHIDCODE]],roster!A:A,roster!C:C))</f>
        <v>1</v>
      </c>
      <c r="N296" t="b">
        <f>ISNUMBER(_xlfn.XMATCH(CONTROL[[#This Row],[VEHIDCODE]],GRAPHICS_PROPERTIES[VEHIDCODE],0))</f>
        <v>1</v>
      </c>
      <c r="O296" s="30" t="str">
        <f>"item_"&amp;CONTROL[[#This Row],[VEHIDCODE]]</f>
        <v>item_diesel_Australia_Pacific_National_XR_XRB</v>
      </c>
      <c r="P296" s="30" t="str">
        <f>"str_"&amp;CONTROL[[#This Row],[VEHIDCODE]]</f>
        <v>str_diesel_Australia_Pacific_National_XR_XRB</v>
      </c>
      <c r="Q296" s="10" t="b">
        <f>_xlfn.XLOOKUP(CONTROL[[#This Row],[VEHIDCODE]],PROPERTIES[VEHIDCODE],PROPERTIES[EXCLUDE])</f>
        <v>0</v>
      </c>
    </row>
    <row r="297" spans="1:17">
      <c r="A297" s="2" t="s">
        <v>315</v>
      </c>
      <c r="B297" s="30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43" t="s">
        <v>1244</v>
      </c>
      <c r="G297" t="s">
        <v>2534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Row],[VEHIDCODE]],roster!A:A,roster!C:C))</f>
        <v>1</v>
      </c>
      <c r="N297" t="b">
        <f>ISNUMBER(_xlfn.XMATCH(CONTROL[[#This Row],[VEHIDCODE]],GRAPHICS_PROPERTIES[VEHIDCODE],0))</f>
        <v>1</v>
      </c>
      <c r="O297" s="30" t="str">
        <f>"item_"&amp;CONTROL[[#This Row],[VEHIDCODE]]</f>
        <v>item_diesel_Norway_CargoNet_312</v>
      </c>
      <c r="P297" s="30" t="str">
        <f>"str_"&amp;CONTROL[[#This Row],[VEHIDCODE]]</f>
        <v>str_diesel_Norway_CargoNet_312</v>
      </c>
      <c r="Q297" s="10" t="b">
        <f>_xlfn.XLOOKUP(CONTROL[[#This Row],[VEHIDCODE]],PROPERTIES[VEHIDCODE],PROPERTIES[EXCLUDE])</f>
        <v>0</v>
      </c>
    </row>
    <row r="298" spans="1:17">
      <c r="A298" s="2" t="s">
        <v>316</v>
      </c>
      <c r="B298" s="30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43" t="s">
        <v>1245</v>
      </c>
      <c r="G298" t="s">
        <v>2535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Row],[VEHIDCODE]],roster!A:A,roster!C:C))</f>
        <v>1</v>
      </c>
      <c r="N298" t="b">
        <f>ISNUMBER(_xlfn.XMATCH(CONTROL[[#This Row],[VEHIDCODE]],GRAPHICS_PROPERTIES[VEHIDCODE],0))</f>
        <v>1</v>
      </c>
      <c r="O298" s="30" t="str">
        <f>"item_"&amp;CONTROL[[#This Row],[VEHIDCODE]]</f>
        <v>item_diesel_Australia_Pacific_National_92</v>
      </c>
      <c r="P298" s="30" t="str">
        <f>"str_"&amp;CONTROL[[#This Row],[VEHIDCODE]]</f>
        <v>str_diesel_Australia_Pacific_National_92</v>
      </c>
      <c r="Q298" s="10" t="b">
        <f>_xlfn.XLOOKUP(CONTROL[[#This Row],[VEHIDCODE]],PROPERTIES[VEHIDCODE],PROPERTIES[EXCLUDE])</f>
        <v>0</v>
      </c>
    </row>
    <row r="299" spans="1:17">
      <c r="A299" s="2" t="s">
        <v>317</v>
      </c>
      <c r="B299" s="30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43" t="s">
        <v>1246</v>
      </c>
      <c r="G299" t="s">
        <v>2536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Row],[VEHIDCODE]],roster!A:A,roster!C:C))</f>
        <v>1</v>
      </c>
      <c r="N299" t="b">
        <f>ISNUMBER(_xlfn.XMATCH(CONTROL[[#This Row],[VEHIDCODE]],GRAPHICS_PROPERTIES[VEHIDCODE],0))</f>
        <v>1</v>
      </c>
      <c r="O299" s="30" t="str">
        <f>"item_"&amp;CONTROL[[#This Row],[VEHIDCODE]]</f>
        <v>item_diesel_UK_BR_68</v>
      </c>
      <c r="P299" s="30" t="str">
        <f>"str_"&amp;CONTROL[[#This Row],[VEHIDCODE]]</f>
        <v>str_diesel_UK_BR_68</v>
      </c>
      <c r="Q299" s="10" t="b">
        <f>_xlfn.XLOOKUP(CONTROL[[#This Row],[VEHIDCODE]],PROPERTIES[VEHIDCODE],PROPERTIES[EXCLUDE])</f>
        <v>0</v>
      </c>
    </row>
    <row r="300" spans="1:17">
      <c r="A300" s="2" t="s">
        <v>318</v>
      </c>
      <c r="B300" s="30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43" t="s">
        <v>3066</v>
      </c>
      <c r="G300" t="s">
        <v>2537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Row],[VEHIDCODE]],roster!A:A,roster!C:C))</f>
        <v>1</v>
      </c>
      <c r="N300" t="b">
        <f>ISNUMBER(_xlfn.XMATCH(CONTROL[[#This Row],[VEHIDCODE]],GRAPHICS_PROPERTIES[VEHIDCODE],0))</f>
        <v>1</v>
      </c>
      <c r="O300" s="30" t="str">
        <f>"item_"&amp;CONTROL[[#This Row],[VEHIDCODE]]</f>
        <v>item_diesel_USA_Amtrak_Charger</v>
      </c>
      <c r="P300" s="30" t="str">
        <f>"str_"&amp;CONTROL[[#This Row],[VEHIDCODE]]</f>
        <v>str_diesel_USA_Amtrak_Charger</v>
      </c>
      <c r="Q300" s="10" t="b">
        <f>_xlfn.XLOOKUP(CONTROL[[#This Row],[VEHIDCODE]],PROPERTIES[VEHIDCODE],PROPERTIES[EXCLUDE])</f>
        <v>0</v>
      </c>
    </row>
    <row r="301" spans="1:17">
      <c r="A301" s="2" t="s">
        <v>319</v>
      </c>
      <c r="B301" s="30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43" t="s">
        <v>1247</v>
      </c>
      <c r="G301" t="s">
        <v>2539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Row],[VEHIDCODE]],roster!A:A,roster!C:C))</f>
        <v>1</v>
      </c>
      <c r="N301" t="b">
        <f>ISNUMBER(_xlfn.XMATCH(CONTROL[[#This Row],[VEHIDCODE]],GRAPHICS_PROPERTIES[VEHIDCODE],0))</f>
        <v>1</v>
      </c>
      <c r="O301" s="30" t="str">
        <f>"item_"&amp;CONTROL[[#This Row],[VEHIDCODE]]</f>
        <v>item_mtro_Argentina_Le_Brugeoise</v>
      </c>
      <c r="P301" s="30" t="str">
        <f>"str_"&amp;CONTROL[[#This Row],[VEHIDCODE]]</f>
        <v>str_mtro_Argentina_Le_Brugeoise</v>
      </c>
      <c r="Q301" s="10" t="b">
        <f>_xlfn.XLOOKUP(CONTROL[[#This Row],[VEHIDCODE]],PROPERTIES[VEHIDCODE],PROPERTIES[EXCLUDE])</f>
        <v>0</v>
      </c>
    </row>
    <row r="302" spans="1:17">
      <c r="A302" s="2" t="s">
        <v>322</v>
      </c>
      <c r="B302" s="30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43" t="s">
        <v>1248</v>
      </c>
      <c r="G302" t="s">
        <v>2540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Row],[VEHIDCODE]],roster!A:A,roster!C:C))</f>
        <v>1</v>
      </c>
      <c r="N302" t="b">
        <f>ISNUMBER(_xlfn.XMATCH(CONTROL[[#This Row],[VEHIDCODE]],GRAPHICS_PROPERTIES[VEHIDCODE],0))</f>
        <v>1</v>
      </c>
      <c r="O302" s="30" t="str">
        <f>"item_"&amp;CONTROL[[#This Row],[VEHIDCODE]]</f>
        <v>item_mtro_USA_NY_R1</v>
      </c>
      <c r="P302" s="30" t="str">
        <f>"str_"&amp;CONTROL[[#This Row],[VEHIDCODE]]</f>
        <v>str_mtro_USA_NY_R1</v>
      </c>
      <c r="Q302" s="10" t="b">
        <f>_xlfn.XLOOKUP(CONTROL[[#This Row],[VEHIDCODE]],PROPERTIES[VEHIDCODE],PROPERTIES[EXCLUDE])</f>
        <v>0</v>
      </c>
    </row>
    <row r="303" spans="1:17">
      <c r="A303" s="2" t="s">
        <v>323</v>
      </c>
      <c r="B303" s="30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43" t="s">
        <v>1249</v>
      </c>
      <c r="G303" t="s">
        <v>2541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Row],[VEHIDCODE]],roster!A:A,roster!C:C))</f>
        <v>1</v>
      </c>
      <c r="N303" t="b">
        <f>ISNUMBER(_xlfn.XMATCH(CONTROL[[#This Row],[VEHIDCODE]],GRAPHICS_PROPERTIES[VEHIDCODE],0))</f>
        <v>1</v>
      </c>
      <c r="O303" s="30" t="str">
        <f>"item_"&amp;CONTROL[[#This Row],[VEHIDCODE]]</f>
        <v>item_mtro_Germany_DB_ET_171</v>
      </c>
      <c r="P303" s="30" t="str">
        <f>"str_"&amp;CONTROL[[#This Row],[VEHIDCODE]]</f>
        <v>str_mtro_Germany_DB_ET_171</v>
      </c>
      <c r="Q303" s="10" t="b">
        <f>_xlfn.XLOOKUP(CONTROL[[#This Row],[VEHIDCODE]],PROPERTIES[VEHIDCODE],PROPERTIES[EXCLUDE])</f>
        <v>0</v>
      </c>
    </row>
    <row r="304" spans="1:17">
      <c r="A304" s="2" t="s">
        <v>324</v>
      </c>
      <c r="B304" s="30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43" t="s">
        <v>1250</v>
      </c>
      <c r="G304" t="s">
        <v>2544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Row],[VEHIDCODE]],roster!A:A,roster!C:C))</f>
        <v>1</v>
      </c>
      <c r="N304" t="b">
        <f>ISNUMBER(_xlfn.XMATCH(CONTROL[[#This Row],[VEHIDCODE]],GRAPHICS_PROPERTIES[VEHIDCODE],0))</f>
        <v>1</v>
      </c>
      <c r="O304" s="30" t="str">
        <f>"item_"&amp;CONTROL[[#This Row],[VEHIDCODE]]</f>
        <v>item_mtro_France_Paris_M2_840</v>
      </c>
      <c r="P304" s="30" t="str">
        <f>"str_"&amp;CONTROL[[#This Row],[VEHIDCODE]]</f>
        <v>str_mtro_France_Paris_M2_840</v>
      </c>
      <c r="Q304" s="10" t="b">
        <f>_xlfn.XLOOKUP(CONTROL[[#This Row],[VEHIDCODE]],PROPERTIES[VEHIDCODE],PROPERTIES[EXCLUDE])</f>
        <v>0</v>
      </c>
    </row>
    <row r="305" spans="1:17">
      <c r="A305" s="2" t="s">
        <v>325</v>
      </c>
      <c r="B305" s="30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43" t="s">
        <v>1251</v>
      </c>
      <c r="G305" t="s">
        <v>2543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Row],[VEHIDCODE]],roster!A:A,roster!C:C))</f>
        <v>1</v>
      </c>
      <c r="N305" t="b">
        <f>ISNUMBER(_xlfn.XMATCH(CONTROL[[#This Row],[VEHIDCODE]],GRAPHICS_PROPERTIES[VEHIDCODE],0))</f>
        <v>1</v>
      </c>
      <c r="O305" s="30" t="str">
        <f>"item_"&amp;CONTROL[[#This Row],[VEHIDCODE]]</f>
        <v>item_mtro_Portugal_Lisbon_ML7</v>
      </c>
      <c r="P305" s="30" t="str">
        <f>"str_"&amp;CONTROL[[#This Row],[VEHIDCODE]]</f>
        <v>str_mtro_Portugal_Lisbon_ML7</v>
      </c>
      <c r="Q305" s="10" t="b">
        <f>_xlfn.XLOOKUP(CONTROL[[#This Row],[VEHIDCODE]],PROPERTIES[VEHIDCODE],PROPERTIES[EXCLUDE])</f>
        <v>0</v>
      </c>
    </row>
    <row r="306" spans="1:17">
      <c r="A306" s="2" t="s">
        <v>326</v>
      </c>
      <c r="B306" s="30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43" t="s">
        <v>2546</v>
      </c>
      <c r="G306" t="s">
        <v>2542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Row],[VEHIDCODE]],roster!A:A,roster!C:C))</f>
        <v>1</v>
      </c>
      <c r="N306" t="b">
        <f>ISNUMBER(_xlfn.XMATCH(CONTROL[[#This Row],[VEHIDCODE]],GRAPHICS_PROPERTIES[VEHIDCODE],0))</f>
        <v>1</v>
      </c>
      <c r="O306" s="30" t="str">
        <f>"item_"&amp;CONTROL[[#This Row],[VEHIDCODE]]</f>
        <v>item_mtro_Hungary_Budapest_Ev3_200</v>
      </c>
      <c r="P306" s="30" t="str">
        <f>"str_"&amp;CONTROL[[#This Row],[VEHIDCODE]]</f>
        <v>str_mtro_Hungary_Budapest_Ev3_200</v>
      </c>
      <c r="Q306" s="10" t="b">
        <f>_xlfn.XLOOKUP(CONTROL[[#This Row],[VEHIDCODE]],PROPERTIES[VEHIDCODE],PROPERTIES[EXCLUDE])</f>
        <v>0</v>
      </c>
    </row>
    <row r="307" spans="1:17">
      <c r="A307" s="2" t="s">
        <v>327</v>
      </c>
      <c r="B307" s="30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43" t="s">
        <v>1252</v>
      </c>
      <c r="G307" t="s">
        <v>2545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Row],[VEHIDCODE]],roster!A:A,roster!C:C))</f>
        <v>1</v>
      </c>
      <c r="N307" t="b">
        <f>ISNUMBER(_xlfn.XMATCH(CONTROL[[#This Row],[VEHIDCODE]],GRAPHICS_PROPERTIES[VEHIDCODE],0))</f>
        <v>1</v>
      </c>
      <c r="O307" s="30" t="str">
        <f>"item_"&amp;CONTROL[[#This Row],[VEHIDCODE]]</f>
        <v>item_mtro_Norway_Oslo_T1000</v>
      </c>
      <c r="P307" s="30" t="str">
        <f>"str_"&amp;CONTROL[[#This Row],[VEHIDCODE]]</f>
        <v>str_mtro_Norway_Oslo_T1000</v>
      </c>
      <c r="Q307" s="10" t="b">
        <f>_xlfn.XLOOKUP(CONTROL[[#This Row],[VEHIDCODE]],PROPERTIES[VEHIDCODE],PROPERTIES[EXCLUDE])</f>
        <v>0</v>
      </c>
    </row>
    <row r="308" spans="1:17">
      <c r="A308" s="2" t="s">
        <v>328</v>
      </c>
      <c r="B308" s="30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43" t="s">
        <v>2548</v>
      </c>
      <c r="G308" t="s">
        <v>2547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Row],[VEHIDCODE]],roster!A:A,roster!C:C))</f>
        <v>1</v>
      </c>
      <c r="N308" t="b">
        <f>ISNUMBER(_xlfn.XMATCH(CONTROL[[#This Row],[VEHIDCODE]],GRAPHICS_PROPERTIES[VEHIDCODE],0))</f>
        <v>1</v>
      </c>
      <c r="O308" s="30" t="str">
        <f>"item_"&amp;CONTROL[[#This Row],[VEHIDCODE]]</f>
        <v>item_mtro_Canada_Toronto_H_series</v>
      </c>
      <c r="P308" s="30" t="str">
        <f>"str_"&amp;CONTROL[[#This Row],[VEHIDCODE]]</f>
        <v>str_mtro_Canada_Toronto_H_series</v>
      </c>
      <c r="Q308" s="10" t="b">
        <f>_xlfn.XLOOKUP(CONTROL[[#This Row],[VEHIDCODE]],PROPERTIES[VEHIDCODE],PROPERTIES[EXCLUDE])</f>
        <v>0</v>
      </c>
    </row>
    <row r="309" spans="1:17">
      <c r="A309" s="2" t="s">
        <v>329</v>
      </c>
      <c r="B309" s="30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43" t="s">
        <v>1253</v>
      </c>
      <c r="G309" t="s">
        <v>2549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Row],[VEHIDCODE]],roster!A:A,roster!C:C))</f>
        <v>1</v>
      </c>
      <c r="N309" t="b">
        <f>ISNUMBER(_xlfn.XMATCH(CONTROL[[#This Row],[VEHIDCODE]],GRAPHICS_PROPERTIES[VEHIDCODE],0))</f>
        <v>1</v>
      </c>
      <c r="O309" s="30" t="str">
        <f>"item_"&amp;CONTROL[[#This Row],[VEHIDCODE]]</f>
        <v>item_mtro_Germany_Munchen_MVG_A2</v>
      </c>
      <c r="P309" s="30" t="str">
        <f>"str_"&amp;CONTROL[[#This Row],[VEHIDCODE]]</f>
        <v>str_mtro_Germany_Munchen_MVG_A2</v>
      </c>
      <c r="Q309" s="10" t="b">
        <f>_xlfn.XLOOKUP(CONTROL[[#This Row],[VEHIDCODE]],PROPERTIES[VEHIDCODE],PROPERTIES[EXCLUDE])</f>
        <v>0</v>
      </c>
    </row>
    <row r="310" spans="1:17">
      <c r="A310" s="2" t="s">
        <v>330</v>
      </c>
      <c r="B310" s="30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43" t="s">
        <v>1254</v>
      </c>
      <c r="G310" t="s">
        <v>2550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Row],[VEHIDCODE]],roster!A:A,roster!C:C))</f>
        <v>1</v>
      </c>
      <c r="N310" t="b">
        <f>ISNUMBER(_xlfn.XMATCH(CONTROL[[#This Row],[VEHIDCODE]],GRAPHICS_PROPERTIES[VEHIDCODE],0))</f>
        <v>1</v>
      </c>
      <c r="O310" s="30" t="str">
        <f>"item_"&amp;CONTROL[[#This Row],[VEHIDCODE]]</f>
        <v>item_mtro_USA_NY_R44</v>
      </c>
      <c r="P310" s="30" t="str">
        <f>"str_"&amp;CONTROL[[#This Row],[VEHIDCODE]]</f>
        <v>str_mtro_USA_NY_R44</v>
      </c>
      <c r="Q310" s="10" t="b">
        <f>_xlfn.XLOOKUP(CONTROL[[#This Row],[VEHIDCODE]],PROPERTIES[VEHIDCODE],PROPERTIES[EXCLUDE])</f>
        <v>0</v>
      </c>
    </row>
    <row r="311" spans="1:17">
      <c r="A311" s="2" t="s">
        <v>331</v>
      </c>
      <c r="B311" s="30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43" t="s">
        <v>1255</v>
      </c>
      <c r="G311" t="s">
        <v>2551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Row],[VEHIDCODE]],roster!A:A,roster!C:C))</f>
        <v>1</v>
      </c>
      <c r="N311" t="b">
        <f>ISNUMBER(_xlfn.XMATCH(CONTROL[[#This Row],[VEHIDCODE]],GRAPHICS_PROPERTIES[VEHIDCODE],0))</f>
        <v>1</v>
      </c>
      <c r="O311" s="30" t="str">
        <f>"item_"&amp;CONTROL[[#This Row],[VEHIDCODE]]</f>
        <v>item_mtro_Netherlands_Amsterdam_Type_M1</v>
      </c>
      <c r="P311" s="30" t="str">
        <f>"str_"&amp;CONTROL[[#This Row],[VEHIDCODE]]</f>
        <v>str_mtro_Netherlands_Amsterdam_Type_M1</v>
      </c>
      <c r="Q311" s="10" t="b">
        <f>_xlfn.XLOOKUP(CONTROL[[#This Row],[VEHIDCODE]],PROPERTIES[VEHIDCODE],PROPERTIES[EXCLUDE])</f>
        <v>0</v>
      </c>
    </row>
    <row r="312" spans="1:17">
      <c r="A312" s="2" t="s">
        <v>332</v>
      </c>
      <c r="B312" s="30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43" t="s">
        <v>1256</v>
      </c>
      <c r="G312" t="s">
        <v>2552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Row],[VEHIDCODE]],roster!A:A,roster!C:C))</f>
        <v>1</v>
      </c>
      <c r="N312" t="b">
        <f>ISNUMBER(_xlfn.XMATCH(CONTROL[[#This Row],[VEHIDCODE]],GRAPHICS_PROPERTIES[VEHIDCODE],0))</f>
        <v>1</v>
      </c>
      <c r="O312" s="30" t="str">
        <f>"item_"&amp;CONTROL[[#This Row],[VEHIDCODE]]</f>
        <v>item_mtro_Sweden_Stockholm_C8</v>
      </c>
      <c r="P312" s="30" t="str">
        <f>"str_"&amp;CONTROL[[#This Row],[VEHIDCODE]]</f>
        <v>str_mtro_Sweden_Stockholm_C8</v>
      </c>
      <c r="Q312" s="10" t="b">
        <f>_xlfn.XLOOKUP(CONTROL[[#This Row],[VEHIDCODE]],PROPERTIES[VEHIDCODE],PROPERTIES[EXCLUDE])</f>
        <v>0</v>
      </c>
    </row>
    <row r="313" spans="1:17">
      <c r="A313" s="2" t="s">
        <v>333</v>
      </c>
      <c r="B313" s="30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43" t="s">
        <v>1257</v>
      </c>
      <c r="G313" t="s">
        <v>2553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Row],[VEHIDCODE]],roster!A:A,roster!C:C))</f>
        <v>1</v>
      </c>
      <c r="N313" t="b">
        <f>ISNUMBER(_xlfn.XMATCH(CONTROL[[#This Row],[VEHIDCODE]],GRAPHICS_PROPERTIES[VEHIDCODE],0))</f>
        <v>1</v>
      </c>
      <c r="O313" s="30" t="str">
        <f>"item_"&amp;CONTROL[[#This Row],[VEHIDCODE]]</f>
        <v>item_mtro_North_Korea_Pyongyang_D_stock</v>
      </c>
      <c r="P313" s="30" t="str">
        <f>"str_"&amp;CONTROL[[#This Row],[VEHIDCODE]]</f>
        <v>str_mtro_North_Korea_Pyongyang_D_stock</v>
      </c>
      <c r="Q313" s="10" t="b">
        <f>_xlfn.XLOOKUP(CONTROL[[#This Row],[VEHIDCODE]],PROPERTIES[VEHIDCODE],PROPERTIES[EXCLUDE])</f>
        <v>0</v>
      </c>
    </row>
    <row r="314" spans="1:17">
      <c r="A314" s="2" t="s">
        <v>334</v>
      </c>
      <c r="B314" s="30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43" t="s">
        <v>1258</v>
      </c>
      <c r="G314" t="s">
        <v>2554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Row],[VEHIDCODE]],roster!A:A,roster!C:C))</f>
        <v>1</v>
      </c>
      <c r="N314" t="b">
        <f>ISNUMBER(_xlfn.XMATCH(CONTROL[[#This Row],[VEHIDCODE]],GRAPHICS_PROPERTIES[VEHIDCODE],0))</f>
        <v>1</v>
      </c>
      <c r="O314" s="30" t="str">
        <f>"item_"&amp;CONTROL[[#This Row],[VEHIDCODE]]</f>
        <v>item_mtro_Finland_Helsinki_M100</v>
      </c>
      <c r="P314" s="30" t="str">
        <f>"str_"&amp;CONTROL[[#This Row],[VEHIDCODE]]</f>
        <v>str_mtro_Finland_Helsinki_M100</v>
      </c>
      <c r="Q314" s="10" t="b">
        <f>_xlfn.XLOOKUP(CONTROL[[#This Row],[VEHIDCODE]],PROPERTIES[VEHIDCODE],PROPERTIES[EXCLUDE])</f>
        <v>0</v>
      </c>
    </row>
    <row r="315" spans="1:17">
      <c r="A315" s="2" t="s">
        <v>335</v>
      </c>
      <c r="B315" s="30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43" t="s">
        <v>1259</v>
      </c>
      <c r="G315" t="s">
        <v>2555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Row],[VEHIDCODE]],roster!A:A,roster!C:C))</f>
        <v>1</v>
      </c>
      <c r="N315" t="b">
        <f>ISNUMBER(_xlfn.XMATCH(CONTROL[[#This Row],[VEHIDCODE]],GRAPHICS_PROPERTIES[VEHIDCODE],0))</f>
        <v>1</v>
      </c>
      <c r="O315" s="30" t="str">
        <f>"item_"&amp;CONTROL[[#This Row],[VEHIDCODE]]</f>
        <v>item_mtro_Brazil_Sao_Paulo_Serie_5500</v>
      </c>
      <c r="P315" s="30" t="str">
        <f>"str_"&amp;CONTROL[[#This Row],[VEHIDCODE]]</f>
        <v>str_mtro_Brazil_Sao_Paulo_Serie_5500</v>
      </c>
      <c r="Q315" s="10" t="b">
        <f>_xlfn.XLOOKUP(CONTROL[[#This Row],[VEHIDCODE]],PROPERTIES[VEHIDCODE],PROPERTIES[EXCLUDE])</f>
        <v>0</v>
      </c>
    </row>
    <row r="316" spans="1:17">
      <c r="A316" s="2" t="s">
        <v>336</v>
      </c>
      <c r="B316" s="30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43" t="s">
        <v>1260</v>
      </c>
      <c r="G316" t="s">
        <v>2538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Row],[VEHIDCODE]],roster!A:A,roster!C:C))</f>
        <v>1</v>
      </c>
      <c r="N316" t="b">
        <f>ISNUMBER(_xlfn.XMATCH(CONTROL[[#This Row],[VEHIDCODE]],GRAPHICS_PROPERTIES[VEHIDCODE],0))</f>
        <v>1</v>
      </c>
      <c r="O316" s="30" t="str">
        <f>"item_"&amp;CONTROL[[#This Row],[VEHIDCODE]]</f>
        <v>item_mtro_Russia_Moscow_81_720</v>
      </c>
      <c r="P316" s="30" t="str">
        <f>"str_"&amp;CONTROL[[#This Row],[VEHIDCODE]]</f>
        <v>str_mtro_Russia_Moscow_81_720</v>
      </c>
      <c r="Q316" s="10" t="b">
        <f>_xlfn.XLOOKUP(CONTROL[[#This Row],[VEHIDCODE]],PROPERTIES[VEHIDCODE],PROPERTIES[EXCLUDE])</f>
        <v>0</v>
      </c>
    </row>
    <row r="317" spans="1:17">
      <c r="A317" s="2" t="s">
        <v>337</v>
      </c>
      <c r="B317" s="30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43" t="s">
        <v>1261</v>
      </c>
      <c r="G317" t="s">
        <v>2556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Row],[VEHIDCODE]],roster!A:A,roster!C:C))</f>
        <v>1</v>
      </c>
      <c r="N317" t="b">
        <f>ISNUMBER(_xlfn.XMATCH(CONTROL[[#This Row],[VEHIDCODE]],GRAPHICS_PROPERTIES[VEHIDCODE],0))</f>
        <v>1</v>
      </c>
      <c r="O317" s="30" t="str">
        <f>"item_"&amp;CONTROL[[#This Row],[VEHIDCODE]]</f>
        <v>item_mtro_Japan_Tokyo_S01</v>
      </c>
      <c r="P317" s="30" t="str">
        <f>"str_"&amp;CONTROL[[#This Row],[VEHIDCODE]]</f>
        <v>str_mtro_Japan_Tokyo_S01</v>
      </c>
      <c r="Q317" s="10" t="b">
        <f>_xlfn.XLOOKUP(CONTROL[[#This Row],[VEHIDCODE]],PROPERTIES[VEHIDCODE],PROPERTIES[EXCLUDE])</f>
        <v>0</v>
      </c>
    </row>
    <row r="318" spans="1:17">
      <c r="A318" s="2" t="s">
        <v>338</v>
      </c>
      <c r="B318" s="30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43" t="s">
        <v>2557</v>
      </c>
      <c r="G318" t="s">
        <v>2558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Row],[VEHIDCODE]],roster!A:A,roster!C:C))</f>
        <v>1</v>
      </c>
      <c r="N318" t="b">
        <f>ISNUMBER(_xlfn.XMATCH(CONTROL[[#This Row],[VEHIDCODE]],GRAPHICS_PROPERTIES[VEHIDCODE],0))</f>
        <v>1</v>
      </c>
      <c r="O318" s="30" t="str">
        <f>"item_"&amp;CONTROL[[#This Row],[VEHIDCODE]]</f>
        <v>item_mtro_Egypt_Cairo_1987_Stock</v>
      </c>
      <c r="P318" s="30" t="str">
        <f>"str_"&amp;CONTROL[[#This Row],[VEHIDCODE]]</f>
        <v>str_mtro_Egypt_Cairo_1987_Stock</v>
      </c>
      <c r="Q318" s="10" t="b">
        <f>_xlfn.XLOOKUP(CONTROL[[#This Row],[VEHIDCODE]],PROPERTIES[VEHIDCODE],PROPERTIES[EXCLUDE])</f>
        <v>0</v>
      </c>
    </row>
    <row r="319" spans="1:17">
      <c r="A319" s="2" t="s">
        <v>339</v>
      </c>
      <c r="B319" s="30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43" t="s">
        <v>2559</v>
      </c>
      <c r="G319" t="s">
        <v>2560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Row],[VEHIDCODE]],roster!A:A,roster!C:C))</f>
        <v>1</v>
      </c>
      <c r="N319" t="b">
        <f>ISNUMBER(_xlfn.XMATCH(CONTROL[[#This Row],[VEHIDCODE]],GRAPHICS_PROPERTIES[VEHIDCODE],0))</f>
        <v>1</v>
      </c>
      <c r="O319" s="30" t="str">
        <f>"item_"&amp;CONTROL[[#This Row],[VEHIDCODE]]</f>
        <v>item_mtro_UK_DLR_P86</v>
      </c>
      <c r="P319" s="30" t="str">
        <f>"str_"&amp;CONTROL[[#This Row],[VEHIDCODE]]</f>
        <v>str_mtro_UK_DLR_P86</v>
      </c>
      <c r="Q319" s="10" t="b">
        <f>_xlfn.XLOOKUP(CONTROL[[#This Row],[VEHIDCODE]],PROPERTIES[VEHIDCODE],PROPERTIES[EXCLUDE])</f>
        <v>0</v>
      </c>
    </row>
    <row r="320" spans="1:17">
      <c r="A320" s="2" t="s">
        <v>340</v>
      </c>
      <c r="B320" s="30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43" t="s">
        <v>1262</v>
      </c>
      <c r="G320" t="s">
        <v>2561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Row],[VEHIDCODE]],roster!A:A,roster!C:C))</f>
        <v>1</v>
      </c>
      <c r="N320" t="b">
        <f>ISNUMBER(_xlfn.XMATCH(CONTROL[[#This Row],[VEHIDCODE]],GRAPHICS_PROPERTIES[VEHIDCODE],0))</f>
        <v>1</v>
      </c>
      <c r="O320" s="30" t="str">
        <f>"item_"&amp;CONTROL[[#This Row],[VEHIDCODE]]</f>
        <v>item_mtro_Russia_Moscow_81_7175M</v>
      </c>
      <c r="P320" s="30" t="str">
        <f>"str_"&amp;CONTROL[[#This Row],[VEHIDCODE]]</f>
        <v>str_mtro_Russia_Moscow_81_7175M</v>
      </c>
      <c r="Q320" s="10" t="b">
        <f>_xlfn.XLOOKUP(CONTROL[[#This Row],[VEHIDCODE]],PROPERTIES[VEHIDCODE],PROPERTIES[EXCLUDE])</f>
        <v>0</v>
      </c>
    </row>
    <row r="321" spans="1:17">
      <c r="A321" s="2" t="s">
        <v>341</v>
      </c>
      <c r="B321" s="30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43" t="s">
        <v>1263</v>
      </c>
      <c r="G321" t="s">
        <v>2562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Row],[VEHIDCODE]],roster!A:A,roster!C:C))</f>
        <v>1</v>
      </c>
      <c r="N321" t="b">
        <f>ISNUMBER(_xlfn.XMATCH(CONTROL[[#This Row],[VEHIDCODE]],GRAPHICS_PROPERTIES[VEHIDCODE],0))</f>
        <v>1</v>
      </c>
      <c r="O321" s="30" t="str">
        <f>"item_"&amp;CONTROL[[#This Row],[VEHIDCODE]]</f>
        <v>item_mtro_USA_Boston_01800</v>
      </c>
      <c r="P321" s="30" t="str">
        <f>"str_"&amp;CONTROL[[#This Row],[VEHIDCODE]]</f>
        <v>str_mtro_USA_Boston_01800</v>
      </c>
      <c r="Q321" s="10" t="b">
        <f>_xlfn.XLOOKUP(CONTROL[[#This Row],[VEHIDCODE]],PROPERTIES[VEHIDCODE],PROPERTIES[EXCLUDE])</f>
        <v>0</v>
      </c>
    </row>
    <row r="322" spans="1:17">
      <c r="A322" s="2" t="s">
        <v>342</v>
      </c>
      <c r="B322" s="30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43" t="s">
        <v>1264</v>
      </c>
      <c r="G322" t="s">
        <v>2563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Row],[VEHIDCODE]],roster!A:A,roster!C:C))</f>
        <v>1</v>
      </c>
      <c r="N322" t="b">
        <f>ISNUMBER(_xlfn.XMATCH(CONTROL[[#This Row],[VEHIDCODE]],GRAPHICS_PROPERTIES[VEHIDCODE],0))</f>
        <v>1</v>
      </c>
      <c r="O322" s="30" t="str">
        <f>"item_"&amp;CONTROL[[#This Row],[VEHIDCODE]]</f>
        <v>item_mtro_USA_LA_A650</v>
      </c>
      <c r="P322" s="30" t="str">
        <f>"str_"&amp;CONTROL[[#This Row],[VEHIDCODE]]</f>
        <v>str_mtro_USA_LA_A650</v>
      </c>
      <c r="Q322" s="10" t="b">
        <f>_xlfn.XLOOKUP(CONTROL[[#This Row],[VEHIDCODE]],PROPERTIES[VEHIDCODE],PROPERTIES[EXCLUDE])</f>
        <v>0</v>
      </c>
    </row>
    <row r="323" spans="1:17">
      <c r="A323" s="2" t="s">
        <v>343</v>
      </c>
      <c r="B323" s="30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43" t="s">
        <v>1265</v>
      </c>
      <c r="G323" t="s">
        <v>2564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Row],[VEHIDCODE]],roster!A:A,roster!C:C))</f>
        <v>1</v>
      </c>
      <c r="N323" t="b">
        <f>ISNUMBER(_xlfn.XMATCH(CONTROL[[#This Row],[VEHIDCODE]],GRAPHICS_PROPERTIES[VEHIDCODE],0))</f>
        <v>1</v>
      </c>
      <c r="O323" s="30" t="str">
        <f>"item_"&amp;CONTROL[[#This Row],[VEHIDCODE]]</f>
        <v>item_mtro_Taiwan_Taipei_C301</v>
      </c>
      <c r="P323" s="30" t="str">
        <f>"str_"&amp;CONTROL[[#This Row],[VEHIDCODE]]</f>
        <v>str_mtro_Taiwan_Taipei_C301</v>
      </c>
      <c r="Q323" s="10" t="b">
        <f>_xlfn.XLOOKUP(CONTROL[[#This Row],[VEHIDCODE]],PROPERTIES[VEHIDCODE],PROPERTIES[EXCLUDE])</f>
        <v>0</v>
      </c>
    </row>
    <row r="324" spans="1:17">
      <c r="A324" s="2" t="s">
        <v>344</v>
      </c>
      <c r="B324" s="30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43" t="s">
        <v>2566</v>
      </c>
      <c r="G324" t="s">
        <v>2565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Row],[VEHIDCODE]],roster!A:A,roster!C:C))</f>
        <v>1</v>
      </c>
      <c r="N324" t="b">
        <f>ISNUMBER(_xlfn.XMATCH(CONTROL[[#This Row],[VEHIDCODE]],GRAPHICS_PROPERTIES[VEHIDCODE],0))</f>
        <v>1</v>
      </c>
      <c r="O324" s="30" t="str">
        <f>"item_"&amp;CONTROL[[#This Row],[VEHIDCODE]]</f>
        <v>item_mtro_Netherlands_Amsterdam_CAF_90</v>
      </c>
      <c r="P324" s="30" t="str">
        <f>"str_"&amp;CONTROL[[#This Row],[VEHIDCODE]]</f>
        <v>str_mtro_Netherlands_Amsterdam_CAF_90</v>
      </c>
      <c r="Q324" s="10" t="b">
        <f>_xlfn.XLOOKUP(CONTROL[[#This Row],[VEHIDCODE]],PROPERTIES[VEHIDCODE],PROPERTIES[EXCLUDE])</f>
        <v>0</v>
      </c>
    </row>
    <row r="325" spans="1:17">
      <c r="A325" s="2" t="s">
        <v>345</v>
      </c>
      <c r="B325" s="30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43" t="s">
        <v>1266</v>
      </c>
      <c r="G325" t="s">
        <v>2567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Row],[VEHIDCODE]],roster!A:A,roster!C:C))</f>
        <v>1</v>
      </c>
      <c r="N325" t="b">
        <f>ISNUMBER(_xlfn.XMATCH(CONTROL[[#This Row],[VEHIDCODE]],GRAPHICS_PROPERTIES[VEHIDCODE],0))</f>
        <v>1</v>
      </c>
      <c r="O325" s="30" t="str">
        <f>"item_"&amp;CONTROL[[#This Row],[VEHIDCODE]]</f>
        <v>item_mtro_France_Paris_MP89</v>
      </c>
      <c r="P325" s="30" t="str">
        <f>"str_"&amp;CONTROL[[#This Row],[VEHIDCODE]]</f>
        <v>str_mtro_France_Paris_MP89</v>
      </c>
      <c r="Q325" s="10" t="b">
        <f>_xlfn.XLOOKUP(CONTROL[[#This Row],[VEHIDCODE]],PROPERTIES[VEHIDCODE],PROPERTIES[EXCLUDE])</f>
        <v>0</v>
      </c>
    </row>
    <row r="326" spans="1:17">
      <c r="A326" s="2" t="s">
        <v>346</v>
      </c>
      <c r="B326" s="30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43" t="s">
        <v>1267</v>
      </c>
      <c r="G326" t="s">
        <v>2568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Row],[VEHIDCODE]],roster!A:A,roster!C:C))</f>
        <v>1</v>
      </c>
      <c r="N326" t="b">
        <f>ISNUMBER(_xlfn.XMATCH(CONTROL[[#This Row],[VEHIDCODE]],GRAPHICS_PROPERTIES[VEHIDCODE],0))</f>
        <v>1</v>
      </c>
      <c r="O326" s="30" t="str">
        <f>"item_"&amp;CONTROL[[#This Row],[VEHIDCODE]]</f>
        <v>item_mtro_Russia_Moscow_81_740</v>
      </c>
      <c r="P326" s="30" t="str">
        <f>"str_"&amp;CONTROL[[#This Row],[VEHIDCODE]]</f>
        <v>str_mtro_Russia_Moscow_81_740</v>
      </c>
      <c r="Q326" s="10" t="b">
        <f>_xlfn.XLOOKUP(CONTROL[[#This Row],[VEHIDCODE]],PROPERTIES[VEHIDCODE],PROPERTIES[EXCLUDE])</f>
        <v>0</v>
      </c>
    </row>
    <row r="327" spans="1:17">
      <c r="A327" s="2" t="s">
        <v>347</v>
      </c>
      <c r="B327" s="30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43" t="s">
        <v>1268</v>
      </c>
      <c r="G327" t="s">
        <v>2569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Row],[VEHIDCODE]],roster!A:A,roster!C:C))</f>
        <v>1</v>
      </c>
      <c r="N327" t="b">
        <f>ISNUMBER(_xlfn.XMATCH(CONTROL[[#This Row],[VEHIDCODE]],GRAPHICS_PROPERTIES[VEHIDCODE],0))</f>
        <v>1</v>
      </c>
      <c r="O327" s="30" t="str">
        <f>"item_"&amp;CONTROL[[#This Row],[VEHIDCODE]]</f>
        <v>item_mtro_Singapore_Singapore_C830_Metropolis</v>
      </c>
      <c r="P327" s="30" t="str">
        <f>"str_"&amp;CONTROL[[#This Row],[VEHIDCODE]]</f>
        <v>str_mtro_Singapore_Singapore_C830_Metropolis</v>
      </c>
      <c r="Q327" s="10" t="b">
        <f>_xlfn.XLOOKUP(CONTROL[[#This Row],[VEHIDCODE]],PROPERTIES[VEHIDCODE],PROPERTIES[EXCLUDE])</f>
        <v>0</v>
      </c>
    </row>
    <row r="328" spans="1:17">
      <c r="A328" s="2" t="s">
        <v>348</v>
      </c>
      <c r="B328" s="30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43" t="s">
        <v>1269</v>
      </c>
      <c r="G328" t="s">
        <v>2570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Row],[VEHIDCODE]],roster!A:A,roster!C:C))</f>
        <v>1</v>
      </c>
      <c r="N328" t="b">
        <f>ISNUMBER(_xlfn.XMATCH(CONTROL[[#This Row],[VEHIDCODE]],GRAPHICS_PROPERTIES[VEHIDCODE],0))</f>
        <v>1</v>
      </c>
      <c r="O328" s="30" t="str">
        <f>"item_"&amp;CONTROL[[#This Row],[VEHIDCODE]]</f>
        <v>item_mtro_Norway_Oslo_MX3000</v>
      </c>
      <c r="P328" s="30" t="str">
        <f>"str_"&amp;CONTROL[[#This Row],[VEHIDCODE]]</f>
        <v>str_mtro_Norway_Oslo_MX3000</v>
      </c>
      <c r="Q328" s="10" t="b">
        <f>_xlfn.XLOOKUP(CONTROL[[#This Row],[VEHIDCODE]],PROPERTIES[VEHIDCODE],PROPERTIES[EXCLUDE])</f>
        <v>0</v>
      </c>
    </row>
    <row r="329" spans="1:17">
      <c r="A329" s="2" t="s">
        <v>349</v>
      </c>
      <c r="B329" s="30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43" t="s">
        <v>1270</v>
      </c>
      <c r="G329" t="s">
        <v>2571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Row],[VEHIDCODE]],roster!A:A,roster!C:C))</f>
        <v>1</v>
      </c>
      <c r="N329" t="b">
        <f>ISNUMBER(_xlfn.XMATCH(CONTROL[[#This Row],[VEHIDCODE]],GRAPHICS_PROPERTIES[VEHIDCODE],0))</f>
        <v>1</v>
      </c>
      <c r="O329" s="30" t="str">
        <f>"item_"&amp;CONTROL[[#This Row],[VEHIDCODE]]</f>
        <v>item_mtro_Japan_Osaka_30000</v>
      </c>
      <c r="P329" s="30" t="str">
        <f>"str_"&amp;CONTROL[[#This Row],[VEHIDCODE]]</f>
        <v>str_mtro_Japan_Osaka_30000</v>
      </c>
      <c r="Q329" s="10" t="b">
        <f>_xlfn.XLOOKUP(CONTROL[[#This Row],[VEHIDCODE]],PROPERTIES[VEHIDCODE],PROPERTIES[EXCLUDE])</f>
        <v>0</v>
      </c>
    </row>
    <row r="330" spans="1:17">
      <c r="A330" s="2" t="s">
        <v>350</v>
      </c>
      <c r="B330" s="30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43" t="s">
        <v>1271</v>
      </c>
      <c r="G330" t="s">
        <v>2572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Row],[VEHIDCODE]],roster!A:A,roster!C:C))</f>
        <v>1</v>
      </c>
      <c r="N330" t="b">
        <f>ISNUMBER(_xlfn.XMATCH(CONTROL[[#This Row],[VEHIDCODE]],GRAPHICS_PROPERTIES[VEHIDCODE],0))</f>
        <v>1</v>
      </c>
      <c r="O330" s="30" t="str">
        <f>"item_"&amp;CONTROL[[#This Row],[VEHIDCODE]]</f>
        <v>item_mtro_Singapore_Singapore_C151A</v>
      </c>
      <c r="P330" s="30" t="str">
        <f>"str_"&amp;CONTROL[[#This Row],[VEHIDCODE]]</f>
        <v>str_mtro_Singapore_Singapore_C151A</v>
      </c>
      <c r="Q330" s="10" t="b">
        <f>_xlfn.XLOOKUP(CONTROL[[#This Row],[VEHIDCODE]],PROPERTIES[VEHIDCODE],PROPERTIES[EXCLUDE])</f>
        <v>0</v>
      </c>
    </row>
    <row r="331" spans="1:17">
      <c r="A331" s="2" t="s">
        <v>351</v>
      </c>
      <c r="B331" s="30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43" t="s">
        <v>1272</v>
      </c>
      <c r="G331" t="s">
        <v>2573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Row],[VEHIDCODE]],roster!A:A,roster!C:C))</f>
        <v>1</v>
      </c>
      <c r="N331" t="b">
        <f>ISNUMBER(_xlfn.XMATCH(CONTROL[[#This Row],[VEHIDCODE]],GRAPHICS_PROPERTIES[VEHIDCODE],0))</f>
        <v>1</v>
      </c>
      <c r="O331" s="30" t="str">
        <f>"item_"&amp;CONTROL[[#This Row],[VEHIDCODE]]</f>
        <v>item_mtro_USA_Washington_7000</v>
      </c>
      <c r="P331" s="30" t="str">
        <f>"str_"&amp;CONTROL[[#This Row],[VEHIDCODE]]</f>
        <v>str_mtro_USA_Washington_7000</v>
      </c>
      <c r="Q331" s="10" t="b">
        <f>_xlfn.XLOOKUP(CONTROL[[#This Row],[VEHIDCODE]],PROPERTIES[VEHIDCODE],PROPERTIES[EXCLUDE])</f>
        <v>0</v>
      </c>
    </row>
    <row r="332" spans="1:17">
      <c r="A332" s="2" t="s">
        <v>352</v>
      </c>
      <c r="B332" s="30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43" t="s">
        <v>1273</v>
      </c>
      <c r="G332" t="s">
        <v>2574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Row],[VEHIDCODE]],roster!A:A,roster!C:C))</f>
        <v>1</v>
      </c>
      <c r="N332" t="b">
        <f>ISNUMBER(_xlfn.XMATCH(CONTROL[[#This Row],[VEHIDCODE]],GRAPHICS_PROPERTIES[VEHIDCODE],0))</f>
        <v>1</v>
      </c>
      <c r="O332" s="30" t="str">
        <f>"item_"&amp;CONTROL[[#This Row],[VEHIDCODE]]</f>
        <v>item_mtro_Greece_Thessaloniki_2014</v>
      </c>
      <c r="P332" s="30" t="str">
        <f>"str_"&amp;CONTROL[[#This Row],[VEHIDCODE]]</f>
        <v>str_mtro_Greece_Thessaloniki_2014</v>
      </c>
      <c r="Q332" s="10" t="b">
        <f>_xlfn.XLOOKUP(CONTROL[[#This Row],[VEHIDCODE]],PROPERTIES[VEHIDCODE],PROPERTIES[EXCLUDE])</f>
        <v>0</v>
      </c>
    </row>
    <row r="333" spans="1:17">
      <c r="A333" s="2" t="s">
        <v>353</v>
      </c>
      <c r="B333" s="30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43" t="s">
        <v>1274</v>
      </c>
      <c r="G333" t="s">
        <v>2575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Row],[VEHIDCODE]],roster!A:A,roster!C:C))</f>
        <v>1</v>
      </c>
      <c r="N333" t="b">
        <f>ISNUMBER(_xlfn.XMATCH(CONTROL[[#This Row],[VEHIDCODE]],GRAPHICS_PROPERTIES[VEHIDCODE],0))</f>
        <v>1</v>
      </c>
      <c r="O333" s="30" t="str">
        <f>"item_"&amp;CONTROL[[#This Row],[VEHIDCODE]]</f>
        <v>item_mtro_Germany_Berlin_U_Bahn_A_I</v>
      </c>
      <c r="P333" s="30" t="str">
        <f>"str_"&amp;CONTROL[[#This Row],[VEHIDCODE]]</f>
        <v>str_mtro_Germany_Berlin_U_Bahn_A_I</v>
      </c>
      <c r="Q333" s="10" t="b">
        <f>_xlfn.XLOOKUP(CONTROL[[#This Row],[VEHIDCODE]],PROPERTIES[VEHIDCODE],PROPERTIES[EXCLUDE])</f>
        <v>0</v>
      </c>
    </row>
    <row r="334" spans="1:17">
      <c r="A334" s="2" t="s">
        <v>354</v>
      </c>
      <c r="B334" s="30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43" t="s">
        <v>1275</v>
      </c>
      <c r="G334" t="s">
        <v>2576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Row],[VEHIDCODE]],roster!A:A,roster!C:C))</f>
        <v>1</v>
      </c>
      <c r="N334" t="b">
        <f>ISNUMBER(_xlfn.XMATCH(CONTROL[[#This Row],[VEHIDCODE]],GRAPHICS_PROPERTIES[VEHIDCODE],0))</f>
        <v>1</v>
      </c>
      <c r="O334" s="30" t="str">
        <f>"item_"&amp;CONTROL[[#This Row],[VEHIDCODE]]</f>
        <v>item_mtro_USA_NY_Hedley_Hi_V</v>
      </c>
      <c r="P334" s="30" t="str">
        <f>"str_"&amp;CONTROL[[#This Row],[VEHIDCODE]]</f>
        <v>str_mtro_USA_NY_Hedley_Hi_V</v>
      </c>
      <c r="Q334" s="10" t="b">
        <f>_xlfn.XLOOKUP(CONTROL[[#This Row],[VEHIDCODE]],PROPERTIES[VEHIDCODE],PROPERTIES[EXCLUDE])</f>
        <v>0</v>
      </c>
    </row>
    <row r="335" spans="1:17">
      <c r="A335" s="2" t="s">
        <v>355</v>
      </c>
      <c r="B335" s="30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43" t="s">
        <v>1276</v>
      </c>
      <c r="G335" t="s">
        <v>2577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Row],[VEHIDCODE]],roster!A:A,roster!C:C))</f>
        <v>1</v>
      </c>
      <c r="N335" t="b">
        <f>ISNUMBER(_xlfn.XMATCH(CONTROL[[#This Row],[VEHIDCODE]],GRAPHICS_PROPERTIES[VEHIDCODE],0))</f>
        <v>1</v>
      </c>
      <c r="O335" s="30" t="str">
        <f>"item_"&amp;CONTROL[[#This Row],[VEHIDCODE]]</f>
        <v>item_mtro_Japan_Osaka_1000</v>
      </c>
      <c r="P335" s="30" t="str">
        <f>"str_"&amp;CONTROL[[#This Row],[VEHIDCODE]]</f>
        <v>str_mtro_Japan_Osaka_1000</v>
      </c>
      <c r="Q335" s="10" t="b">
        <f>_xlfn.XLOOKUP(CONTROL[[#This Row],[VEHIDCODE]],PROPERTIES[VEHIDCODE],PROPERTIES[EXCLUDE])</f>
        <v>0</v>
      </c>
    </row>
    <row r="336" spans="1:17">
      <c r="A336" s="2" t="s">
        <v>356</v>
      </c>
      <c r="B336" s="30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43" t="s">
        <v>1277</v>
      </c>
      <c r="G336" t="s">
        <v>2578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Row],[VEHIDCODE]],roster!A:A,roster!C:C))</f>
        <v>1</v>
      </c>
      <c r="N336" t="b">
        <f>ISNUMBER(_xlfn.XMATCH(CONTROL[[#This Row],[VEHIDCODE]],GRAPHICS_PROPERTIES[VEHIDCODE],0))</f>
        <v>1</v>
      </c>
      <c r="O336" s="30" t="str">
        <f>"item_"&amp;CONTROL[[#This Row],[VEHIDCODE]]</f>
        <v>item_mtro_Russia_Moscow_Type_A</v>
      </c>
      <c r="P336" s="30" t="str">
        <f>"str_"&amp;CONTROL[[#This Row],[VEHIDCODE]]</f>
        <v>str_mtro_Russia_Moscow_Type_A</v>
      </c>
      <c r="Q336" s="10" t="b">
        <f>_xlfn.XLOOKUP(CONTROL[[#This Row],[VEHIDCODE]],PROPERTIES[VEHIDCODE],PROPERTIES[EXCLUDE])</f>
        <v>0</v>
      </c>
    </row>
    <row r="337" spans="1:17">
      <c r="A337" s="2" t="s">
        <v>357</v>
      </c>
      <c r="B337" s="30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43" t="s">
        <v>1278</v>
      </c>
      <c r="G337" t="s">
        <v>2579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Row],[VEHIDCODE]],roster!A:A,roster!C:C))</f>
        <v>1</v>
      </c>
      <c r="N337" t="b">
        <f>ISNUMBER(_xlfn.XMATCH(CONTROL[[#This Row],[VEHIDCODE]],GRAPHICS_PROPERTIES[VEHIDCODE],0))</f>
        <v>1</v>
      </c>
      <c r="O337" s="30" t="str">
        <f>"item_"&amp;CONTROL[[#This Row],[VEHIDCODE]]</f>
        <v>item_mtro_USA_NY_R10</v>
      </c>
      <c r="P337" s="30" t="str">
        <f>"str_"&amp;CONTROL[[#This Row],[VEHIDCODE]]</f>
        <v>str_mtro_USA_NY_R10</v>
      </c>
      <c r="Q337" s="10" t="b">
        <f>_xlfn.XLOOKUP(CONTROL[[#This Row],[VEHIDCODE]],PROPERTIES[VEHIDCODE],PROPERTIES[EXCLUDE])</f>
        <v>0</v>
      </c>
    </row>
    <row r="338" spans="1:17">
      <c r="A338" s="2" t="s">
        <v>358</v>
      </c>
      <c r="B338" s="30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43" t="s">
        <v>1279</v>
      </c>
      <c r="G338" t="s">
        <v>2580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Row],[VEHIDCODE]],roster!A:A,roster!C:C))</f>
        <v>1</v>
      </c>
      <c r="N338" t="b">
        <f>ISNUMBER(_xlfn.XMATCH(CONTROL[[#This Row],[VEHIDCODE]],GRAPHICS_PROPERTIES[VEHIDCODE],0))</f>
        <v>1</v>
      </c>
      <c r="O338" s="30" t="str">
        <f>"item_"&amp;CONTROL[[#This Row],[VEHIDCODE]]</f>
        <v>item_mtro_Italy_Rome_MR_100</v>
      </c>
      <c r="P338" s="30" t="str">
        <f>"str_"&amp;CONTROL[[#This Row],[VEHIDCODE]]</f>
        <v>str_mtro_Italy_Rome_MR_100</v>
      </c>
      <c r="Q338" s="10" t="b">
        <f>_xlfn.XLOOKUP(CONTROL[[#This Row],[VEHIDCODE]],PROPERTIES[VEHIDCODE],PROPERTIES[EXCLUDE])</f>
        <v>0</v>
      </c>
    </row>
    <row r="339" spans="1:17">
      <c r="A339" s="2" t="s">
        <v>359</v>
      </c>
      <c r="B339" s="30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43" t="s">
        <v>1280</v>
      </c>
      <c r="G339" t="s">
        <v>2581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Row],[VEHIDCODE]],roster!A:A,roster!C:C))</f>
        <v>1</v>
      </c>
      <c r="N339" t="b">
        <f>ISNUMBER(_xlfn.XMATCH(CONTROL[[#This Row],[VEHIDCODE]],GRAPHICS_PROPERTIES[VEHIDCODE],0))</f>
        <v>1</v>
      </c>
      <c r="O339" s="30" t="str">
        <f>"item_"&amp;CONTROL[[#This Row],[VEHIDCODE]]</f>
        <v>item_mtro_Russia_Moscow_Type_D</v>
      </c>
      <c r="P339" s="30" t="str">
        <f>"str_"&amp;CONTROL[[#This Row],[VEHIDCODE]]</f>
        <v>str_mtro_Russia_Moscow_Type_D</v>
      </c>
      <c r="Q339" s="10" t="b">
        <f>_xlfn.XLOOKUP(CONTROL[[#This Row],[VEHIDCODE]],PROPERTIES[VEHIDCODE],PROPERTIES[EXCLUDE])</f>
        <v>0</v>
      </c>
    </row>
    <row r="340" spans="1:17">
      <c r="A340" s="2" t="s">
        <v>360</v>
      </c>
      <c r="B340" s="30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43" t="s">
        <v>1281</v>
      </c>
      <c r="G340" t="s">
        <v>2582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Row],[VEHIDCODE]],roster!A:A,roster!C:C))</f>
        <v>1</v>
      </c>
      <c r="N340" t="b">
        <f>ISNUMBER(_xlfn.XMATCH(CONTROL[[#This Row],[VEHIDCODE]],GRAPHICS_PROPERTIES[VEHIDCODE],0))</f>
        <v>1</v>
      </c>
      <c r="O340" s="30" t="str">
        <f>"item_"&amp;CONTROL[[#This Row],[VEHIDCODE]]</f>
        <v>item_mtro_Netherlands_Rotterdam_MG2_Type_M</v>
      </c>
      <c r="P340" s="30" t="str">
        <f>"str_"&amp;CONTROL[[#This Row],[VEHIDCODE]]</f>
        <v>str_mtro_Netherlands_Rotterdam_MG2_Type_M</v>
      </c>
      <c r="Q340" s="10" t="b">
        <f>_xlfn.XLOOKUP(CONTROL[[#This Row],[VEHIDCODE]],PROPERTIES[VEHIDCODE],PROPERTIES[EXCLUDE])</f>
        <v>0</v>
      </c>
    </row>
    <row r="341" spans="1:17">
      <c r="A341" s="2" t="s">
        <v>361</v>
      </c>
      <c r="B341" s="30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43" t="s">
        <v>1282</v>
      </c>
      <c r="G341" t="s">
        <v>2583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Row],[VEHIDCODE]],roster!A:A,roster!C:C))</f>
        <v>1</v>
      </c>
      <c r="N341" t="b">
        <f>ISNUMBER(_xlfn.XMATCH(CONTROL[[#This Row],[VEHIDCODE]],GRAPHICS_PROPERTIES[VEHIDCODE],0))</f>
        <v>1</v>
      </c>
      <c r="O341" s="30" t="str">
        <f>"item_"&amp;CONTROL[[#This Row],[VEHIDCODE]]</f>
        <v>item_mtro_Czech_Republic_Prague_ECS_Set</v>
      </c>
      <c r="P341" s="30" t="str">
        <f>"str_"&amp;CONTROL[[#This Row],[VEHIDCODE]]</f>
        <v>str_mtro_Czech_Republic_Prague_ECS_Set</v>
      </c>
      <c r="Q341" s="10" t="b">
        <f>_xlfn.XLOOKUP(CONTROL[[#This Row],[VEHIDCODE]],PROPERTIES[VEHIDCODE],PROPERTIES[EXCLUDE])</f>
        <v>0</v>
      </c>
    </row>
    <row r="342" spans="1:17">
      <c r="A342" s="2" t="s">
        <v>362</v>
      </c>
      <c r="B342" s="30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43" t="s">
        <v>1283</v>
      </c>
      <c r="G342" t="s">
        <v>2584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Row],[VEHIDCODE]],roster!A:A,roster!C:C))</f>
        <v>1</v>
      </c>
      <c r="N342" t="b">
        <f>ISNUMBER(_xlfn.XMATCH(CONTROL[[#This Row],[VEHIDCODE]],GRAPHICS_PROPERTIES[VEHIDCODE],0))</f>
        <v>1</v>
      </c>
      <c r="O342" s="30" t="str">
        <f>"item_"&amp;CONTROL[[#This Row],[VEHIDCODE]]</f>
        <v>item_mtro_Argentina_Buenos_Aires_Serie_1200</v>
      </c>
      <c r="P342" s="30" t="str">
        <f>"str_"&amp;CONTROL[[#This Row],[VEHIDCODE]]</f>
        <v>str_mtro_Argentina_Buenos_Aires_Serie_1200</v>
      </c>
      <c r="Q342" s="10" t="b">
        <f>_xlfn.XLOOKUP(CONTROL[[#This Row],[VEHIDCODE]],PROPERTIES[VEHIDCODE],PROPERTIES[EXCLUDE])</f>
        <v>0</v>
      </c>
    </row>
    <row r="343" spans="1:17">
      <c r="A343" s="2" t="s">
        <v>363</v>
      </c>
      <c r="B343" s="30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43" t="s">
        <v>1284</v>
      </c>
      <c r="G343" t="s">
        <v>2585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Row],[VEHIDCODE]],roster!A:A,roster!C:C))</f>
        <v>1</v>
      </c>
      <c r="N343" t="b">
        <f>ISNUMBER(_xlfn.XMATCH(CONTROL[[#This Row],[VEHIDCODE]],GRAPHICS_PROPERTIES[VEHIDCODE],0))</f>
        <v>1</v>
      </c>
      <c r="O343" s="30" t="str">
        <f>"item_"&amp;CONTROL[[#This Row],[VEHIDCODE]]</f>
        <v>item_mtro_Chile_Santiago_NS_93</v>
      </c>
      <c r="P343" s="30" t="str">
        <f>"str_"&amp;CONTROL[[#This Row],[VEHIDCODE]]</f>
        <v>str_mtro_Chile_Santiago_NS_93</v>
      </c>
      <c r="Q343" s="10" t="b">
        <f>_xlfn.XLOOKUP(CONTROL[[#This Row],[VEHIDCODE]],PROPERTIES[VEHIDCODE],PROPERTIES[EXCLUDE])</f>
        <v>0</v>
      </c>
    </row>
    <row r="344" spans="1:17">
      <c r="A344" s="2" t="s">
        <v>364</v>
      </c>
      <c r="B344" s="30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43" t="s">
        <v>1285</v>
      </c>
      <c r="G344" t="s">
        <v>2586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Row],[VEHIDCODE]],roster!A:A,roster!C:C))</f>
        <v>1</v>
      </c>
      <c r="N344" t="b">
        <f>ISNUMBER(_xlfn.XMATCH(CONTROL[[#This Row],[VEHIDCODE]],GRAPHICS_PROPERTIES[VEHIDCODE],0))</f>
        <v>1</v>
      </c>
      <c r="O344" s="30" t="str">
        <f>"item_"&amp;CONTROL[[#This Row],[VEHIDCODE]]</f>
        <v>item_mtro_Chile_Santiago_AS_2002</v>
      </c>
      <c r="P344" s="30" t="str">
        <f>"str_"&amp;CONTROL[[#This Row],[VEHIDCODE]]</f>
        <v>str_mtro_Chile_Santiago_AS_2002</v>
      </c>
      <c r="Q344" s="10" t="b">
        <f>_xlfn.XLOOKUP(CONTROL[[#This Row],[VEHIDCODE]],PROPERTIES[VEHIDCODE],PROPERTIES[EXCLUDE])</f>
        <v>0</v>
      </c>
    </row>
    <row r="345" spans="1:17">
      <c r="A345" s="2" t="s">
        <v>365</v>
      </c>
      <c r="B345" s="30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43" t="s">
        <v>1286</v>
      </c>
      <c r="G345" t="s">
        <v>2587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Row],[VEHIDCODE]],roster!A:A,roster!C:C))</f>
        <v>1</v>
      </c>
      <c r="N345" t="b">
        <f>ISNUMBER(_xlfn.XMATCH(CONTROL[[#This Row],[VEHIDCODE]],GRAPHICS_PROPERTIES[VEHIDCODE],0))</f>
        <v>1</v>
      </c>
      <c r="O345" s="30" t="str">
        <f>"item_"&amp;CONTROL[[#This Row],[VEHIDCODE]]</f>
        <v>item_mtro_Brazil_Recife_VLT_Mobile_3</v>
      </c>
      <c r="P345" s="30" t="str">
        <f>"str_"&amp;CONTROL[[#This Row],[VEHIDCODE]]</f>
        <v>str_mtro_Brazil_Recife_VLT_Mobile_3</v>
      </c>
      <c r="Q345" s="10" t="b">
        <f>_xlfn.XLOOKUP(CONTROL[[#This Row],[VEHIDCODE]],PROPERTIES[VEHIDCODE],PROPERTIES[EXCLUDE])</f>
        <v>0</v>
      </c>
    </row>
    <row r="346" spans="1:17">
      <c r="A346" s="2" t="s">
        <v>366</v>
      </c>
      <c r="B346" s="30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43" t="s">
        <v>1287</v>
      </c>
      <c r="G346" t="s">
        <v>2588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Row],[VEHIDCODE]],roster!A:A,roster!C:C))</f>
        <v>1</v>
      </c>
      <c r="N346" t="b">
        <f>ISNUMBER(_xlfn.XMATCH(CONTROL[[#This Row],[VEHIDCODE]],GRAPHICS_PROPERTIES[VEHIDCODE],0))</f>
        <v>1</v>
      </c>
      <c r="O346" s="30" t="str">
        <f>"item_"&amp;CONTROL[[#This Row],[VEHIDCODE]]</f>
        <v>item_mtro_Spain_Madrid_Series_5000</v>
      </c>
      <c r="P346" s="30" t="str">
        <f>"str_"&amp;CONTROL[[#This Row],[VEHIDCODE]]</f>
        <v>str_mtro_Spain_Madrid_Series_5000</v>
      </c>
      <c r="Q346" s="10" t="b">
        <f>_xlfn.XLOOKUP(CONTROL[[#This Row],[VEHIDCODE]],PROPERTIES[VEHIDCODE],PROPERTIES[EXCLUDE])</f>
        <v>0</v>
      </c>
    </row>
    <row r="347" spans="1:17">
      <c r="A347" s="2" t="s">
        <v>367</v>
      </c>
      <c r="B347" s="30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43" t="s">
        <v>1288</v>
      </c>
      <c r="G347" t="s">
        <v>2589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Row],[VEHIDCODE]],roster!A:A,roster!C:C))</f>
        <v>1</v>
      </c>
      <c r="N347" t="b">
        <f>ISNUMBER(_xlfn.XMATCH(CONTROL[[#This Row],[VEHIDCODE]],GRAPHICS_PROPERTIES[VEHIDCODE],0))</f>
        <v>1</v>
      </c>
      <c r="O347" s="30" t="str">
        <f>"item_"&amp;CONTROL[[#This Row],[VEHIDCODE]]</f>
        <v>item_mtro_Italy_Rome_S_300</v>
      </c>
      <c r="P347" s="30" t="str">
        <f>"str_"&amp;CONTROL[[#This Row],[VEHIDCODE]]</f>
        <v>str_mtro_Italy_Rome_S_300</v>
      </c>
      <c r="Q347" s="10" t="b">
        <f>_xlfn.XLOOKUP(CONTROL[[#This Row],[VEHIDCODE]],PROPERTIES[VEHIDCODE],PROPERTIES[EXCLUDE])</f>
        <v>0</v>
      </c>
    </row>
    <row r="348" spans="1:17">
      <c r="A348" s="2" t="s">
        <v>368</v>
      </c>
      <c r="B348" s="30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43" t="s">
        <v>1289</v>
      </c>
      <c r="G348" t="s">
        <v>2590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Row],[VEHIDCODE]],roster!A:A,roster!C:C))</f>
        <v>1</v>
      </c>
      <c r="N348" t="b">
        <f>ISNUMBER(_xlfn.XMATCH(CONTROL[[#This Row],[VEHIDCODE]],GRAPHICS_PROPERTIES[VEHIDCODE],0))</f>
        <v>1</v>
      </c>
      <c r="O348" s="30" t="str">
        <f>"item_"&amp;CONTROL[[#This Row],[VEHIDCODE]]</f>
        <v>item_mtro_Algeria_Algiers_CAF_2011_Stock</v>
      </c>
      <c r="P348" s="30" t="str">
        <f>"str_"&amp;CONTROL[[#This Row],[VEHIDCODE]]</f>
        <v>str_mtro_Algeria_Algiers_CAF_2011_Stock</v>
      </c>
      <c r="Q348" s="10" t="b">
        <f>_xlfn.XLOOKUP(CONTROL[[#This Row],[VEHIDCODE]],PROPERTIES[VEHIDCODE],PROPERTIES[EXCLUDE])</f>
        <v>0</v>
      </c>
    </row>
    <row r="349" spans="1:17">
      <c r="A349" s="2" t="s">
        <v>369</v>
      </c>
      <c r="B349" s="30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43" t="s">
        <v>1290</v>
      </c>
      <c r="G349" t="s">
        <v>2591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Row],[VEHIDCODE]],roster!A:A,roster!C:C))</f>
        <v>1</v>
      </c>
      <c r="N349" t="b">
        <f>ISNUMBER(_xlfn.XMATCH(CONTROL[[#This Row],[VEHIDCODE]],GRAPHICS_PROPERTIES[VEHIDCODE],0))</f>
        <v>1</v>
      </c>
      <c r="O349" s="30" t="str">
        <f>"item_"&amp;CONTROL[[#This Row],[VEHIDCODE]]</f>
        <v>item_mtro_Germany_Berlin_U_Bahn_IK</v>
      </c>
      <c r="P349" s="30" t="str">
        <f>"str_"&amp;CONTROL[[#This Row],[VEHIDCODE]]</f>
        <v>str_mtro_Germany_Berlin_U_Bahn_IK</v>
      </c>
      <c r="Q349" s="10" t="b">
        <f>_xlfn.XLOOKUP(CONTROL[[#This Row],[VEHIDCODE]],PROPERTIES[VEHIDCODE],PROPERTIES[EXCLUDE])</f>
        <v>0</v>
      </c>
    </row>
    <row r="350" spans="1:17">
      <c r="A350" s="2" t="s">
        <v>370</v>
      </c>
      <c r="B350" s="30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43" t="s">
        <v>1291</v>
      </c>
      <c r="G350" t="s">
        <v>2592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Row],[VEHIDCODE]],roster!A:A,roster!C:C))</f>
        <v>1</v>
      </c>
      <c r="N350" t="b">
        <f>ISNUMBER(_xlfn.XMATCH(CONTROL[[#This Row],[VEHIDCODE]],GRAPHICS_PROPERTIES[VEHIDCODE],0))</f>
        <v>1</v>
      </c>
      <c r="O350" s="30" t="str">
        <f>"item_"&amp;CONTROL[[#This Row],[VEHIDCODE]]</f>
        <v>item_mtro_USA_Chicago_L_6000</v>
      </c>
      <c r="P350" s="30" t="str">
        <f>"str_"&amp;CONTROL[[#This Row],[VEHIDCODE]]</f>
        <v>str_mtro_USA_Chicago_L_6000</v>
      </c>
      <c r="Q350" s="10" t="b">
        <f>_xlfn.XLOOKUP(CONTROL[[#This Row],[VEHIDCODE]],PROPERTIES[VEHIDCODE],PROPERTIES[EXCLUDE])</f>
        <v>0</v>
      </c>
    </row>
    <row r="351" spans="1:17">
      <c r="A351" s="2" t="s">
        <v>371</v>
      </c>
      <c r="B351" s="30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43" t="s">
        <v>1292</v>
      </c>
      <c r="G351" t="s">
        <v>2593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Row],[VEHIDCODE]],roster!A:A,roster!C:C))</f>
        <v>1</v>
      </c>
      <c r="N351" t="b">
        <f>ISNUMBER(_xlfn.XMATCH(CONTROL[[#This Row],[VEHIDCODE]],GRAPHICS_PROPERTIES[VEHIDCODE],0))</f>
        <v>1</v>
      </c>
      <c r="O351" s="30" t="str">
        <f>"item_"&amp;CONTROL[[#This Row],[VEHIDCODE]]</f>
        <v>item_mtro_UK_London_1903_Stock</v>
      </c>
      <c r="P351" s="30" t="str">
        <f>"str_"&amp;CONTROL[[#This Row],[VEHIDCODE]]</f>
        <v>str_mtro_UK_London_1903_Stock</v>
      </c>
      <c r="Q351" s="10" t="b">
        <f>_xlfn.XLOOKUP(CONTROL[[#This Row],[VEHIDCODE]],PROPERTIES[VEHIDCODE],PROPERTIES[EXCLUDE])</f>
        <v>0</v>
      </c>
    </row>
    <row r="352" spans="1:17">
      <c r="A352" s="2" t="s">
        <v>372</v>
      </c>
      <c r="B352" s="30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43" t="s">
        <v>1293</v>
      </c>
      <c r="G352" t="s">
        <v>2594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Row],[VEHIDCODE]],roster!A:A,roster!C:C))</f>
        <v>1</v>
      </c>
      <c r="N352" t="b">
        <f>ISNUMBER(_xlfn.XMATCH(CONTROL[[#This Row],[VEHIDCODE]],GRAPHICS_PROPERTIES[VEHIDCODE],0))</f>
        <v>1</v>
      </c>
      <c r="O352" s="30" t="str">
        <f>"item_"&amp;CONTROL[[#This Row],[VEHIDCODE]]</f>
        <v>item_mtro_UK_London_1938_Stock</v>
      </c>
      <c r="P352" s="30" t="str">
        <f>"str_"&amp;CONTROL[[#This Row],[VEHIDCODE]]</f>
        <v>str_mtro_UK_London_1938_Stock</v>
      </c>
      <c r="Q352" s="10" t="b">
        <f>_xlfn.XLOOKUP(CONTROL[[#This Row],[VEHIDCODE]],PROPERTIES[VEHIDCODE],PROPERTIES[EXCLUDE])</f>
        <v>0</v>
      </c>
    </row>
    <row r="353" spans="1:17">
      <c r="A353" s="2" t="s">
        <v>373</v>
      </c>
      <c r="B353" s="30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43" t="s">
        <v>1294</v>
      </c>
      <c r="G353" t="s">
        <v>2595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Row],[VEHIDCODE]],roster!A:A,roster!C:C))</f>
        <v>1</v>
      </c>
      <c r="N353" t="b">
        <f>ISNUMBER(_xlfn.XMATCH(CONTROL[[#This Row],[VEHIDCODE]],GRAPHICS_PROPERTIES[VEHIDCODE],0))</f>
        <v>1</v>
      </c>
      <c r="O353" s="30" t="str">
        <f>"item_"&amp;CONTROL[[#This Row],[VEHIDCODE]]</f>
        <v>item_electric_UK_NER_EF1</v>
      </c>
      <c r="P353" s="30" t="str">
        <f>"str_"&amp;CONTROL[[#This Row],[VEHIDCODE]]</f>
        <v>str_electric_UK_NER_EF1</v>
      </c>
      <c r="Q353" s="10" t="b">
        <f>_xlfn.XLOOKUP(CONTROL[[#This Row],[VEHIDCODE]],PROPERTIES[VEHIDCODE],PROPERTIES[EXCLUDE])</f>
        <v>0</v>
      </c>
    </row>
    <row r="354" spans="1:17">
      <c r="A354" s="2" t="s">
        <v>374</v>
      </c>
      <c r="B354" s="30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43" t="s">
        <v>1295</v>
      </c>
      <c r="G354" t="s">
        <v>2596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Row],[VEHIDCODE]],roster!A:A,roster!C:C))</f>
        <v>1</v>
      </c>
      <c r="N354" t="b">
        <f>ISNUMBER(_xlfn.XMATCH(CONTROL[[#This Row],[VEHIDCODE]],GRAPHICS_PROPERTIES[VEHIDCODE],0))</f>
        <v>1</v>
      </c>
      <c r="O354" s="30" t="str">
        <f>"item_"&amp;CONTROL[[#This Row],[VEHIDCODE]]</f>
        <v>item_electric_Japan_JNR_EB10</v>
      </c>
      <c r="P354" s="30" t="str">
        <f>"str_"&amp;CONTROL[[#This Row],[VEHIDCODE]]</f>
        <v>str_electric_Japan_JNR_EB10</v>
      </c>
      <c r="Q354" s="10" t="b">
        <f>_xlfn.XLOOKUP(CONTROL[[#This Row],[VEHIDCODE]],PROPERTIES[VEHIDCODE],PROPERTIES[EXCLUDE])</f>
        <v>0</v>
      </c>
    </row>
    <row r="355" spans="1:17">
      <c r="A355" s="2" t="s">
        <v>375</v>
      </c>
      <c r="B355" s="30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43" t="s">
        <v>1296</v>
      </c>
      <c r="G355" t="s">
        <v>2597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Row],[VEHIDCODE]],roster!A:A,roster!C:C))</f>
        <v>1</v>
      </c>
      <c r="N355" t="b">
        <f>ISNUMBER(_xlfn.XMATCH(CONTROL[[#This Row],[VEHIDCODE]],GRAPHICS_PROPERTIES[VEHIDCODE],0))</f>
        <v>1</v>
      </c>
      <c r="O355" s="30" t="str">
        <f>"item_"&amp;CONTROL[[#This Row],[VEHIDCODE]]</f>
        <v>item_electric_Japan_JNR_EF55</v>
      </c>
      <c r="P355" s="30" t="str">
        <f>"str_"&amp;CONTROL[[#This Row],[VEHIDCODE]]</f>
        <v>str_electric_Japan_JNR_EF55</v>
      </c>
      <c r="Q355" s="10" t="b">
        <f>_xlfn.XLOOKUP(CONTROL[[#This Row],[VEHIDCODE]],PROPERTIES[VEHIDCODE],PROPERTIES[EXCLUDE])</f>
        <v>0</v>
      </c>
    </row>
    <row r="356" spans="1:17">
      <c r="A356" s="2" t="s">
        <v>376</v>
      </c>
      <c r="B356" s="30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43" t="s">
        <v>1297</v>
      </c>
      <c r="G356" t="s">
        <v>2598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Row],[VEHIDCODE]],roster!A:A,roster!C:C))</f>
        <v>1</v>
      </c>
      <c r="N356" t="b">
        <f>ISNUMBER(_xlfn.XMATCH(CONTROL[[#This Row],[VEHIDCODE]],GRAPHICS_PROPERTIES[VEHIDCODE],0))</f>
        <v>1</v>
      </c>
      <c r="O356" s="30" t="str">
        <f>"item_"&amp;CONTROL[[#This Row],[VEHIDCODE]]</f>
        <v>item_electric_Netherlands_NS_1000</v>
      </c>
      <c r="P356" s="30" t="str">
        <f>"str_"&amp;CONTROL[[#This Row],[VEHIDCODE]]</f>
        <v>str_electric_Netherlands_NS_1000</v>
      </c>
      <c r="Q356" s="10" t="b">
        <f>_xlfn.XLOOKUP(CONTROL[[#This Row],[VEHIDCODE]],PROPERTIES[VEHIDCODE],PROPERTIES[EXCLUDE])</f>
        <v>0</v>
      </c>
    </row>
    <row r="357" spans="1:17">
      <c r="A357" s="2" t="s">
        <v>377</v>
      </c>
      <c r="B357" s="30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43" t="s">
        <v>1298</v>
      </c>
      <c r="G357" t="s">
        <v>2599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Row],[VEHIDCODE]],roster!A:A,roster!C:C))</f>
        <v>1</v>
      </c>
      <c r="N357" t="b">
        <f>ISNUMBER(_xlfn.XMATCH(CONTROL[[#This Row],[VEHIDCODE]],GRAPHICS_PROPERTIES[VEHIDCODE],0))</f>
        <v>1</v>
      </c>
      <c r="O357" s="30" t="str">
        <f>"item_"&amp;CONTROL[[#This Row],[VEHIDCODE]]</f>
        <v>item_electric_Netherlands_NS_1600</v>
      </c>
      <c r="P357" s="30" t="str">
        <f>"str_"&amp;CONTROL[[#This Row],[VEHIDCODE]]</f>
        <v>str_electric_Netherlands_NS_1600</v>
      </c>
      <c r="Q357" s="10" t="b">
        <f>_xlfn.XLOOKUP(CONTROL[[#This Row],[VEHIDCODE]],PROPERTIES[VEHIDCODE],PROPERTIES[EXCLUDE])</f>
        <v>0</v>
      </c>
    </row>
    <row r="358" spans="1:17">
      <c r="A358" s="2" t="s">
        <v>378</v>
      </c>
      <c r="B358" s="30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43" t="s">
        <v>1299</v>
      </c>
      <c r="G358" t="s">
        <v>2600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Row],[VEHIDCODE]],roster!A:A,roster!C:C))</f>
        <v>1</v>
      </c>
      <c r="N358" t="b">
        <f>ISNUMBER(_xlfn.XMATCH(CONTROL[[#This Row],[VEHIDCODE]],GRAPHICS_PROPERTIES[VEHIDCODE],0))</f>
        <v>1</v>
      </c>
      <c r="O358" s="30" t="str">
        <f>"item_"&amp;CONTROL[[#This Row],[VEHIDCODE]]</f>
        <v>item_electric_Australia_Victorian_Railways_E_Class</v>
      </c>
      <c r="P358" s="30" t="str">
        <f>"str_"&amp;CONTROL[[#This Row],[VEHIDCODE]]</f>
        <v>str_electric_Australia_Victorian_Railways_E_Class</v>
      </c>
      <c r="Q358" s="10" t="b">
        <f>_xlfn.XLOOKUP(CONTROL[[#This Row],[VEHIDCODE]],PROPERTIES[VEHIDCODE],PROPERTIES[EXCLUDE])</f>
        <v>0</v>
      </c>
    </row>
    <row r="359" spans="1:17">
      <c r="A359" s="2" t="s">
        <v>379</v>
      </c>
      <c r="B359" s="30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43" t="s">
        <v>1300</v>
      </c>
      <c r="G359" t="s">
        <v>2601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Row],[VEHIDCODE]],roster!A:A,roster!C:C))</f>
        <v>1</v>
      </c>
      <c r="N359" t="b">
        <f>ISNUMBER(_xlfn.XMATCH(CONTROL[[#This Row],[VEHIDCODE]],GRAPHICS_PROPERTIES[VEHIDCODE],0))</f>
        <v>1</v>
      </c>
      <c r="O359" s="30" t="str">
        <f>"item_"&amp;CONTROL[[#This Row],[VEHIDCODE]]</f>
        <v>item_electric_UK_NER_ES1</v>
      </c>
      <c r="P359" s="30" t="str">
        <f>"str_"&amp;CONTROL[[#This Row],[VEHIDCODE]]</f>
        <v>str_electric_UK_NER_ES1</v>
      </c>
      <c r="Q359" s="10" t="b">
        <f>_xlfn.XLOOKUP(CONTROL[[#This Row],[VEHIDCODE]],PROPERTIES[VEHIDCODE],PROPERTIES[EXCLUDE])</f>
        <v>0</v>
      </c>
    </row>
    <row r="360" spans="1:17">
      <c r="A360" s="2" t="s">
        <v>380</v>
      </c>
      <c r="B360" s="30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43" t="s">
        <v>2603</v>
      </c>
      <c r="G360" t="s">
        <v>2602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Row],[VEHIDCODE]],roster!A:A,roster!C:C))</f>
        <v>1</v>
      </c>
      <c r="N360" t="b">
        <f>ISNUMBER(_xlfn.XMATCH(CONTROL[[#This Row],[VEHIDCODE]],GRAPHICS_PROPERTIES[VEHIDCODE],0))</f>
        <v>1</v>
      </c>
      <c r="O360" s="30" t="str">
        <f>"item_"&amp;CONTROL[[#This Row],[VEHIDCODE]]</f>
        <v>item_electric_USA_NYC_S_motor</v>
      </c>
      <c r="P360" s="30" t="str">
        <f>"str_"&amp;CONTROL[[#This Row],[VEHIDCODE]]</f>
        <v>str_electric_USA_NYC_S_motor</v>
      </c>
      <c r="Q360" s="10" t="b">
        <f>_xlfn.XLOOKUP(CONTROL[[#This Row],[VEHIDCODE]],PROPERTIES[VEHIDCODE],PROPERTIES[EXCLUDE])</f>
        <v>0</v>
      </c>
    </row>
    <row r="361" spans="1:17">
      <c r="A361" s="2" t="s">
        <v>381</v>
      </c>
      <c r="B361" s="30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43" t="s">
        <v>1301</v>
      </c>
      <c r="G361" t="s">
        <v>2604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Row],[VEHIDCODE]],roster!A:A,roster!C:C))</f>
        <v>1</v>
      </c>
      <c r="N361" t="b">
        <f>ISNUMBER(_xlfn.XMATCH(CONTROL[[#This Row],[VEHIDCODE]],GRAPHICS_PROPERTIES[VEHIDCODE],0))</f>
        <v>1</v>
      </c>
      <c r="O361" s="30" t="str">
        <f>"item_"&amp;CONTROL[[#This Row],[VEHIDCODE]]</f>
        <v>item_electric_Japan_Aichi_Railroad_DeKi_400</v>
      </c>
      <c r="P361" s="30" t="str">
        <f>"str_"&amp;CONTROL[[#This Row],[VEHIDCODE]]</f>
        <v>str_electric_Japan_Aichi_Railroad_DeKi_400</v>
      </c>
      <c r="Q361" s="10" t="b">
        <f>_xlfn.XLOOKUP(CONTROL[[#This Row],[VEHIDCODE]],PROPERTIES[VEHIDCODE],PROPERTIES[EXCLUDE])</f>
        <v>0</v>
      </c>
    </row>
    <row r="362" spans="1:17">
      <c r="A362" s="2" t="s">
        <v>382</v>
      </c>
      <c r="B362" s="30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43" t="s">
        <v>1302</v>
      </c>
      <c r="G362" t="s">
        <v>2605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Row],[VEHIDCODE]],roster!A:A,roster!C:C))</f>
        <v>1</v>
      </c>
      <c r="N362" t="b">
        <f>ISNUMBER(_xlfn.XMATCH(CONTROL[[#This Row],[VEHIDCODE]],GRAPHICS_PROPERTIES[VEHIDCODE],0))</f>
        <v>1</v>
      </c>
      <c r="O362" s="30" t="str">
        <f>"item_"&amp;CONTROL[[#This Row],[VEHIDCODE]]</f>
        <v>item_electric_India_Indian_Railways_WCG_1</v>
      </c>
      <c r="P362" s="30" t="str">
        <f>"str_"&amp;CONTROL[[#This Row],[VEHIDCODE]]</f>
        <v>str_electric_India_Indian_Railways_WCG_1</v>
      </c>
      <c r="Q362" s="10" t="b">
        <f>_xlfn.XLOOKUP(CONTROL[[#This Row],[VEHIDCODE]],PROPERTIES[VEHIDCODE],PROPERTIES[EXCLUDE])</f>
        <v>0</v>
      </c>
    </row>
    <row r="363" spans="1:17">
      <c r="A363" s="2" t="s">
        <v>383</v>
      </c>
      <c r="B363" s="30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43" t="s">
        <v>1303</v>
      </c>
      <c r="G363" t="s">
        <v>2606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Row],[VEHIDCODE]],roster!A:A,roster!C:C))</f>
        <v>1</v>
      </c>
      <c r="N363" t="b">
        <f>ISNUMBER(_xlfn.XMATCH(CONTROL[[#This Row],[VEHIDCODE]],GRAPHICS_PROPERTIES[VEHIDCODE],0))</f>
        <v>1</v>
      </c>
      <c r="O363" s="30" t="str">
        <f>"item_"&amp;CONTROL[[#This Row],[VEHIDCODE]]</f>
        <v>item_electric_France_SNCF_BB_9004</v>
      </c>
      <c r="P363" s="30" t="str">
        <f>"str_"&amp;CONTROL[[#This Row],[VEHIDCODE]]</f>
        <v>str_electric_France_SNCF_BB_9004</v>
      </c>
      <c r="Q363" s="10" t="b">
        <f>_xlfn.XLOOKUP(CONTROL[[#This Row],[VEHIDCODE]],PROPERTIES[VEHIDCODE],PROPERTIES[EXCLUDE])</f>
        <v>0</v>
      </c>
    </row>
    <row r="364" spans="1:17">
      <c r="A364" s="2" t="s">
        <v>384</v>
      </c>
      <c r="B364" s="30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43" t="s">
        <v>1304</v>
      </c>
      <c r="G364" t="s">
        <v>2607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Row],[VEHIDCODE]],roster!A:A,roster!C:C))</f>
        <v>1</v>
      </c>
      <c r="N364" t="b">
        <f>ISNUMBER(_xlfn.XMATCH(CONTROL[[#This Row],[VEHIDCODE]],GRAPHICS_PROPERTIES[VEHIDCODE],0))</f>
        <v>1</v>
      </c>
      <c r="O364" s="30" t="str">
        <f>"item_"&amp;CONTROL[[#This Row],[VEHIDCODE]]</f>
        <v>item_electric_Indonesia_ESS_3200</v>
      </c>
      <c r="P364" s="30" t="str">
        <f>"str_"&amp;CONTROL[[#This Row],[VEHIDCODE]]</f>
        <v>str_electric_Indonesia_ESS_3200</v>
      </c>
      <c r="Q364" s="10" t="b">
        <f>_xlfn.XLOOKUP(CONTROL[[#This Row],[VEHIDCODE]],PROPERTIES[VEHIDCODE],PROPERTIES[EXCLUDE])</f>
        <v>0</v>
      </c>
    </row>
    <row r="365" spans="1:17">
      <c r="A365" s="2" t="s">
        <v>385</v>
      </c>
      <c r="B365" s="30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43" t="s">
        <v>1305</v>
      </c>
      <c r="G365" t="s">
        <v>2608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Row],[VEHIDCODE]],roster!A:A,roster!C:C))</f>
        <v>1</v>
      </c>
      <c r="N365" t="b">
        <f>ISNUMBER(_xlfn.XMATCH(CONTROL[[#This Row],[VEHIDCODE]],GRAPHICS_PROPERTIES[VEHIDCODE],0))</f>
        <v>1</v>
      </c>
      <c r="O365" s="30" t="str">
        <f>"item_"&amp;CONTROL[[#This Row],[VEHIDCODE]]</f>
        <v>item_electric_UK_BR_77_Metrovic</v>
      </c>
      <c r="P365" s="30" t="str">
        <f>"str_"&amp;CONTROL[[#This Row],[VEHIDCODE]]</f>
        <v>str_electric_UK_BR_77_Metrovic</v>
      </c>
      <c r="Q365" s="10" t="b">
        <f>_xlfn.XLOOKUP(CONTROL[[#This Row],[VEHIDCODE]],PROPERTIES[VEHIDCODE],PROPERTIES[EXCLUDE])</f>
        <v>0</v>
      </c>
    </row>
    <row r="366" spans="1:17">
      <c r="A366" s="2" t="s">
        <v>386</v>
      </c>
      <c r="B366" s="30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43" t="s">
        <v>1306</v>
      </c>
      <c r="G366" t="s">
        <v>2609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Row],[VEHIDCODE]],roster!A:A,roster!C:C))</f>
        <v>1</v>
      </c>
      <c r="N366" t="b">
        <f>ISNUMBER(_xlfn.XMATCH(CONTROL[[#This Row],[VEHIDCODE]],GRAPHICS_PROPERTIES[VEHIDCODE],0))</f>
        <v>1</v>
      </c>
      <c r="O366" s="30" t="str">
        <f>"item_"&amp;CONTROL[[#This Row],[VEHIDCODE]]</f>
        <v>item_electric_UK_NER_EE1</v>
      </c>
      <c r="P366" s="30" t="str">
        <f>"str_"&amp;CONTROL[[#This Row],[VEHIDCODE]]</f>
        <v>str_electric_UK_NER_EE1</v>
      </c>
      <c r="Q366" s="10" t="b">
        <f>_xlfn.XLOOKUP(CONTROL[[#This Row],[VEHIDCODE]],PROPERTIES[VEHIDCODE],PROPERTIES[EXCLUDE])</f>
        <v>0</v>
      </c>
    </row>
    <row r="367" spans="1:17">
      <c r="A367" s="2" t="s">
        <v>387</v>
      </c>
      <c r="B367" s="30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43" t="s">
        <v>1307</v>
      </c>
      <c r="G367" t="s">
        <v>2610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Row],[VEHIDCODE]],roster!A:A,roster!C:C))</f>
        <v>1</v>
      </c>
      <c r="N367" t="b">
        <f>ISNUMBER(_xlfn.XMATCH(CONTROL[[#This Row],[VEHIDCODE]],GRAPHICS_PROPERTIES[VEHIDCODE],0))</f>
        <v>1</v>
      </c>
      <c r="O367" s="30" t="str">
        <f>"item_"&amp;CONTROL[[#This Row],[VEHIDCODE]]</f>
        <v>item_electric_USA_Milwaukee_Road_ES_2</v>
      </c>
      <c r="P367" s="30" t="str">
        <f>"str_"&amp;CONTROL[[#This Row],[VEHIDCODE]]</f>
        <v>str_electric_USA_Milwaukee_Road_ES_2</v>
      </c>
      <c r="Q367" s="10" t="b">
        <f>_xlfn.XLOOKUP(CONTROL[[#This Row],[VEHIDCODE]],PROPERTIES[VEHIDCODE],PROPERTIES[EXCLUDE])</f>
        <v>0</v>
      </c>
    </row>
    <row r="368" spans="1:17">
      <c r="A368" s="2" t="s">
        <v>388</v>
      </c>
      <c r="B368" s="30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43" t="s">
        <v>1308</v>
      </c>
      <c r="G368" t="s">
        <v>2611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Row],[VEHIDCODE]],roster!A:A,roster!C:C))</f>
        <v>1</v>
      </c>
      <c r="N368" t="b">
        <f>ISNUMBER(_xlfn.XMATCH(CONTROL[[#This Row],[VEHIDCODE]],GRAPHICS_PROPERTIES[VEHIDCODE],0))</f>
        <v>1</v>
      </c>
      <c r="O368" s="30" t="str">
        <f>"item_"&amp;CONTROL[[#This Row],[VEHIDCODE]]</f>
        <v>item_electric_USA_Milwaukee_Road_EP_2_Bipolar</v>
      </c>
      <c r="P368" s="30" t="str">
        <f>"str_"&amp;CONTROL[[#This Row],[VEHIDCODE]]</f>
        <v>str_electric_USA_Milwaukee_Road_EP_2_Bipolar</v>
      </c>
      <c r="Q368" s="10" t="b">
        <f>_xlfn.XLOOKUP(CONTROL[[#This Row],[VEHIDCODE]],PROPERTIES[VEHIDCODE],PROPERTIES[EXCLUDE])</f>
        <v>0</v>
      </c>
    </row>
    <row r="369" spans="1:17">
      <c r="A369" s="2" t="s">
        <v>389</v>
      </c>
      <c r="B369" s="30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43" t="s">
        <v>1309</v>
      </c>
      <c r="G369" t="s">
        <v>1696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Row],[VEHIDCODE]],roster!A:A,roster!C:C))</f>
        <v>1</v>
      </c>
      <c r="N369" t="b">
        <f>ISNUMBER(_xlfn.XMATCH(CONTROL[[#This Row],[VEHIDCODE]],GRAPHICS_PROPERTIES[VEHIDCODE],0))</f>
        <v>1</v>
      </c>
      <c r="O369" s="30" t="str">
        <f>"item_"&amp;CONTROL[[#This Row],[VEHIDCODE]]</f>
        <v>item_electric_Chile_EFE_E_28</v>
      </c>
      <c r="P369" s="30" t="str">
        <f>"str_"&amp;CONTROL[[#This Row],[VEHIDCODE]]</f>
        <v>str_electric_Chile_EFE_E_28</v>
      </c>
      <c r="Q369" s="10" t="b">
        <f>_xlfn.XLOOKUP(CONTROL[[#This Row],[VEHIDCODE]],PROPERTIES[VEHIDCODE],PROPERTIES[EXCLUDE])</f>
        <v>0</v>
      </c>
    </row>
    <row r="370" spans="1:17">
      <c r="A370" s="2" t="s">
        <v>390</v>
      </c>
      <c r="B370" s="30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43" t="s">
        <v>1310</v>
      </c>
      <c r="G370" t="s">
        <v>2612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Row],[VEHIDCODE]],roster!A:A,roster!C:C))</f>
        <v>1</v>
      </c>
      <c r="N370" t="b">
        <f>ISNUMBER(_xlfn.XMATCH(CONTROL[[#This Row],[VEHIDCODE]],GRAPHICS_PROPERTIES[VEHIDCODE],0))</f>
        <v>1</v>
      </c>
      <c r="O370" s="30" t="str">
        <f>"item_"&amp;CONTROL[[#This Row],[VEHIDCODE]]</f>
        <v>item_electric_Italy_FS_E428</v>
      </c>
      <c r="P370" s="30" t="str">
        <f>"str_"&amp;CONTROL[[#This Row],[VEHIDCODE]]</f>
        <v>str_electric_Italy_FS_E428</v>
      </c>
      <c r="Q370" s="10" t="b">
        <f>_xlfn.XLOOKUP(CONTROL[[#This Row],[VEHIDCODE]],PROPERTIES[VEHIDCODE],PROPERTIES[EXCLUDE])</f>
        <v>0</v>
      </c>
    </row>
    <row r="371" spans="1:17">
      <c r="A371" s="2" t="s">
        <v>391</v>
      </c>
      <c r="B371" s="30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43" t="s">
        <v>1311</v>
      </c>
      <c r="G371" t="s">
        <v>2613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Row],[VEHIDCODE]],roster!A:A,roster!C:C))</f>
        <v>1</v>
      </c>
      <c r="N371" t="b">
        <f>ISNUMBER(_xlfn.XMATCH(CONTROL[[#This Row],[VEHIDCODE]],GRAPHICS_PROPERTIES[VEHIDCODE],0))</f>
        <v>1</v>
      </c>
      <c r="O371" s="30" t="str">
        <f>"item_"&amp;CONTROL[[#This Row],[VEHIDCODE]]</f>
        <v>item_electric_South_Africa_SAR_ES_Class</v>
      </c>
      <c r="P371" s="30" t="str">
        <f>"str_"&amp;CONTROL[[#This Row],[VEHIDCODE]]</f>
        <v>str_electric_South_Africa_SAR_ES_Class</v>
      </c>
      <c r="Q371" s="10" t="b">
        <f>_xlfn.XLOOKUP(CONTROL[[#This Row],[VEHIDCODE]],PROPERTIES[VEHIDCODE],PROPERTIES[EXCLUDE])</f>
        <v>0</v>
      </c>
    </row>
    <row r="372" spans="1:17">
      <c r="A372" s="2" t="s">
        <v>392</v>
      </c>
      <c r="B372" s="30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43" t="s">
        <v>1312</v>
      </c>
      <c r="G372" t="s">
        <v>2614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Row],[VEHIDCODE]],roster!A:A,roster!C:C))</f>
        <v>1</v>
      </c>
      <c r="N372" t="b">
        <f>ISNUMBER(_xlfn.XMATCH(CONTROL[[#This Row],[VEHIDCODE]],GRAPHICS_PROPERTIES[VEHIDCODE],0))</f>
        <v>1</v>
      </c>
      <c r="O372" s="30" t="str">
        <f>"item_"&amp;CONTROL[[#This Row],[VEHIDCODE]]</f>
        <v>item_electric_Poland_PKP_EU06</v>
      </c>
      <c r="P372" s="30" t="str">
        <f>"str_"&amp;CONTROL[[#This Row],[VEHIDCODE]]</f>
        <v>str_electric_Poland_PKP_EU06</v>
      </c>
      <c r="Q372" s="10" t="b">
        <f>_xlfn.XLOOKUP(CONTROL[[#This Row],[VEHIDCODE]],PROPERTIES[VEHIDCODE],PROPERTIES[EXCLUDE])</f>
        <v>0</v>
      </c>
    </row>
    <row r="373" spans="1:17">
      <c r="A373" s="2" t="s">
        <v>393</v>
      </c>
      <c r="B373" s="30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43" t="s">
        <v>1313</v>
      </c>
      <c r="G373" t="s">
        <v>2615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Row],[VEHIDCODE]],roster!A:A,roster!C:C))</f>
        <v>1</v>
      </c>
      <c r="N373" t="b">
        <f>ISNUMBER(_xlfn.XMATCH(CONTROL[[#This Row],[VEHIDCODE]],GRAPHICS_PROPERTIES[VEHIDCODE],0))</f>
        <v>1</v>
      </c>
      <c r="O373" s="30" t="str">
        <f>"item_"&amp;CONTROL[[#This Row],[VEHIDCODE]]</f>
        <v>item_electric_Poland_PKP_ET41</v>
      </c>
      <c r="P373" s="30" t="str">
        <f>"str_"&amp;CONTROL[[#This Row],[VEHIDCODE]]</f>
        <v>str_electric_Poland_PKP_ET41</v>
      </c>
      <c r="Q373" s="10" t="b">
        <f>_xlfn.XLOOKUP(CONTROL[[#This Row],[VEHIDCODE]],PROPERTIES[VEHIDCODE],PROPERTIES[EXCLUDE])</f>
        <v>0</v>
      </c>
    </row>
    <row r="374" spans="1:17">
      <c r="A374" s="2" t="s">
        <v>394</v>
      </c>
      <c r="B374" s="30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43" t="s">
        <v>1314</v>
      </c>
      <c r="G374" t="s">
        <v>2616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Row],[VEHIDCODE]],roster!A:A,roster!C:C))</f>
        <v>1</v>
      </c>
      <c r="N374" t="b">
        <f>ISNUMBER(_xlfn.XMATCH(CONTROL[[#This Row],[VEHIDCODE]],GRAPHICS_PROPERTIES[VEHIDCODE],0))</f>
        <v>1</v>
      </c>
      <c r="O374" s="30" t="str">
        <f>"item_"&amp;CONTROL[[#This Row],[VEHIDCODE]]</f>
        <v>item_electric_Poland_PKP_EP09</v>
      </c>
      <c r="P374" s="30" t="str">
        <f>"str_"&amp;CONTROL[[#This Row],[VEHIDCODE]]</f>
        <v>str_electric_Poland_PKP_EP09</v>
      </c>
      <c r="Q374" s="10" t="b">
        <f>_xlfn.XLOOKUP(CONTROL[[#This Row],[VEHIDCODE]],PROPERTIES[VEHIDCODE],PROPERTIES[EXCLUDE])</f>
        <v>0</v>
      </c>
    </row>
    <row r="375" spans="1:17">
      <c r="A375" s="2" t="s">
        <v>395</v>
      </c>
      <c r="B375" s="30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43" t="s">
        <v>1315</v>
      </c>
      <c r="G375" t="s">
        <v>2617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Row],[VEHIDCODE]],roster!A:A,roster!C:C))</f>
        <v>1</v>
      </c>
      <c r="N375" t="b">
        <f>ISNUMBER(_xlfn.XMATCH(CONTROL[[#This Row],[VEHIDCODE]],GRAPHICS_PROPERTIES[VEHIDCODE],0))</f>
        <v>1</v>
      </c>
      <c r="O375" s="30" t="str">
        <f>"item_"&amp;CONTROL[[#This Row],[VEHIDCODE]]</f>
        <v>item_electric_Slovakia_ZSSK_162</v>
      </c>
      <c r="P375" s="30" t="str">
        <f>"str_"&amp;CONTROL[[#This Row],[VEHIDCODE]]</f>
        <v>str_electric_Slovakia_ZSSK_162</v>
      </c>
      <c r="Q375" s="10" t="b">
        <f>_xlfn.XLOOKUP(CONTROL[[#This Row],[VEHIDCODE]],PROPERTIES[VEHIDCODE],PROPERTIES[EXCLUDE])</f>
        <v>0</v>
      </c>
    </row>
    <row r="376" spans="1:17">
      <c r="A376" s="2" t="s">
        <v>396</v>
      </c>
      <c r="B376" s="30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43" t="s">
        <v>1316</v>
      </c>
      <c r="G376" t="s">
        <v>2618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Row],[VEHIDCODE]],roster!A:A,roster!C:C))</f>
        <v>1</v>
      </c>
      <c r="N376" t="b">
        <f>ISNUMBER(_xlfn.XMATCH(CONTROL[[#This Row],[VEHIDCODE]],GRAPHICS_PROPERTIES[VEHIDCODE],0))</f>
        <v>1</v>
      </c>
      <c r="O376" s="30" t="str">
        <f>"item_"&amp;CONTROL[[#This Row],[VEHIDCODE]]</f>
        <v>item_electric_Italy_FS_E646</v>
      </c>
      <c r="P376" s="30" t="str">
        <f>"str_"&amp;CONTROL[[#This Row],[VEHIDCODE]]</f>
        <v>str_electric_Italy_FS_E646</v>
      </c>
      <c r="Q376" s="10" t="b">
        <f>_xlfn.XLOOKUP(CONTROL[[#This Row],[VEHIDCODE]],PROPERTIES[VEHIDCODE],PROPERTIES[EXCLUDE])</f>
        <v>0</v>
      </c>
    </row>
    <row r="377" spans="1:17">
      <c r="A377" s="2" t="s">
        <v>397</v>
      </c>
      <c r="B377" s="30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43" t="s">
        <v>1317</v>
      </c>
      <c r="G377" t="s">
        <v>2619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Row],[VEHIDCODE]],roster!A:A,roster!C:C))</f>
        <v>1</v>
      </c>
      <c r="N377" t="b">
        <f>ISNUMBER(_xlfn.XMATCH(CONTROL[[#This Row],[VEHIDCODE]],GRAPHICS_PROPERTIES[VEHIDCODE],0))</f>
        <v>1</v>
      </c>
      <c r="O377" s="30" t="str">
        <f>"item_"&amp;CONTROL[[#This Row],[VEHIDCODE]]</f>
        <v>item_electric_Italy_FS_E424</v>
      </c>
      <c r="P377" s="30" t="str">
        <f>"str_"&amp;CONTROL[[#This Row],[VEHIDCODE]]</f>
        <v>str_electric_Italy_FS_E424</v>
      </c>
      <c r="Q377" s="10" t="b">
        <f>_xlfn.XLOOKUP(CONTROL[[#This Row],[VEHIDCODE]],PROPERTIES[VEHIDCODE],PROPERTIES[EXCLUDE])</f>
        <v>0</v>
      </c>
    </row>
    <row r="378" spans="1:17">
      <c r="A378" s="2" t="s">
        <v>398</v>
      </c>
      <c r="B378" s="30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43" t="s">
        <v>1318</v>
      </c>
      <c r="G378" t="s">
        <v>2620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Row],[VEHIDCODE]],roster!A:A,roster!C:C))</f>
        <v>1</v>
      </c>
      <c r="N378" t="b">
        <f>ISNUMBER(_xlfn.XMATCH(CONTROL[[#This Row],[VEHIDCODE]],GRAPHICS_PROPERTIES[VEHIDCODE],0))</f>
        <v>1</v>
      </c>
      <c r="O378" s="30" t="str">
        <f>"item_"&amp;CONTROL[[#This Row],[VEHIDCODE]]</f>
        <v>item_electric_Italy_FS_E444</v>
      </c>
      <c r="P378" s="30" t="str">
        <f>"str_"&amp;CONTROL[[#This Row],[VEHIDCODE]]</f>
        <v>str_electric_Italy_FS_E444</v>
      </c>
      <c r="Q378" s="10" t="b">
        <f>_xlfn.XLOOKUP(CONTROL[[#This Row],[VEHIDCODE]],PROPERTIES[VEHIDCODE],PROPERTIES[EXCLUDE])</f>
        <v>0</v>
      </c>
    </row>
    <row r="379" spans="1:17">
      <c r="A379" s="2" t="s">
        <v>399</v>
      </c>
      <c r="B379" s="30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43" t="s">
        <v>1319</v>
      </c>
      <c r="G379" t="s">
        <v>2621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Row],[VEHIDCODE]],roster!A:A,roster!C:C))</f>
        <v>1</v>
      </c>
      <c r="N379" t="b">
        <f>ISNUMBER(_xlfn.XMATCH(CONTROL[[#This Row],[VEHIDCODE]],GRAPHICS_PROPERTIES[VEHIDCODE],0))</f>
        <v>1</v>
      </c>
      <c r="O379" s="30" t="str">
        <f>"item_"&amp;CONTROL[[#This Row],[VEHIDCODE]]</f>
        <v>item_electric_Italy_FS_E633</v>
      </c>
      <c r="P379" s="30" t="str">
        <f>"str_"&amp;CONTROL[[#This Row],[VEHIDCODE]]</f>
        <v>str_electric_Italy_FS_E633</v>
      </c>
      <c r="Q379" s="10" t="b">
        <f>_xlfn.XLOOKUP(CONTROL[[#This Row],[VEHIDCODE]],PROPERTIES[VEHIDCODE],PROPERTIES[EXCLUDE])</f>
        <v>0</v>
      </c>
    </row>
    <row r="380" spans="1:17">
      <c r="A380" s="2" t="s">
        <v>400</v>
      </c>
      <c r="B380" s="30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43" t="s">
        <v>1320</v>
      </c>
      <c r="G380" t="s">
        <v>2622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Row],[VEHIDCODE]],roster!A:A,roster!C:C))</f>
        <v>1</v>
      </c>
      <c r="N380" t="b">
        <f>ISNUMBER(_xlfn.XMATCH(CONTROL[[#This Row],[VEHIDCODE]],GRAPHICS_PROPERTIES[VEHIDCODE],0))</f>
        <v>1</v>
      </c>
      <c r="O380" s="30" t="str">
        <f>"item_"&amp;CONTROL[[#This Row],[VEHIDCODE]]</f>
        <v>item_electric_Belgium_NMBS_Class_255</v>
      </c>
      <c r="P380" s="30" t="str">
        <f>"str_"&amp;CONTROL[[#This Row],[VEHIDCODE]]</f>
        <v>str_electric_Belgium_NMBS_Class_255</v>
      </c>
      <c r="Q380" s="10" t="b">
        <f>_xlfn.XLOOKUP(CONTROL[[#This Row],[VEHIDCODE]],PROPERTIES[VEHIDCODE],PROPERTIES[EXCLUDE])</f>
        <v>0</v>
      </c>
    </row>
    <row r="381" spans="1:17">
      <c r="A381" s="2" t="s">
        <v>401</v>
      </c>
      <c r="B381" s="30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43" t="s">
        <v>1321</v>
      </c>
      <c r="G381" t="s">
        <v>2623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Row],[VEHIDCODE]],roster!A:A,roster!C:C))</f>
        <v>1</v>
      </c>
      <c r="N381" t="b">
        <f>ISNUMBER(_xlfn.XMATCH(CONTROL[[#This Row],[VEHIDCODE]],GRAPHICS_PROPERTIES[VEHIDCODE],0))</f>
        <v>1</v>
      </c>
      <c r="O381" s="30" t="str">
        <f>"item_"&amp;CONTROL[[#This Row],[VEHIDCODE]]</f>
        <v>item_electric_Spain_RENFE_250</v>
      </c>
      <c r="P381" s="30" t="str">
        <f>"str_"&amp;CONTROL[[#This Row],[VEHIDCODE]]</f>
        <v>str_electric_Spain_RENFE_250</v>
      </c>
      <c r="Q381" s="10" t="b">
        <f>_xlfn.XLOOKUP(CONTROL[[#This Row],[VEHIDCODE]],PROPERTIES[VEHIDCODE],PROPERTIES[EXCLUDE])</f>
        <v>0</v>
      </c>
    </row>
    <row r="382" spans="1:17">
      <c r="A382" s="2" t="s">
        <v>402</v>
      </c>
      <c r="B382" s="30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43" t="s">
        <v>1322</v>
      </c>
      <c r="G382" t="s">
        <v>1696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Row],[VEHIDCODE]],roster!A:A,roster!C:C))</f>
        <v>1</v>
      </c>
      <c r="N382" t="b">
        <f>ISNUMBER(_xlfn.XMATCH(CONTROL[[#This Row],[VEHIDCODE]],GRAPHICS_PROPERTIES[VEHIDCODE],0))</f>
        <v>1</v>
      </c>
      <c r="O382" s="30" t="str">
        <f>"item_"&amp;CONTROL[[#This Row],[VEHIDCODE]]</f>
        <v>item_electric_Chile_EFE_E_29</v>
      </c>
      <c r="P382" s="30" t="str">
        <f>"str_"&amp;CONTROL[[#This Row],[VEHIDCODE]]</f>
        <v>str_electric_Chile_EFE_E_29</v>
      </c>
      <c r="Q382" s="10" t="b">
        <f>_xlfn.XLOOKUP(CONTROL[[#This Row],[VEHIDCODE]],PROPERTIES[VEHIDCODE],PROPERTIES[EXCLUDE])</f>
        <v>0</v>
      </c>
    </row>
    <row r="383" spans="1:17">
      <c r="A383" s="2" t="s">
        <v>403</v>
      </c>
      <c r="B383" s="30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43" t="s">
        <v>1323</v>
      </c>
      <c r="G383" t="s">
        <v>1696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Row],[VEHIDCODE]],roster!A:A,roster!C:C))</f>
        <v>1</v>
      </c>
      <c r="N383" t="b">
        <f>ISNUMBER(_xlfn.XMATCH(CONTROL[[#This Row],[VEHIDCODE]],GRAPHICS_PROPERTIES[VEHIDCODE],0))</f>
        <v>1</v>
      </c>
      <c r="O383" s="30" t="str">
        <f>"item_"&amp;CONTROL[[#This Row],[VEHIDCODE]]</f>
        <v>item_electric_Chile_EFE_E_17</v>
      </c>
      <c r="P383" s="30" t="str">
        <f>"str_"&amp;CONTROL[[#This Row],[VEHIDCODE]]</f>
        <v>str_electric_Chile_EFE_E_17</v>
      </c>
      <c r="Q383" s="10" t="b">
        <f>_xlfn.XLOOKUP(CONTROL[[#This Row],[VEHIDCODE]],PROPERTIES[VEHIDCODE],PROPERTIES[EXCLUDE])</f>
        <v>0</v>
      </c>
    </row>
    <row r="384" spans="1:17">
      <c r="A384" s="2" t="s">
        <v>404</v>
      </c>
      <c r="B384" s="30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43" t="s">
        <v>1324</v>
      </c>
      <c r="G384" t="s">
        <v>2624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Row],[VEHIDCODE]],roster!A:A,roster!C:C))</f>
        <v>1</v>
      </c>
      <c r="N384" t="b">
        <f>ISNUMBER(_xlfn.XMATCH(CONTROL[[#This Row],[VEHIDCODE]],GRAPHICS_PROPERTIES[VEHIDCODE],0))</f>
        <v>1</v>
      </c>
      <c r="O384" s="30" t="str">
        <f>"item_"&amp;CONTROL[[#This Row],[VEHIDCODE]]</f>
        <v>item_electric_Morocco_ONCF_E_700</v>
      </c>
      <c r="P384" s="30" t="str">
        <f>"str_"&amp;CONTROL[[#This Row],[VEHIDCODE]]</f>
        <v>str_electric_Morocco_ONCF_E_700</v>
      </c>
      <c r="Q384" s="10" t="b">
        <f>_xlfn.XLOOKUP(CONTROL[[#This Row],[VEHIDCODE]],PROPERTIES[VEHIDCODE],PROPERTIES[EXCLUDE])</f>
        <v>0</v>
      </c>
    </row>
    <row r="385" spans="1:17">
      <c r="A385" s="2" t="s">
        <v>405</v>
      </c>
      <c r="B385" s="30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43" t="s">
        <v>1325</v>
      </c>
      <c r="G385" t="s">
        <v>2625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Row],[VEHIDCODE]],roster!A:A,roster!C:C))</f>
        <v>1</v>
      </c>
      <c r="N385" t="b">
        <f>ISNUMBER(_xlfn.XMATCH(CONTROL[[#This Row],[VEHIDCODE]],GRAPHICS_PROPERTIES[VEHIDCODE],0))</f>
        <v>1</v>
      </c>
      <c r="O385" s="30" t="str">
        <f>"item_"&amp;CONTROL[[#This Row],[VEHIDCODE]]</f>
        <v>item_electric_India_Indian_Railways_WCM_1</v>
      </c>
      <c r="P385" s="30" t="str">
        <f>"str_"&amp;CONTROL[[#This Row],[VEHIDCODE]]</f>
        <v>str_electric_India_Indian_Railways_WCM_1</v>
      </c>
      <c r="Q385" s="10" t="b">
        <f>_xlfn.XLOOKUP(CONTROL[[#This Row],[VEHIDCODE]],PROPERTIES[VEHIDCODE],PROPERTIES[EXCLUDE])</f>
        <v>0</v>
      </c>
    </row>
    <row r="386" spans="1:17">
      <c r="A386" s="2" t="s">
        <v>406</v>
      </c>
      <c r="B386" s="30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43" t="s">
        <v>2215</v>
      </c>
      <c r="G386" t="s">
        <v>2626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Row],[VEHIDCODE]],roster!A:A,roster!C:C))</f>
        <v>1</v>
      </c>
      <c r="N386" t="b">
        <f>ISNUMBER(_xlfn.XMATCH(CONTROL[[#This Row],[VEHIDCODE]],GRAPHICS_PROPERTIES[VEHIDCODE],0))</f>
        <v>1</v>
      </c>
      <c r="O386" s="30" t="str">
        <f>"item_"&amp;CONTROL[[#This Row],[VEHIDCODE]]</f>
        <v>item_electric_South_Africa_SAR_E38</v>
      </c>
      <c r="P386" s="30" t="str">
        <f>"str_"&amp;CONTROL[[#This Row],[VEHIDCODE]]</f>
        <v>str_electric_South_Africa_SAR_E38</v>
      </c>
      <c r="Q386" s="10" t="b">
        <f>_xlfn.XLOOKUP(CONTROL[[#This Row],[VEHIDCODE]],PROPERTIES[VEHIDCODE],PROPERTIES[EXCLUDE])</f>
        <v>0</v>
      </c>
    </row>
    <row r="387" spans="1:17">
      <c r="A387" s="2" t="s">
        <v>407</v>
      </c>
      <c r="B387" s="30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43" t="s">
        <v>1326</v>
      </c>
      <c r="G387" t="s">
        <v>2627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Row],[VEHIDCODE]],roster!A:A,roster!C:C))</f>
        <v>1</v>
      </c>
      <c r="N387" t="b">
        <f>ISNUMBER(_xlfn.XMATCH(CONTROL[[#This Row],[VEHIDCODE]],GRAPHICS_PROPERTIES[VEHIDCODE],0))</f>
        <v>1</v>
      </c>
      <c r="O387" s="30" t="str">
        <f>"item_"&amp;CONTROL[[#This Row],[VEHIDCODE]]</f>
        <v>item_electric_Chile_EFE_E_269</v>
      </c>
      <c r="P387" s="30" t="str">
        <f>"str_"&amp;CONTROL[[#This Row],[VEHIDCODE]]</f>
        <v>str_electric_Chile_EFE_E_269</v>
      </c>
      <c r="Q387" s="10" t="b">
        <f>_xlfn.XLOOKUP(CONTROL[[#This Row],[VEHIDCODE]],PROPERTIES[VEHIDCODE],PROPERTIES[EXCLUDE])</f>
        <v>0</v>
      </c>
    </row>
    <row r="388" spans="1:17">
      <c r="A388" s="2" t="s">
        <v>408</v>
      </c>
      <c r="B388" s="30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43" t="s">
        <v>2999</v>
      </c>
      <c r="G388" t="s">
        <v>2628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Row],[VEHIDCODE]],roster!A:A,roster!C:C))</f>
        <v>1</v>
      </c>
      <c r="N388" t="b">
        <f>ISNUMBER(_xlfn.XMATCH(CONTROL[[#This Row],[VEHIDCODE]],GRAPHICS_PROPERTIES[VEHIDCODE],0))</f>
        <v>1</v>
      </c>
      <c r="O388" s="30" t="str">
        <f>"item_"&amp;CONTROL[[#This Row],[VEHIDCODE]]</f>
        <v>item_electric_Czech_Republic_CD_363</v>
      </c>
      <c r="P388" s="30" t="str">
        <f>"str_"&amp;CONTROL[[#This Row],[VEHIDCODE]]</f>
        <v>str_electric_Czech_Republic_CD_363</v>
      </c>
      <c r="Q388" s="10" t="b">
        <f>_xlfn.XLOOKUP(CONTROL[[#This Row],[VEHIDCODE]],PROPERTIES[VEHIDCODE],PROPERTIES[EXCLUDE])</f>
        <v>0</v>
      </c>
    </row>
    <row r="389" spans="1:17">
      <c r="A389" s="2" t="s">
        <v>409</v>
      </c>
      <c r="B389" s="30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43" t="s">
        <v>1327</v>
      </c>
      <c r="G389" t="s">
        <v>2629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Row],[VEHIDCODE]],roster!A:A,roster!C:C))</f>
        <v>1</v>
      </c>
      <c r="N389" t="b">
        <f>ISNUMBER(_xlfn.XMATCH(CONTROL[[#This Row],[VEHIDCODE]],GRAPHICS_PROPERTIES[VEHIDCODE],0))</f>
        <v>1</v>
      </c>
      <c r="O389" s="30" t="str">
        <f>"item_"&amp;CONTROL[[#This Row],[VEHIDCODE]]</f>
        <v>item_electric_Norway_NSB_EL7</v>
      </c>
      <c r="P389" s="30" t="str">
        <f>"str_"&amp;CONTROL[[#This Row],[VEHIDCODE]]</f>
        <v>str_electric_Norway_NSB_EL7</v>
      </c>
      <c r="Q389" s="10" t="b">
        <f>_xlfn.XLOOKUP(CONTROL[[#This Row],[VEHIDCODE]],PROPERTIES[VEHIDCODE],PROPERTIES[EXCLUDE])</f>
        <v>0</v>
      </c>
    </row>
    <row r="390" spans="1:17">
      <c r="A390" s="2" t="s">
        <v>410</v>
      </c>
      <c r="B390" s="30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43" t="s">
        <v>1328</v>
      </c>
      <c r="G390" t="s">
        <v>2630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Row],[VEHIDCODE]],roster!A:A,roster!C:C))</f>
        <v>1</v>
      </c>
      <c r="N390" t="b">
        <f>ISNUMBER(_xlfn.XMATCH(CONTROL[[#This Row],[VEHIDCODE]],GRAPHICS_PROPERTIES[VEHIDCODE],0))</f>
        <v>1</v>
      </c>
      <c r="O390" s="30" t="str">
        <f>"item_"&amp;CONTROL[[#This Row],[VEHIDCODE]]</f>
        <v>item_electric_USA_Pennsylvania_Railroad_FF_1</v>
      </c>
      <c r="P390" s="30" t="str">
        <f>"str_"&amp;CONTROL[[#This Row],[VEHIDCODE]]</f>
        <v>str_electric_USA_Pennsylvania_Railroad_FF_1</v>
      </c>
      <c r="Q390" s="10" t="b">
        <f>_xlfn.XLOOKUP(CONTROL[[#This Row],[VEHIDCODE]],PROPERTIES[VEHIDCODE],PROPERTIES[EXCLUDE])</f>
        <v>0</v>
      </c>
    </row>
    <row r="391" spans="1:17">
      <c r="A391" s="2" t="s">
        <v>411</v>
      </c>
      <c r="B391" s="30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43" t="s">
        <v>2975</v>
      </c>
      <c r="G391" t="s">
        <v>2631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Row],[VEHIDCODE]],roster!A:A,roster!C:C))</f>
        <v>1</v>
      </c>
      <c r="N391" t="b">
        <f>ISNUMBER(_xlfn.XMATCH(CONTROL[[#This Row],[VEHIDCODE]],GRAPHICS_PROPERTIES[VEHIDCODE],0))</f>
        <v>1</v>
      </c>
      <c r="O391" s="30" t="str">
        <f>"item_"&amp;CONTROL[[#This Row],[VEHIDCODE]]</f>
        <v>item_electric_Austria_OBB_1161</v>
      </c>
      <c r="P391" s="30" t="str">
        <f>"str_"&amp;CONTROL[[#This Row],[VEHIDCODE]]</f>
        <v>str_electric_Austria_OBB_1161</v>
      </c>
      <c r="Q391" s="10" t="b">
        <f>_xlfn.XLOOKUP(CONTROL[[#This Row],[VEHIDCODE]],PROPERTIES[VEHIDCODE],PROPERTIES[EXCLUDE])</f>
        <v>0</v>
      </c>
    </row>
    <row r="392" spans="1:17">
      <c r="A392" s="2" t="s">
        <v>412</v>
      </c>
      <c r="B392" s="30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43" t="s">
        <v>1329</v>
      </c>
      <c r="G392" t="s">
        <v>2632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Row],[VEHIDCODE]],roster!A:A,roster!C:C))</f>
        <v>1</v>
      </c>
      <c r="N392" t="b">
        <f>ISNUMBER(_xlfn.XMATCH(CONTROL[[#This Row],[VEHIDCODE]],GRAPHICS_PROPERTIES[VEHIDCODE],0))</f>
        <v>1</v>
      </c>
      <c r="O392" s="30" t="str">
        <f>"item_"&amp;CONTROL[[#This Row],[VEHIDCODE]]</f>
        <v>item_electric_Germany_DB_169</v>
      </c>
      <c r="P392" s="30" t="str">
        <f>"str_"&amp;CONTROL[[#This Row],[VEHIDCODE]]</f>
        <v>str_electric_Germany_DB_169</v>
      </c>
      <c r="Q392" s="10" t="b">
        <f>_xlfn.XLOOKUP(CONTROL[[#This Row],[VEHIDCODE]],PROPERTIES[VEHIDCODE],PROPERTIES[EXCLUDE])</f>
        <v>0</v>
      </c>
    </row>
    <row r="393" spans="1:17">
      <c r="A393" s="2" t="s">
        <v>413</v>
      </c>
      <c r="B393" s="30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43" t="s">
        <v>1330</v>
      </c>
      <c r="G393" t="s">
        <v>2633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Row],[VEHIDCODE]],roster!A:A,roster!C:C))</f>
        <v>1</v>
      </c>
      <c r="N393" t="b">
        <f>ISNUMBER(_xlfn.XMATCH(CONTROL[[#This Row],[VEHIDCODE]],GRAPHICS_PROPERTIES[VEHIDCODE],0))</f>
        <v>1</v>
      </c>
      <c r="O393" s="30" t="str">
        <f>"item_"&amp;CONTROL[[#This Row],[VEHIDCODE]]</f>
        <v>item_electric_Norway_NSB_EL10</v>
      </c>
      <c r="P393" s="30" t="str">
        <f>"str_"&amp;CONTROL[[#This Row],[VEHIDCODE]]</f>
        <v>str_electric_Norway_NSB_EL10</v>
      </c>
      <c r="Q393" s="10" t="b">
        <f>_xlfn.XLOOKUP(CONTROL[[#This Row],[VEHIDCODE]],PROPERTIES[VEHIDCODE],PROPERTIES[EXCLUDE])</f>
        <v>0</v>
      </c>
    </row>
    <row r="394" spans="1:17">
      <c r="A394" s="2" t="s">
        <v>414</v>
      </c>
      <c r="B394" s="30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43" t="s">
        <v>1331</v>
      </c>
      <c r="G394" t="s">
        <v>2634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Row],[VEHIDCODE]],roster!A:A,roster!C:C))</f>
        <v>1</v>
      </c>
      <c r="N394" t="b">
        <f>ISNUMBER(_xlfn.XMATCH(CONTROL[[#This Row],[VEHIDCODE]],GRAPHICS_PROPERTIES[VEHIDCODE],0))</f>
        <v>1</v>
      </c>
      <c r="O394" s="30" t="str">
        <f>"item_"&amp;CONTROL[[#This Row],[VEHIDCODE]]</f>
        <v>item_electric_Germany_DB_104</v>
      </c>
      <c r="P394" s="30" t="str">
        <f>"str_"&amp;CONTROL[[#This Row],[VEHIDCODE]]</f>
        <v>str_electric_Germany_DB_104</v>
      </c>
      <c r="Q394" s="10" t="b">
        <f>_xlfn.XLOOKUP(CONTROL[[#This Row],[VEHIDCODE]],PROPERTIES[VEHIDCODE],PROPERTIES[EXCLUDE])</f>
        <v>0</v>
      </c>
    </row>
    <row r="395" spans="1:17">
      <c r="A395" s="2" t="s">
        <v>415</v>
      </c>
      <c r="B395" s="30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43" t="s">
        <v>1332</v>
      </c>
      <c r="G395" t="s">
        <v>2635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Row],[VEHIDCODE]],roster!A:A,roster!C:C))</f>
        <v>1</v>
      </c>
      <c r="N395" t="b">
        <f>ISNUMBER(_xlfn.XMATCH(CONTROL[[#This Row],[VEHIDCODE]],GRAPHICS_PROPERTIES[VEHIDCODE],0))</f>
        <v>1</v>
      </c>
      <c r="O395" s="30" t="str">
        <f>"item_"&amp;CONTROL[[#This Row],[VEHIDCODE]]</f>
        <v>item_electric_USA_Pennsylvania_Railroad_GG_1</v>
      </c>
      <c r="P395" s="30" t="str">
        <f>"str_"&amp;CONTROL[[#This Row],[VEHIDCODE]]</f>
        <v>str_electric_USA_Pennsylvania_Railroad_GG_1</v>
      </c>
      <c r="Q395" s="10" t="b">
        <f>_xlfn.XLOOKUP(CONTROL[[#This Row],[VEHIDCODE]],PROPERTIES[VEHIDCODE],PROPERTIES[EXCLUDE])</f>
        <v>0</v>
      </c>
    </row>
    <row r="396" spans="1:17">
      <c r="A396" s="2" t="s">
        <v>416</v>
      </c>
      <c r="B396" s="30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43" t="s">
        <v>2976</v>
      </c>
      <c r="G396" t="s">
        <v>2636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Row],[VEHIDCODE]],roster!A:A,roster!C:C))</f>
        <v>1</v>
      </c>
      <c r="N396" t="b">
        <f>ISNUMBER(_xlfn.XMATCH(CONTROL[[#This Row],[VEHIDCODE]],GRAPHICS_PROPERTIES[VEHIDCODE],0))</f>
        <v>1</v>
      </c>
      <c r="O396" s="30" t="str">
        <f>"item_"&amp;CONTROL[[#This Row],[VEHIDCODE]]</f>
        <v>item_electric_Austria_OBB_1020_Crocodile</v>
      </c>
      <c r="P396" s="30" t="str">
        <f>"str_"&amp;CONTROL[[#This Row],[VEHIDCODE]]</f>
        <v>str_electric_Austria_OBB_1020_Crocodile</v>
      </c>
      <c r="Q396" s="10" t="b">
        <f>_xlfn.XLOOKUP(CONTROL[[#This Row],[VEHIDCODE]],PROPERTIES[VEHIDCODE],PROPERTIES[EXCLUDE])</f>
        <v>0</v>
      </c>
    </row>
    <row r="397" spans="1:17">
      <c r="A397" s="2" t="s">
        <v>417</v>
      </c>
      <c r="B397" s="30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43" t="s">
        <v>1333</v>
      </c>
      <c r="G397" t="s">
        <v>2637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Row],[VEHIDCODE]],roster!A:A,roster!C:C))</f>
        <v>1</v>
      </c>
      <c r="N397" t="b">
        <f>ISNUMBER(_xlfn.XMATCH(CONTROL[[#This Row],[VEHIDCODE]],GRAPHICS_PROPERTIES[VEHIDCODE],0))</f>
        <v>1</v>
      </c>
      <c r="O397" s="30" t="str">
        <f>"item_"&amp;CONTROL[[#This Row],[VEHIDCODE]]</f>
        <v>item_electric_Germany_DB_1031</v>
      </c>
      <c r="P397" s="30" t="str">
        <f>"str_"&amp;CONTROL[[#This Row],[VEHIDCODE]]</f>
        <v>str_electric_Germany_DB_1031</v>
      </c>
      <c r="Q397" s="10" t="b">
        <f>_xlfn.XLOOKUP(CONTROL[[#This Row],[VEHIDCODE]],PROPERTIES[VEHIDCODE],PROPERTIES[EXCLUDE])</f>
        <v>0</v>
      </c>
    </row>
    <row r="398" spans="1:17">
      <c r="A398" s="2" t="s">
        <v>418</v>
      </c>
      <c r="B398" s="30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43" t="s">
        <v>1334</v>
      </c>
      <c r="G398" t="s">
        <v>2638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Row],[VEHIDCODE]],roster!A:A,roster!C:C))</f>
        <v>1</v>
      </c>
      <c r="N398" t="b">
        <f>ISNUMBER(_xlfn.XMATCH(CONTROL[[#This Row],[VEHIDCODE]],GRAPHICS_PROPERTIES[VEHIDCODE],0))</f>
        <v>1</v>
      </c>
      <c r="O398" s="30" t="str">
        <f>"item_"&amp;CONTROL[[#This Row],[VEHIDCODE]]</f>
        <v>item_electric_Germany_DB_E_919</v>
      </c>
      <c r="P398" s="30" t="str">
        <f>"str_"&amp;CONTROL[[#This Row],[VEHIDCODE]]</f>
        <v>str_electric_Germany_DB_E_919</v>
      </c>
      <c r="Q398" s="10" t="b">
        <f>_xlfn.XLOOKUP(CONTROL[[#This Row],[VEHIDCODE]],PROPERTIES[VEHIDCODE],PROPERTIES[EXCLUDE])</f>
        <v>0</v>
      </c>
    </row>
    <row r="399" spans="1:17">
      <c r="A399" s="2" t="s">
        <v>419</v>
      </c>
      <c r="B399" s="30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43" t="s">
        <v>1335</v>
      </c>
      <c r="G399" t="s">
        <v>2639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Row],[VEHIDCODE]],roster!A:A,roster!C:C))</f>
        <v>1</v>
      </c>
      <c r="N399" t="b">
        <f>ISNUMBER(_xlfn.XMATCH(CONTROL[[#This Row],[VEHIDCODE]],GRAPHICS_PROPERTIES[VEHIDCODE],0))</f>
        <v>1</v>
      </c>
      <c r="O399" s="30" t="str">
        <f>"item_"&amp;CONTROL[[#This Row],[VEHIDCODE]]</f>
        <v>item_electric_Switzerland_BLS_Ce_4_4</v>
      </c>
      <c r="P399" s="30" t="str">
        <f>"str_"&amp;CONTROL[[#This Row],[VEHIDCODE]]</f>
        <v>str_electric_Switzerland_BLS_Ce_4_4</v>
      </c>
      <c r="Q399" s="10" t="b">
        <f>_xlfn.XLOOKUP(CONTROL[[#This Row],[VEHIDCODE]],PROPERTIES[VEHIDCODE],PROPERTIES[EXCLUDE])</f>
        <v>0</v>
      </c>
    </row>
    <row r="400" spans="1:17">
      <c r="A400" s="2" t="s">
        <v>420</v>
      </c>
      <c r="B400" s="30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43" t="s">
        <v>1336</v>
      </c>
      <c r="G400" t="s">
        <v>2640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Row],[VEHIDCODE]],roster!A:A,roster!C:C))</f>
        <v>1</v>
      </c>
      <c r="N400" t="b">
        <f>ISNUMBER(_xlfn.XMATCH(CONTROL[[#This Row],[VEHIDCODE]],GRAPHICS_PROPERTIES[VEHIDCODE],0))</f>
        <v>1</v>
      </c>
      <c r="O400" s="30" t="str">
        <f>"item_"&amp;CONTROL[[#This Row],[VEHIDCODE]]</f>
        <v>item_electric_Switzerland_SBB_Ae_6_6</v>
      </c>
      <c r="P400" s="30" t="str">
        <f>"str_"&amp;CONTROL[[#This Row],[VEHIDCODE]]</f>
        <v>str_electric_Switzerland_SBB_Ae_6_6</v>
      </c>
      <c r="Q400" s="10" t="b">
        <f>_xlfn.XLOOKUP(CONTROL[[#This Row],[VEHIDCODE]],PROPERTIES[VEHIDCODE],PROPERTIES[EXCLUDE])</f>
        <v>0</v>
      </c>
    </row>
    <row r="401" spans="1:17">
      <c r="A401" s="2" t="s">
        <v>421</v>
      </c>
      <c r="B401" s="30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43" t="s">
        <v>1337</v>
      </c>
      <c r="G401" t="s">
        <v>2641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Row],[VEHIDCODE]],roster!A:A,roster!C:C))</f>
        <v>1</v>
      </c>
      <c r="N401" t="b">
        <f>ISNUMBER(_xlfn.XMATCH(CONTROL[[#This Row],[VEHIDCODE]],GRAPHICS_PROPERTIES[VEHIDCODE],0))</f>
        <v>1</v>
      </c>
      <c r="O401" s="30" t="str">
        <f>"item_"&amp;CONTROL[[#This Row],[VEHIDCODE]]</f>
        <v>item_electric_Switzerland_SBB_Re460_Lok_2000</v>
      </c>
      <c r="P401" s="30" t="str">
        <f>"str_"&amp;CONTROL[[#This Row],[VEHIDCODE]]</f>
        <v>str_electric_Switzerland_SBB_Re460_Lok_2000</v>
      </c>
      <c r="Q401" s="10" t="b">
        <f>_xlfn.XLOOKUP(CONTROL[[#This Row],[VEHIDCODE]],PROPERTIES[VEHIDCODE],PROPERTIES[EXCLUDE])</f>
        <v>0</v>
      </c>
    </row>
    <row r="402" spans="1:17">
      <c r="A402" s="2" t="s">
        <v>422</v>
      </c>
      <c r="B402" s="30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43" t="s">
        <v>1338</v>
      </c>
      <c r="G402" t="s">
        <v>2642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Row],[VEHIDCODE]],roster!A:A,roster!C:C))</f>
        <v>1</v>
      </c>
      <c r="N402" t="b">
        <f>ISNUMBER(_xlfn.XMATCH(CONTROL[[#This Row],[VEHIDCODE]],GRAPHICS_PROPERTIES[VEHIDCODE],0))</f>
        <v>1</v>
      </c>
      <c r="O402" s="30" t="str">
        <f>"item_"&amp;CONTROL[[#This Row],[VEHIDCODE]]</f>
        <v>item_electric_Switzerland_SBB_Eem_923</v>
      </c>
      <c r="P402" s="30" t="str">
        <f>"str_"&amp;CONTROL[[#This Row],[VEHIDCODE]]</f>
        <v>str_electric_Switzerland_SBB_Eem_923</v>
      </c>
      <c r="Q402" s="10" t="b">
        <f>_xlfn.XLOOKUP(CONTROL[[#This Row],[VEHIDCODE]],PROPERTIES[VEHIDCODE],PROPERTIES[EXCLUDE])</f>
        <v>0</v>
      </c>
    </row>
    <row r="403" spans="1:17">
      <c r="A403" s="2" t="s">
        <v>423</v>
      </c>
      <c r="B403" s="30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43" t="s">
        <v>2977</v>
      </c>
      <c r="G403" t="s">
        <v>2643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Row],[VEHIDCODE]],roster!A:A,roster!C:C))</f>
        <v>1</v>
      </c>
      <c r="N403" t="b">
        <f>ISNUMBER(_xlfn.XMATCH(CONTROL[[#This Row],[VEHIDCODE]],GRAPHICS_PROPERTIES[VEHIDCODE],0))</f>
        <v>1</v>
      </c>
      <c r="O403" s="30" t="str">
        <f>"item_"&amp;CONTROL[[#This Row],[VEHIDCODE]]</f>
        <v>item_electric_Austria_OBB_1044</v>
      </c>
      <c r="P403" s="30" t="str">
        <f>"str_"&amp;CONTROL[[#This Row],[VEHIDCODE]]</f>
        <v>str_electric_Austria_OBB_1044</v>
      </c>
      <c r="Q403" s="10" t="b">
        <f>_xlfn.XLOOKUP(CONTROL[[#This Row],[VEHIDCODE]],PROPERTIES[VEHIDCODE],PROPERTIES[EXCLUDE])</f>
        <v>0</v>
      </c>
    </row>
    <row r="404" spans="1:17">
      <c r="A404" s="2" t="s">
        <v>424</v>
      </c>
      <c r="B404" s="30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43" t="s">
        <v>2978</v>
      </c>
      <c r="G404" t="s">
        <v>2644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Row],[VEHIDCODE]],roster!A:A,roster!C:C))</f>
        <v>1</v>
      </c>
      <c r="N404" t="b">
        <f>ISNUMBER(_xlfn.XMATCH(CONTROL[[#This Row],[VEHIDCODE]],GRAPHICS_PROPERTIES[VEHIDCODE],0))</f>
        <v>1</v>
      </c>
      <c r="O404" s="30" t="str">
        <f>"item_"&amp;CONTROL[[#This Row],[VEHIDCODE]]</f>
        <v>item_electric_Austria_OBB_1063</v>
      </c>
      <c r="P404" s="30" t="str">
        <f>"str_"&amp;CONTROL[[#This Row],[VEHIDCODE]]</f>
        <v>str_electric_Austria_OBB_1063</v>
      </c>
      <c r="Q404" s="10" t="b">
        <f>_xlfn.XLOOKUP(CONTROL[[#This Row],[VEHIDCODE]],PROPERTIES[VEHIDCODE],PROPERTIES[EXCLUDE])</f>
        <v>0</v>
      </c>
    </row>
    <row r="405" spans="1:17">
      <c r="A405" s="2" t="s">
        <v>425</v>
      </c>
      <c r="B405" s="30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43" t="s">
        <v>1339</v>
      </c>
      <c r="G405" t="s">
        <v>2645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Row],[VEHIDCODE]],roster!A:A,roster!C:C))</f>
        <v>1</v>
      </c>
      <c r="N405" t="b">
        <f>ISNUMBER(_xlfn.XMATCH(CONTROL[[#This Row],[VEHIDCODE]],GRAPHICS_PROPERTIES[VEHIDCODE],0))</f>
        <v>1</v>
      </c>
      <c r="O405" s="30" t="str">
        <f>"item_"&amp;CONTROL[[#This Row],[VEHIDCODE]]</f>
        <v>item_electric_Sweden_MTAB_Dm3</v>
      </c>
      <c r="P405" s="30" t="str">
        <f>"str_"&amp;CONTROL[[#This Row],[VEHIDCODE]]</f>
        <v>str_electric_Sweden_MTAB_Dm3</v>
      </c>
      <c r="Q405" s="10" t="b">
        <f>_xlfn.XLOOKUP(CONTROL[[#This Row],[VEHIDCODE]],PROPERTIES[VEHIDCODE],PROPERTIES[EXCLUDE])</f>
        <v>0</v>
      </c>
    </row>
    <row r="406" spans="1:17">
      <c r="A406" s="2" t="s">
        <v>426</v>
      </c>
      <c r="B406" s="30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43" t="s">
        <v>1340</v>
      </c>
      <c r="G406" t="s">
        <v>2646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Row],[VEHIDCODE]],roster!A:A,roster!C:C))</f>
        <v>1</v>
      </c>
      <c r="N406" t="b">
        <f>ISNUMBER(_xlfn.XMATCH(CONTROL[[#This Row],[VEHIDCODE]],GRAPHICS_PROPERTIES[VEHIDCODE],0))</f>
        <v>1</v>
      </c>
      <c r="O406" s="30" t="str">
        <f>"item_"&amp;CONTROL[[#This Row],[VEHIDCODE]]</f>
        <v>item_electric_Sweden_MTAB_IORE</v>
      </c>
      <c r="P406" s="30" t="str">
        <f>"str_"&amp;CONTROL[[#This Row],[VEHIDCODE]]</f>
        <v>str_electric_Sweden_MTAB_IORE</v>
      </c>
      <c r="Q406" s="10" t="b">
        <f>_xlfn.XLOOKUP(CONTROL[[#This Row],[VEHIDCODE]],PROPERTIES[VEHIDCODE],PROPERTIES[EXCLUDE])</f>
        <v>0</v>
      </c>
    </row>
    <row r="407" spans="1:17">
      <c r="A407" s="2" t="s">
        <v>427</v>
      </c>
      <c r="B407" s="30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43" t="s">
        <v>1341</v>
      </c>
      <c r="G407" t="s">
        <v>2647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Row],[VEHIDCODE]],roster!A:A,roster!C:C))</f>
        <v>1</v>
      </c>
      <c r="N407" t="b">
        <f>ISNUMBER(_xlfn.XMATCH(CONTROL[[#This Row],[VEHIDCODE]],GRAPHICS_PROPERTIES[VEHIDCODE],0))</f>
        <v>1</v>
      </c>
      <c r="O407" s="30" t="str">
        <f>"item_"&amp;CONTROL[[#This Row],[VEHIDCODE]]</f>
        <v>item_electric_Sweden_SJ_O_Class</v>
      </c>
      <c r="P407" s="30" t="str">
        <f>"str_"&amp;CONTROL[[#This Row],[VEHIDCODE]]</f>
        <v>str_electric_Sweden_SJ_O_Class</v>
      </c>
      <c r="Q407" s="10" t="b">
        <f>_xlfn.XLOOKUP(CONTROL[[#This Row],[VEHIDCODE]],PROPERTIES[VEHIDCODE],PROPERTIES[EXCLUDE])</f>
        <v>0</v>
      </c>
    </row>
    <row r="408" spans="1:17">
      <c r="A408" s="2" t="s">
        <v>428</v>
      </c>
      <c r="B408" s="30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43" t="s">
        <v>1342</v>
      </c>
      <c r="G408" t="s">
        <v>2648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Row],[VEHIDCODE]],roster!A:A,roster!C:C))</f>
        <v>1</v>
      </c>
      <c r="N408" t="b">
        <f>ISNUMBER(_xlfn.XMATCH(CONTROL[[#This Row],[VEHIDCODE]],GRAPHICS_PROPERTIES[VEHIDCODE],0))</f>
        <v>1</v>
      </c>
      <c r="O408" s="30" t="str">
        <f>"item_"&amp;CONTROL[[#This Row],[VEHIDCODE]]</f>
        <v>item_electric_Sweden_SJ_F_Class</v>
      </c>
      <c r="P408" s="30" t="str">
        <f>"str_"&amp;CONTROL[[#This Row],[VEHIDCODE]]</f>
        <v>str_electric_Sweden_SJ_F_Class</v>
      </c>
      <c r="Q408" s="10" t="b">
        <f>_xlfn.XLOOKUP(CONTROL[[#This Row],[VEHIDCODE]],PROPERTIES[VEHIDCODE],PROPERTIES[EXCLUDE])</f>
        <v>0</v>
      </c>
    </row>
    <row r="409" spans="1:17">
      <c r="A409" s="2" t="s">
        <v>429</v>
      </c>
      <c r="B409" s="30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43" t="s">
        <v>1343</v>
      </c>
      <c r="G409" t="s">
        <v>2649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Row],[VEHIDCODE]],roster!A:A,roster!C:C))</f>
        <v>1</v>
      </c>
      <c r="N409" t="b">
        <f>ISNUMBER(_xlfn.XMATCH(CONTROL[[#This Row],[VEHIDCODE]],GRAPHICS_PROPERTIES[VEHIDCODE],0))</f>
        <v>1</v>
      </c>
      <c r="O409" s="30" t="str">
        <f>"item_"&amp;CONTROL[[#This Row],[VEHIDCODE]]</f>
        <v>item_electric_Norway_NSB_EL17</v>
      </c>
      <c r="P409" s="30" t="str">
        <f>"str_"&amp;CONTROL[[#This Row],[VEHIDCODE]]</f>
        <v>str_electric_Norway_NSB_EL17</v>
      </c>
      <c r="Q409" s="10" t="b">
        <f>_xlfn.XLOOKUP(CONTROL[[#This Row],[VEHIDCODE]],PROPERTIES[VEHIDCODE],PROPERTIES[EXCLUDE])</f>
        <v>0</v>
      </c>
    </row>
    <row r="410" spans="1:17">
      <c r="A410" s="2" t="s">
        <v>430</v>
      </c>
      <c r="B410" s="30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43" t="s">
        <v>1344</v>
      </c>
      <c r="G410" t="s">
        <v>2650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Row],[VEHIDCODE]],roster!A:A,roster!C:C))</f>
        <v>1</v>
      </c>
      <c r="N410" t="b">
        <f>ISNUMBER(_xlfn.XMATCH(CONTROL[[#This Row],[VEHIDCODE]],GRAPHICS_PROPERTIES[VEHIDCODE],0))</f>
        <v>1</v>
      </c>
      <c r="O410" s="30" t="str">
        <f>"item_"&amp;CONTROL[[#This Row],[VEHIDCODE]]</f>
        <v>item_electric_Germany_Prussian_ES_6</v>
      </c>
      <c r="P410" s="30" t="str">
        <f>"str_"&amp;CONTROL[[#This Row],[VEHIDCODE]]</f>
        <v>str_electric_Germany_Prussian_ES_6</v>
      </c>
      <c r="Q410" s="10" t="b">
        <f>_xlfn.XLOOKUP(CONTROL[[#This Row],[VEHIDCODE]],PROPERTIES[VEHIDCODE],PROPERTIES[EXCLUDE])</f>
        <v>0</v>
      </c>
    </row>
    <row r="411" spans="1:17">
      <c r="A411" s="2" t="s">
        <v>431</v>
      </c>
      <c r="B411" s="30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43" t="s">
        <v>1345</v>
      </c>
      <c r="G411" t="s">
        <v>2651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Row],[VEHIDCODE]],roster!A:A,roster!C:C))</f>
        <v>1</v>
      </c>
      <c r="N411" t="b">
        <f>ISNUMBER(_xlfn.XMATCH(CONTROL[[#This Row],[VEHIDCODE]],GRAPHICS_PROPERTIES[VEHIDCODE],0))</f>
        <v>1</v>
      </c>
      <c r="O411" s="30" t="str">
        <f>"item_"&amp;CONTROL[[#This Row],[VEHIDCODE]]</f>
        <v>item_electric_USA_Virginian_Railway_EL_2B</v>
      </c>
      <c r="P411" s="30" t="str">
        <f>"str_"&amp;CONTROL[[#This Row],[VEHIDCODE]]</f>
        <v>str_electric_USA_Virginian_Railway_EL_2B</v>
      </c>
      <c r="Q411" s="10" t="b">
        <f>_xlfn.XLOOKUP(CONTROL[[#This Row],[VEHIDCODE]],PROPERTIES[VEHIDCODE],PROPERTIES[EXCLUDE])</f>
        <v>0</v>
      </c>
    </row>
    <row r="412" spans="1:17">
      <c r="A412" s="2" t="s">
        <v>432</v>
      </c>
      <c r="B412" s="30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43" t="s">
        <v>1346</v>
      </c>
      <c r="G412" t="s">
        <v>2652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Row],[VEHIDCODE]],roster!A:A,roster!C:C))</f>
        <v>1</v>
      </c>
      <c r="N412" t="b">
        <f>ISNUMBER(_xlfn.XMATCH(CONTROL[[#This Row],[VEHIDCODE]],GRAPHICS_PROPERTIES[VEHIDCODE],0))</f>
        <v>1</v>
      </c>
      <c r="O412" s="30" t="str">
        <f>"item_"&amp;CONTROL[[#This Row],[VEHIDCODE]]</f>
        <v>item_electric_USA_GN_W_1</v>
      </c>
      <c r="P412" s="30" t="str">
        <f>"str_"&amp;CONTROL[[#This Row],[VEHIDCODE]]</f>
        <v>str_electric_USA_GN_W_1</v>
      </c>
      <c r="Q412" s="10" t="b">
        <f>_xlfn.XLOOKUP(CONTROL[[#This Row],[VEHIDCODE]],PROPERTIES[VEHIDCODE],PROPERTIES[EXCLUDE])</f>
        <v>0</v>
      </c>
    </row>
    <row r="413" spans="1:17">
      <c r="A413" s="2" t="s">
        <v>433</v>
      </c>
      <c r="B413" s="30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43" t="s">
        <v>1347</v>
      </c>
      <c r="G413" t="s">
        <v>2653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Row],[VEHIDCODE]],roster!A:A,roster!C:C))</f>
        <v>1</v>
      </c>
      <c r="N413" t="b">
        <f>ISNUMBER(_xlfn.XMATCH(CONTROL[[#This Row],[VEHIDCODE]],GRAPHICS_PROPERTIES[VEHIDCODE],0))</f>
        <v>1</v>
      </c>
      <c r="O413" s="30" t="str">
        <f>"item_"&amp;CONTROL[[#This Row],[VEHIDCODE]]</f>
        <v>item_electric_USA_PRR_B1</v>
      </c>
      <c r="P413" s="30" t="str">
        <f>"str_"&amp;CONTROL[[#This Row],[VEHIDCODE]]</f>
        <v>str_electric_USA_PRR_B1</v>
      </c>
      <c r="Q413" s="10" t="b">
        <f>_xlfn.XLOOKUP(CONTROL[[#This Row],[VEHIDCODE]],PROPERTIES[VEHIDCODE],PROPERTIES[EXCLUDE])</f>
        <v>0</v>
      </c>
    </row>
    <row r="414" spans="1:17">
      <c r="A414" s="2" t="s">
        <v>434</v>
      </c>
      <c r="B414" s="30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43" t="s">
        <v>1348</v>
      </c>
      <c r="G414" t="s">
        <v>2654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Row],[VEHIDCODE]],roster!A:A,roster!C:C))</f>
        <v>1</v>
      </c>
      <c r="N414" t="b">
        <f>ISNUMBER(_xlfn.XMATCH(CONTROL[[#This Row],[VEHIDCODE]],GRAPHICS_PROPERTIES[VEHIDCODE],0))</f>
        <v>1</v>
      </c>
      <c r="O414" s="30" t="str">
        <f>"item_"&amp;CONTROL[[#This Row],[VEHIDCODE]]</f>
        <v>item_electric_Australia_Aurizon_E40_AG_V1</v>
      </c>
      <c r="P414" s="30" t="str">
        <f>"str_"&amp;CONTROL[[#This Row],[VEHIDCODE]]</f>
        <v>str_electric_Australia_Aurizon_E40_AG_V1</v>
      </c>
      <c r="Q414" s="10" t="b">
        <f>_xlfn.XLOOKUP(CONTROL[[#This Row],[VEHIDCODE]],PROPERTIES[VEHIDCODE],PROPERTIES[EXCLUDE])</f>
        <v>0</v>
      </c>
    </row>
    <row r="415" spans="1:17">
      <c r="A415" s="2" t="s">
        <v>435</v>
      </c>
      <c r="B415" s="30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43" t="s">
        <v>1349</v>
      </c>
      <c r="G415" t="s">
        <v>2655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Row],[VEHIDCODE]],roster!A:A,roster!C:C))</f>
        <v>1</v>
      </c>
      <c r="N415" t="b">
        <f>ISNUMBER(_xlfn.XMATCH(CONTROL[[#This Row],[VEHIDCODE]],GRAPHICS_PROPERTIES[VEHIDCODE],0))</f>
        <v>1</v>
      </c>
      <c r="O415" s="30" t="str">
        <f>"item_"&amp;CONTROL[[#This Row],[VEHIDCODE]]</f>
        <v>item_electric_China_China_Railways_SS6</v>
      </c>
      <c r="P415" s="30" t="str">
        <f>"str_"&amp;CONTROL[[#This Row],[VEHIDCODE]]</f>
        <v>str_electric_China_China_Railways_SS6</v>
      </c>
      <c r="Q415" s="10" t="b">
        <f>_xlfn.XLOOKUP(CONTROL[[#This Row],[VEHIDCODE]],PROPERTIES[VEHIDCODE],PROPERTIES[EXCLUDE])</f>
        <v>0</v>
      </c>
    </row>
    <row r="416" spans="1:17">
      <c r="A416" s="2" t="s">
        <v>436</v>
      </c>
      <c r="B416" s="30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43" t="s">
        <v>1350</v>
      </c>
      <c r="G416" t="s">
        <v>2656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Row],[VEHIDCODE]],roster!A:A,roster!C:C))</f>
        <v>1</v>
      </c>
      <c r="N416" t="b">
        <f>ISNUMBER(_xlfn.XMATCH(CONTROL[[#This Row],[VEHIDCODE]],GRAPHICS_PROPERTIES[VEHIDCODE],0))</f>
        <v>1</v>
      </c>
      <c r="O416" s="30" t="str">
        <f>"item_"&amp;CONTROL[[#This Row],[VEHIDCODE]]</f>
        <v>item_electric_China_China_Railways_SS3</v>
      </c>
      <c r="P416" s="30" t="str">
        <f>"str_"&amp;CONTROL[[#This Row],[VEHIDCODE]]</f>
        <v>str_electric_China_China_Railways_SS3</v>
      </c>
      <c r="Q416" s="10" t="b">
        <f>_xlfn.XLOOKUP(CONTROL[[#This Row],[VEHIDCODE]],PROPERTIES[VEHIDCODE],PROPERTIES[EXCLUDE])</f>
        <v>0</v>
      </c>
    </row>
    <row r="417" spans="1:17">
      <c r="A417" s="2" t="s">
        <v>437</v>
      </c>
      <c r="B417" s="30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43" t="s">
        <v>1351</v>
      </c>
      <c r="G417" t="s">
        <v>2657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Row],[VEHIDCODE]],roster!A:A,roster!C:C))</f>
        <v>1</v>
      </c>
      <c r="N417" t="b">
        <f>ISNUMBER(_xlfn.XMATCH(CONTROL[[#This Row],[VEHIDCODE]],GRAPHICS_PROPERTIES[VEHIDCODE],0))</f>
        <v>1</v>
      </c>
      <c r="O417" s="30" t="str">
        <f>"item_"&amp;CONTROL[[#This Row],[VEHIDCODE]]</f>
        <v>item_electric_China_China_Railways_HXD3</v>
      </c>
      <c r="P417" s="30" t="str">
        <f>"str_"&amp;CONTROL[[#This Row],[VEHIDCODE]]</f>
        <v>str_electric_China_China_Railways_HXD3</v>
      </c>
      <c r="Q417" s="10" t="b">
        <f>_xlfn.XLOOKUP(CONTROL[[#This Row],[VEHIDCODE]],PROPERTIES[VEHIDCODE],PROPERTIES[EXCLUDE])</f>
        <v>0</v>
      </c>
    </row>
    <row r="418" spans="1:17">
      <c r="A418" s="2" t="s">
        <v>438</v>
      </c>
      <c r="B418" s="30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43" t="s">
        <v>1352</v>
      </c>
      <c r="G418" t="s">
        <v>2658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Row],[VEHIDCODE]],roster!A:A,roster!C:C))</f>
        <v>1</v>
      </c>
      <c r="N418" t="b">
        <f>ISNUMBER(_xlfn.XMATCH(CONTROL[[#This Row],[VEHIDCODE]],GRAPHICS_PROPERTIES[VEHIDCODE],0))</f>
        <v>1</v>
      </c>
      <c r="O418" s="30" t="str">
        <f>"item_"&amp;CONTROL[[#This Row],[VEHIDCODE]]</f>
        <v>item_electric_China_China_Railways_HXD1D</v>
      </c>
      <c r="P418" s="30" t="str">
        <f>"str_"&amp;CONTROL[[#This Row],[VEHIDCODE]]</f>
        <v>str_electric_China_China_Railways_HXD1D</v>
      </c>
      <c r="Q418" s="10" t="b">
        <f>_xlfn.XLOOKUP(CONTROL[[#This Row],[VEHIDCODE]],PROPERTIES[VEHIDCODE],PROPERTIES[EXCLUDE])</f>
        <v>0</v>
      </c>
    </row>
    <row r="419" spans="1:17">
      <c r="A419" s="2" t="s">
        <v>439</v>
      </c>
      <c r="B419" s="30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43" t="s">
        <v>1353</v>
      </c>
      <c r="G419" t="s">
        <v>2659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Row],[VEHIDCODE]],roster!A:A,roster!C:C))</f>
        <v>1</v>
      </c>
      <c r="N419" t="b">
        <f>ISNUMBER(_xlfn.XMATCH(CONTROL[[#This Row],[VEHIDCODE]],GRAPHICS_PROPERTIES[VEHIDCODE],0))</f>
        <v>1</v>
      </c>
      <c r="O419" s="30" t="str">
        <f>"item_"&amp;CONTROL[[#This Row],[VEHIDCODE]]</f>
        <v>item_electric_China_China_Railways_6K</v>
      </c>
      <c r="P419" s="30" t="str">
        <f>"str_"&amp;CONTROL[[#This Row],[VEHIDCODE]]</f>
        <v>str_electric_China_China_Railways_6K</v>
      </c>
      <c r="Q419" s="10" t="b">
        <f>_xlfn.XLOOKUP(CONTROL[[#This Row],[VEHIDCODE]],PROPERTIES[VEHIDCODE],PROPERTIES[EXCLUDE])</f>
        <v>0</v>
      </c>
    </row>
    <row r="420" spans="1:17">
      <c r="A420" s="2" t="s">
        <v>440</v>
      </c>
      <c r="B420" s="30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43" t="s">
        <v>1354</v>
      </c>
      <c r="G420" t="s">
        <v>2660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Row],[VEHIDCODE]],roster!A:A,roster!C:C))</f>
        <v>1</v>
      </c>
      <c r="N420" t="b">
        <f>ISNUMBER(_xlfn.XMATCH(CONTROL[[#This Row],[VEHIDCODE]],GRAPHICS_PROPERTIES[VEHIDCODE],0))</f>
        <v>1</v>
      </c>
      <c r="O420" s="30" t="str">
        <f>"item_"&amp;CONTROL[[#This Row],[VEHIDCODE]]</f>
        <v>item_electric_USA_PRR_E44</v>
      </c>
      <c r="P420" s="30" t="str">
        <f>"str_"&amp;CONTROL[[#This Row],[VEHIDCODE]]</f>
        <v>str_electric_USA_PRR_E44</v>
      </c>
      <c r="Q420" s="10" t="b">
        <f>_xlfn.XLOOKUP(CONTROL[[#This Row],[VEHIDCODE]],PROPERTIES[VEHIDCODE],PROPERTIES[EXCLUDE])</f>
        <v>0</v>
      </c>
    </row>
    <row r="421" spans="1:17">
      <c r="A421" s="2" t="s">
        <v>441</v>
      </c>
      <c r="B421" s="30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43" t="s">
        <v>1355</v>
      </c>
      <c r="G421" t="s">
        <v>2661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Row],[VEHIDCODE]],roster!A:A,roster!C:C))</f>
        <v>1</v>
      </c>
      <c r="N421" t="b">
        <f>ISNUMBER(_xlfn.XMATCH(CONTROL[[#This Row],[VEHIDCODE]],GRAPHICS_PROPERTIES[VEHIDCODE],0))</f>
        <v>1</v>
      </c>
      <c r="O421" s="30" t="str">
        <f>"item_"&amp;CONTROL[[#This Row],[VEHIDCODE]]</f>
        <v>item_electric_Croatia_HZ_1141</v>
      </c>
      <c r="P421" s="30" t="str">
        <f>"str_"&amp;CONTROL[[#This Row],[VEHIDCODE]]</f>
        <v>str_electric_Croatia_HZ_1141</v>
      </c>
      <c r="Q421" s="10" t="b">
        <f>_xlfn.XLOOKUP(CONTROL[[#This Row],[VEHIDCODE]],PROPERTIES[VEHIDCODE],PROPERTIES[EXCLUDE])</f>
        <v>0</v>
      </c>
    </row>
    <row r="422" spans="1:17">
      <c r="A422" s="2" t="s">
        <v>442</v>
      </c>
      <c r="B422" s="30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43" t="s">
        <v>2988</v>
      </c>
      <c r="G422" t="s">
        <v>2662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Row],[VEHIDCODE]],roster!A:A,roster!C:C))</f>
        <v>1</v>
      </c>
      <c r="N422" t="b">
        <f>ISNUMBER(_xlfn.XMATCH(CONTROL[[#This Row],[VEHIDCODE]],GRAPHICS_PROPERTIES[VEHIDCODE],0))</f>
        <v>1</v>
      </c>
      <c r="O422" s="30" t="str">
        <f>"item_"&amp;CONTROL[[#This Row],[VEHIDCODE]]</f>
        <v>item_electric_Hungary_MAV_Class_V43</v>
      </c>
      <c r="P422" s="30" t="str">
        <f>"str_"&amp;CONTROL[[#This Row],[VEHIDCODE]]</f>
        <v>str_electric_Hungary_MAV_Class_V43</v>
      </c>
      <c r="Q422" s="10" t="b">
        <f>_xlfn.XLOOKUP(CONTROL[[#This Row],[VEHIDCODE]],PROPERTIES[VEHIDCODE],PROPERTIES[EXCLUDE])</f>
        <v>0</v>
      </c>
    </row>
    <row r="423" spans="1:17">
      <c r="A423" s="2" t="s">
        <v>443</v>
      </c>
      <c r="B423" s="30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43" t="s">
        <v>1356</v>
      </c>
      <c r="G423" t="s">
        <v>2663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Row],[VEHIDCODE]],roster!A:A,roster!C:C))</f>
        <v>1</v>
      </c>
      <c r="N423" t="b">
        <f>ISNUMBER(_xlfn.XMATCH(CONTROL[[#This Row],[VEHIDCODE]],GRAPHICS_PROPERTIES[VEHIDCODE],0))</f>
        <v>1</v>
      </c>
      <c r="O423" s="30" t="str">
        <f>"item_"&amp;CONTROL[[#This Row],[VEHIDCODE]]</f>
        <v>item_electric_Portugal_CP_2500</v>
      </c>
      <c r="P423" s="30" t="str">
        <f>"str_"&amp;CONTROL[[#This Row],[VEHIDCODE]]</f>
        <v>str_electric_Portugal_CP_2500</v>
      </c>
      <c r="Q423" s="10" t="b">
        <f>_xlfn.XLOOKUP(CONTROL[[#This Row],[VEHIDCODE]],PROPERTIES[VEHIDCODE],PROPERTIES[EXCLUDE])</f>
        <v>0</v>
      </c>
    </row>
    <row r="424" spans="1:17">
      <c r="A424" s="2" t="s">
        <v>444</v>
      </c>
      <c r="B424" s="30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43" t="s">
        <v>1357</v>
      </c>
      <c r="G424" t="s">
        <v>2664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Row],[VEHIDCODE]],roster!A:A,roster!C:C))</f>
        <v>1</v>
      </c>
      <c r="N424" t="b">
        <f>ISNUMBER(_xlfn.XMATCH(CONTROL[[#This Row],[VEHIDCODE]],GRAPHICS_PROPERTIES[VEHIDCODE],0))</f>
        <v>1</v>
      </c>
      <c r="O424" s="30" t="str">
        <f>"item_"&amp;CONTROL[[#This Row],[VEHIDCODE]]</f>
        <v>item_electric_Portugal_CP_2600</v>
      </c>
      <c r="P424" s="30" t="str">
        <f>"str_"&amp;CONTROL[[#This Row],[VEHIDCODE]]</f>
        <v>str_electric_Portugal_CP_2600</v>
      </c>
      <c r="Q424" s="10" t="b">
        <f>_xlfn.XLOOKUP(CONTROL[[#This Row],[VEHIDCODE]],PROPERTIES[VEHIDCODE],PROPERTIES[EXCLUDE])</f>
        <v>0</v>
      </c>
    </row>
    <row r="425" spans="1:17">
      <c r="A425" s="2" t="s">
        <v>445</v>
      </c>
      <c r="B425" s="30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43" t="s">
        <v>2213</v>
      </c>
      <c r="G425" t="s">
        <v>2665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Row],[VEHIDCODE]],roster!A:A,roster!C:C))</f>
        <v>1</v>
      </c>
      <c r="N425" t="b">
        <f>ISNUMBER(_xlfn.XMATCH(CONTROL[[#This Row],[VEHIDCODE]],GRAPHICS_PROPERTIES[VEHIDCODE],0))</f>
        <v>1</v>
      </c>
      <c r="O425" s="30" t="str">
        <f>"item_"&amp;CONTROL[[#This Row],[VEHIDCODE]]</f>
        <v>item_electric_South_Africa_SAR_20E</v>
      </c>
      <c r="P425" s="30" t="str">
        <f>"str_"&amp;CONTROL[[#This Row],[VEHIDCODE]]</f>
        <v>str_electric_South_Africa_SAR_20E</v>
      </c>
      <c r="Q425" s="10" t="b">
        <f>_xlfn.XLOOKUP(CONTROL[[#This Row],[VEHIDCODE]],PROPERTIES[VEHIDCODE],PROPERTIES[EXCLUDE])</f>
        <v>0</v>
      </c>
    </row>
    <row r="426" spans="1:17">
      <c r="A426" s="2" t="s">
        <v>446</v>
      </c>
      <c r="B426" s="30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43" t="s">
        <v>1358</v>
      </c>
      <c r="G426" t="s">
        <v>2666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Row],[VEHIDCODE]],roster!A:A,roster!C:C))</f>
        <v>1</v>
      </c>
      <c r="N426" t="b">
        <f>ISNUMBER(_xlfn.XMATCH(CONTROL[[#This Row],[VEHIDCODE]],GRAPHICS_PROPERTIES[VEHIDCODE],0))</f>
        <v>1</v>
      </c>
      <c r="O426" s="30" t="str">
        <f>"item_"&amp;CONTROL[[#This Row],[VEHIDCODE]]</f>
        <v>item_electric_South_Korea_Korail_8200</v>
      </c>
      <c r="P426" s="30" t="str">
        <f>"str_"&amp;CONTROL[[#This Row],[VEHIDCODE]]</f>
        <v>str_electric_South_Korea_Korail_8200</v>
      </c>
      <c r="Q426" s="10" t="b">
        <f>_xlfn.XLOOKUP(CONTROL[[#This Row],[VEHIDCODE]],PROPERTIES[VEHIDCODE],PROPERTIES[EXCLUDE])</f>
        <v>0</v>
      </c>
    </row>
    <row r="427" spans="1:17">
      <c r="A427" s="2" t="s">
        <v>447</v>
      </c>
      <c r="B427" s="30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43" t="s">
        <v>1359</v>
      </c>
      <c r="G427" t="s">
        <v>2667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Row],[VEHIDCODE]],roster!A:A,roster!C:C))</f>
        <v>1</v>
      </c>
      <c r="N427" t="b">
        <f>ISNUMBER(_xlfn.XMATCH(CONTROL[[#This Row],[VEHIDCODE]],GRAPHICS_PROPERTIES[VEHIDCODE],0))</f>
        <v>1</v>
      </c>
      <c r="O427" s="30" t="str">
        <f>"item_"&amp;CONTROL[[#This Row],[VEHIDCODE]]</f>
        <v>item_electric_Ukraine_UZ_DS3</v>
      </c>
      <c r="P427" s="30" t="str">
        <f>"str_"&amp;CONTROL[[#This Row],[VEHIDCODE]]</f>
        <v>str_electric_Ukraine_UZ_DS3</v>
      </c>
      <c r="Q427" s="10" t="b">
        <f>_xlfn.XLOOKUP(CONTROL[[#This Row],[VEHIDCODE]],PROPERTIES[VEHIDCODE],PROPERTIES[EXCLUDE])</f>
        <v>0</v>
      </c>
    </row>
    <row r="428" spans="1:17">
      <c r="A428" s="2" t="s">
        <v>448</v>
      </c>
      <c r="B428" s="30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43" t="s">
        <v>3000</v>
      </c>
      <c r="G428" t="s">
        <v>2668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Row],[VEHIDCODE]],roster!A:A,roster!C:C))</f>
        <v>1</v>
      </c>
      <c r="N428" t="b">
        <f>ISNUMBER(_xlfn.XMATCH(CONTROL[[#This Row],[VEHIDCODE]],GRAPHICS_PROPERTIES[VEHIDCODE],0))</f>
        <v>1</v>
      </c>
      <c r="O428" s="30" t="str">
        <f>"item_"&amp;CONTROL[[#This Row],[VEHIDCODE]]</f>
        <v>item_electric_Czech_Republic_CD_S499</v>
      </c>
      <c r="P428" s="30" t="str">
        <f>"str_"&amp;CONTROL[[#This Row],[VEHIDCODE]]</f>
        <v>str_electric_Czech_Republic_CD_S499</v>
      </c>
      <c r="Q428" s="10" t="b">
        <f>_xlfn.XLOOKUP(CONTROL[[#This Row],[VEHIDCODE]],PROPERTIES[VEHIDCODE],PROPERTIES[EXCLUDE])</f>
        <v>0</v>
      </c>
    </row>
    <row r="429" spans="1:17">
      <c r="A429" s="2" t="s">
        <v>449</v>
      </c>
      <c r="B429" s="30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43" t="s">
        <v>1360</v>
      </c>
      <c r="G429" t="s">
        <v>2669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Row],[VEHIDCODE]],roster!A:A,roster!C:C))</f>
        <v>1</v>
      </c>
      <c r="N429" t="b">
        <f>ISNUMBER(_xlfn.XMATCH(CONTROL[[#This Row],[VEHIDCODE]],GRAPHICS_PROPERTIES[VEHIDCODE],0))</f>
        <v>1</v>
      </c>
      <c r="O429" s="30" t="str">
        <f>"item_"&amp;CONTROL[[#This Row],[VEHIDCODE]]</f>
        <v>item_electric_Italy_FS_E491</v>
      </c>
      <c r="P429" s="30" t="str">
        <f>"str_"&amp;CONTROL[[#This Row],[VEHIDCODE]]</f>
        <v>str_electric_Italy_FS_E491</v>
      </c>
      <c r="Q429" s="10" t="b">
        <f>_xlfn.XLOOKUP(CONTROL[[#This Row],[VEHIDCODE]],PROPERTIES[VEHIDCODE],PROPERTIES[EXCLUDE])</f>
        <v>0</v>
      </c>
    </row>
    <row r="430" spans="1:17">
      <c r="A430" s="2" t="s">
        <v>450</v>
      </c>
      <c r="B430" s="30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43" t="s">
        <v>1361</v>
      </c>
      <c r="G430" t="s">
        <v>2670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Row],[VEHIDCODE]],roster!A:A,roster!C:C))</f>
        <v>1</v>
      </c>
      <c r="N430" t="b">
        <f>ISNUMBER(_xlfn.XMATCH(CONTROL[[#This Row],[VEHIDCODE]],GRAPHICS_PROPERTIES[VEHIDCODE],0))</f>
        <v>1</v>
      </c>
      <c r="O430" s="30" t="str">
        <f>"item_"&amp;CONTROL[[#This Row],[VEHIDCODE]]</f>
        <v>item_electric_Macedonia_Macedonian_Railways_462</v>
      </c>
      <c r="P430" s="30" t="str">
        <f>"str_"&amp;CONTROL[[#This Row],[VEHIDCODE]]</f>
        <v>str_electric_Macedonia_Macedonian_Railways_462</v>
      </c>
      <c r="Q430" s="10" t="b">
        <f>_xlfn.XLOOKUP(CONTROL[[#This Row],[VEHIDCODE]],PROPERTIES[VEHIDCODE],PROPERTIES[EXCLUDE])</f>
        <v>0</v>
      </c>
    </row>
    <row r="431" spans="1:17">
      <c r="A431" s="2" t="s">
        <v>451</v>
      </c>
      <c r="B431" s="30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43" t="s">
        <v>1362</v>
      </c>
      <c r="G431" t="s">
        <v>2671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Row],[VEHIDCODE]],roster!A:A,roster!C:C))</f>
        <v>1</v>
      </c>
      <c r="N431" t="b">
        <f>ISNUMBER(_xlfn.XMATCH(CONTROL[[#This Row],[VEHIDCODE]],GRAPHICS_PROPERTIES[VEHIDCODE],0))</f>
        <v>1</v>
      </c>
      <c r="O431" s="30" t="str">
        <f>"item_"&amp;CONTROL[[#This Row],[VEHIDCODE]]</f>
        <v>item_electric_Morocco_ONCFM_E_500</v>
      </c>
      <c r="P431" s="30" t="str">
        <f>"str_"&amp;CONTROL[[#This Row],[VEHIDCODE]]</f>
        <v>str_electric_Morocco_ONCFM_E_500</v>
      </c>
      <c r="Q431" s="10" t="b">
        <f>_xlfn.XLOOKUP(CONTROL[[#This Row],[VEHIDCODE]],PROPERTIES[VEHIDCODE],PROPERTIES[EXCLUDE])</f>
        <v>0</v>
      </c>
    </row>
    <row r="432" spans="1:17">
      <c r="A432" s="2" t="s">
        <v>452</v>
      </c>
      <c r="B432" s="30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43" t="s">
        <v>1363</v>
      </c>
      <c r="G432" t="s">
        <v>2672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Row],[VEHIDCODE]],roster!A:A,roster!C:C))</f>
        <v>1</v>
      </c>
      <c r="N432" t="b">
        <f>ISNUMBER(_xlfn.XMATCH(CONTROL[[#This Row],[VEHIDCODE]],GRAPHICS_PROPERTIES[VEHIDCODE],0))</f>
        <v>1</v>
      </c>
      <c r="O432" s="30" t="str">
        <f>"item_"&amp;CONTROL[[#This Row],[VEHIDCODE]]</f>
        <v>item_electric_UK_BR_85</v>
      </c>
      <c r="P432" s="30" t="str">
        <f>"str_"&amp;CONTROL[[#This Row],[VEHIDCODE]]</f>
        <v>str_electric_UK_BR_85</v>
      </c>
      <c r="Q432" s="10" t="b">
        <f>_xlfn.XLOOKUP(CONTROL[[#This Row],[VEHIDCODE]],PROPERTIES[VEHIDCODE],PROPERTIES[EXCLUDE])</f>
        <v>0</v>
      </c>
    </row>
    <row r="433" spans="1:17">
      <c r="A433" s="2" t="s">
        <v>453</v>
      </c>
      <c r="B433" s="30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43" t="s">
        <v>1364</v>
      </c>
      <c r="G433" t="s">
        <v>2673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Row],[VEHIDCODE]],roster!A:A,roster!C:C))</f>
        <v>1</v>
      </c>
      <c r="N433" t="b">
        <f>ISNUMBER(_xlfn.XMATCH(CONTROL[[#This Row],[VEHIDCODE]],GRAPHICS_PROPERTIES[VEHIDCODE],0))</f>
        <v>1</v>
      </c>
      <c r="O433" s="30" t="str">
        <f>"item_"&amp;CONTROL[[#This Row],[VEHIDCODE]]</f>
        <v>item_electric_Mexico_FNM_GE_E60C_2</v>
      </c>
      <c r="P433" s="30" t="str">
        <f>"str_"&amp;CONTROL[[#This Row],[VEHIDCODE]]</f>
        <v>str_electric_Mexico_FNM_GE_E60C_2</v>
      </c>
      <c r="Q433" s="10" t="b">
        <f>_xlfn.XLOOKUP(CONTROL[[#This Row],[VEHIDCODE]],PROPERTIES[VEHIDCODE],PROPERTIES[EXCLUDE])</f>
        <v>0</v>
      </c>
    </row>
    <row r="434" spans="1:17">
      <c r="A434" s="2" t="s">
        <v>454</v>
      </c>
      <c r="B434" s="30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43" t="s">
        <v>1365</v>
      </c>
      <c r="G434" t="s">
        <v>2674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Row],[VEHIDCODE]],roster!A:A,roster!C:C))</f>
        <v>1</v>
      </c>
      <c r="N434" t="b">
        <f>ISNUMBER(_xlfn.XMATCH(CONTROL[[#This Row],[VEHIDCODE]],GRAPHICS_PROPERTIES[VEHIDCODE],0))</f>
        <v>1</v>
      </c>
      <c r="O434" s="30" t="str">
        <f>"item_"&amp;CONTROL[[#This Row],[VEHIDCODE]]</f>
        <v>item_electric_Morocco_ONCF_E_1400_Prima_II</v>
      </c>
      <c r="P434" s="30" t="str">
        <f>"str_"&amp;CONTROL[[#This Row],[VEHIDCODE]]</f>
        <v>str_electric_Morocco_ONCF_E_1400_Prima_II</v>
      </c>
      <c r="Q434" s="10" t="b">
        <f>_xlfn.XLOOKUP(CONTROL[[#This Row],[VEHIDCODE]],PROPERTIES[VEHIDCODE],PROPERTIES[EXCLUDE])</f>
        <v>0</v>
      </c>
    </row>
    <row r="435" spans="1:17">
      <c r="A435" s="2" t="s">
        <v>455</v>
      </c>
      <c r="B435" s="30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43" t="s">
        <v>1366</v>
      </c>
      <c r="G435" t="s">
        <v>2675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Row],[VEHIDCODE]],roster!A:A,roster!C:C))</f>
        <v>1</v>
      </c>
      <c r="N435" t="b">
        <f>ISNUMBER(_xlfn.XMATCH(CONTROL[[#This Row],[VEHIDCODE]],GRAPHICS_PROPERTIES[VEHIDCODE],0))</f>
        <v>1</v>
      </c>
      <c r="O435" s="30" t="str">
        <f>"item_"&amp;CONTROL[[#This Row],[VEHIDCODE]]</f>
        <v>item_electric_New_Zealand_NZR_EA</v>
      </c>
      <c r="P435" s="30" t="str">
        <f>"str_"&amp;CONTROL[[#This Row],[VEHIDCODE]]</f>
        <v>str_electric_New_Zealand_NZR_EA</v>
      </c>
      <c r="Q435" s="10" t="b">
        <f>_xlfn.XLOOKUP(CONTROL[[#This Row],[VEHIDCODE]],PROPERTIES[VEHIDCODE],PROPERTIES[EXCLUDE])</f>
        <v>0</v>
      </c>
    </row>
    <row r="436" spans="1:17">
      <c r="A436" s="2" t="s">
        <v>456</v>
      </c>
      <c r="B436" s="30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43" t="s">
        <v>1367</v>
      </c>
      <c r="G436" t="s">
        <v>2676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Row],[VEHIDCODE]],roster!A:A,roster!C:C))</f>
        <v>1</v>
      </c>
      <c r="N436" t="b">
        <f>ISNUMBER(_xlfn.XMATCH(CONTROL[[#This Row],[VEHIDCODE]],GRAPHICS_PROPERTIES[VEHIDCODE],0))</f>
        <v>1</v>
      </c>
      <c r="O436" s="30" t="str">
        <f>"item_"&amp;CONTROL[[#This Row],[VEHIDCODE]]</f>
        <v>item_electric_Canada_BC_Rail_GF6C</v>
      </c>
      <c r="P436" s="30" t="str">
        <f>"str_"&amp;CONTROL[[#This Row],[VEHIDCODE]]</f>
        <v>str_electric_Canada_BC_Rail_GF6C</v>
      </c>
      <c r="Q436" s="10" t="b">
        <f>_xlfn.XLOOKUP(CONTROL[[#This Row],[VEHIDCODE]],PROPERTIES[VEHIDCODE],PROPERTIES[EXCLUDE])</f>
        <v>0</v>
      </c>
    </row>
    <row r="437" spans="1:17">
      <c r="A437" s="2" t="s">
        <v>457</v>
      </c>
      <c r="B437" s="30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43" t="s">
        <v>1368</v>
      </c>
      <c r="G437" t="s">
        <v>2678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Row],[VEHIDCODE]],roster!A:A,roster!C:C))</f>
        <v>1</v>
      </c>
      <c r="N437" t="b">
        <f>ISNUMBER(_xlfn.XMATCH(CONTROL[[#This Row],[VEHIDCODE]],GRAPHICS_PROPERTIES[VEHIDCODE],0))</f>
        <v>1</v>
      </c>
      <c r="O437" s="30" t="str">
        <f>"item_"&amp;CONTROL[[#This Row],[VEHIDCODE]]</f>
        <v>item_electric_France_SNCF_BB_22200</v>
      </c>
      <c r="P437" s="30" t="str">
        <f>"str_"&amp;CONTROL[[#This Row],[VEHIDCODE]]</f>
        <v>str_electric_France_SNCF_BB_22200</v>
      </c>
      <c r="Q437" s="10" t="b">
        <f>_xlfn.XLOOKUP(CONTROL[[#This Row],[VEHIDCODE]],PROPERTIES[VEHIDCODE],PROPERTIES[EXCLUDE])</f>
        <v>0</v>
      </c>
    </row>
    <row r="438" spans="1:17">
      <c r="A438" s="2" t="s">
        <v>458</v>
      </c>
      <c r="B438" s="30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43" t="s">
        <v>1369</v>
      </c>
      <c r="G438" t="s">
        <v>2677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Row],[VEHIDCODE]],roster!A:A,roster!C:C))</f>
        <v>1</v>
      </c>
      <c r="N438" t="b">
        <f>ISNUMBER(_xlfn.XMATCH(CONTROL[[#This Row],[VEHIDCODE]],GRAPHICS_PROPERTIES[VEHIDCODE],0))</f>
        <v>1</v>
      </c>
      <c r="O438" s="30" t="str">
        <f>"item_"&amp;CONTROL[[#This Row],[VEHIDCODE]]</f>
        <v>item_electric_France_SNCF_BB_26000</v>
      </c>
      <c r="P438" s="30" t="str">
        <f>"str_"&amp;CONTROL[[#This Row],[VEHIDCODE]]</f>
        <v>str_electric_France_SNCF_BB_26000</v>
      </c>
      <c r="Q438" s="10" t="b">
        <f>_xlfn.XLOOKUP(CONTROL[[#This Row],[VEHIDCODE]],PROPERTIES[VEHIDCODE],PROPERTIES[EXCLUDE])</f>
        <v>0</v>
      </c>
    </row>
    <row r="439" spans="1:17">
      <c r="A439" s="2" t="s">
        <v>459</v>
      </c>
      <c r="B439" s="30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43" t="s">
        <v>1370</v>
      </c>
      <c r="G439" t="s">
        <v>2679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Row],[VEHIDCODE]],roster!A:A,roster!C:C))</f>
        <v>1</v>
      </c>
      <c r="N439" t="b">
        <f>ISNUMBER(_xlfn.XMATCH(CONTROL[[#This Row],[VEHIDCODE]],GRAPHICS_PROPERTIES[VEHIDCODE],0))</f>
        <v>1</v>
      </c>
      <c r="O439" s="30" t="str">
        <f>"item_"&amp;CONTROL[[#This Row],[VEHIDCODE]]</f>
        <v>item_electric_France_SNCF_BB_25500</v>
      </c>
      <c r="P439" s="30" t="str">
        <f>"str_"&amp;CONTROL[[#This Row],[VEHIDCODE]]</f>
        <v>str_electric_France_SNCF_BB_25500</v>
      </c>
      <c r="Q439" s="10" t="b">
        <f>_xlfn.XLOOKUP(CONTROL[[#This Row],[VEHIDCODE]],PROPERTIES[VEHIDCODE],PROPERTIES[EXCLUDE])</f>
        <v>0</v>
      </c>
    </row>
    <row r="440" spans="1:17">
      <c r="A440" s="2" t="s">
        <v>460</v>
      </c>
      <c r="B440" s="30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43" t="s">
        <v>1371</v>
      </c>
      <c r="G440" t="s">
        <v>2680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Row],[VEHIDCODE]],roster!A:A,roster!C:C))</f>
        <v>1</v>
      </c>
      <c r="N440" t="b">
        <f>ISNUMBER(_xlfn.XMATCH(CONTROL[[#This Row],[VEHIDCODE]],GRAPHICS_PROPERTIES[VEHIDCODE],0))</f>
        <v>1</v>
      </c>
      <c r="O440" s="30" t="str">
        <f>"item_"&amp;CONTROL[[#This Row],[VEHIDCODE]]</f>
        <v>item_electric_Germany_DB_182_ES64U_Taurus</v>
      </c>
      <c r="P440" s="30" t="str">
        <f>"str_"&amp;CONTROL[[#This Row],[VEHIDCODE]]</f>
        <v>str_electric_Germany_DB_182_ES64U_Taurus</v>
      </c>
      <c r="Q440" s="10" t="b">
        <f>_xlfn.XLOOKUP(CONTROL[[#This Row],[VEHIDCODE]],PROPERTIES[VEHIDCODE],PROPERTIES[EXCLUDE])</f>
        <v>0</v>
      </c>
    </row>
    <row r="441" spans="1:17">
      <c r="A441" s="2" t="s">
        <v>461</v>
      </c>
      <c r="B441" s="30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43" t="s">
        <v>1372</v>
      </c>
      <c r="G441" t="s">
        <v>2681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Row],[VEHIDCODE]],roster!A:A,roster!C:C))</f>
        <v>1</v>
      </c>
      <c r="N441" t="b">
        <f>ISNUMBER(_xlfn.XMATCH(CONTROL[[#This Row],[VEHIDCODE]],GRAPHICS_PROPERTIES[VEHIDCODE],0))</f>
        <v>1</v>
      </c>
      <c r="O441" s="30" t="str">
        <f>"item_"&amp;CONTROL[[#This Row],[VEHIDCODE]]</f>
        <v>item_electric_Japan_JR_EH500</v>
      </c>
      <c r="P441" s="30" t="str">
        <f>"str_"&amp;CONTROL[[#This Row],[VEHIDCODE]]</f>
        <v>str_electric_Japan_JR_EH500</v>
      </c>
      <c r="Q441" s="10" t="b">
        <f>_xlfn.XLOOKUP(CONTROL[[#This Row],[VEHIDCODE]],PROPERTIES[VEHIDCODE],PROPERTIES[EXCLUDE])</f>
        <v>0</v>
      </c>
    </row>
    <row r="442" spans="1:17">
      <c r="A442" s="2" t="s">
        <v>462</v>
      </c>
      <c r="B442" s="30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43" t="s">
        <v>1373</v>
      </c>
      <c r="G442" t="s">
        <v>2682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Row],[VEHIDCODE]],roster!A:A,roster!C:C))</f>
        <v>1</v>
      </c>
      <c r="N442" t="b">
        <f>ISNUMBER(_xlfn.XMATCH(CONTROL[[#This Row],[VEHIDCODE]],GRAPHICS_PROPERTIES[VEHIDCODE],0))</f>
        <v>1</v>
      </c>
      <c r="O442" s="30" t="str">
        <f>"item_"&amp;CONTROL[[#This Row],[VEHIDCODE]]</f>
        <v>item_electric_USA_Amtrak_EMD_AEM_7</v>
      </c>
      <c r="P442" s="30" t="str">
        <f>"str_"&amp;CONTROL[[#This Row],[VEHIDCODE]]</f>
        <v>str_electric_USA_Amtrak_EMD_AEM_7</v>
      </c>
      <c r="Q442" s="10" t="b">
        <f>_xlfn.XLOOKUP(CONTROL[[#This Row],[VEHIDCODE]],PROPERTIES[VEHIDCODE],PROPERTIES[EXCLUDE])</f>
        <v>0</v>
      </c>
    </row>
    <row r="443" spans="1:17">
      <c r="A443" s="2" t="s">
        <v>463</v>
      </c>
      <c r="B443" s="30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43" t="s">
        <v>1374</v>
      </c>
      <c r="G443" t="s">
        <v>2683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Row],[VEHIDCODE]],roster!A:A,roster!C:C))</f>
        <v>1</v>
      </c>
      <c r="N443" t="b">
        <f>ISNUMBER(_xlfn.XMATCH(CONTROL[[#This Row],[VEHIDCODE]],GRAPHICS_PROPERTIES[VEHIDCODE],0))</f>
        <v>1</v>
      </c>
      <c r="O443" s="30" t="str">
        <f>"item_"&amp;CONTROL[[#This Row],[VEHIDCODE]]</f>
        <v>item_electric_USA_Amtrak_HHP_8</v>
      </c>
      <c r="P443" s="30" t="str">
        <f>"str_"&amp;CONTROL[[#This Row],[VEHIDCODE]]</f>
        <v>str_electric_USA_Amtrak_HHP_8</v>
      </c>
      <c r="Q443" s="10" t="b">
        <f>_xlfn.XLOOKUP(CONTROL[[#This Row],[VEHIDCODE]],PROPERTIES[VEHIDCODE],PROPERTIES[EXCLUDE])</f>
        <v>0</v>
      </c>
    </row>
    <row r="444" spans="1:17">
      <c r="A444" s="2" t="s">
        <v>464</v>
      </c>
      <c r="B444" s="30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43" t="s">
        <v>3001</v>
      </c>
      <c r="G444" t="s">
        <v>2684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Row],[VEHIDCODE]],roster!A:A,roster!C:C))</f>
        <v>1</v>
      </c>
      <c r="N444" t="b">
        <f>ISNUMBER(_xlfn.XMATCH(CONTROL[[#This Row],[VEHIDCODE]],GRAPHICS_PROPERTIES[VEHIDCODE],0))</f>
        <v>1</v>
      </c>
      <c r="O444" s="30" t="str">
        <f>"item_"&amp;CONTROL[[#This Row],[VEHIDCODE]]</f>
        <v>item_electric_Czech_Republic_CD_380</v>
      </c>
      <c r="P444" s="30" t="str">
        <f>"str_"&amp;CONTROL[[#This Row],[VEHIDCODE]]</f>
        <v>str_electric_Czech_Republic_CD_380</v>
      </c>
      <c r="Q444" s="10" t="b">
        <f>_xlfn.XLOOKUP(CONTROL[[#This Row],[VEHIDCODE]],PROPERTIES[VEHIDCODE],PROPERTIES[EXCLUDE])</f>
        <v>0</v>
      </c>
    </row>
    <row r="445" spans="1:17">
      <c r="A445" s="2" t="s">
        <v>465</v>
      </c>
      <c r="B445" s="30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43" t="s">
        <v>1375</v>
      </c>
      <c r="G445" t="s">
        <v>2685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Row],[VEHIDCODE]],roster!A:A,roster!C:C))</f>
        <v>1</v>
      </c>
      <c r="N445" t="b">
        <f>ISNUMBER(_xlfn.XMATCH(CONTROL[[#This Row],[VEHIDCODE]],GRAPHICS_PROPERTIES[VEHIDCODE],0))</f>
        <v>1</v>
      </c>
      <c r="O445" s="30" t="str">
        <f>"item_"&amp;CONTROL[[#This Row],[VEHIDCODE]]</f>
        <v>item_electric_Spain_RENFE_252</v>
      </c>
      <c r="P445" s="30" t="str">
        <f>"str_"&amp;CONTROL[[#This Row],[VEHIDCODE]]</f>
        <v>str_electric_Spain_RENFE_252</v>
      </c>
      <c r="Q445" s="10" t="b">
        <f>_xlfn.XLOOKUP(CONTROL[[#This Row],[VEHIDCODE]],PROPERTIES[VEHIDCODE],PROPERTIES[EXCLUDE])</f>
        <v>0</v>
      </c>
    </row>
    <row r="446" spans="1:17">
      <c r="A446" s="2" t="s">
        <v>466</v>
      </c>
      <c r="B446" s="30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43" t="s">
        <v>1376</v>
      </c>
      <c r="G446" t="s">
        <v>2686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Row],[VEHIDCODE]],roster!A:A,roster!C:C))</f>
        <v>1</v>
      </c>
      <c r="N446" t="b">
        <f>ISNUMBER(_xlfn.XMATCH(CONTROL[[#This Row],[VEHIDCODE]],GRAPHICS_PROPERTIES[VEHIDCODE],0))</f>
        <v>1</v>
      </c>
      <c r="O446" s="30" t="str">
        <f>"item_"&amp;CONTROL[[#This Row],[VEHIDCODE]]</f>
        <v>item_electric_Germany_DB_185_TRAXX_F140</v>
      </c>
      <c r="P446" s="30" t="str">
        <f>"str_"&amp;CONTROL[[#This Row],[VEHIDCODE]]</f>
        <v>str_electric_Germany_DB_185_TRAXX_F140</v>
      </c>
      <c r="Q446" s="10" t="b">
        <f>_xlfn.XLOOKUP(CONTROL[[#This Row],[VEHIDCODE]],PROPERTIES[VEHIDCODE],PROPERTIES[EXCLUDE])</f>
        <v>0</v>
      </c>
    </row>
    <row r="447" spans="1:17">
      <c r="A447" s="2" t="s">
        <v>467</v>
      </c>
      <c r="B447" s="30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43" t="s">
        <v>1377</v>
      </c>
      <c r="G447" t="s">
        <v>2687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Row],[VEHIDCODE]],roster!A:A,roster!C:C))</f>
        <v>1</v>
      </c>
      <c r="N447" t="b">
        <f>ISNUMBER(_xlfn.XMATCH(CONTROL[[#This Row],[VEHIDCODE]],GRAPHICS_PROPERTIES[VEHIDCODE],0))</f>
        <v>1</v>
      </c>
      <c r="O447" s="30" t="str">
        <f>"item_"&amp;CONTROL[[#This Row],[VEHIDCODE]]</f>
        <v>item_electric_Italy_FS_E550</v>
      </c>
      <c r="P447" s="30" t="str">
        <f>"str_"&amp;CONTROL[[#This Row],[VEHIDCODE]]</f>
        <v>str_electric_Italy_FS_E550</v>
      </c>
      <c r="Q447" s="10" t="b">
        <f>_xlfn.XLOOKUP(CONTROL[[#This Row],[VEHIDCODE]],PROPERTIES[VEHIDCODE],PROPERTIES[EXCLUDE])</f>
        <v>0</v>
      </c>
    </row>
    <row r="448" spans="1:17">
      <c r="A448" s="2" t="s">
        <v>468</v>
      </c>
      <c r="B448" s="30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43" t="s">
        <v>1378</v>
      </c>
      <c r="G448" t="s">
        <v>2688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Row],[VEHIDCODE]],roster!A:A,roster!C:C))</f>
        <v>1</v>
      </c>
      <c r="N448" t="b">
        <f>ISNUMBER(_xlfn.XMATCH(CONTROL[[#This Row],[VEHIDCODE]],GRAPHICS_PROPERTIES[VEHIDCODE],0))</f>
        <v>1</v>
      </c>
      <c r="O448" s="30" t="str">
        <f>"item_"&amp;CONTROL[[#This Row],[VEHIDCODE]]</f>
        <v>item_electric_Japan_JNR_EF81</v>
      </c>
      <c r="P448" s="30" t="str">
        <f>"str_"&amp;CONTROL[[#This Row],[VEHIDCODE]]</f>
        <v>str_electric_Japan_JNR_EF81</v>
      </c>
      <c r="Q448" s="10" t="b">
        <f>_xlfn.XLOOKUP(CONTROL[[#This Row],[VEHIDCODE]],PROPERTIES[VEHIDCODE],PROPERTIES[EXCLUDE])</f>
        <v>0</v>
      </c>
    </row>
    <row r="449" spans="1:17">
      <c r="A449" s="2" t="s">
        <v>469</v>
      </c>
      <c r="B449" s="30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43" t="s">
        <v>1379</v>
      </c>
      <c r="G449" t="s">
        <v>2689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Row],[VEHIDCODE]],roster!A:A,roster!C:C))</f>
        <v>1</v>
      </c>
      <c r="N449" t="b">
        <f>ISNUMBER(_xlfn.XMATCH(CONTROL[[#This Row],[VEHIDCODE]],GRAPHICS_PROPERTIES[VEHIDCODE],0))</f>
        <v>1</v>
      </c>
      <c r="O449" s="30" t="str">
        <f>"item_"&amp;CONTROL[[#This Row],[VEHIDCODE]]</f>
        <v>item_electric_UK_BR_92</v>
      </c>
      <c r="P449" s="30" t="str">
        <f>"str_"&amp;CONTROL[[#This Row],[VEHIDCODE]]</f>
        <v>str_electric_UK_BR_92</v>
      </c>
      <c r="Q449" s="10" t="b">
        <f>_xlfn.XLOOKUP(CONTROL[[#This Row],[VEHIDCODE]],PROPERTIES[VEHIDCODE],PROPERTIES[EXCLUDE])</f>
        <v>0</v>
      </c>
    </row>
    <row r="450" spans="1:17">
      <c r="A450" s="2" t="s">
        <v>470</v>
      </c>
      <c r="B450" s="30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43" t="s">
        <v>1380</v>
      </c>
      <c r="G450" t="s">
        <v>2690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Row],[VEHIDCODE]],roster!A:A,roster!C:C))</f>
        <v>1</v>
      </c>
      <c r="N450" t="b">
        <f>ISNUMBER(_xlfn.XMATCH(CONTROL[[#This Row],[VEHIDCODE]],GRAPHICS_PROPERTIES[VEHIDCODE],0))</f>
        <v>1</v>
      </c>
      <c r="O450" s="30" t="str">
        <f>"item_"&amp;CONTROL[[#This Row],[VEHIDCODE]]</f>
        <v>item_electric_USA_Amtrak_ACS_64</v>
      </c>
      <c r="P450" s="30" t="str">
        <f>"str_"&amp;CONTROL[[#This Row],[VEHIDCODE]]</f>
        <v>str_electric_USA_Amtrak_ACS_64</v>
      </c>
      <c r="Q450" s="10" t="b">
        <f>_xlfn.XLOOKUP(CONTROL[[#This Row],[VEHIDCODE]],PROPERTIES[VEHIDCODE],PROPERTIES[EXCLUDE])</f>
        <v>0</v>
      </c>
    </row>
    <row r="451" spans="1:17">
      <c r="A451" s="2" t="s">
        <v>471</v>
      </c>
      <c r="B451" s="30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43" t="s">
        <v>2691</v>
      </c>
      <c r="G451" t="s">
        <v>2692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Row],[VEHIDCODE]],roster!A:A,roster!C:C))</f>
        <v>1</v>
      </c>
      <c r="N451" t="b">
        <f>ISNUMBER(_xlfn.XMATCH(CONTROL[[#This Row],[VEHIDCODE]],GRAPHICS_PROPERTIES[VEHIDCODE],0))</f>
        <v>1</v>
      </c>
      <c r="O451" s="30" t="str">
        <f>"item_"&amp;CONTROL[[#This Row],[VEHIDCODE]]</f>
        <v>item_electric_France_SNCF_CC_40100</v>
      </c>
      <c r="P451" s="30" t="str">
        <f>"str_"&amp;CONTROL[[#This Row],[VEHIDCODE]]</f>
        <v>str_electric_France_SNCF_CC_40100</v>
      </c>
      <c r="Q451" s="10" t="b">
        <f>_xlfn.XLOOKUP(CONTROL[[#This Row],[VEHIDCODE]],PROPERTIES[VEHIDCODE],PROPERTIES[EXCLUDE])</f>
        <v>0</v>
      </c>
    </row>
    <row r="452" spans="1:17">
      <c r="A452" s="2" t="s">
        <v>472</v>
      </c>
      <c r="B452" s="30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43" t="s">
        <v>1381</v>
      </c>
      <c r="G452" t="s">
        <v>2693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Row],[VEHIDCODE]],roster!A:A,roster!C:C))</f>
        <v>1</v>
      </c>
      <c r="N452" t="b">
        <f>ISNUMBER(_xlfn.XMATCH(CONTROL[[#This Row],[VEHIDCODE]],GRAPHICS_PROPERTIES[VEHIDCODE],0))</f>
        <v>1</v>
      </c>
      <c r="O452" s="30" t="str">
        <f>"item_"&amp;CONTROL[[#This Row],[VEHIDCODE]]</f>
        <v>item_electric_Belgium_NMBS_SNCB_13_HLE</v>
      </c>
      <c r="P452" s="30" t="str">
        <f>"str_"&amp;CONTROL[[#This Row],[VEHIDCODE]]</f>
        <v>str_electric_Belgium_NMBS_SNCB_13_HLE</v>
      </c>
      <c r="Q452" s="10" t="b">
        <f>_xlfn.XLOOKUP(CONTROL[[#This Row],[VEHIDCODE]],PROPERTIES[VEHIDCODE],PROPERTIES[EXCLUDE])</f>
        <v>0</v>
      </c>
    </row>
    <row r="453" spans="1:17">
      <c r="A453" s="2" t="s">
        <v>473</v>
      </c>
      <c r="B453" s="30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43" t="s">
        <v>1382</v>
      </c>
      <c r="G453" t="s">
        <v>2701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Row],[VEHIDCODE]],roster!A:A,roster!C:C))</f>
        <v>1</v>
      </c>
      <c r="N453" t="b">
        <f>ISNUMBER(_xlfn.XMATCH(CONTROL[[#This Row],[VEHIDCODE]],GRAPHICS_PROPERTIES[VEHIDCODE],0))</f>
        <v>1</v>
      </c>
      <c r="O453" s="30" t="str">
        <f>"item_"&amp;CONTROL[[#This Row],[VEHIDCODE]]</f>
        <v>item_dmu_Germany_DB_VT_040_Flying_Hamburger</v>
      </c>
      <c r="P453" s="30" t="str">
        <f>"str_"&amp;CONTROL[[#This Row],[VEHIDCODE]]</f>
        <v>str_dmu_Germany_DB_VT_040_Flying_Hamburger</v>
      </c>
      <c r="Q453" s="10" t="b">
        <f>_xlfn.XLOOKUP(CONTROL[[#This Row],[VEHIDCODE]],PROPERTIES[VEHIDCODE],PROPERTIES[EXCLUDE])</f>
        <v>0</v>
      </c>
    </row>
    <row r="454" spans="1:17">
      <c r="A454" s="2" t="s">
        <v>474</v>
      </c>
      <c r="B454" s="30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43" t="s">
        <v>1383</v>
      </c>
      <c r="G454" t="s">
        <v>2694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Row],[VEHIDCODE]],roster!A:A,roster!C:C))</f>
        <v>1</v>
      </c>
      <c r="N454" t="b">
        <f>ISNUMBER(_xlfn.XMATCH(CONTROL[[#This Row],[VEHIDCODE]],GRAPHICS_PROPERTIES[VEHIDCODE],0))</f>
        <v>1</v>
      </c>
      <c r="O454" s="30" t="str">
        <f>"item_"&amp;CONTROL[[#This Row],[VEHIDCODE]]</f>
        <v>item_dmu_Australia_NSWGR_Silver_City_Comet</v>
      </c>
      <c r="P454" s="30" t="str">
        <f>"str_"&amp;CONTROL[[#This Row],[VEHIDCODE]]</f>
        <v>str_dmu_Australia_NSWGR_Silver_City_Comet</v>
      </c>
      <c r="Q454" s="10" t="b">
        <f>_xlfn.XLOOKUP(CONTROL[[#This Row],[VEHIDCODE]],PROPERTIES[VEHIDCODE],PROPERTIES[EXCLUDE])</f>
        <v>0</v>
      </c>
    </row>
    <row r="455" spans="1:17">
      <c r="A455" s="2" t="s">
        <v>475</v>
      </c>
      <c r="B455" s="30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43" t="s">
        <v>3002</v>
      </c>
      <c r="G455" t="s">
        <v>2695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Row],[VEHIDCODE]],roster!A:A,roster!C:C))</f>
        <v>1</v>
      </c>
      <c r="N455" t="b">
        <f>ISNUMBER(_xlfn.XMATCH(CONTROL[[#This Row],[VEHIDCODE]],GRAPHICS_PROPERTIES[VEHIDCODE],0))</f>
        <v>1</v>
      </c>
      <c r="O455" s="30" t="str">
        <f>"item_"&amp;CONTROL[[#This Row],[VEHIDCODE]]</f>
        <v>item_dmu_Czech_Republic_CD_M131</v>
      </c>
      <c r="P455" s="30" t="str">
        <f>"str_"&amp;CONTROL[[#This Row],[VEHIDCODE]]</f>
        <v>str_dmu_Czech_Republic_CD_M131</v>
      </c>
      <c r="Q455" s="10" t="b">
        <f>_xlfn.XLOOKUP(CONTROL[[#This Row],[VEHIDCODE]],PROPERTIES[VEHIDCODE],PROPERTIES[EXCLUDE])</f>
        <v>0</v>
      </c>
    </row>
    <row r="456" spans="1:17">
      <c r="A456" s="2" t="s">
        <v>476</v>
      </c>
      <c r="B456" s="30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43" t="s">
        <v>1384</v>
      </c>
      <c r="G456" t="s">
        <v>2696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Row],[VEHIDCODE]],roster!A:A,roster!C:C))</f>
        <v>1</v>
      </c>
      <c r="N456" t="b">
        <f>ISNUMBER(_xlfn.XMATCH(CONTROL[[#This Row],[VEHIDCODE]],GRAPHICS_PROPERTIES[VEHIDCODE],0))</f>
        <v>1</v>
      </c>
      <c r="O456" s="30" t="str">
        <f>"item_"&amp;CONTROL[[#This Row],[VEHIDCODE]]</f>
        <v>item_dmu_Germany_DB_VT_085</v>
      </c>
      <c r="P456" s="30" t="str">
        <f>"str_"&amp;CONTROL[[#This Row],[VEHIDCODE]]</f>
        <v>str_dmu_Germany_DB_VT_085</v>
      </c>
      <c r="Q456" s="10" t="b">
        <f>_xlfn.XLOOKUP(CONTROL[[#This Row],[VEHIDCODE]],PROPERTIES[VEHIDCODE],PROPERTIES[EXCLUDE])</f>
        <v>0</v>
      </c>
    </row>
    <row r="457" spans="1:17">
      <c r="A457" s="2" t="s">
        <v>477</v>
      </c>
      <c r="B457" s="30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43" t="s">
        <v>1704</v>
      </c>
      <c r="G457" t="s">
        <v>2697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Row],[VEHIDCODE]],roster!A:A,roster!C:C))</f>
        <v>1</v>
      </c>
      <c r="N457" t="b">
        <f>ISNUMBER(_xlfn.XMATCH(CONTROL[[#This Row],[VEHIDCODE]],GRAPHICS_PROPERTIES[VEHIDCODE],0))</f>
        <v>1</v>
      </c>
      <c r="O457" s="30" t="str">
        <f>"item_"&amp;CONTROL[[#This Row],[VEHIDCODE]]</f>
        <v>item_dmu_Australia_Queensland_Rail_400</v>
      </c>
      <c r="P457" s="30" t="str">
        <f>"str_"&amp;CONTROL[[#This Row],[VEHIDCODE]]</f>
        <v>str_dmu_Australia_Queensland_Rail_400</v>
      </c>
      <c r="Q457" s="10" t="b">
        <f>_xlfn.XLOOKUP(CONTROL[[#This Row],[VEHIDCODE]],PROPERTIES[VEHIDCODE],PROPERTIES[EXCLUDE])</f>
        <v>0</v>
      </c>
    </row>
    <row r="458" spans="1:17">
      <c r="A458" s="2" t="s">
        <v>478</v>
      </c>
      <c r="B458" s="30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43" t="s">
        <v>1385</v>
      </c>
      <c r="G458" t="s">
        <v>2698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Row],[VEHIDCODE]],roster!A:A,roster!C:C))</f>
        <v>1</v>
      </c>
      <c r="N458" t="b">
        <f>ISNUMBER(_xlfn.XMATCH(CONTROL[[#This Row],[VEHIDCODE]],GRAPHICS_PROPERTIES[VEHIDCODE],0))</f>
        <v>1</v>
      </c>
      <c r="O458" s="30" t="str">
        <f>"item_"&amp;CONTROL[[#This Row],[VEHIDCODE]]</f>
        <v>item_dmu_Germany_DB_VT_115</v>
      </c>
      <c r="P458" s="30" t="str">
        <f>"str_"&amp;CONTROL[[#This Row],[VEHIDCODE]]</f>
        <v>str_dmu_Germany_DB_VT_115</v>
      </c>
      <c r="Q458" s="10" t="b">
        <f>_xlfn.XLOOKUP(CONTROL[[#This Row],[VEHIDCODE]],PROPERTIES[VEHIDCODE],PROPERTIES[EXCLUDE])</f>
        <v>0</v>
      </c>
    </row>
    <row r="459" spans="1:17">
      <c r="A459" s="2" t="s">
        <v>479</v>
      </c>
      <c r="B459" s="30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43" t="s">
        <v>1386</v>
      </c>
      <c r="G459" t="s">
        <v>2699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Row],[VEHIDCODE]],roster!A:A,roster!C:C))</f>
        <v>1</v>
      </c>
      <c r="N459" t="b">
        <f>ISNUMBER(_xlfn.XMATCH(CONTROL[[#This Row],[VEHIDCODE]],GRAPHICS_PROPERTIES[VEHIDCODE],0))</f>
        <v>1</v>
      </c>
      <c r="O459" s="30" t="str">
        <f>"item_"&amp;CONTROL[[#This Row],[VEHIDCODE]]</f>
        <v>item_dmu_Netherlands_NS_Plan_U_DE_III</v>
      </c>
      <c r="P459" s="30" t="str">
        <f>"str_"&amp;CONTROL[[#This Row],[VEHIDCODE]]</f>
        <v>str_dmu_Netherlands_NS_Plan_U_DE_III</v>
      </c>
      <c r="Q459" s="10" t="b">
        <f>_xlfn.XLOOKUP(CONTROL[[#This Row],[VEHIDCODE]],PROPERTIES[VEHIDCODE],PROPERTIES[EXCLUDE])</f>
        <v>0</v>
      </c>
    </row>
    <row r="460" spans="1:17">
      <c r="A460" s="2" t="s">
        <v>480</v>
      </c>
      <c r="B460" s="30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43" t="s">
        <v>1387</v>
      </c>
      <c r="G460" t="s">
        <v>2700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Row],[VEHIDCODE]],roster!A:A,roster!C:C))</f>
        <v>1</v>
      </c>
      <c r="N460" t="b">
        <f>ISNUMBER(_xlfn.XMATCH(CONTROL[[#This Row],[VEHIDCODE]],GRAPHICS_PROPERTIES[VEHIDCODE],0))</f>
        <v>1</v>
      </c>
      <c r="O460" s="30" t="str">
        <f>"item_"&amp;CONTROL[[#This Row],[VEHIDCODE]]</f>
        <v>item_dmu_Canada_CNR_Turbo_Train</v>
      </c>
      <c r="P460" s="30" t="str">
        <f>"str_"&amp;CONTROL[[#This Row],[VEHIDCODE]]</f>
        <v>str_dmu_Canada_CNR_Turbo_Train</v>
      </c>
      <c r="Q460" s="10" t="b">
        <f>_xlfn.XLOOKUP(CONTROL[[#This Row],[VEHIDCODE]],PROPERTIES[VEHIDCODE],PROPERTIES[EXCLUDE])</f>
        <v>0</v>
      </c>
    </row>
    <row r="461" spans="1:17">
      <c r="A461" s="2" t="s">
        <v>481</v>
      </c>
      <c r="B461" s="30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43" t="s">
        <v>1388</v>
      </c>
      <c r="G461" t="s">
        <v>1696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Row],[VEHIDCODE]],roster!A:A,roster!C:C))</f>
        <v>1</v>
      </c>
      <c r="N461" t="b">
        <f>ISNUMBER(_xlfn.XMATCH(CONTROL[[#This Row],[VEHIDCODE]],GRAPHICS_PROPERTIES[VEHIDCODE],0))</f>
        <v>1</v>
      </c>
      <c r="O461" s="30" t="str">
        <f>"item_"&amp;CONTROL[[#This Row],[VEHIDCODE]]</f>
        <v>item_dmu_Serbia_ZS_811</v>
      </c>
      <c r="P461" s="30" t="str">
        <f>"str_"&amp;CONTROL[[#This Row],[VEHIDCODE]]</f>
        <v>str_dmu_Serbia_ZS_811</v>
      </c>
      <c r="Q461" s="10" t="b">
        <f>_xlfn.XLOOKUP(CONTROL[[#This Row],[VEHIDCODE]],PROPERTIES[VEHIDCODE],PROPERTIES[EXCLUDE])</f>
        <v>0</v>
      </c>
    </row>
    <row r="462" spans="1:17">
      <c r="A462" s="2" t="s">
        <v>482</v>
      </c>
      <c r="B462" s="30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43" t="s">
        <v>1389</v>
      </c>
      <c r="G462" t="s">
        <v>2702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Row],[VEHIDCODE]],roster!A:A,roster!C:C))</f>
        <v>1</v>
      </c>
      <c r="N462" t="b">
        <f>ISNUMBER(_xlfn.XMATCH(CONTROL[[#This Row],[VEHIDCODE]],GRAPHICS_PROPERTIES[VEHIDCODE],0))</f>
        <v>1</v>
      </c>
      <c r="O462" s="30" t="str">
        <f>"item_"&amp;CONTROL[[#This Row],[VEHIDCODE]]</f>
        <v>item_dmu_UK_BR_43_IC125</v>
      </c>
      <c r="P462" s="30" t="str">
        <f>"str_"&amp;CONTROL[[#This Row],[VEHIDCODE]]</f>
        <v>str_dmu_UK_BR_43_IC125</v>
      </c>
      <c r="Q462" s="10" t="b">
        <f>_xlfn.XLOOKUP(CONTROL[[#This Row],[VEHIDCODE]],PROPERTIES[VEHIDCODE],PROPERTIES[EXCLUDE])</f>
        <v>0</v>
      </c>
    </row>
    <row r="463" spans="1:17">
      <c r="A463" s="2" t="s">
        <v>483</v>
      </c>
      <c r="B463" s="30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43" t="s">
        <v>1390</v>
      </c>
      <c r="G463" t="s">
        <v>2703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Row],[VEHIDCODE]],roster!A:A,roster!C:C))</f>
        <v>1</v>
      </c>
      <c r="N463" t="b">
        <f>ISNUMBER(_xlfn.XMATCH(CONTROL[[#This Row],[VEHIDCODE]],GRAPHICS_PROPERTIES[VEHIDCODE],0))</f>
        <v>1</v>
      </c>
      <c r="O463" s="30" t="str">
        <f>"item_"&amp;CONTROL[[#This Row],[VEHIDCODE]]</f>
        <v>item_dmu_Canada_VIA_Rail_LRC</v>
      </c>
      <c r="P463" s="30" t="str">
        <f>"str_"&amp;CONTROL[[#This Row],[VEHIDCODE]]</f>
        <v>str_dmu_Canada_VIA_Rail_LRC</v>
      </c>
      <c r="Q463" s="10" t="b">
        <f>_xlfn.XLOOKUP(CONTROL[[#This Row],[VEHIDCODE]],PROPERTIES[VEHIDCODE],PROPERTIES[EXCLUDE])</f>
        <v>0</v>
      </c>
    </row>
    <row r="464" spans="1:17">
      <c r="A464" s="2" t="s">
        <v>484</v>
      </c>
      <c r="B464" s="30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43" t="s">
        <v>1391</v>
      </c>
      <c r="G464" t="s">
        <v>2704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Row],[VEHIDCODE]],roster!A:A,roster!C:C))</f>
        <v>1</v>
      </c>
      <c r="N464" t="b">
        <f>ISNUMBER(_xlfn.XMATCH(CONTROL[[#This Row],[VEHIDCODE]],GRAPHICS_PROPERTIES[VEHIDCODE],0))</f>
        <v>1</v>
      </c>
      <c r="O464" s="30" t="str">
        <f>"item_"&amp;CONTROL[[#This Row],[VEHIDCODE]]</f>
        <v>item_dmu_Sweden_SJ_Y2</v>
      </c>
      <c r="P464" s="30" t="str">
        <f>"str_"&amp;CONTROL[[#This Row],[VEHIDCODE]]</f>
        <v>str_dmu_Sweden_SJ_Y2</v>
      </c>
      <c r="Q464" s="10" t="b">
        <f>_xlfn.XLOOKUP(CONTROL[[#This Row],[VEHIDCODE]],PROPERTIES[VEHIDCODE],PROPERTIES[EXCLUDE])</f>
        <v>0</v>
      </c>
    </row>
    <row r="465" spans="1:17">
      <c r="A465" s="2" t="s">
        <v>485</v>
      </c>
      <c r="B465" s="30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43" t="s">
        <v>1392</v>
      </c>
      <c r="G465" t="s">
        <v>2705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Row],[VEHIDCODE]],roster!A:A,roster!C:C))</f>
        <v>1</v>
      </c>
      <c r="N465" t="b">
        <f>ISNUMBER(_xlfn.XMATCH(CONTROL[[#This Row],[VEHIDCODE]],GRAPHICS_PROPERTIES[VEHIDCODE],0))</f>
        <v>1</v>
      </c>
      <c r="O465" s="30" t="str">
        <f>"item_"&amp;CONTROL[[#This Row],[VEHIDCODE]]</f>
        <v>item_dmu_Spain_RENFE_594_TRD</v>
      </c>
      <c r="P465" s="30" t="str">
        <f>"str_"&amp;CONTROL[[#This Row],[VEHIDCODE]]</f>
        <v>str_dmu_Spain_RENFE_594_TRD</v>
      </c>
      <c r="Q465" s="10" t="b">
        <f>_xlfn.XLOOKUP(CONTROL[[#This Row],[VEHIDCODE]],PROPERTIES[VEHIDCODE],PROPERTIES[EXCLUDE])</f>
        <v>0</v>
      </c>
    </row>
    <row r="466" spans="1:17">
      <c r="A466" s="2" t="s">
        <v>486</v>
      </c>
      <c r="B466" s="30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43" t="s">
        <v>1393</v>
      </c>
      <c r="G466" t="s">
        <v>2706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Row],[VEHIDCODE]],roster!A:A,roster!C:C))</f>
        <v>1</v>
      </c>
      <c r="N466" t="b">
        <f>ISNUMBER(_xlfn.XMATCH(CONTROL[[#This Row],[VEHIDCODE]],GRAPHICS_PROPERTIES[VEHIDCODE],0))</f>
        <v>1</v>
      </c>
      <c r="O466" s="30" t="str">
        <f>"item_"&amp;CONTROL[[#This Row],[VEHIDCODE]]</f>
        <v>item_dmu_UK_BR_168</v>
      </c>
      <c r="P466" s="30" t="str">
        <f>"str_"&amp;CONTROL[[#This Row],[VEHIDCODE]]</f>
        <v>str_dmu_UK_BR_168</v>
      </c>
      <c r="Q466" s="10" t="b">
        <f>_xlfn.XLOOKUP(CONTROL[[#This Row],[VEHIDCODE]],PROPERTIES[VEHIDCODE],PROPERTIES[EXCLUDE])</f>
        <v>0</v>
      </c>
    </row>
    <row r="467" spans="1:17">
      <c r="A467" s="2" t="s">
        <v>487</v>
      </c>
      <c r="B467" s="30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43" t="s">
        <v>1394</v>
      </c>
      <c r="G467" t="s">
        <v>2707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Row],[VEHIDCODE]],roster!A:A,roster!C:C))</f>
        <v>1</v>
      </c>
      <c r="N467" t="b">
        <f>ISNUMBER(_xlfn.XMATCH(CONTROL[[#This Row],[VEHIDCODE]],GRAPHICS_PROPERTIES[VEHIDCODE],0))</f>
        <v>1</v>
      </c>
      <c r="O467" s="30" t="str">
        <f>"item_"&amp;CONTROL[[#This Row],[VEHIDCODE]]</f>
        <v>item_dmu_Germany_DB_612_Regio_Swinger</v>
      </c>
      <c r="P467" s="30" t="str">
        <f>"str_"&amp;CONTROL[[#This Row],[VEHIDCODE]]</f>
        <v>str_dmu_Germany_DB_612_Regio_Swinger</v>
      </c>
      <c r="Q467" s="10" t="b">
        <f>_xlfn.XLOOKUP(CONTROL[[#This Row],[VEHIDCODE]],PROPERTIES[VEHIDCODE],PROPERTIES[EXCLUDE])</f>
        <v>0</v>
      </c>
    </row>
    <row r="468" spans="1:17">
      <c r="A468" s="2" t="s">
        <v>488</v>
      </c>
      <c r="B468" s="30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43" t="s">
        <v>1395</v>
      </c>
      <c r="G468" t="s">
        <v>2708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Row],[VEHIDCODE]],roster!A:A,roster!C:C))</f>
        <v>1</v>
      </c>
      <c r="N468" t="b">
        <f>ISNUMBER(_xlfn.XMATCH(CONTROL[[#This Row],[VEHIDCODE]],GRAPHICS_PROPERTIES[VEHIDCODE],0))</f>
        <v>1</v>
      </c>
      <c r="O468" s="30" t="str">
        <f>"item_"&amp;CONTROL[[#This Row],[VEHIDCODE]]</f>
        <v>item_dmu_Germany_DB_642_Desiro</v>
      </c>
      <c r="P468" s="30" t="str">
        <f>"str_"&amp;CONTROL[[#This Row],[VEHIDCODE]]</f>
        <v>str_dmu_Germany_DB_642_Desiro</v>
      </c>
      <c r="Q468" s="10" t="b">
        <f>_xlfn.XLOOKUP(CONTROL[[#This Row],[VEHIDCODE]],PROPERTIES[VEHIDCODE],PROPERTIES[EXCLUDE])</f>
        <v>0</v>
      </c>
    </row>
    <row r="469" spans="1:17">
      <c r="A469" s="2" t="s">
        <v>489</v>
      </c>
      <c r="B469" s="30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43" t="s">
        <v>1396</v>
      </c>
      <c r="G469" t="s">
        <v>2709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Row],[VEHIDCODE]],roster!A:A,roster!C:C))</f>
        <v>1</v>
      </c>
      <c r="N469" t="b">
        <f>ISNUMBER(_xlfn.XMATCH(CONTROL[[#This Row],[VEHIDCODE]],GRAPHICS_PROPERTIES[VEHIDCODE],0))</f>
        <v>1</v>
      </c>
      <c r="O469" s="30" t="str">
        <f>"item_"&amp;CONTROL[[#This Row],[VEHIDCODE]]</f>
        <v>item_dmu_Denmark_Arriva_Lint_41</v>
      </c>
      <c r="P469" s="30" t="str">
        <f>"str_"&amp;CONTROL[[#This Row],[VEHIDCODE]]</f>
        <v>str_dmu_Denmark_Arriva_Lint_41</v>
      </c>
      <c r="Q469" s="10" t="b">
        <f>_xlfn.XLOOKUP(CONTROL[[#This Row],[VEHIDCODE]],PROPERTIES[VEHIDCODE],PROPERTIES[EXCLUDE])</f>
        <v>0</v>
      </c>
    </row>
    <row r="470" spans="1:17">
      <c r="A470" s="2" t="s">
        <v>490</v>
      </c>
      <c r="B470" s="30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43" t="s">
        <v>1397</v>
      </c>
      <c r="G470" t="s">
        <v>2710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Row],[VEHIDCODE]],roster!A:A,roster!C:C))</f>
        <v>1</v>
      </c>
      <c r="N470" t="b">
        <f>ISNUMBER(_xlfn.XMATCH(CONTROL[[#This Row],[VEHIDCODE]],GRAPHICS_PROPERTIES[VEHIDCODE],0))</f>
        <v>1</v>
      </c>
      <c r="O470" s="30" t="str">
        <f>"item_"&amp;CONTROL[[#This Row],[VEHIDCODE]]</f>
        <v>item_dmu_Norway_NSB_BM_93_Talent</v>
      </c>
      <c r="P470" s="30" t="str">
        <f>"str_"&amp;CONTROL[[#This Row],[VEHIDCODE]]</f>
        <v>str_dmu_Norway_NSB_BM_93_Talent</v>
      </c>
      <c r="Q470" s="10" t="b">
        <f>_xlfn.XLOOKUP(CONTROL[[#This Row],[VEHIDCODE]],PROPERTIES[VEHIDCODE],PROPERTIES[EXCLUDE])</f>
        <v>0</v>
      </c>
    </row>
    <row r="471" spans="1:17">
      <c r="A471" s="2" t="s">
        <v>491</v>
      </c>
      <c r="B471" s="30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43" t="s">
        <v>1398</v>
      </c>
      <c r="G471" t="s">
        <v>2711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Row],[VEHIDCODE]],roster!A:A,roster!C:C))</f>
        <v>1</v>
      </c>
      <c r="N471" t="b">
        <f>ISNUMBER(_xlfn.XMATCH(CONTROL[[#This Row],[VEHIDCODE]],GRAPHICS_PROPERTIES[VEHIDCODE],0))</f>
        <v>1</v>
      </c>
      <c r="O471" s="30" t="str">
        <f>"item_"&amp;CONTROL[[#This Row],[VEHIDCODE]]</f>
        <v>item_dmu_Australia_Transwa_Prospector</v>
      </c>
      <c r="P471" s="30" t="str">
        <f>"str_"&amp;CONTROL[[#This Row],[VEHIDCODE]]</f>
        <v>str_dmu_Australia_Transwa_Prospector</v>
      </c>
      <c r="Q471" s="10" t="b">
        <f>_xlfn.XLOOKUP(CONTROL[[#This Row],[VEHIDCODE]],PROPERTIES[VEHIDCODE],PROPERTIES[EXCLUDE])</f>
        <v>0</v>
      </c>
    </row>
    <row r="472" spans="1:17">
      <c r="A472" s="2" t="s">
        <v>492</v>
      </c>
      <c r="B472" s="30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43" t="s">
        <v>1399</v>
      </c>
      <c r="G472" t="s">
        <v>2712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Row],[VEHIDCODE]],roster!A:A,roster!C:C))</f>
        <v>1</v>
      </c>
      <c r="N472" t="b">
        <f>ISNUMBER(_xlfn.XMATCH(CONTROL[[#This Row],[VEHIDCODE]],GRAPHICS_PROPERTIES[VEHIDCODE],0))</f>
        <v>1</v>
      </c>
      <c r="O472" s="30" t="str">
        <f>"item_"&amp;CONTROL[[#This Row],[VEHIDCODE]]</f>
        <v>item_dmu_Australia_CityRail_Hunter_Railcar</v>
      </c>
      <c r="P472" s="30" t="str">
        <f>"str_"&amp;CONTROL[[#This Row],[VEHIDCODE]]</f>
        <v>str_dmu_Australia_CityRail_Hunter_Railcar</v>
      </c>
      <c r="Q472" s="10" t="b">
        <f>_xlfn.XLOOKUP(CONTROL[[#This Row],[VEHIDCODE]],PROPERTIES[VEHIDCODE],PROPERTIES[EXCLUDE])</f>
        <v>0</v>
      </c>
    </row>
    <row r="473" spans="1:17">
      <c r="A473" s="2" t="s">
        <v>493</v>
      </c>
      <c r="B473" s="30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43" t="s">
        <v>1400</v>
      </c>
      <c r="G473" t="s">
        <v>2713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Row],[VEHIDCODE]],roster!A:A,roster!C:C))</f>
        <v>1</v>
      </c>
      <c r="N473" t="b">
        <f>ISNUMBER(_xlfn.XMATCH(CONTROL[[#This Row],[VEHIDCODE]],GRAPHICS_PROPERTIES[VEHIDCODE],0))</f>
        <v>1</v>
      </c>
      <c r="O473" s="30" t="str">
        <f>"item_"&amp;CONTROL[[#This Row],[VEHIDCODE]]</f>
        <v>item_dmu_Russia_RZD_RA2</v>
      </c>
      <c r="P473" s="30" t="str">
        <f>"str_"&amp;CONTROL[[#This Row],[VEHIDCODE]]</f>
        <v>str_dmu_Russia_RZD_RA2</v>
      </c>
      <c r="Q473" s="10" t="b">
        <f>_xlfn.XLOOKUP(CONTROL[[#This Row],[VEHIDCODE]],PROPERTIES[VEHIDCODE],PROPERTIES[EXCLUDE])</f>
        <v>0</v>
      </c>
    </row>
    <row r="474" spans="1:17">
      <c r="A474" s="2" t="s">
        <v>494</v>
      </c>
      <c r="B474" s="30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43" t="s">
        <v>1401</v>
      </c>
      <c r="G474" t="s">
        <v>2714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Row],[VEHIDCODE]],roster!A:A,roster!C:C))</f>
        <v>1</v>
      </c>
      <c r="N474" t="b">
        <f>ISNUMBER(_xlfn.XMATCH(CONTROL[[#This Row],[VEHIDCODE]],GRAPHICS_PROPERTIES[VEHIDCODE],0))</f>
        <v>1</v>
      </c>
      <c r="O474" s="30" t="str">
        <f>"item_"&amp;CONTROL[[#This Row],[VEHIDCODE]]</f>
        <v>item_dmu_Denmark_DSB_IC4</v>
      </c>
      <c r="P474" s="30" t="str">
        <f>"str_"&amp;CONTROL[[#This Row],[VEHIDCODE]]</f>
        <v>str_dmu_Denmark_DSB_IC4</v>
      </c>
      <c r="Q474" s="10" t="b">
        <f>_xlfn.XLOOKUP(CONTROL[[#This Row],[VEHIDCODE]],PROPERTIES[VEHIDCODE],PROPERTIES[EXCLUDE])</f>
        <v>0</v>
      </c>
    </row>
    <row r="475" spans="1:17">
      <c r="A475" s="2" t="s">
        <v>495</v>
      </c>
      <c r="B475" s="30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43" t="s">
        <v>1402</v>
      </c>
      <c r="G475" t="s">
        <v>2715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Row],[VEHIDCODE]],roster!A:A,roster!C:C))</f>
        <v>1</v>
      </c>
      <c r="N475" t="b">
        <f>ISNUMBER(_xlfn.XMATCH(CONTROL[[#This Row],[VEHIDCODE]],GRAPHICS_PROPERTIES[VEHIDCODE],0))</f>
        <v>1</v>
      </c>
      <c r="O475" s="30" t="str">
        <f>"item_"&amp;CONTROL[[#This Row],[VEHIDCODE]]</f>
        <v>item_dmu_Croatia_HZ_7022</v>
      </c>
      <c r="P475" s="30" t="str">
        <f>"str_"&amp;CONTROL[[#This Row],[VEHIDCODE]]</f>
        <v>str_dmu_Croatia_HZ_7022</v>
      </c>
      <c r="Q475" s="10" t="b">
        <f>_xlfn.XLOOKUP(CONTROL[[#This Row],[VEHIDCODE]],PROPERTIES[VEHIDCODE],PROPERTIES[EXCLUDE])</f>
        <v>0</v>
      </c>
    </row>
    <row r="476" spans="1:17">
      <c r="A476" s="2" t="s">
        <v>496</v>
      </c>
      <c r="B476" s="30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43" t="s">
        <v>3003</v>
      </c>
      <c r="G476" t="s">
        <v>2716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Row],[VEHIDCODE]],roster!A:A,roster!C:C))</f>
        <v>1</v>
      </c>
      <c r="N476" t="b">
        <f>ISNUMBER(_xlfn.XMATCH(CONTROL[[#This Row],[VEHIDCODE]],GRAPHICS_PROPERTIES[VEHIDCODE],0))</f>
        <v>1</v>
      </c>
      <c r="O476" s="30" t="str">
        <f>"item_"&amp;CONTROL[[#This Row],[VEHIDCODE]]</f>
        <v>item_dmu_Turkey_TCDD_MT_5500</v>
      </c>
      <c r="P476" s="30" t="str">
        <f>"str_"&amp;CONTROL[[#This Row],[VEHIDCODE]]</f>
        <v>str_dmu_Turkey_TCDD_MT_5500</v>
      </c>
      <c r="Q476" s="10" t="b">
        <f>_xlfn.XLOOKUP(CONTROL[[#This Row],[VEHIDCODE]],PROPERTIES[VEHIDCODE],PROPERTIES[EXCLUDE])</f>
        <v>0</v>
      </c>
    </row>
    <row r="477" spans="1:17">
      <c r="A477" s="2" t="s">
        <v>497</v>
      </c>
      <c r="B477" s="30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43" t="s">
        <v>1403</v>
      </c>
      <c r="G477" t="s">
        <v>2717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Row],[VEHIDCODE]],roster!A:A,roster!C:C))</f>
        <v>1</v>
      </c>
      <c r="N477" t="b">
        <f>ISNUMBER(_xlfn.XMATCH(CONTROL[[#This Row],[VEHIDCODE]],GRAPHICS_PROPERTIES[VEHIDCODE],0))</f>
        <v>1</v>
      </c>
      <c r="O477" s="30" t="str">
        <f>"item_"&amp;CONTROL[[#This Row],[VEHIDCODE]]</f>
        <v>item_dmu_Japan_JNR_KiHa_181</v>
      </c>
      <c r="P477" s="30" t="str">
        <f>"str_"&amp;CONTROL[[#This Row],[VEHIDCODE]]</f>
        <v>str_dmu_Japan_JNR_KiHa_181</v>
      </c>
      <c r="Q477" s="10" t="b">
        <f>_xlfn.XLOOKUP(CONTROL[[#This Row],[VEHIDCODE]],PROPERTIES[VEHIDCODE],PROPERTIES[EXCLUDE])</f>
        <v>0</v>
      </c>
    </row>
    <row r="478" spans="1:17">
      <c r="A478" s="2" t="s">
        <v>498</v>
      </c>
      <c r="B478" s="30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43" t="s">
        <v>3004</v>
      </c>
      <c r="G478" t="s">
        <v>2718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Row],[VEHIDCODE]],roster!A:A,roster!C:C))</f>
        <v>1</v>
      </c>
      <c r="N478" t="b">
        <f>ISNUMBER(_xlfn.XMATCH(CONTROL[[#This Row],[VEHIDCODE]],GRAPHICS_PROPERTIES[VEHIDCODE],0))</f>
        <v>1</v>
      </c>
      <c r="O478" s="30" t="str">
        <f>"item_"&amp;CONTROL[[#This Row],[VEHIDCODE]]</f>
        <v>item_dmu_Czech_Republic_CD_814</v>
      </c>
      <c r="P478" s="30" t="str">
        <f>"str_"&amp;CONTROL[[#This Row],[VEHIDCODE]]</f>
        <v>str_dmu_Czech_Republic_CD_814</v>
      </c>
      <c r="Q478" s="10" t="b">
        <f>_xlfn.XLOOKUP(CONTROL[[#This Row],[VEHIDCODE]],PROPERTIES[VEHIDCODE],PROPERTIES[EXCLUDE])</f>
        <v>0</v>
      </c>
    </row>
    <row r="479" spans="1:17">
      <c r="A479" s="2" t="s">
        <v>499</v>
      </c>
      <c r="B479" s="30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43" t="s">
        <v>1404</v>
      </c>
      <c r="G479" t="s">
        <v>2719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Row],[VEHIDCODE]],roster!A:A,roster!C:C))</f>
        <v>1</v>
      </c>
      <c r="N479" t="b">
        <f>ISNUMBER(_xlfn.XMATCH(CONTROL[[#This Row],[VEHIDCODE]],GRAPHICS_PROPERTIES[VEHIDCODE],0))</f>
        <v>1</v>
      </c>
      <c r="O479" s="30" t="str">
        <f>"item_"&amp;CONTROL[[#This Row],[VEHIDCODE]]</f>
        <v>item_dmu_UK_BR_150_0_Sprinter</v>
      </c>
      <c r="P479" s="30" t="str">
        <f>"str_"&amp;CONTROL[[#This Row],[VEHIDCODE]]</f>
        <v>str_dmu_UK_BR_150_0_Sprinter</v>
      </c>
      <c r="Q479" s="10" t="b">
        <f>_xlfn.XLOOKUP(CONTROL[[#This Row],[VEHIDCODE]],PROPERTIES[VEHIDCODE],PROPERTIES[EXCLUDE])</f>
        <v>0</v>
      </c>
    </row>
    <row r="480" spans="1:17">
      <c r="A480" s="2" t="s">
        <v>500</v>
      </c>
      <c r="B480" s="30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43" t="s">
        <v>1405</v>
      </c>
      <c r="G480" t="s">
        <v>2720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Row],[VEHIDCODE]],roster!A:A,roster!C:C))</f>
        <v>1</v>
      </c>
      <c r="N480" t="b">
        <f>ISNUMBER(_xlfn.XMATCH(CONTROL[[#This Row],[VEHIDCODE]],GRAPHICS_PROPERTIES[VEHIDCODE],0))</f>
        <v>1</v>
      </c>
      <c r="O480" s="30" t="str">
        <f>"item_"&amp;CONTROL[[#This Row],[VEHIDCODE]]</f>
        <v>item_dmu_Iran_RAI_141_Pacer</v>
      </c>
      <c r="P480" s="30" t="str">
        <f>"str_"&amp;CONTROL[[#This Row],[VEHIDCODE]]</f>
        <v>str_dmu_Iran_RAI_141_Pacer</v>
      </c>
      <c r="Q480" s="10" t="b">
        <f>_xlfn.XLOOKUP(CONTROL[[#This Row],[VEHIDCODE]],PROPERTIES[VEHIDCODE],PROPERTIES[EXCLUDE])</f>
        <v>0</v>
      </c>
    </row>
    <row r="481" spans="1:17">
      <c r="A481" s="2" t="s">
        <v>501</v>
      </c>
      <c r="B481" s="30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43" t="s">
        <v>1406</v>
      </c>
      <c r="G481" t="s">
        <v>2721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Row],[VEHIDCODE]],roster!A:A,roster!C:C))</f>
        <v>1</v>
      </c>
      <c r="N481" t="b">
        <f>ISNUMBER(_xlfn.XMATCH(CONTROL[[#This Row],[VEHIDCODE]],GRAPHICS_PROPERTIES[VEHIDCODE],0))</f>
        <v>1</v>
      </c>
      <c r="O481" s="30" t="str">
        <f>"item_"&amp;CONTROL[[#This Row],[VEHIDCODE]]</f>
        <v>item_dmu_Israel_Israel_Railways_IC3</v>
      </c>
      <c r="P481" s="30" t="str">
        <f>"str_"&amp;CONTROL[[#This Row],[VEHIDCODE]]</f>
        <v>str_dmu_Israel_Israel_Railways_IC3</v>
      </c>
      <c r="Q481" s="10" t="b">
        <f>_xlfn.XLOOKUP(CONTROL[[#This Row],[VEHIDCODE]],PROPERTIES[VEHIDCODE],PROPERTIES[EXCLUDE])</f>
        <v>0</v>
      </c>
    </row>
    <row r="482" spans="1:17">
      <c r="A482" s="2" t="s">
        <v>502</v>
      </c>
      <c r="B482" s="30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43" t="s">
        <v>1407</v>
      </c>
      <c r="G482" t="s">
        <v>2722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Row],[VEHIDCODE]],roster!A:A,roster!C:C))</f>
        <v>1</v>
      </c>
      <c r="N482" t="b">
        <f>ISNUMBER(_xlfn.XMATCH(CONTROL[[#This Row],[VEHIDCODE]],GRAPHICS_PROPERTIES[VEHIDCODE],0))</f>
        <v>1</v>
      </c>
      <c r="O482" s="30" t="str">
        <f>"item_"&amp;CONTROL[[#This Row],[VEHIDCODE]]</f>
        <v>item_dmu_Australia_TransAdelaide_3100</v>
      </c>
      <c r="P482" s="30" t="str">
        <f>"str_"&amp;CONTROL[[#This Row],[VEHIDCODE]]</f>
        <v>str_dmu_Australia_TransAdelaide_3100</v>
      </c>
      <c r="Q482" s="10" t="b">
        <f>_xlfn.XLOOKUP(CONTROL[[#This Row],[VEHIDCODE]],PROPERTIES[VEHIDCODE],PROPERTIES[EXCLUDE])</f>
        <v>0</v>
      </c>
    </row>
    <row r="483" spans="1:17">
      <c r="A483" s="2" t="s">
        <v>503</v>
      </c>
      <c r="B483" s="30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43" t="s">
        <v>1408</v>
      </c>
      <c r="G483" t="s">
        <v>2723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Row],[VEHIDCODE]],roster!A:A,roster!C:C))</f>
        <v>1</v>
      </c>
      <c r="N483" t="b">
        <f>ISNUMBER(_xlfn.XMATCH(CONTROL[[#This Row],[VEHIDCODE]],GRAPHICS_PROPERTIES[VEHIDCODE],0))</f>
        <v>1</v>
      </c>
      <c r="O483" s="30" t="str">
        <f>"item_"&amp;CONTROL[[#This Row],[VEHIDCODE]]</f>
        <v>item_dmu_Australia_NSWGR_Xplorer</v>
      </c>
      <c r="P483" s="30" t="str">
        <f>"str_"&amp;CONTROL[[#This Row],[VEHIDCODE]]</f>
        <v>str_dmu_Australia_NSWGR_Xplorer</v>
      </c>
      <c r="Q483" s="10" t="b">
        <f>_xlfn.XLOOKUP(CONTROL[[#This Row],[VEHIDCODE]],PROPERTIES[VEHIDCODE],PROPERTIES[EXCLUDE])</f>
        <v>0</v>
      </c>
    </row>
    <row r="484" spans="1:17">
      <c r="A484" s="2" t="s">
        <v>504</v>
      </c>
      <c r="B484" s="30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43" t="s">
        <v>1409</v>
      </c>
      <c r="G484" t="s">
        <v>2724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Row],[VEHIDCODE]],roster!A:A,roster!C:C))</f>
        <v>1</v>
      </c>
      <c r="N484" t="b">
        <f>ISNUMBER(_xlfn.XMATCH(CONTROL[[#This Row],[VEHIDCODE]],GRAPHICS_PROPERTIES[VEHIDCODE],0))</f>
        <v>1</v>
      </c>
      <c r="O484" s="30" t="str">
        <f>"item_"&amp;CONTROL[[#This Row],[VEHIDCODE]]</f>
        <v>item_dmu_Japan_JR_KiHa_189</v>
      </c>
      <c r="P484" s="30" t="str">
        <f>"str_"&amp;CONTROL[[#This Row],[VEHIDCODE]]</f>
        <v>str_dmu_Japan_JR_KiHa_189</v>
      </c>
      <c r="Q484" s="10" t="b">
        <f>_xlfn.XLOOKUP(CONTROL[[#This Row],[VEHIDCODE]],PROPERTIES[VEHIDCODE],PROPERTIES[EXCLUDE])</f>
        <v>0</v>
      </c>
    </row>
    <row r="485" spans="1:17">
      <c r="A485" s="2" t="s">
        <v>505</v>
      </c>
      <c r="B485" s="30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43" t="s">
        <v>1410</v>
      </c>
      <c r="G485" t="s">
        <v>2725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Row],[VEHIDCODE]],roster!A:A,roster!C:C))</f>
        <v>1</v>
      </c>
      <c r="N485" t="b">
        <f>ISNUMBER(_xlfn.XMATCH(CONTROL[[#This Row],[VEHIDCODE]],GRAPHICS_PROPERTIES[VEHIDCODE],0))</f>
        <v>1</v>
      </c>
      <c r="O485" s="30" t="str">
        <f>"item_"&amp;CONTROL[[#This Row],[VEHIDCODE]]</f>
        <v>item_dmu_Sri_Lanka_Sri_Lanka_Railways_S11</v>
      </c>
      <c r="P485" s="30" t="str">
        <f>"str_"&amp;CONTROL[[#This Row],[VEHIDCODE]]</f>
        <v>str_dmu_Sri_Lanka_Sri_Lanka_Railways_S11</v>
      </c>
      <c r="Q485" s="10" t="b">
        <f>_xlfn.XLOOKUP(CONTROL[[#This Row],[VEHIDCODE]],PROPERTIES[VEHIDCODE],PROPERTIES[EXCLUDE])</f>
        <v>0</v>
      </c>
    </row>
    <row r="486" spans="1:17">
      <c r="A486" s="2" t="s">
        <v>506</v>
      </c>
      <c r="B486" s="30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43" t="s">
        <v>1411</v>
      </c>
      <c r="G486" t="s">
        <v>2726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Row],[VEHIDCODE]],roster!A:A,roster!C:C))</f>
        <v>1</v>
      </c>
      <c r="N486" t="b">
        <f>ISNUMBER(_xlfn.XMATCH(CONTROL[[#This Row],[VEHIDCODE]],GRAPHICS_PROPERTIES[VEHIDCODE],0))</f>
        <v>1</v>
      </c>
      <c r="O486" s="30" t="str">
        <f>"item_"&amp;CONTROL[[#This Row],[VEHIDCODE]]</f>
        <v>item_dmu_Slovakia_ZSSK_861</v>
      </c>
      <c r="P486" s="30" t="str">
        <f>"str_"&amp;CONTROL[[#This Row],[VEHIDCODE]]</f>
        <v>str_dmu_Slovakia_ZSSK_861</v>
      </c>
      <c r="Q486" s="10" t="b">
        <f>_xlfn.XLOOKUP(CONTROL[[#This Row],[VEHIDCODE]],PROPERTIES[VEHIDCODE],PROPERTIES[EXCLUDE])</f>
        <v>0</v>
      </c>
    </row>
    <row r="487" spans="1:17">
      <c r="A487" s="2" t="s">
        <v>507</v>
      </c>
      <c r="B487" s="30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43" t="s">
        <v>1412</v>
      </c>
      <c r="G487" t="s">
        <v>2727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Row],[VEHIDCODE]],roster!A:A,roster!C:C))</f>
        <v>1</v>
      </c>
      <c r="N487" t="b">
        <f>ISNUMBER(_xlfn.XMATCH(CONTROL[[#This Row],[VEHIDCODE]],GRAPHICS_PROPERTIES[VEHIDCODE],0))</f>
        <v>1</v>
      </c>
      <c r="O487" s="30" t="str">
        <f>"item_"&amp;CONTROL[[#This Row],[VEHIDCODE]]</f>
        <v>item_dmu_Chile_EFE_TLD_500</v>
      </c>
      <c r="P487" s="30" t="str">
        <f>"str_"&amp;CONTROL[[#This Row],[VEHIDCODE]]</f>
        <v>str_dmu_Chile_EFE_TLD_500</v>
      </c>
      <c r="Q487" s="10" t="b">
        <f>_xlfn.XLOOKUP(CONTROL[[#This Row],[VEHIDCODE]],PROPERTIES[VEHIDCODE],PROPERTIES[EXCLUDE])</f>
        <v>0</v>
      </c>
    </row>
    <row r="488" spans="1:17">
      <c r="A488" s="2" t="s">
        <v>508</v>
      </c>
      <c r="B488" s="30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43" t="s">
        <v>1413</v>
      </c>
      <c r="G488" t="s">
        <v>2728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Row],[VEHIDCODE]],roster!A:A,roster!C:C))</f>
        <v>1</v>
      </c>
      <c r="N488" t="b">
        <f>ISNUMBER(_xlfn.XMATCH(CONTROL[[#This Row],[VEHIDCODE]],GRAPHICS_PROPERTIES[VEHIDCODE],0))</f>
        <v>1</v>
      </c>
      <c r="O488" s="30" t="str">
        <f>"item_"&amp;CONTROL[[#This Row],[VEHIDCODE]]</f>
        <v>item_dmu_Cameroon_Camrail_ZE_500</v>
      </c>
      <c r="P488" s="30" t="str">
        <f>"str_"&amp;CONTROL[[#This Row],[VEHIDCODE]]</f>
        <v>str_dmu_Cameroon_Camrail_ZE_500</v>
      </c>
      <c r="Q488" s="10" t="b">
        <f>_xlfn.XLOOKUP(CONTROL[[#This Row],[VEHIDCODE]],PROPERTIES[VEHIDCODE],PROPERTIES[EXCLUDE])</f>
        <v>0</v>
      </c>
    </row>
    <row r="489" spans="1:17">
      <c r="A489" s="2" t="s">
        <v>509</v>
      </c>
      <c r="B489" s="30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43" t="s">
        <v>1414</v>
      </c>
      <c r="G489" t="s">
        <v>2729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Row],[VEHIDCODE]],roster!A:A,roster!C:C))</f>
        <v>1</v>
      </c>
      <c r="N489" t="b">
        <f>ISNUMBER(_xlfn.XMATCH(CONTROL[[#This Row],[VEHIDCODE]],GRAPHICS_PROPERTIES[VEHIDCODE],0))</f>
        <v>1</v>
      </c>
      <c r="O489" s="30" t="str">
        <f>"item_"&amp;CONTROL[[#This Row],[VEHIDCODE]]</f>
        <v>item_dmu_UK_BR_251_Blue_Pullman</v>
      </c>
      <c r="P489" s="30" t="str">
        <f>"str_"&amp;CONTROL[[#This Row],[VEHIDCODE]]</f>
        <v>str_dmu_UK_BR_251_Blue_Pullman</v>
      </c>
      <c r="Q489" s="10" t="b">
        <f>_xlfn.XLOOKUP(CONTROL[[#This Row],[VEHIDCODE]],PROPERTIES[VEHIDCODE],PROPERTIES[EXCLUDE])</f>
        <v>0</v>
      </c>
    </row>
    <row r="490" spans="1:17">
      <c r="A490" s="2" t="s">
        <v>510</v>
      </c>
      <c r="B490" s="30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43" t="s">
        <v>2731</v>
      </c>
      <c r="G490" t="s">
        <v>2730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Row],[VEHIDCODE]],roster!A:A,roster!C:C))</f>
        <v>1</v>
      </c>
      <c r="N490" t="b">
        <f>ISNUMBER(_xlfn.XMATCH(CONTROL[[#This Row],[VEHIDCODE]],GRAPHICS_PROPERTIES[VEHIDCODE],0))</f>
        <v>1</v>
      </c>
      <c r="O490" s="30" t="str">
        <f>"item_"&amp;CONTROL[[#This Row],[VEHIDCODE]]</f>
        <v>item_dmu_Australia_WAGR_ADK_ADB</v>
      </c>
      <c r="P490" s="30" t="str">
        <f>"str_"&amp;CONTROL[[#This Row],[VEHIDCODE]]</f>
        <v>str_dmu_Australia_WAGR_ADK_ADB</v>
      </c>
      <c r="Q490" s="10" t="b">
        <f>_xlfn.XLOOKUP(CONTROL[[#This Row],[VEHIDCODE]],PROPERTIES[VEHIDCODE],PROPERTIES[EXCLUDE])</f>
        <v>0</v>
      </c>
    </row>
    <row r="491" spans="1:17">
      <c r="A491" s="2" t="s">
        <v>511</v>
      </c>
      <c r="B491" s="30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43" t="s">
        <v>1415</v>
      </c>
      <c r="G491" t="s">
        <v>2732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Row],[VEHIDCODE]],roster!A:A,roster!C:C))</f>
        <v>1</v>
      </c>
      <c r="N491" t="b">
        <f>ISNUMBER(_xlfn.XMATCH(CONTROL[[#This Row],[VEHIDCODE]],GRAPHICS_PROPERTIES[VEHIDCODE],0))</f>
        <v>1</v>
      </c>
      <c r="O491" s="30" t="str">
        <f>"item_"&amp;CONTROL[[#This Row],[VEHIDCODE]]</f>
        <v>item_dmu_France_SNCF_X_4630</v>
      </c>
      <c r="P491" s="30" t="str">
        <f>"str_"&amp;CONTROL[[#This Row],[VEHIDCODE]]</f>
        <v>str_dmu_France_SNCF_X_4630</v>
      </c>
      <c r="Q491" s="10" t="b">
        <f>_xlfn.XLOOKUP(CONTROL[[#This Row],[VEHIDCODE]],PROPERTIES[VEHIDCODE],PROPERTIES[EXCLUDE])</f>
        <v>0</v>
      </c>
    </row>
    <row r="492" spans="1:17">
      <c r="A492" s="2" t="s">
        <v>512</v>
      </c>
      <c r="B492" s="30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43" t="s">
        <v>1416</v>
      </c>
      <c r="G492" t="s">
        <v>2733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Row],[VEHIDCODE]],roster!A:A,roster!C:C))</f>
        <v>1</v>
      </c>
      <c r="N492" t="b">
        <f>ISNUMBER(_xlfn.XMATCH(CONTROL[[#This Row],[VEHIDCODE]],GRAPHICS_PROPERTIES[VEHIDCODE],0))</f>
        <v>1</v>
      </c>
      <c r="O492" s="30" t="str">
        <f>"item_"&amp;CONTROL[[#This Row],[VEHIDCODE]]</f>
        <v>item_dmu_France_SNCF_T_2000</v>
      </c>
      <c r="P492" s="30" t="str">
        <f>"str_"&amp;CONTROL[[#This Row],[VEHIDCODE]]</f>
        <v>str_dmu_France_SNCF_T_2000</v>
      </c>
      <c r="Q492" s="10" t="b">
        <f>_xlfn.XLOOKUP(CONTROL[[#This Row],[VEHIDCODE]],PROPERTIES[VEHIDCODE],PROPERTIES[EXCLUDE])</f>
        <v>0</v>
      </c>
    </row>
    <row r="493" spans="1:17">
      <c r="A493" s="2" t="s">
        <v>513</v>
      </c>
      <c r="B493" s="30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43" t="s">
        <v>1417</v>
      </c>
      <c r="G493" t="s">
        <v>2734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Row],[VEHIDCODE]],roster!A:A,roster!C:C))</f>
        <v>1</v>
      </c>
      <c r="N493" t="b">
        <f>ISNUMBER(_xlfn.XMATCH(CONTROL[[#This Row],[VEHIDCODE]],GRAPHICS_PROPERTIES[VEHIDCODE],0))</f>
        <v>1</v>
      </c>
      <c r="O493" s="30" t="str">
        <f>"item_"&amp;CONTROL[[#This Row],[VEHIDCODE]]</f>
        <v>item_dmu_Netherlands_NS_DH2</v>
      </c>
      <c r="P493" s="30" t="str">
        <f>"str_"&amp;CONTROL[[#This Row],[VEHIDCODE]]</f>
        <v>str_dmu_Netherlands_NS_DH2</v>
      </c>
      <c r="Q493" s="10" t="b">
        <f>_xlfn.XLOOKUP(CONTROL[[#This Row],[VEHIDCODE]],PROPERTIES[VEHIDCODE],PROPERTIES[EXCLUDE])</f>
        <v>0</v>
      </c>
    </row>
    <row r="494" spans="1:17">
      <c r="A494" s="2" t="s">
        <v>514</v>
      </c>
      <c r="B494" s="30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43" t="s">
        <v>1418</v>
      </c>
      <c r="G494" t="s">
        <v>2735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Row],[VEHIDCODE]],roster!A:A,roster!C:C))</f>
        <v>1</v>
      </c>
      <c r="N494" t="b">
        <f>ISNUMBER(_xlfn.XMATCH(CONTROL[[#This Row],[VEHIDCODE]],GRAPHICS_PROPERTIES[VEHIDCODE],0))</f>
        <v>1</v>
      </c>
      <c r="O494" s="30" t="str">
        <f>"item_"&amp;CONTROL[[#This Row],[VEHIDCODE]]</f>
        <v>item_dmu_Germany_DB_6282</v>
      </c>
      <c r="P494" s="30" t="str">
        <f>"str_"&amp;CONTROL[[#This Row],[VEHIDCODE]]</f>
        <v>str_dmu_Germany_DB_6282</v>
      </c>
      <c r="Q494" s="10" t="b">
        <f>_xlfn.XLOOKUP(CONTROL[[#This Row],[VEHIDCODE]],PROPERTIES[VEHIDCODE],PROPERTIES[EXCLUDE])</f>
        <v>0</v>
      </c>
    </row>
    <row r="495" spans="1:17">
      <c r="A495" s="2" t="s">
        <v>515</v>
      </c>
      <c r="B495" s="30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43" t="s">
        <v>1419</v>
      </c>
      <c r="G495" t="s">
        <v>2514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Row],[VEHIDCODE]],roster!A:A,roster!C:C))</f>
        <v>1</v>
      </c>
      <c r="N495" t="b">
        <f>ISNUMBER(_xlfn.XMATCH(CONTROL[[#This Row],[VEHIDCODE]],GRAPHICS_PROPERTIES[VEHIDCODE],0))</f>
        <v>1</v>
      </c>
      <c r="O495" s="30" t="str">
        <f>"item_"&amp;CONTROL[[#This Row],[VEHIDCODE]]</f>
        <v>item_dmu_Algeria_SNTF_ZZ_2200_Autorail</v>
      </c>
      <c r="P495" s="30" t="str">
        <f>"str_"&amp;CONTROL[[#This Row],[VEHIDCODE]]</f>
        <v>str_dmu_Algeria_SNTF_ZZ_2200_Autorail</v>
      </c>
      <c r="Q495" s="10" t="b">
        <f>_xlfn.XLOOKUP(CONTROL[[#This Row],[VEHIDCODE]],PROPERTIES[VEHIDCODE],PROPERTIES[EXCLUDE])</f>
        <v>0</v>
      </c>
    </row>
    <row r="496" spans="1:17">
      <c r="A496" s="2" t="s">
        <v>516</v>
      </c>
      <c r="B496" s="30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43" t="s">
        <v>1420</v>
      </c>
      <c r="G496" t="s">
        <v>2736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Row],[VEHIDCODE]],roster!A:A,roster!C:C))</f>
        <v>1</v>
      </c>
      <c r="N496" t="b">
        <f>ISNUMBER(_xlfn.XMATCH(CONTROL[[#This Row],[VEHIDCODE]],GRAPHICS_PROPERTIES[VEHIDCODE],0))</f>
        <v>1</v>
      </c>
      <c r="O496" s="30" t="str">
        <f>"item_"&amp;CONTROL[[#This Row],[VEHIDCODE]]</f>
        <v>item_dmu_Tunisia_SNCFT_AMT_800</v>
      </c>
      <c r="P496" s="30" t="str">
        <f>"str_"&amp;CONTROL[[#This Row],[VEHIDCODE]]</f>
        <v>str_dmu_Tunisia_SNCFT_AMT_800</v>
      </c>
      <c r="Q496" s="10" t="b">
        <f>_xlfn.XLOOKUP(CONTROL[[#This Row],[VEHIDCODE]],PROPERTIES[VEHIDCODE],PROPERTIES[EXCLUDE])</f>
        <v>0</v>
      </c>
    </row>
    <row r="497" spans="1:17">
      <c r="A497" s="2" t="s">
        <v>517</v>
      </c>
      <c r="B497" s="30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43" t="s">
        <v>1421</v>
      </c>
      <c r="G497" t="s">
        <v>2737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Row],[VEHIDCODE]],roster!A:A,roster!C:C))</f>
        <v>1</v>
      </c>
      <c r="N497" t="b">
        <f>ISNUMBER(_xlfn.XMATCH(CONTROL[[#This Row],[VEHIDCODE]],GRAPHICS_PROPERTIES[VEHIDCODE],0))</f>
        <v>1</v>
      </c>
      <c r="O497" s="30" t="str">
        <f>"item_"&amp;CONTROL[[#This Row],[VEHIDCODE]]</f>
        <v>item_dmu_Ghana_Ghana_Railways_DEMU</v>
      </c>
      <c r="P497" s="30" t="str">
        <f>"str_"&amp;CONTROL[[#This Row],[VEHIDCODE]]</f>
        <v>str_dmu_Ghana_Ghana_Railways_DEMU</v>
      </c>
      <c r="Q497" s="10" t="b">
        <f>_xlfn.XLOOKUP(CONTROL[[#This Row],[VEHIDCODE]],PROPERTIES[VEHIDCODE],PROPERTIES[EXCLUDE])</f>
        <v>0</v>
      </c>
    </row>
    <row r="498" spans="1:17">
      <c r="A498" s="2" t="s">
        <v>518</v>
      </c>
      <c r="B498" s="30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43" t="s">
        <v>3224</v>
      </c>
      <c r="G498" t="s">
        <v>2738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Row],[VEHIDCODE]],roster!A:A,roster!C:C))</f>
        <v>1</v>
      </c>
      <c r="N498" t="b">
        <f>ISNUMBER(_xlfn.XMATCH(CONTROL[[#This Row],[VEHIDCODE]],GRAPHICS_PROPERTIES[VEHIDCODE],0))</f>
        <v>1</v>
      </c>
      <c r="O498" s="30" t="str">
        <f>"item_"&amp;CONTROL[[#This Row],[VEHIDCODE]]</f>
        <v>item_dmu_Australia_Queensland_Rail_Diesel_Tilt_Train</v>
      </c>
      <c r="P498" s="30" t="str">
        <f>"str_"&amp;CONTROL[[#This Row],[VEHIDCODE]]</f>
        <v>str_dmu_Australia_Queensland_Rail_Diesel_Tilt_Train</v>
      </c>
      <c r="Q498" s="10" t="b">
        <f>_xlfn.XLOOKUP(CONTROL[[#This Row],[VEHIDCODE]],PROPERTIES[VEHIDCODE],PROPERTIES[EXCLUDE])</f>
        <v>0</v>
      </c>
    </row>
    <row r="499" spans="1:17">
      <c r="A499" s="2" t="s">
        <v>519</v>
      </c>
      <c r="B499" s="30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43" t="s">
        <v>1422</v>
      </c>
      <c r="G499" t="s">
        <v>2739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Row],[VEHIDCODE]],roster!A:A,roster!C:C))</f>
        <v>1</v>
      </c>
      <c r="N499" t="b">
        <f>ISNUMBER(_xlfn.XMATCH(CONTROL[[#This Row],[VEHIDCODE]],GRAPHICS_PROPERTIES[VEHIDCODE],0))</f>
        <v>1</v>
      </c>
      <c r="O499" s="30" t="str">
        <f>"item_"&amp;CONTROL[[#This Row],[VEHIDCODE]]</f>
        <v>item_dmu_Canada_UP_Express_Nippon_Sharyo_DMU</v>
      </c>
      <c r="P499" s="30" t="str">
        <f>"str_"&amp;CONTROL[[#This Row],[VEHIDCODE]]</f>
        <v>str_dmu_Canada_UP_Express_Nippon_Sharyo_DMU</v>
      </c>
      <c r="Q499" s="10" t="b">
        <f>_xlfn.XLOOKUP(CONTROL[[#This Row],[VEHIDCODE]],PROPERTIES[VEHIDCODE],PROPERTIES[EXCLUDE])</f>
        <v>0</v>
      </c>
    </row>
    <row r="500" spans="1:17">
      <c r="A500" s="2" t="s">
        <v>520</v>
      </c>
      <c r="B500" s="30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43" t="s">
        <v>1423</v>
      </c>
      <c r="G500" t="s">
        <v>2740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Row],[VEHIDCODE]],roster!A:A,roster!C:C))</f>
        <v>1</v>
      </c>
      <c r="N500" t="b">
        <f>ISNUMBER(_xlfn.XMATCH(CONTROL[[#This Row],[VEHIDCODE]],GRAPHICS_PROPERTIES[VEHIDCODE],0))</f>
        <v>1</v>
      </c>
      <c r="O500" s="30" t="str">
        <f>"item_"&amp;CONTROL[[#This Row],[VEHIDCODE]]</f>
        <v>item_dmu_Argentina_FCGU_CMM_400_2</v>
      </c>
      <c r="P500" s="30" t="str">
        <f>"str_"&amp;CONTROL[[#This Row],[VEHIDCODE]]</f>
        <v>str_dmu_Argentina_FCGU_CMM_400_2</v>
      </c>
      <c r="Q500" s="10" t="b">
        <f>_xlfn.XLOOKUP(CONTROL[[#This Row],[VEHIDCODE]],PROPERTIES[VEHIDCODE],PROPERTIES[EXCLUDE])</f>
        <v>0</v>
      </c>
    </row>
    <row r="501" spans="1:17">
      <c r="A501" s="2" t="s">
        <v>521</v>
      </c>
      <c r="B501" s="30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43" t="s">
        <v>1424</v>
      </c>
      <c r="G501" t="s">
        <v>2741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Row],[VEHIDCODE]],roster!A:A,roster!C:C))</f>
        <v>1</v>
      </c>
      <c r="N501" t="b">
        <f>ISNUMBER(_xlfn.XMATCH(CONTROL[[#This Row],[VEHIDCODE]],GRAPHICS_PROPERTIES[VEHIDCODE],0))</f>
        <v>1</v>
      </c>
      <c r="O501" s="30" t="str">
        <f>"item_"&amp;CONTROL[[#This Row],[VEHIDCODE]]</f>
        <v>item_dmu_Italy_FS_ALn_442_448</v>
      </c>
      <c r="P501" s="30" t="str">
        <f>"str_"&amp;CONTROL[[#This Row],[VEHIDCODE]]</f>
        <v>str_dmu_Italy_FS_ALn_442_448</v>
      </c>
      <c r="Q501" s="10" t="b">
        <f>_xlfn.XLOOKUP(CONTROL[[#This Row],[VEHIDCODE]],PROPERTIES[VEHIDCODE],PROPERTIES[EXCLUDE])</f>
        <v>0</v>
      </c>
    </row>
    <row r="502" spans="1:17">
      <c r="A502" s="2" t="s">
        <v>522</v>
      </c>
      <c r="B502" s="30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43" t="s">
        <v>1425</v>
      </c>
      <c r="G502" t="s">
        <v>2742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Row],[VEHIDCODE]],roster!A:A,roster!C:C))</f>
        <v>1</v>
      </c>
      <c r="N502" t="b">
        <f>ISNUMBER(_xlfn.XMATCH(CONTROL[[#This Row],[VEHIDCODE]],GRAPHICS_PROPERTIES[VEHIDCODE],0))</f>
        <v>1</v>
      </c>
      <c r="O502" s="30" t="str">
        <f>"item_"&amp;CONTROL[[#This Row],[VEHIDCODE]]</f>
        <v>item_dmu_Portugal_CP_0400</v>
      </c>
      <c r="P502" s="30" t="str">
        <f>"str_"&amp;CONTROL[[#This Row],[VEHIDCODE]]</f>
        <v>str_dmu_Portugal_CP_0400</v>
      </c>
      <c r="Q502" s="10" t="b">
        <f>_xlfn.XLOOKUP(CONTROL[[#This Row],[VEHIDCODE]],PROPERTIES[VEHIDCODE],PROPERTIES[EXCLUDE])</f>
        <v>0</v>
      </c>
    </row>
    <row r="503" spans="1:17">
      <c r="A503" s="2" t="s">
        <v>523</v>
      </c>
      <c r="B503" s="30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43" t="s">
        <v>1426</v>
      </c>
      <c r="G503" t="s">
        <v>2743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Row],[VEHIDCODE]],roster!A:A,roster!C:C))</f>
        <v>1</v>
      </c>
      <c r="N503" t="b">
        <f>ISNUMBER(_xlfn.XMATCH(CONTROL[[#This Row],[VEHIDCODE]],GRAPHICS_PROPERTIES[VEHIDCODE],0))</f>
        <v>1</v>
      </c>
      <c r="O503" s="30" t="str">
        <f>"item_"&amp;CONTROL[[#This Row],[VEHIDCODE]]</f>
        <v>item_dmu_Portugal_CP_0600</v>
      </c>
      <c r="P503" s="30" t="str">
        <f>"str_"&amp;CONTROL[[#This Row],[VEHIDCODE]]</f>
        <v>str_dmu_Portugal_CP_0600</v>
      </c>
      <c r="Q503" s="10" t="b">
        <f>_xlfn.XLOOKUP(CONTROL[[#This Row],[VEHIDCODE]],PROPERTIES[VEHIDCODE],PROPERTIES[EXCLUDE])</f>
        <v>0</v>
      </c>
    </row>
    <row r="504" spans="1:17">
      <c r="A504" s="2" t="s">
        <v>524</v>
      </c>
      <c r="B504" s="30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43" t="s">
        <v>1427</v>
      </c>
      <c r="G504" t="s">
        <v>2746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Row],[VEHIDCODE]],roster!A:A,roster!C:C))</f>
        <v>1</v>
      </c>
      <c r="N504" t="b">
        <f>ISNUMBER(_xlfn.XMATCH(CONTROL[[#This Row],[VEHIDCODE]],GRAPHICS_PROPERTIES[VEHIDCODE],0))</f>
        <v>1</v>
      </c>
      <c r="O504" s="30" t="str">
        <f>"item_"&amp;CONTROL[[#This Row],[VEHIDCODE]]</f>
        <v>item_dmu_Spain_FEVE_2400_Apollos</v>
      </c>
      <c r="P504" s="30" t="str">
        <f>"str_"&amp;CONTROL[[#This Row],[VEHIDCODE]]</f>
        <v>str_dmu_Spain_FEVE_2400_Apollos</v>
      </c>
      <c r="Q504" s="10" t="b">
        <f>_xlfn.XLOOKUP(CONTROL[[#This Row],[VEHIDCODE]],PROPERTIES[VEHIDCODE],PROPERTIES[EXCLUDE])</f>
        <v>0</v>
      </c>
    </row>
    <row r="505" spans="1:17">
      <c r="A505" s="2" t="s">
        <v>525</v>
      </c>
      <c r="B505" s="30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43" t="s">
        <v>1428</v>
      </c>
      <c r="G505" t="s">
        <v>2749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Row],[VEHIDCODE]],roster!A:A,roster!C:C))</f>
        <v>1</v>
      </c>
      <c r="N505" t="b">
        <f>ISNUMBER(_xlfn.XMATCH(CONTROL[[#This Row],[VEHIDCODE]],GRAPHICS_PROPERTIES[VEHIDCODE],0))</f>
        <v>1</v>
      </c>
      <c r="O505" s="30" t="str">
        <f>"item_"&amp;CONTROL[[#This Row],[VEHIDCODE]]</f>
        <v>item_cargodmu_Germany_DB_691_CargoSprinter</v>
      </c>
      <c r="P505" s="30" t="str">
        <f>"str_"&amp;CONTROL[[#This Row],[VEHIDCODE]]</f>
        <v>str_cargodmu_Germany_DB_691_CargoSprinter</v>
      </c>
      <c r="Q505" s="10" t="b">
        <f>_xlfn.XLOOKUP(CONTROL[[#This Row],[VEHIDCODE]],PROPERTIES[VEHIDCODE],PROPERTIES[EXCLUDE])</f>
        <v>0</v>
      </c>
    </row>
    <row r="506" spans="1:17">
      <c r="A506" s="2" t="s">
        <v>527</v>
      </c>
      <c r="B506" s="30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43" t="s">
        <v>1429</v>
      </c>
      <c r="G506" t="s">
        <v>2750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Row],[VEHIDCODE]],roster!A:A,roster!C:C))</f>
        <v>1</v>
      </c>
      <c r="N506" t="b">
        <f>ISNUMBER(_xlfn.XMATCH(CONTROL[[#This Row],[VEHIDCODE]],GRAPHICS_PROPERTIES[VEHIDCODE],0))</f>
        <v>1</v>
      </c>
      <c r="O506" s="30" t="str">
        <f>"item_"&amp;CONTROL[[#This Row],[VEHIDCODE]]</f>
        <v>item_emu_Australia_Sydney_Trains_A_Set_Waratah</v>
      </c>
      <c r="P506" s="30" t="str">
        <f>"str_"&amp;CONTROL[[#This Row],[VEHIDCODE]]</f>
        <v>str_emu_Australia_Sydney_Trains_A_Set_Waratah</v>
      </c>
      <c r="Q506" s="10" t="b">
        <f>_xlfn.XLOOKUP(CONTROL[[#This Row],[VEHIDCODE]],PROPERTIES[VEHIDCODE],PROPERTIES[EXCLUDE])</f>
        <v>0</v>
      </c>
    </row>
    <row r="507" spans="1:17">
      <c r="A507" s="2" t="s">
        <v>528</v>
      </c>
      <c r="B507" s="30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43" t="s">
        <v>1430</v>
      </c>
      <c r="G507" t="s">
        <v>2751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Row],[VEHIDCODE]],roster!A:A,roster!C:C))</f>
        <v>1</v>
      </c>
      <c r="N507" t="b">
        <f>ISNUMBER(_xlfn.XMATCH(CONTROL[[#This Row],[VEHIDCODE]],GRAPHICS_PROPERTIES[VEHIDCODE],0))</f>
        <v>1</v>
      </c>
      <c r="O507" s="30" t="str">
        <f>"item_"&amp;CONTROL[[#This Row],[VEHIDCODE]]</f>
        <v>item_emu_Denmark_DSB_S_Tog_II</v>
      </c>
      <c r="P507" s="30" t="str">
        <f>"str_"&amp;CONTROL[[#This Row],[VEHIDCODE]]</f>
        <v>str_emu_Denmark_DSB_S_Tog_II</v>
      </c>
      <c r="Q507" s="10" t="b">
        <f>_xlfn.XLOOKUP(CONTROL[[#This Row],[VEHIDCODE]],PROPERTIES[VEHIDCODE],PROPERTIES[EXCLUDE])</f>
        <v>0</v>
      </c>
    </row>
    <row r="508" spans="1:17">
      <c r="A508" s="2" t="s">
        <v>529</v>
      </c>
      <c r="B508" s="30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43" t="s">
        <v>1431</v>
      </c>
      <c r="G508" t="s">
        <v>2752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Row],[VEHIDCODE]],roster!A:A,roster!C:C))</f>
        <v>1</v>
      </c>
      <c r="N508" t="b">
        <f>ISNUMBER(_xlfn.XMATCH(CONTROL[[#This Row],[VEHIDCODE]],GRAPHICS_PROPERTIES[VEHIDCODE],0))</f>
        <v>1</v>
      </c>
      <c r="O508" s="30" t="str">
        <f>"item_"&amp;CONTROL[[#This Row],[VEHIDCODE]]</f>
        <v>item_emu_Denmark_DSB_S_Tog_IV</v>
      </c>
      <c r="P508" s="30" t="str">
        <f>"str_"&amp;CONTROL[[#This Row],[VEHIDCODE]]</f>
        <v>str_emu_Denmark_DSB_S_Tog_IV</v>
      </c>
      <c r="Q508" s="10" t="b">
        <f>_xlfn.XLOOKUP(CONTROL[[#This Row],[VEHIDCODE]],PROPERTIES[VEHIDCODE],PROPERTIES[EXCLUDE])</f>
        <v>0</v>
      </c>
    </row>
    <row r="509" spans="1:17">
      <c r="A509" s="2" t="s">
        <v>530</v>
      </c>
      <c r="B509" s="30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43" t="s">
        <v>2753</v>
      </c>
      <c r="G509" t="s">
        <v>2754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Row],[VEHIDCODE]],roster!A:A,roster!C:C))</f>
        <v>1</v>
      </c>
      <c r="N509" t="b">
        <f>ISNUMBER(_xlfn.XMATCH(CONTROL[[#This Row],[VEHIDCODE]],GRAPHICS_PROPERTIES[VEHIDCODE],0))</f>
        <v>1</v>
      </c>
      <c r="O509" s="30" t="str">
        <f>"item_"&amp;CONTROL[[#This Row],[VEHIDCODE]]</f>
        <v>item_emu_Italy_ATAC_ECD_21_30</v>
      </c>
      <c r="P509" s="30" t="str">
        <f>"str_"&amp;CONTROL[[#This Row],[VEHIDCODE]]</f>
        <v>str_emu_Italy_ATAC_ECD_21_30</v>
      </c>
      <c r="Q509" s="10" t="b">
        <f>_xlfn.XLOOKUP(CONTROL[[#This Row],[VEHIDCODE]],PROPERTIES[VEHIDCODE],PROPERTIES[EXCLUDE])</f>
        <v>0</v>
      </c>
    </row>
    <row r="510" spans="1:17">
      <c r="A510" s="2" t="s">
        <v>531</v>
      </c>
      <c r="B510" s="30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43" t="s">
        <v>1432</v>
      </c>
      <c r="G510" t="s">
        <v>2755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Row],[VEHIDCODE]],roster!A:A,roster!C:C))</f>
        <v>1</v>
      </c>
      <c r="N510" t="b">
        <f>ISNUMBER(_xlfn.XMATCH(CONTROL[[#This Row],[VEHIDCODE]],GRAPHICS_PROPERTIES[VEHIDCODE],0))</f>
        <v>1</v>
      </c>
      <c r="O510" s="30" t="str">
        <f>"item_"&amp;CONTROL[[#This Row],[VEHIDCODE]]</f>
        <v>item_emu_Netherlands_NS_Mat24</v>
      </c>
      <c r="P510" s="30" t="str">
        <f>"str_"&amp;CONTROL[[#This Row],[VEHIDCODE]]</f>
        <v>str_emu_Netherlands_NS_Mat24</v>
      </c>
      <c r="Q510" s="10" t="b">
        <f>_xlfn.XLOOKUP(CONTROL[[#This Row],[VEHIDCODE]],PROPERTIES[VEHIDCODE],PROPERTIES[EXCLUDE])</f>
        <v>0</v>
      </c>
    </row>
    <row r="511" spans="1:17">
      <c r="A511" s="2" t="s">
        <v>532</v>
      </c>
      <c r="B511" s="30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43" t="s">
        <v>1433</v>
      </c>
      <c r="G511" t="s">
        <v>2756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Row],[VEHIDCODE]],roster!A:A,roster!C:C))</f>
        <v>1</v>
      </c>
      <c r="N511" t="b">
        <f>ISNUMBER(_xlfn.XMATCH(CONTROL[[#This Row],[VEHIDCODE]],GRAPHICS_PROPERTIES[VEHIDCODE],0))</f>
        <v>1</v>
      </c>
      <c r="O511" s="30" t="str">
        <f>"item_"&amp;CONTROL[[#This Row],[VEHIDCODE]]</f>
        <v>item_emu_Netherlands_NS_Mat36</v>
      </c>
      <c r="P511" s="30" t="str">
        <f>"str_"&amp;CONTROL[[#This Row],[VEHIDCODE]]</f>
        <v>str_emu_Netherlands_NS_Mat36</v>
      </c>
      <c r="Q511" s="10" t="b">
        <f>_xlfn.XLOOKUP(CONTROL[[#This Row],[VEHIDCODE]],PROPERTIES[VEHIDCODE],PROPERTIES[EXCLUDE])</f>
        <v>0</v>
      </c>
    </row>
    <row r="512" spans="1:17">
      <c r="A512" s="2" t="s">
        <v>533</v>
      </c>
      <c r="B512" s="30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43" t="s">
        <v>1434</v>
      </c>
      <c r="G512" t="s">
        <v>2757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Row],[VEHIDCODE]],roster!A:A,roster!C:C))</f>
        <v>1</v>
      </c>
      <c r="N512" t="b">
        <f>ISNUMBER(_xlfn.XMATCH(CONTROL[[#This Row],[VEHIDCODE]],GRAPHICS_PROPERTIES[VEHIDCODE],0))</f>
        <v>1</v>
      </c>
      <c r="O512" s="30" t="str">
        <f>"item_"&amp;CONTROL[[#This Row],[VEHIDCODE]]</f>
        <v>item_emu_Netherlands_NS_Mat54</v>
      </c>
      <c r="P512" s="30" t="str">
        <f>"str_"&amp;CONTROL[[#This Row],[VEHIDCODE]]</f>
        <v>str_emu_Netherlands_NS_Mat54</v>
      </c>
      <c r="Q512" s="10" t="b">
        <f>_xlfn.XLOOKUP(CONTROL[[#This Row],[VEHIDCODE]],PROPERTIES[VEHIDCODE],PROPERTIES[EXCLUDE])</f>
        <v>0</v>
      </c>
    </row>
    <row r="513" spans="1:17">
      <c r="A513" s="2" t="s">
        <v>534</v>
      </c>
      <c r="B513" s="30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43" t="s">
        <v>1435</v>
      </c>
      <c r="G513" t="s">
        <v>2758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Row],[VEHIDCODE]],roster!A:A,roster!C:C))</f>
        <v>1</v>
      </c>
      <c r="N513" t="b">
        <f>ISNUMBER(_xlfn.XMATCH(CONTROL[[#This Row],[VEHIDCODE]],GRAPHICS_PROPERTIES[VEHIDCODE],0))</f>
        <v>1</v>
      </c>
      <c r="O513" s="30" t="str">
        <f>"item_"&amp;CONTROL[[#This Row],[VEHIDCODE]]</f>
        <v>item_emu_Netherlands_NS_Plan_Y</v>
      </c>
      <c r="P513" s="30" t="str">
        <f>"str_"&amp;CONTROL[[#This Row],[VEHIDCODE]]</f>
        <v>str_emu_Netherlands_NS_Plan_Y</v>
      </c>
      <c r="Q513" s="10" t="b">
        <f>_xlfn.XLOOKUP(CONTROL[[#This Row],[VEHIDCODE]],PROPERTIES[VEHIDCODE],PROPERTIES[EXCLUDE])</f>
        <v>0</v>
      </c>
    </row>
    <row r="514" spans="1:17">
      <c r="A514" s="2" t="s">
        <v>535</v>
      </c>
      <c r="B514" s="30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43" t="s">
        <v>1436</v>
      </c>
      <c r="G514" t="s">
        <v>2759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Row],[VEHIDCODE]],roster!A:A,roster!C:C))</f>
        <v>1</v>
      </c>
      <c r="N514" t="b">
        <f>ISNUMBER(_xlfn.XMATCH(CONTROL[[#This Row],[VEHIDCODE]],GRAPHICS_PROPERTIES[VEHIDCODE],0))</f>
        <v>1</v>
      </c>
      <c r="O514" s="30" t="str">
        <f>"item_"&amp;CONTROL[[#This Row],[VEHIDCODE]]</f>
        <v>item_emu_Netherlands_NS_ICM_4000</v>
      </c>
      <c r="P514" s="30" t="str">
        <f>"str_"&amp;CONTROL[[#This Row],[VEHIDCODE]]</f>
        <v>str_emu_Netherlands_NS_ICM_4000</v>
      </c>
      <c r="Q514" s="10" t="b">
        <f>_xlfn.XLOOKUP(CONTROL[[#This Row],[VEHIDCODE]],PROPERTIES[VEHIDCODE],PROPERTIES[EXCLUDE])</f>
        <v>0</v>
      </c>
    </row>
    <row r="515" spans="1:17">
      <c r="A515" s="2" t="s">
        <v>536</v>
      </c>
      <c r="B515" s="30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43" t="s">
        <v>2761</v>
      </c>
      <c r="G515" t="s">
        <v>2760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Row],[VEHIDCODE]],roster!A:A,roster!C:C))</f>
        <v>1</v>
      </c>
      <c r="N515" t="b">
        <f>ISNUMBER(_xlfn.XMATCH(CONTROL[[#This Row],[VEHIDCODE]],GRAPHICS_PROPERTIES[VEHIDCODE],0))</f>
        <v>1</v>
      </c>
      <c r="O515" s="30" t="str">
        <f>"item_"&amp;CONTROL[[#This Row],[VEHIDCODE]]</f>
        <v>item_emu_Netherlands_NS_DD_IRM_VIRM</v>
      </c>
      <c r="P515" s="30" t="str">
        <f>"str_"&amp;CONTROL[[#This Row],[VEHIDCODE]]</f>
        <v>str_emu_Netherlands_NS_DD_IRM_VIRM</v>
      </c>
      <c r="Q515" s="10" t="b">
        <f>_xlfn.XLOOKUP(CONTROL[[#This Row],[VEHIDCODE]],PROPERTIES[VEHIDCODE],PROPERTIES[EXCLUDE])</f>
        <v>0</v>
      </c>
    </row>
    <row r="516" spans="1:17">
      <c r="A516" s="2" t="s">
        <v>537</v>
      </c>
      <c r="B516" s="30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43" t="s">
        <v>1437</v>
      </c>
      <c r="G516" t="s">
        <v>2764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Row],[VEHIDCODE]],roster!A:A,roster!C:C))</f>
        <v>1</v>
      </c>
      <c r="N516" t="b">
        <f>ISNUMBER(_xlfn.XMATCH(CONTROL[[#This Row],[VEHIDCODE]],GRAPHICS_PROPERTIES[VEHIDCODE],0))</f>
        <v>1</v>
      </c>
      <c r="O516" s="30" t="str">
        <f>"item_"&amp;CONTROL[[#This Row],[VEHIDCODE]]</f>
        <v>item_emu_Netherlands_NS_mDDm_390</v>
      </c>
      <c r="P516" s="30" t="str">
        <f>"str_"&amp;CONTROL[[#This Row],[VEHIDCODE]]</f>
        <v>str_emu_Netherlands_NS_mDDm_390</v>
      </c>
      <c r="Q516" s="10" t="b">
        <f>_xlfn.XLOOKUP(CONTROL[[#This Row],[VEHIDCODE]],PROPERTIES[VEHIDCODE],PROPERTIES[EXCLUDE])</f>
        <v>0</v>
      </c>
    </row>
    <row r="517" spans="1:17">
      <c r="A517" s="2" t="s">
        <v>538</v>
      </c>
      <c r="B517" s="30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43" t="s">
        <v>1438</v>
      </c>
      <c r="G517" t="s">
        <v>2762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Row],[VEHIDCODE]],roster!A:A,roster!C:C))</f>
        <v>1</v>
      </c>
      <c r="N517" t="b">
        <f>ISNUMBER(_xlfn.XMATCH(CONTROL[[#This Row],[VEHIDCODE]],GRAPHICS_PROPERTIES[VEHIDCODE],0))</f>
        <v>1</v>
      </c>
      <c r="O517" s="30" t="str">
        <f>"item_"&amp;CONTROL[[#This Row],[VEHIDCODE]]</f>
        <v>item_emu_Poland_PKP_EW90</v>
      </c>
      <c r="P517" s="30" t="str">
        <f>"str_"&amp;CONTROL[[#This Row],[VEHIDCODE]]</f>
        <v>str_emu_Poland_PKP_EW90</v>
      </c>
      <c r="Q517" s="10" t="b">
        <f>_xlfn.XLOOKUP(CONTROL[[#This Row],[VEHIDCODE]],PROPERTIES[VEHIDCODE],PROPERTIES[EXCLUDE])</f>
        <v>0</v>
      </c>
    </row>
    <row r="518" spans="1:17">
      <c r="A518" s="2" t="s">
        <v>539</v>
      </c>
      <c r="B518" s="30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43" t="s">
        <v>1439</v>
      </c>
      <c r="G518" t="s">
        <v>2763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Row],[VEHIDCODE]],roster!A:A,roster!C:C))</f>
        <v>1</v>
      </c>
      <c r="N518" t="b">
        <f>ISNUMBER(_xlfn.XMATCH(CONTROL[[#This Row],[VEHIDCODE]],GRAPHICS_PROPERTIES[VEHIDCODE],0))</f>
        <v>1</v>
      </c>
      <c r="O518" s="30" t="str">
        <f>"item_"&amp;CONTROL[[#This Row],[VEHIDCODE]]</f>
        <v>item_emu_Italy_FS_ETR200</v>
      </c>
      <c r="P518" s="30" t="str">
        <f>"str_"&amp;CONTROL[[#This Row],[VEHIDCODE]]</f>
        <v>str_emu_Italy_FS_ETR200</v>
      </c>
      <c r="Q518" s="10" t="b">
        <f>_xlfn.XLOOKUP(CONTROL[[#This Row],[VEHIDCODE]],PROPERTIES[VEHIDCODE],PROPERTIES[EXCLUDE])</f>
        <v>0</v>
      </c>
    </row>
    <row r="519" spans="1:17">
      <c r="A519" s="2" t="s">
        <v>540</v>
      </c>
      <c r="B519" s="30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43" t="s">
        <v>1440</v>
      </c>
      <c r="G519" t="s">
        <v>2765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Row],[VEHIDCODE]],roster!A:A,roster!C:C))</f>
        <v>1</v>
      </c>
      <c r="N519" t="b">
        <f>ISNUMBER(_xlfn.XMATCH(CONTROL[[#This Row],[VEHIDCODE]],GRAPHICS_PROPERTIES[VEHIDCODE],0))</f>
        <v>1</v>
      </c>
      <c r="O519" s="30" t="str">
        <f>"item_"&amp;CONTROL[[#This Row],[VEHIDCODE]]</f>
        <v>item_emu_Italy_FS_ETR300_Settebello</v>
      </c>
      <c r="P519" s="30" t="str">
        <f>"str_"&amp;CONTROL[[#This Row],[VEHIDCODE]]</f>
        <v>str_emu_Italy_FS_ETR300_Settebello</v>
      </c>
      <c r="Q519" s="10" t="b">
        <f>_xlfn.XLOOKUP(CONTROL[[#This Row],[VEHIDCODE]],PROPERTIES[VEHIDCODE],PROPERTIES[EXCLUDE])</f>
        <v>0</v>
      </c>
    </row>
    <row r="520" spans="1:17">
      <c r="A520" s="2" t="s">
        <v>541</v>
      </c>
      <c r="B520" s="30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43" t="s">
        <v>1441</v>
      </c>
      <c r="G520" t="s">
        <v>2766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Row],[VEHIDCODE]],roster!A:A,roster!C:C))</f>
        <v>1</v>
      </c>
      <c r="N520" t="b">
        <f>ISNUMBER(_xlfn.XMATCH(CONTROL[[#This Row],[VEHIDCODE]],GRAPHICS_PROPERTIES[VEHIDCODE],0))</f>
        <v>1</v>
      </c>
      <c r="O520" s="30" t="str">
        <f>"item_"&amp;CONTROL[[#This Row],[VEHIDCODE]]</f>
        <v>item_emu_Italy_FS_ETR500</v>
      </c>
      <c r="P520" s="30" t="str">
        <f>"str_"&amp;CONTROL[[#This Row],[VEHIDCODE]]</f>
        <v>str_emu_Italy_FS_ETR500</v>
      </c>
      <c r="Q520" s="10" t="b">
        <f>_xlfn.XLOOKUP(CONTROL[[#This Row],[VEHIDCODE]],PROPERTIES[VEHIDCODE],PROPERTIES[EXCLUDE])</f>
        <v>0</v>
      </c>
    </row>
    <row r="521" spans="1:17">
      <c r="A521" s="2" t="s">
        <v>542</v>
      </c>
      <c r="B521" s="30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43" t="s">
        <v>1442</v>
      </c>
      <c r="G521" t="s">
        <v>2767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Row],[VEHIDCODE]],roster!A:A,roster!C:C))</f>
        <v>1</v>
      </c>
      <c r="N521" t="b">
        <f>ISNUMBER(_xlfn.XMATCH(CONTROL[[#This Row],[VEHIDCODE]],GRAPHICS_PROPERTIES[VEHIDCODE],0))</f>
        <v>1</v>
      </c>
      <c r="O521" s="30" t="str">
        <f>"item_"&amp;CONTROL[[#This Row],[VEHIDCODE]]</f>
        <v>item_emu_Italy_FS_ALe426</v>
      </c>
      <c r="P521" s="30" t="str">
        <f>"str_"&amp;CONTROL[[#This Row],[VEHIDCODE]]</f>
        <v>str_emu_Italy_FS_ALe426</v>
      </c>
      <c r="Q521" s="10" t="b">
        <f>_xlfn.XLOOKUP(CONTROL[[#This Row],[VEHIDCODE]],PROPERTIES[VEHIDCODE],PROPERTIES[EXCLUDE])</f>
        <v>0</v>
      </c>
    </row>
    <row r="522" spans="1:17">
      <c r="A522" s="2" t="s">
        <v>543</v>
      </c>
      <c r="B522" s="30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43" t="s">
        <v>1443</v>
      </c>
      <c r="G522" t="s">
        <v>2768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Row],[VEHIDCODE]],roster!A:A,roster!C:C))</f>
        <v>1</v>
      </c>
      <c r="N522" t="b">
        <f>ISNUMBER(_xlfn.XMATCH(CONTROL[[#This Row],[VEHIDCODE]],GRAPHICS_PROPERTIES[VEHIDCODE],0))</f>
        <v>1</v>
      </c>
      <c r="O522" s="30" t="str">
        <f>"item_"&amp;CONTROL[[#This Row],[VEHIDCODE]]</f>
        <v>item_emu_Morocco_ONCF_ZMC</v>
      </c>
      <c r="P522" s="30" t="str">
        <f>"str_"&amp;CONTROL[[#This Row],[VEHIDCODE]]</f>
        <v>str_emu_Morocco_ONCF_ZMC</v>
      </c>
      <c r="Q522" s="10" t="b">
        <f>_xlfn.XLOOKUP(CONTROL[[#This Row],[VEHIDCODE]],PROPERTIES[VEHIDCODE],PROPERTIES[EXCLUDE])</f>
        <v>0</v>
      </c>
    </row>
    <row r="523" spans="1:17">
      <c r="A523" s="2" t="s">
        <v>544</v>
      </c>
      <c r="B523" s="30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43" t="s">
        <v>1444</v>
      </c>
      <c r="G523" t="s">
        <v>2769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Row],[VEHIDCODE]],roster!A:A,roster!C:C))</f>
        <v>1</v>
      </c>
      <c r="N523" t="b">
        <f>ISNUMBER(_xlfn.XMATCH(CONTROL[[#This Row],[VEHIDCODE]],GRAPHICS_PROPERTIES[VEHIDCODE],0))</f>
        <v>1</v>
      </c>
      <c r="O523" s="30" t="str">
        <f>"item_"&amp;CONTROL[[#This Row],[VEHIDCODE]]</f>
        <v>item_emu_Poland_PKP_EW54</v>
      </c>
      <c r="P523" s="30" t="str">
        <f>"str_"&amp;CONTROL[[#This Row],[VEHIDCODE]]</f>
        <v>str_emu_Poland_PKP_EW54</v>
      </c>
      <c r="Q523" s="10" t="b">
        <f>_xlfn.XLOOKUP(CONTROL[[#This Row],[VEHIDCODE]],PROPERTIES[VEHIDCODE],PROPERTIES[EXCLUDE])</f>
        <v>0</v>
      </c>
    </row>
    <row r="524" spans="1:17">
      <c r="A524" s="2" t="s">
        <v>545</v>
      </c>
      <c r="B524" s="30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43" t="s">
        <v>1445</v>
      </c>
      <c r="G524" t="s">
        <v>2770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Row],[VEHIDCODE]],roster!A:A,roster!C:C))</f>
        <v>1</v>
      </c>
      <c r="N524" t="b">
        <f>ISNUMBER(_xlfn.XMATCH(CONTROL[[#This Row],[VEHIDCODE]],GRAPHICS_PROPERTIES[VEHIDCODE],0))</f>
        <v>1</v>
      </c>
      <c r="O524" s="30" t="str">
        <f>"item_"&amp;CONTROL[[#This Row],[VEHIDCODE]]</f>
        <v>item_emu_Italy_FS_ALe_801</v>
      </c>
      <c r="P524" s="30" t="str">
        <f>"str_"&amp;CONTROL[[#This Row],[VEHIDCODE]]</f>
        <v>str_emu_Italy_FS_ALe_801</v>
      </c>
      <c r="Q524" s="10" t="b">
        <f>_xlfn.XLOOKUP(CONTROL[[#This Row],[VEHIDCODE]],PROPERTIES[VEHIDCODE],PROPERTIES[EXCLUDE])</f>
        <v>0</v>
      </c>
    </row>
    <row r="525" spans="1:17">
      <c r="A525" s="2" t="s">
        <v>546</v>
      </c>
      <c r="B525" s="30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43" t="s">
        <v>2979</v>
      </c>
      <c r="G525" t="s">
        <v>2771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Row],[VEHIDCODE]],roster!A:A,roster!C:C))</f>
        <v>1</v>
      </c>
      <c r="N525" t="b">
        <f>ISNUMBER(_xlfn.XMATCH(CONTROL[[#This Row],[VEHIDCODE]],GRAPHICS_PROPERTIES[VEHIDCODE],0))</f>
        <v>1</v>
      </c>
      <c r="O525" s="30" t="str">
        <f>"item_"&amp;CONTROL[[#This Row],[VEHIDCODE]]</f>
        <v>item_emu_Austria_OBB_4030</v>
      </c>
      <c r="P525" s="30" t="str">
        <f>"str_"&amp;CONTROL[[#This Row],[VEHIDCODE]]</f>
        <v>str_emu_Austria_OBB_4030</v>
      </c>
      <c r="Q525" s="10" t="b">
        <f>_xlfn.XLOOKUP(CONTROL[[#This Row],[VEHIDCODE]],PROPERTIES[VEHIDCODE],PROPERTIES[EXCLUDE])</f>
        <v>0</v>
      </c>
    </row>
    <row r="526" spans="1:17">
      <c r="A526" s="2" t="s">
        <v>547</v>
      </c>
      <c r="B526" s="30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43" t="s">
        <v>2980</v>
      </c>
      <c r="G526" t="s">
        <v>2772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Row],[VEHIDCODE]],roster!A:A,roster!C:C))</f>
        <v>1</v>
      </c>
      <c r="N526" t="b">
        <f>ISNUMBER(_xlfn.XMATCH(CONTROL[[#This Row],[VEHIDCODE]],GRAPHICS_PROPERTIES[VEHIDCODE],0))</f>
        <v>1</v>
      </c>
      <c r="O526" s="30" t="str">
        <f>"item_"&amp;CONTROL[[#This Row],[VEHIDCODE]]</f>
        <v>item_emu_Austria_OBB_4041</v>
      </c>
      <c r="P526" s="30" t="str">
        <f>"str_"&amp;CONTROL[[#This Row],[VEHIDCODE]]</f>
        <v>str_emu_Austria_OBB_4041</v>
      </c>
      <c r="Q526" s="10" t="b">
        <f>_xlfn.XLOOKUP(CONTROL[[#This Row],[VEHIDCODE]],PROPERTIES[VEHIDCODE],PROPERTIES[EXCLUDE])</f>
        <v>0</v>
      </c>
    </row>
    <row r="527" spans="1:17">
      <c r="A527" s="2" t="s">
        <v>548</v>
      </c>
      <c r="B527" s="30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43" t="s">
        <v>1446</v>
      </c>
      <c r="G527" t="s">
        <v>2773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Row],[VEHIDCODE]],roster!A:A,roster!C:C))</f>
        <v>1</v>
      </c>
      <c r="N527" t="b">
        <f>ISNUMBER(_xlfn.XMATCH(CONTROL[[#This Row],[VEHIDCODE]],GRAPHICS_PROPERTIES[VEHIDCODE],0))</f>
        <v>1</v>
      </c>
      <c r="O527" s="30" t="str">
        <f>"item_"&amp;CONTROL[[#This Row],[VEHIDCODE]]</f>
        <v>item_emu_Austria_WESTbahn_4010_KISS</v>
      </c>
      <c r="P527" s="30" t="str">
        <f>"str_"&amp;CONTROL[[#This Row],[VEHIDCODE]]</f>
        <v>str_emu_Austria_WESTbahn_4010_KISS</v>
      </c>
      <c r="Q527" s="10" t="b">
        <f>_xlfn.XLOOKUP(CONTROL[[#This Row],[VEHIDCODE]],PROPERTIES[VEHIDCODE],PROPERTIES[EXCLUDE])</f>
        <v>0</v>
      </c>
    </row>
    <row r="528" spans="1:17">
      <c r="A528" s="2" t="s">
        <v>549</v>
      </c>
      <c r="B528" s="30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43" t="s">
        <v>1447</v>
      </c>
      <c r="G528" t="s">
        <v>2774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Row],[VEHIDCODE]],roster!A:A,roster!C:C))</f>
        <v>1</v>
      </c>
      <c r="N528" t="b">
        <f>ISNUMBER(_xlfn.XMATCH(CONTROL[[#This Row],[VEHIDCODE]],GRAPHICS_PROPERTIES[VEHIDCODE],0))</f>
        <v>1</v>
      </c>
      <c r="O528" s="30" t="str">
        <f>"item_"&amp;CONTROL[[#This Row],[VEHIDCODE]]</f>
        <v>item_emu_Germany_DB_ET420</v>
      </c>
      <c r="P528" s="30" t="str">
        <f>"str_"&amp;CONTROL[[#This Row],[VEHIDCODE]]</f>
        <v>str_emu_Germany_DB_ET420</v>
      </c>
      <c r="Q528" s="10" t="b">
        <f>_xlfn.XLOOKUP(CONTROL[[#This Row],[VEHIDCODE]],PROPERTIES[VEHIDCODE],PROPERTIES[EXCLUDE])</f>
        <v>0</v>
      </c>
    </row>
    <row r="529" spans="1:17">
      <c r="A529" s="2" t="s">
        <v>550</v>
      </c>
      <c r="B529" s="30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43" t="s">
        <v>1448</v>
      </c>
      <c r="G529" t="s">
        <v>2775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Row],[VEHIDCODE]],roster!A:A,roster!C:C))</f>
        <v>1</v>
      </c>
      <c r="N529" t="b">
        <f>ISNUMBER(_xlfn.XMATCH(CONTROL[[#This Row],[VEHIDCODE]],GRAPHICS_PROPERTIES[VEHIDCODE],0))</f>
        <v>1</v>
      </c>
      <c r="O529" s="30" t="str">
        <f>"item_"&amp;CONTROL[[#This Row],[VEHIDCODE]]</f>
        <v>item_emu_Norway_NSB_BM73</v>
      </c>
      <c r="P529" s="30" t="str">
        <f>"str_"&amp;CONTROL[[#This Row],[VEHIDCODE]]</f>
        <v>str_emu_Norway_NSB_BM73</v>
      </c>
      <c r="Q529" s="10" t="b">
        <f>_xlfn.XLOOKUP(CONTROL[[#This Row],[VEHIDCODE]],PROPERTIES[VEHIDCODE],PROPERTIES[EXCLUDE])</f>
        <v>0</v>
      </c>
    </row>
    <row r="530" spans="1:17">
      <c r="A530" s="2" t="s">
        <v>551</v>
      </c>
      <c r="B530" s="30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43" t="s">
        <v>1449</v>
      </c>
      <c r="G530" t="s">
        <v>2776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Row],[VEHIDCODE]],roster!A:A,roster!C:C))</f>
        <v>1</v>
      </c>
      <c r="N530" t="b">
        <f>ISNUMBER(_xlfn.XMATCH(CONTROL[[#This Row],[VEHIDCODE]],GRAPHICS_PROPERTIES[VEHIDCODE],0))</f>
        <v>1</v>
      </c>
      <c r="O530" s="30" t="str">
        <f>"item_"&amp;CONTROL[[#This Row],[VEHIDCODE]]</f>
        <v>item_emu_Norway_NSB_BM65</v>
      </c>
      <c r="P530" s="30" t="str">
        <f>"str_"&amp;CONTROL[[#This Row],[VEHIDCODE]]</f>
        <v>str_emu_Norway_NSB_BM65</v>
      </c>
      <c r="Q530" s="10" t="b">
        <f>_xlfn.XLOOKUP(CONTROL[[#This Row],[VEHIDCODE]],PROPERTIES[VEHIDCODE],PROPERTIES[EXCLUDE])</f>
        <v>0</v>
      </c>
    </row>
    <row r="531" spans="1:17">
      <c r="A531" s="2" t="s">
        <v>552</v>
      </c>
      <c r="B531" s="30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43" t="s">
        <v>1450</v>
      </c>
      <c r="G531" t="s">
        <v>2777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Row],[VEHIDCODE]],roster!A:A,roster!C:C))</f>
        <v>1</v>
      </c>
      <c r="N531" t="b">
        <f>ISNUMBER(_xlfn.XMATCH(CONTROL[[#This Row],[VEHIDCODE]],GRAPHICS_PROPERTIES[VEHIDCODE],0))</f>
        <v>1</v>
      </c>
      <c r="O531" s="30" t="str">
        <f>"item_"&amp;CONTROL[[#This Row],[VEHIDCODE]]</f>
        <v>item_emu_Sweden_SJ_X2000</v>
      </c>
      <c r="P531" s="30" t="str">
        <f>"str_"&amp;CONTROL[[#This Row],[VEHIDCODE]]</f>
        <v>str_emu_Sweden_SJ_X2000</v>
      </c>
      <c r="Q531" s="10" t="b">
        <f>_xlfn.XLOOKUP(CONTROL[[#This Row],[VEHIDCODE]],PROPERTIES[VEHIDCODE],PROPERTIES[EXCLUDE])</f>
        <v>0</v>
      </c>
    </row>
    <row r="532" spans="1:17">
      <c r="A532" s="2" t="s">
        <v>553</v>
      </c>
      <c r="B532" s="30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43" t="s">
        <v>1451</v>
      </c>
      <c r="G532" t="s">
        <v>2778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Row],[VEHIDCODE]],roster!A:A,roster!C:C))</f>
        <v>1</v>
      </c>
      <c r="N532" t="b">
        <f>ISNUMBER(_xlfn.XMATCH(CONTROL[[#This Row],[VEHIDCODE]],GRAPHICS_PROPERTIES[VEHIDCODE],0))</f>
        <v>1</v>
      </c>
      <c r="O532" s="30" t="str">
        <f>"item_"&amp;CONTROL[[#This Row],[VEHIDCODE]]</f>
        <v>item_emu_Switzerland_SBB_RABDe_510</v>
      </c>
      <c r="P532" s="30" t="str">
        <f>"str_"&amp;CONTROL[[#This Row],[VEHIDCODE]]</f>
        <v>str_emu_Switzerland_SBB_RABDe_510</v>
      </c>
      <c r="Q532" s="10" t="b">
        <f>_xlfn.XLOOKUP(CONTROL[[#This Row],[VEHIDCODE]],PROPERTIES[VEHIDCODE],PROPERTIES[EXCLUDE])</f>
        <v>0</v>
      </c>
    </row>
    <row r="533" spans="1:17">
      <c r="A533" s="2" t="s">
        <v>554</v>
      </c>
      <c r="B533" s="30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43" t="s">
        <v>1452</v>
      </c>
      <c r="G533" t="s">
        <v>2779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Row],[VEHIDCODE]],roster!A:A,roster!C:C))</f>
        <v>1</v>
      </c>
      <c r="N533" t="b">
        <f>ISNUMBER(_xlfn.XMATCH(CONTROL[[#This Row],[VEHIDCODE]],GRAPHICS_PROPERTIES[VEHIDCODE],0))</f>
        <v>1</v>
      </c>
      <c r="O533" s="30" t="str">
        <f>"item_"&amp;CONTROL[[#This Row],[VEHIDCODE]]</f>
        <v>item_emu_Switzerland_SBB_RBDe_560</v>
      </c>
      <c r="P533" s="30" t="str">
        <f>"str_"&amp;CONTROL[[#This Row],[VEHIDCODE]]</f>
        <v>str_emu_Switzerland_SBB_RBDe_560</v>
      </c>
      <c r="Q533" s="10" t="b">
        <f>_xlfn.XLOOKUP(CONTROL[[#This Row],[VEHIDCODE]],PROPERTIES[VEHIDCODE],PROPERTIES[EXCLUDE])</f>
        <v>0</v>
      </c>
    </row>
    <row r="534" spans="1:17">
      <c r="A534" s="2" t="s">
        <v>555</v>
      </c>
      <c r="B534" s="30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43" t="s">
        <v>1453</v>
      </c>
      <c r="G534" t="s">
        <v>2780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Row],[VEHIDCODE]],roster!A:A,roster!C:C))</f>
        <v>1</v>
      </c>
      <c r="N534" t="b">
        <f>ISNUMBER(_xlfn.XMATCH(CONTROL[[#This Row],[VEHIDCODE]],GRAPHICS_PROPERTIES[VEHIDCODE],0))</f>
        <v>1</v>
      </c>
      <c r="O534" s="30" t="str">
        <f>"item_"&amp;CONTROL[[#This Row],[VEHIDCODE]]</f>
        <v>item_emu_Switzerland_SBB_RABe_523_Flirt</v>
      </c>
      <c r="P534" s="30" t="str">
        <f>"str_"&amp;CONTROL[[#This Row],[VEHIDCODE]]</f>
        <v>str_emu_Switzerland_SBB_RABe_523_Flirt</v>
      </c>
      <c r="Q534" s="10" t="b">
        <f>_xlfn.XLOOKUP(CONTROL[[#This Row],[VEHIDCODE]],PROPERTIES[VEHIDCODE],PROPERTIES[EXCLUDE])</f>
        <v>0</v>
      </c>
    </row>
    <row r="535" spans="1:17">
      <c r="A535" s="2" t="s">
        <v>556</v>
      </c>
      <c r="B535" s="30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43" t="s">
        <v>1454</v>
      </c>
      <c r="G535" t="s">
        <v>2781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Row],[VEHIDCODE]],roster!A:A,roster!C:C))</f>
        <v>1</v>
      </c>
      <c r="N535" t="b">
        <f>ISNUMBER(_xlfn.XMATCH(CONTROL[[#This Row],[VEHIDCODE]],GRAPHICS_PROPERTIES[VEHIDCODE],0))</f>
        <v>1</v>
      </c>
      <c r="O535" s="30" t="str">
        <f>"item_"&amp;CONTROL[[#This Row],[VEHIDCODE]]</f>
        <v>item_emu_USA_Amtrak_Budd_Metroliner</v>
      </c>
      <c r="P535" s="30" t="str">
        <f>"str_"&amp;CONTROL[[#This Row],[VEHIDCODE]]</f>
        <v>str_emu_USA_Amtrak_Budd_Metroliner</v>
      </c>
      <c r="Q535" s="10" t="b">
        <f>_xlfn.XLOOKUP(CONTROL[[#This Row],[VEHIDCODE]],PROPERTIES[VEHIDCODE],PROPERTIES[EXCLUDE])</f>
        <v>0</v>
      </c>
    </row>
    <row r="536" spans="1:17">
      <c r="A536" s="2" t="s">
        <v>557</v>
      </c>
      <c r="B536" s="30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43" t="s">
        <v>1455</v>
      </c>
      <c r="G536" t="s">
        <v>2782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Row],[VEHIDCODE]],roster!A:A,roster!C:C))</f>
        <v>1</v>
      </c>
      <c r="N536" t="b">
        <f>ISNUMBER(_xlfn.XMATCH(CONTROL[[#This Row],[VEHIDCODE]],GRAPHICS_PROPERTIES[VEHIDCODE],0))</f>
        <v>1</v>
      </c>
      <c r="O536" s="30" t="str">
        <f>"item_"&amp;CONTROL[[#This Row],[VEHIDCODE]]</f>
        <v>item_emu_Germany_DB_403_ICE_3</v>
      </c>
      <c r="P536" s="30" t="str">
        <f>"str_"&amp;CONTROL[[#This Row],[VEHIDCODE]]</f>
        <v>str_emu_Germany_DB_403_ICE_3</v>
      </c>
      <c r="Q536" s="10" t="b">
        <f>_xlfn.XLOOKUP(CONTROL[[#This Row],[VEHIDCODE]],PROPERTIES[VEHIDCODE],PROPERTIES[EXCLUDE])</f>
        <v>0</v>
      </c>
    </row>
    <row r="537" spans="1:17">
      <c r="A537" s="2" t="s">
        <v>558</v>
      </c>
      <c r="B537" s="30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43" t="s">
        <v>1456</v>
      </c>
      <c r="G537" t="s">
        <v>2783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Row],[VEHIDCODE]],roster!A:A,roster!C:C))</f>
        <v>1</v>
      </c>
      <c r="N537" t="b">
        <f>ISNUMBER(_xlfn.XMATCH(CONTROL[[#This Row],[VEHIDCODE]],GRAPHICS_PROPERTIES[VEHIDCODE],0))</f>
        <v>1</v>
      </c>
      <c r="O537" s="30" t="str">
        <f>"item_"&amp;CONTROL[[#This Row],[VEHIDCODE]]</f>
        <v>item_emu_Bulgaria_BDZ_10_Desiro</v>
      </c>
      <c r="P537" s="30" t="str">
        <f>"str_"&amp;CONTROL[[#This Row],[VEHIDCODE]]</f>
        <v>str_emu_Bulgaria_BDZ_10_Desiro</v>
      </c>
      <c r="Q537" s="10" t="b">
        <f>_xlfn.XLOOKUP(CONTROL[[#This Row],[VEHIDCODE]],PROPERTIES[VEHIDCODE],PROPERTIES[EXCLUDE])</f>
        <v>0</v>
      </c>
    </row>
    <row r="538" spans="1:17">
      <c r="A538" s="2" t="s">
        <v>559</v>
      </c>
      <c r="B538" s="30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43" t="s">
        <v>1457</v>
      </c>
      <c r="G538" t="s">
        <v>2784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Row],[VEHIDCODE]],roster!A:A,roster!C:C))</f>
        <v>1</v>
      </c>
      <c r="N538" t="b">
        <f>ISNUMBER(_xlfn.XMATCH(CONTROL[[#This Row],[VEHIDCODE]],GRAPHICS_PROPERTIES[VEHIDCODE],0))</f>
        <v>1</v>
      </c>
      <c r="O538" s="30" t="str">
        <f>"item_"&amp;CONTROL[[#This Row],[VEHIDCODE]]</f>
        <v>item_emu_Finland_VR_Sm2</v>
      </c>
      <c r="P538" s="30" t="str">
        <f>"str_"&amp;CONTROL[[#This Row],[VEHIDCODE]]</f>
        <v>str_emu_Finland_VR_Sm2</v>
      </c>
      <c r="Q538" s="10" t="b">
        <f>_xlfn.XLOOKUP(CONTROL[[#This Row],[VEHIDCODE]],PROPERTIES[VEHIDCODE],PROPERTIES[EXCLUDE])</f>
        <v>0</v>
      </c>
    </row>
    <row r="539" spans="1:17">
      <c r="A539" s="2" t="s">
        <v>560</v>
      </c>
      <c r="B539" s="30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43" t="s">
        <v>1458</v>
      </c>
      <c r="G539" t="s">
        <v>2785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Row],[VEHIDCODE]],roster!A:A,roster!C:C))</f>
        <v>1</v>
      </c>
      <c r="N539" t="b">
        <f>ISNUMBER(_xlfn.XMATCH(CONTROL[[#This Row],[VEHIDCODE]],GRAPHICS_PROPERTIES[VEHIDCODE],0))</f>
        <v>1</v>
      </c>
      <c r="O539" s="30" t="str">
        <f>"item_"&amp;CONTROL[[#This Row],[VEHIDCODE]]</f>
        <v>item_emu_Finland_VR_Sm4</v>
      </c>
      <c r="P539" s="30" t="str">
        <f>"str_"&amp;CONTROL[[#This Row],[VEHIDCODE]]</f>
        <v>str_emu_Finland_VR_Sm4</v>
      </c>
      <c r="Q539" s="10" t="b">
        <f>_xlfn.XLOOKUP(CONTROL[[#This Row],[VEHIDCODE]],PROPERTIES[VEHIDCODE],PROPERTIES[EXCLUDE])</f>
        <v>0</v>
      </c>
    </row>
    <row r="540" spans="1:17">
      <c r="A540" s="2" t="s">
        <v>561</v>
      </c>
      <c r="B540" s="30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43" t="s">
        <v>2989</v>
      </c>
      <c r="G540" t="s">
        <v>2786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Row],[VEHIDCODE]],roster!A:A,roster!C:C))</f>
        <v>1</v>
      </c>
      <c r="N540" t="b">
        <f>ISNUMBER(_xlfn.XMATCH(CONTROL[[#This Row],[VEHIDCODE]],GRAPHICS_PROPERTIES[VEHIDCODE],0))</f>
        <v>1</v>
      </c>
      <c r="O540" s="30" t="str">
        <f>"item_"&amp;CONTROL[[#This Row],[VEHIDCODE]]</f>
        <v>item_emu_Hungary_MAV_BDVmot</v>
      </c>
      <c r="P540" s="30" t="str">
        <f>"str_"&amp;CONTROL[[#This Row],[VEHIDCODE]]</f>
        <v>str_emu_Hungary_MAV_BDVmot</v>
      </c>
      <c r="Q540" s="10" t="b">
        <f>_xlfn.XLOOKUP(CONTROL[[#This Row],[VEHIDCODE]],PROPERTIES[VEHIDCODE],PROPERTIES[EXCLUDE])</f>
        <v>0</v>
      </c>
    </row>
    <row r="541" spans="1:17">
      <c r="A541" s="2" t="s">
        <v>562</v>
      </c>
      <c r="B541" s="30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43" t="s">
        <v>1459</v>
      </c>
      <c r="G541" t="s">
        <v>1696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Row],[VEHIDCODE]],roster!A:A,roster!C:C))</f>
        <v>1</v>
      </c>
      <c r="N541" t="b">
        <f>ISNUMBER(_xlfn.XMATCH(CONTROL[[#This Row],[VEHIDCODE]],GRAPHICS_PROPERTIES[VEHIDCODE],0))</f>
        <v>1</v>
      </c>
      <c r="O541" s="30" t="str">
        <f>"item_"&amp;CONTROL[[#This Row],[VEHIDCODE]]</f>
        <v>item_emu_Europe_Sureot</v>
      </c>
      <c r="P541" s="30" t="str">
        <f>"str_"&amp;CONTROL[[#This Row],[VEHIDCODE]]</f>
        <v>str_emu_Europe_Sureot</v>
      </c>
      <c r="Q541" s="10" t="b">
        <f>_xlfn.XLOOKUP(CONTROL[[#This Row],[VEHIDCODE]],PROPERTIES[VEHIDCODE],PROPERTIES[EXCLUDE])</f>
        <v>0</v>
      </c>
    </row>
    <row r="542" spans="1:17">
      <c r="A542" s="2" t="s">
        <v>563</v>
      </c>
      <c r="B542" s="30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43" t="s">
        <v>1460</v>
      </c>
      <c r="G542" t="s">
        <v>2787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Row],[VEHIDCODE]],roster!A:A,roster!C:C))</f>
        <v>1</v>
      </c>
      <c r="N542" t="b">
        <f>ISNUMBER(_xlfn.XMATCH(CONTROL[[#This Row],[VEHIDCODE]],GRAPHICS_PROPERTIES[VEHIDCODE],0))</f>
        <v>1</v>
      </c>
      <c r="O542" s="30" t="str">
        <f>"item_"&amp;CONTROL[[#This Row],[VEHIDCODE]]</f>
        <v>item_emu_Japan_JNR_Shinkansen_Series_0</v>
      </c>
      <c r="P542" s="30" t="str">
        <f>"str_"&amp;CONTROL[[#This Row],[VEHIDCODE]]</f>
        <v>str_emu_Japan_JNR_Shinkansen_Series_0</v>
      </c>
      <c r="Q542" s="10" t="b">
        <f>_xlfn.XLOOKUP(CONTROL[[#This Row],[VEHIDCODE]],PROPERTIES[VEHIDCODE],PROPERTIES[EXCLUDE])</f>
        <v>0</v>
      </c>
    </row>
    <row r="543" spans="1:17">
      <c r="A543" s="2" t="s">
        <v>564</v>
      </c>
      <c r="B543" s="30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43" t="s">
        <v>1461</v>
      </c>
      <c r="G543" t="s">
        <v>2788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Row],[VEHIDCODE]],roster!A:A,roster!C:C))</f>
        <v>1</v>
      </c>
      <c r="N543" t="b">
        <f>ISNUMBER(_xlfn.XMATCH(CONTROL[[#This Row],[VEHIDCODE]],GRAPHICS_PROPERTIES[VEHIDCODE],0))</f>
        <v>1</v>
      </c>
      <c r="O543" s="30" t="str">
        <f>"item_"&amp;CONTROL[[#This Row],[VEHIDCODE]]</f>
        <v>item_emu_Japan_JR_Shinkansen_Series_700</v>
      </c>
      <c r="P543" s="30" t="str">
        <f>"str_"&amp;CONTROL[[#This Row],[VEHIDCODE]]</f>
        <v>str_emu_Japan_JR_Shinkansen_Series_700</v>
      </c>
      <c r="Q543" s="10" t="b">
        <f>_xlfn.XLOOKUP(CONTROL[[#This Row],[VEHIDCODE]],PROPERTIES[VEHIDCODE],PROPERTIES[EXCLUDE])</f>
        <v>0</v>
      </c>
    </row>
    <row r="544" spans="1:17">
      <c r="A544" s="2" t="s">
        <v>565</v>
      </c>
      <c r="B544" s="30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43" t="s">
        <v>1462</v>
      </c>
      <c r="G544" t="s">
        <v>2789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Row],[VEHIDCODE]],roster!A:A,roster!C:C))</f>
        <v>1</v>
      </c>
      <c r="N544" t="b">
        <f>ISNUMBER(_xlfn.XMATCH(CONTROL[[#This Row],[VEHIDCODE]],GRAPHICS_PROPERTIES[VEHIDCODE],0))</f>
        <v>1</v>
      </c>
      <c r="O544" s="30" t="str">
        <f>"item_"&amp;CONTROL[[#This Row],[VEHIDCODE]]</f>
        <v>item_emu_Japan_JR_Shinkansen_Series_E1_Max</v>
      </c>
      <c r="P544" s="30" t="str">
        <f>"str_"&amp;CONTROL[[#This Row],[VEHIDCODE]]</f>
        <v>str_emu_Japan_JR_Shinkansen_Series_E1_Max</v>
      </c>
      <c r="Q544" s="10" t="b">
        <f>_xlfn.XLOOKUP(CONTROL[[#This Row],[VEHIDCODE]],PROPERTIES[VEHIDCODE],PROPERTIES[EXCLUDE])</f>
        <v>0</v>
      </c>
    </row>
    <row r="545" spans="1:17">
      <c r="A545" s="2" t="s">
        <v>566</v>
      </c>
      <c r="B545" s="30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43" t="s">
        <v>1463</v>
      </c>
      <c r="G545" t="s">
        <v>2790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Row],[VEHIDCODE]],roster!A:A,roster!C:C))</f>
        <v>1</v>
      </c>
      <c r="N545" t="b">
        <f>ISNUMBER(_xlfn.XMATCH(CONTROL[[#This Row],[VEHIDCODE]],GRAPHICS_PROPERTIES[VEHIDCODE],0))</f>
        <v>1</v>
      </c>
      <c r="O545" s="30" t="str">
        <f>"item_"&amp;CONTROL[[#This Row],[VEHIDCODE]]</f>
        <v>item_emu_Luxembourg_CFL_2200_Coradia_Duplex</v>
      </c>
      <c r="P545" s="30" t="str">
        <f>"str_"&amp;CONTROL[[#This Row],[VEHIDCODE]]</f>
        <v>str_emu_Luxembourg_CFL_2200_Coradia_Duplex</v>
      </c>
      <c r="Q545" s="10" t="b">
        <f>_xlfn.XLOOKUP(CONTROL[[#This Row],[VEHIDCODE]],PROPERTIES[VEHIDCODE],PROPERTIES[EXCLUDE])</f>
        <v>0</v>
      </c>
    </row>
    <row r="546" spans="1:17">
      <c r="A546" s="2" t="s">
        <v>567</v>
      </c>
      <c r="B546" s="30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43" t="s">
        <v>1464</v>
      </c>
      <c r="G546" t="s">
        <v>2791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Row],[VEHIDCODE]],roster!A:A,roster!C:C))</f>
        <v>1</v>
      </c>
      <c r="N546" t="b">
        <f>ISNUMBER(_xlfn.XMATCH(CONTROL[[#This Row],[VEHIDCODE]],GRAPHICS_PROPERTIES[VEHIDCODE],0))</f>
        <v>1</v>
      </c>
      <c r="O546" s="30" t="str">
        <f>"item_"&amp;CONTROL[[#This Row],[VEHIDCODE]]</f>
        <v>item_emu_Macedonia_Macedonian_Railways_412</v>
      </c>
      <c r="P546" s="30" t="str">
        <f>"str_"&amp;CONTROL[[#This Row],[VEHIDCODE]]</f>
        <v>str_emu_Macedonia_Macedonian_Railways_412</v>
      </c>
      <c r="Q546" s="10" t="b">
        <f>_xlfn.XLOOKUP(CONTROL[[#This Row],[VEHIDCODE]],PROPERTIES[VEHIDCODE],PROPERTIES[EXCLUDE])</f>
        <v>0</v>
      </c>
    </row>
    <row r="547" spans="1:17">
      <c r="A547" s="2" t="s">
        <v>568</v>
      </c>
      <c r="B547" s="30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43" t="s">
        <v>1465</v>
      </c>
      <c r="G547" t="s">
        <v>2792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Row],[VEHIDCODE]],roster!A:A,roster!C:C))</f>
        <v>1</v>
      </c>
      <c r="N547" t="b">
        <f>ISNUMBER(_xlfn.XMATCH(CONTROL[[#This Row],[VEHIDCODE]],GRAPHICS_PROPERTIES[VEHIDCODE],0))</f>
        <v>1</v>
      </c>
      <c r="O547" s="30" t="str">
        <f>"item_"&amp;CONTROL[[#This Row],[VEHIDCODE]]</f>
        <v>item_emu_Romania_CFR_58</v>
      </c>
      <c r="P547" s="30" t="str">
        <f>"str_"&amp;CONTROL[[#This Row],[VEHIDCODE]]</f>
        <v>str_emu_Romania_CFR_58</v>
      </c>
      <c r="Q547" s="10" t="b">
        <f>_xlfn.XLOOKUP(CONTROL[[#This Row],[VEHIDCODE]],PROPERTIES[VEHIDCODE],PROPERTIES[EXCLUDE])</f>
        <v>0</v>
      </c>
    </row>
    <row r="548" spans="1:17">
      <c r="A548" s="2" t="s">
        <v>569</v>
      </c>
      <c r="B548" s="30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43" t="s">
        <v>1466</v>
      </c>
      <c r="G548" t="s">
        <v>2793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Row],[VEHIDCODE]],roster!A:A,roster!C:C))</f>
        <v>1</v>
      </c>
      <c r="N548" t="b">
        <f>ISNUMBER(_xlfn.XMATCH(CONTROL[[#This Row],[VEHIDCODE]],GRAPHICS_PROPERTIES[VEHIDCODE],0))</f>
        <v>1</v>
      </c>
      <c r="O548" s="30" t="str">
        <f>"item_"&amp;CONTROL[[#This Row],[VEHIDCODE]]</f>
        <v>item_emu_South_Africa_Gautrain_Electrostar</v>
      </c>
      <c r="P548" s="30" t="str">
        <f>"str_"&amp;CONTROL[[#This Row],[VEHIDCODE]]</f>
        <v>str_emu_South_Africa_Gautrain_Electrostar</v>
      </c>
      <c r="Q548" s="10" t="b">
        <f>_xlfn.XLOOKUP(CONTROL[[#This Row],[VEHIDCODE]],PROPERTIES[VEHIDCODE],PROPERTIES[EXCLUDE])</f>
        <v>0</v>
      </c>
    </row>
    <row r="549" spans="1:17">
      <c r="A549" s="2" t="s">
        <v>570</v>
      </c>
      <c r="B549" s="30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43" t="s">
        <v>2794</v>
      </c>
      <c r="G549" t="s">
        <v>2795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Row],[VEHIDCODE]],roster!A:A,roster!C:C))</f>
        <v>1</v>
      </c>
      <c r="N549" t="b">
        <f>ISNUMBER(_xlfn.XMATCH(CONTROL[[#This Row],[VEHIDCODE]],GRAPHICS_PROPERTIES[VEHIDCODE],0))</f>
        <v>1</v>
      </c>
      <c r="O549" s="30" t="str">
        <f>"item_"&amp;CONTROL[[#This Row],[VEHIDCODE]]</f>
        <v>item_emu_Turkey_TCDD_E8000</v>
      </c>
      <c r="P549" s="30" t="str">
        <f>"str_"&amp;CONTROL[[#This Row],[VEHIDCODE]]</f>
        <v>str_emu_Turkey_TCDD_E8000</v>
      </c>
      <c r="Q549" s="10" t="b">
        <f>_xlfn.XLOOKUP(CONTROL[[#This Row],[VEHIDCODE]],PROPERTIES[VEHIDCODE],PROPERTIES[EXCLUDE])</f>
        <v>0</v>
      </c>
    </row>
    <row r="550" spans="1:17">
      <c r="A550" s="2" t="s">
        <v>571</v>
      </c>
      <c r="B550" s="30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43" t="s">
        <v>1666</v>
      </c>
      <c r="G550" t="s">
        <v>2796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Row],[VEHIDCODE]],roster!A:A,roster!C:C))</f>
        <v>1</v>
      </c>
      <c r="N550" t="b">
        <f>ISNUMBER(_xlfn.XMATCH(CONTROL[[#This Row],[VEHIDCODE]],GRAPHICS_PROPERTIES[VEHIDCODE],0))</f>
        <v>1</v>
      </c>
      <c r="O550" s="30" t="str">
        <f>"item_"&amp;CONTROL[[#This Row],[VEHIDCODE]]</f>
        <v>item_emu_China_Railways_CHR380A</v>
      </c>
      <c r="P550" s="30" t="str">
        <f>"str_"&amp;CONTROL[[#This Row],[VEHIDCODE]]</f>
        <v>str_emu_China_Railways_CHR380A</v>
      </c>
      <c r="Q550" s="10" t="b">
        <f>_xlfn.XLOOKUP(CONTROL[[#This Row],[VEHIDCODE]],PROPERTIES[VEHIDCODE],PROPERTIES[EXCLUDE])</f>
        <v>0</v>
      </c>
    </row>
    <row r="551" spans="1:17">
      <c r="A551" s="2" t="s">
        <v>572</v>
      </c>
      <c r="B551" s="30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43" t="s">
        <v>1467</v>
      </c>
      <c r="G551" t="s">
        <v>2797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Row],[VEHIDCODE]],roster!A:A,roster!C:C))</f>
        <v>1</v>
      </c>
      <c r="N551" t="b">
        <f>ISNUMBER(_xlfn.XMATCH(CONTROL[[#This Row],[VEHIDCODE]],GRAPHICS_PROPERTIES[VEHIDCODE],0))</f>
        <v>1</v>
      </c>
      <c r="O551" s="30" t="str">
        <f>"item_"&amp;CONTROL[[#This Row],[VEHIDCODE]]</f>
        <v>item_emu_USA_PRR_MP54</v>
      </c>
      <c r="P551" s="30" t="str">
        <f>"str_"&amp;CONTROL[[#This Row],[VEHIDCODE]]</f>
        <v>str_emu_USA_PRR_MP54</v>
      </c>
      <c r="Q551" s="10" t="b">
        <f>_xlfn.XLOOKUP(CONTROL[[#This Row],[VEHIDCODE]],PROPERTIES[VEHIDCODE],PROPERTIES[EXCLUDE])</f>
        <v>0</v>
      </c>
    </row>
    <row r="552" spans="1:17">
      <c r="A552" s="2" t="s">
        <v>573</v>
      </c>
      <c r="B552" s="30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43" t="s">
        <v>1468</v>
      </c>
      <c r="G552" t="s">
        <v>2798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Row],[VEHIDCODE]],roster!A:A,roster!C:C))</f>
        <v>1</v>
      </c>
      <c r="N552" t="b">
        <f>ISNUMBER(_xlfn.XMATCH(CONTROL[[#This Row],[VEHIDCODE]],GRAPHICS_PROPERTIES[VEHIDCODE],0))</f>
        <v>1</v>
      </c>
      <c r="O552" s="30" t="str">
        <f>"item_"&amp;CONTROL[[#This Row],[VEHIDCODE]]</f>
        <v>item_emu_Italy_NTV_AGV</v>
      </c>
      <c r="P552" s="30" t="str">
        <f>"str_"&amp;CONTROL[[#This Row],[VEHIDCODE]]</f>
        <v>str_emu_Italy_NTV_AGV</v>
      </c>
      <c r="Q552" s="10" t="b">
        <f>_xlfn.XLOOKUP(CONTROL[[#This Row],[VEHIDCODE]],PROPERTIES[VEHIDCODE],PROPERTIES[EXCLUDE])</f>
        <v>0</v>
      </c>
    </row>
    <row r="553" spans="1:17">
      <c r="A553" s="2" t="s">
        <v>574</v>
      </c>
      <c r="B553" s="30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43" t="s">
        <v>1469</v>
      </c>
      <c r="G553" t="s">
        <v>2799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Row],[VEHIDCODE]],roster!A:A,roster!C:C))</f>
        <v>1</v>
      </c>
      <c r="N553" t="b">
        <f>ISNUMBER(_xlfn.XMATCH(CONTROL[[#This Row],[VEHIDCODE]],GRAPHICS_PROPERTIES[VEHIDCODE],0))</f>
        <v>1</v>
      </c>
      <c r="O553" s="30" t="str">
        <f>"item_"&amp;CONTROL[[#This Row],[VEHIDCODE]]</f>
        <v>item_emu_Italy_NTV_AGV_Duplex</v>
      </c>
      <c r="P553" s="30" t="str">
        <f>"str_"&amp;CONTROL[[#This Row],[VEHIDCODE]]</f>
        <v>str_emu_Italy_NTV_AGV_Duplex</v>
      </c>
      <c r="Q553" s="10" t="b">
        <f>_xlfn.XLOOKUP(CONTROL[[#This Row],[VEHIDCODE]],PROPERTIES[VEHIDCODE],PROPERTIES[EXCLUDE])</f>
        <v>0</v>
      </c>
    </row>
    <row r="554" spans="1:17">
      <c r="A554" s="2" t="s">
        <v>575</v>
      </c>
      <c r="B554" s="30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43" t="s">
        <v>1470</v>
      </c>
      <c r="G554" t="s">
        <v>2800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Row],[VEHIDCODE]],roster!A:A,roster!C:C))</f>
        <v>1</v>
      </c>
      <c r="N554" t="b">
        <f>ISNUMBER(_xlfn.XMATCH(CONTROL[[#This Row],[VEHIDCODE]],GRAPHICS_PROPERTIES[VEHIDCODE],0))</f>
        <v>1</v>
      </c>
      <c r="O554" s="30" t="str">
        <f>"item_"&amp;CONTROL[[#This Row],[VEHIDCODE]]</f>
        <v>item_emu_Netherlands_NS_Hispeed_V250_Albatros</v>
      </c>
      <c r="P554" s="30" t="str">
        <f>"str_"&amp;CONTROL[[#This Row],[VEHIDCODE]]</f>
        <v>str_emu_Netherlands_NS_Hispeed_V250_Albatros</v>
      </c>
      <c r="Q554" s="10" t="b">
        <f>_xlfn.XLOOKUP(CONTROL[[#This Row],[VEHIDCODE]],PROPERTIES[VEHIDCODE],PROPERTIES[EXCLUDE])</f>
        <v>0</v>
      </c>
    </row>
    <row r="555" spans="1:17">
      <c r="A555" s="2" t="s">
        <v>576</v>
      </c>
      <c r="B555" s="30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43" t="s">
        <v>2803</v>
      </c>
      <c r="G555" t="s">
        <v>1696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Row],[VEHIDCODE]],roster!A:A,roster!C:C))</f>
        <v>1</v>
      </c>
      <c r="N555" t="b">
        <f>ISNUMBER(_xlfn.XMATCH(CONTROL[[#This Row],[VEHIDCODE]],GRAPHICS_PROPERTIES[VEHIDCODE],0))</f>
        <v>1</v>
      </c>
      <c r="O555" s="30" t="str">
        <f>"item_"&amp;CONTROL[[#This Row],[VEHIDCODE]]</f>
        <v>item_emu_Netherlands_NS_4800_HSA</v>
      </c>
      <c r="P555" s="30" t="str">
        <f>"str_"&amp;CONTROL[[#This Row],[VEHIDCODE]]</f>
        <v>str_emu_Netherlands_NS_4800_HSA</v>
      </c>
      <c r="Q555" s="10" t="b">
        <f>_xlfn.XLOOKUP(CONTROL[[#This Row],[VEHIDCODE]],PROPERTIES[VEHIDCODE],PROPERTIES[EXCLUDE])</f>
        <v>0</v>
      </c>
    </row>
    <row r="556" spans="1:17">
      <c r="A556" s="2" t="s">
        <v>577</v>
      </c>
      <c r="B556" s="30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43" t="s">
        <v>1471</v>
      </c>
      <c r="G556" t="s">
        <v>2801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Row],[VEHIDCODE]],roster!A:A,roster!C:C))</f>
        <v>1</v>
      </c>
      <c r="N556" t="b">
        <f>ISNUMBER(_xlfn.XMATCH(CONTROL[[#This Row],[VEHIDCODE]],GRAPHICS_PROPERTIES[VEHIDCODE],0))</f>
        <v>1</v>
      </c>
      <c r="O556" s="30" t="str">
        <f>"item_"&amp;CONTROL[[#This Row],[VEHIDCODE]]</f>
        <v>item_emu_Switzerland_SBB_Rae_TEE_II</v>
      </c>
      <c r="P556" s="30" t="str">
        <f>"str_"&amp;CONTROL[[#This Row],[VEHIDCODE]]</f>
        <v>str_emu_Switzerland_SBB_Rae_TEE_II</v>
      </c>
      <c r="Q556" s="10" t="b">
        <f>_xlfn.XLOOKUP(CONTROL[[#This Row],[VEHIDCODE]],PROPERTIES[VEHIDCODE],PROPERTIES[EXCLUDE])</f>
        <v>0</v>
      </c>
    </row>
    <row r="557" spans="1:17">
      <c r="A557" s="2" t="s">
        <v>578</v>
      </c>
      <c r="B557" s="30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43" t="s">
        <v>1472</v>
      </c>
      <c r="G557" t="s">
        <v>2802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Row],[VEHIDCODE]],roster!A:A,roster!C:C))</f>
        <v>1</v>
      </c>
      <c r="N557" t="b">
        <f>ISNUMBER(_xlfn.XMATCH(CONTROL[[#This Row],[VEHIDCODE]],GRAPHICS_PROPERTIES[VEHIDCODE],0))</f>
        <v>1</v>
      </c>
      <c r="O557" s="30" t="str">
        <f>"item_"&amp;CONTROL[[#This Row],[VEHIDCODE]]</f>
        <v>item_emu_USA_Erie_Lackawanna_MU_Cars</v>
      </c>
      <c r="P557" s="30" t="str">
        <f>"str_"&amp;CONTROL[[#This Row],[VEHIDCODE]]</f>
        <v>str_emu_USA_Erie_Lackawanna_MU_Cars</v>
      </c>
      <c r="Q557" s="10" t="b">
        <f>_xlfn.XLOOKUP(CONTROL[[#This Row],[VEHIDCODE]],PROPERTIES[VEHIDCODE],PROPERTIES[EXCLUDE])</f>
        <v>0</v>
      </c>
    </row>
    <row r="558" spans="1:17">
      <c r="A558" s="2" t="s">
        <v>579</v>
      </c>
      <c r="B558" s="30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43" t="s">
        <v>1473</v>
      </c>
      <c r="G558" t="s">
        <v>2804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Row],[VEHIDCODE]],roster!A:A,roster!C:C))</f>
        <v>1</v>
      </c>
      <c r="N558" t="b">
        <f>ISNUMBER(_xlfn.XMATCH(CONTROL[[#This Row],[VEHIDCODE]],GRAPHICS_PROPERTIES[VEHIDCODE],0))</f>
        <v>1</v>
      </c>
      <c r="O558" s="30" t="str">
        <f>"item_"&amp;CONTROL[[#This Row],[VEHIDCODE]]</f>
        <v>item_emu_France_SNCF_TGV_Sud_Est</v>
      </c>
      <c r="P558" s="30" t="str">
        <f>"str_"&amp;CONTROL[[#This Row],[VEHIDCODE]]</f>
        <v>str_emu_France_SNCF_TGV_Sud_Est</v>
      </c>
      <c r="Q558" s="10" t="b">
        <f>_xlfn.XLOOKUP(CONTROL[[#This Row],[VEHIDCODE]],PROPERTIES[VEHIDCODE],PROPERTIES[EXCLUDE])</f>
        <v>0</v>
      </c>
    </row>
    <row r="559" spans="1:17">
      <c r="A559" s="2" t="s">
        <v>580</v>
      </c>
      <c r="B559" s="30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43" t="s">
        <v>1474</v>
      </c>
      <c r="G559" t="s">
        <v>2805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Row],[VEHIDCODE]],roster!A:A,roster!C:C))</f>
        <v>1</v>
      </c>
      <c r="N559" t="b">
        <f>ISNUMBER(_xlfn.XMATCH(CONTROL[[#This Row],[VEHIDCODE]],GRAPHICS_PROPERTIES[VEHIDCODE],0))</f>
        <v>1</v>
      </c>
      <c r="O559" s="30" t="str">
        <f>"item_"&amp;CONTROL[[#This Row],[VEHIDCODE]]</f>
        <v>item_emu_France_SNCF_TGV_Duplex</v>
      </c>
      <c r="P559" s="30" t="str">
        <f>"str_"&amp;CONTROL[[#This Row],[VEHIDCODE]]</f>
        <v>str_emu_France_SNCF_TGV_Duplex</v>
      </c>
      <c r="Q559" s="10" t="b">
        <f>_xlfn.XLOOKUP(CONTROL[[#This Row],[VEHIDCODE]],PROPERTIES[VEHIDCODE],PROPERTIES[EXCLUDE])</f>
        <v>0</v>
      </c>
    </row>
    <row r="560" spans="1:17">
      <c r="A560" s="2" t="s">
        <v>581</v>
      </c>
      <c r="B560" s="30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43" t="s">
        <v>1475</v>
      </c>
      <c r="G560" t="s">
        <v>2806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Row],[VEHIDCODE]],roster!A:A,roster!C:C))</f>
        <v>1</v>
      </c>
      <c r="N560" t="b">
        <f>ISNUMBER(_xlfn.XMATCH(CONTROL[[#This Row],[VEHIDCODE]],GRAPHICS_PROPERTIES[VEHIDCODE],0))</f>
        <v>1</v>
      </c>
      <c r="O560" s="30" t="str">
        <f>"item_"&amp;CONTROL[[#This Row],[VEHIDCODE]]</f>
        <v>item_emu_France_Thalys_PBKA</v>
      </c>
      <c r="P560" s="30" t="str">
        <f>"str_"&amp;CONTROL[[#This Row],[VEHIDCODE]]</f>
        <v>str_emu_France_Thalys_PBKA</v>
      </c>
      <c r="Q560" s="10" t="b">
        <f>_xlfn.XLOOKUP(CONTROL[[#This Row],[VEHIDCODE]],PROPERTIES[VEHIDCODE],PROPERTIES[EXCLUDE])</f>
        <v>0</v>
      </c>
    </row>
    <row r="561" spans="1:17">
      <c r="A561" s="2" t="s">
        <v>582</v>
      </c>
      <c r="B561" s="30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43" t="s">
        <v>3005</v>
      </c>
      <c r="G561" t="s">
        <v>2807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Row],[VEHIDCODE]],roster!A:A,roster!C:C))</f>
        <v>1</v>
      </c>
      <c r="N561" t="b">
        <f>ISNUMBER(_xlfn.XMATCH(CONTROL[[#This Row],[VEHIDCODE]],GRAPHICS_PROPERTIES[VEHIDCODE],0))</f>
        <v>1</v>
      </c>
      <c r="O561" s="30" t="str">
        <f>"item_"&amp;CONTROL[[#This Row],[VEHIDCODE]]</f>
        <v>item_emu_Czech_Republic_CD_680_Pendolino</v>
      </c>
      <c r="P561" s="30" t="str">
        <f>"str_"&amp;CONTROL[[#This Row],[VEHIDCODE]]</f>
        <v>str_emu_Czech_Republic_CD_680_Pendolino</v>
      </c>
      <c r="Q561" s="10" t="b">
        <f>_xlfn.XLOOKUP(CONTROL[[#This Row],[VEHIDCODE]],PROPERTIES[VEHIDCODE],PROPERTIES[EXCLUDE])</f>
        <v>0</v>
      </c>
    </row>
    <row r="562" spans="1:17">
      <c r="A562" s="2" t="s">
        <v>583</v>
      </c>
      <c r="B562" s="30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43" t="s">
        <v>1476</v>
      </c>
      <c r="G562" t="s">
        <v>2808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Row],[VEHIDCODE]],roster!A:A,roster!C:C))</f>
        <v>1</v>
      </c>
      <c r="N562" t="b">
        <f>ISNUMBER(_xlfn.XMATCH(CONTROL[[#This Row],[VEHIDCODE]],GRAPHICS_PROPERTIES[VEHIDCODE],0))</f>
        <v>1</v>
      </c>
      <c r="O562" s="30" t="str">
        <f>"item_"&amp;CONTROL[[#This Row],[VEHIDCODE]]</f>
        <v>item_emu_Spain_RENFE_120</v>
      </c>
      <c r="P562" s="30" t="str">
        <f>"str_"&amp;CONTROL[[#This Row],[VEHIDCODE]]</f>
        <v>str_emu_Spain_RENFE_120</v>
      </c>
      <c r="Q562" s="10" t="b">
        <f>_xlfn.XLOOKUP(CONTROL[[#This Row],[VEHIDCODE]],PROPERTIES[VEHIDCODE],PROPERTIES[EXCLUDE])</f>
        <v>0</v>
      </c>
    </row>
    <row r="563" spans="1:17">
      <c r="A563" s="2" t="s">
        <v>584</v>
      </c>
      <c r="B563" s="30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43" t="s">
        <v>1477</v>
      </c>
      <c r="G563" t="s">
        <v>2809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Row],[VEHIDCODE]],roster!A:A,roster!C:C))</f>
        <v>1</v>
      </c>
      <c r="N563" t="b">
        <f>ISNUMBER(_xlfn.XMATCH(CONTROL[[#This Row],[VEHIDCODE]],GRAPHICS_PROPERTIES[VEHIDCODE],0))</f>
        <v>1</v>
      </c>
      <c r="O563" s="30" t="str">
        <f>"item_"&amp;CONTROL[[#This Row],[VEHIDCODE]]</f>
        <v>item_emu_USA_Amtrak_Acela_Express</v>
      </c>
      <c r="P563" s="30" t="str">
        <f>"str_"&amp;CONTROL[[#This Row],[VEHIDCODE]]</f>
        <v>str_emu_USA_Amtrak_Acela_Express</v>
      </c>
      <c r="Q563" s="10" t="b">
        <f>_xlfn.XLOOKUP(CONTROL[[#This Row],[VEHIDCODE]],PROPERTIES[VEHIDCODE],PROPERTIES[EXCLUDE])</f>
        <v>0</v>
      </c>
    </row>
    <row r="564" spans="1:17">
      <c r="A564" s="2" t="s">
        <v>585</v>
      </c>
      <c r="B564" s="30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43" t="s">
        <v>2922</v>
      </c>
      <c r="G564" t="s">
        <v>2871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Row],[VEHIDCODE]],roster!A:A,roster!C:C))</f>
        <v>1</v>
      </c>
      <c r="N564" t="b">
        <f>ISNUMBER(_xlfn.XMATCH(CONTROL[[#This Row],[VEHIDCODE]],GRAPHICS_PROPERTIES[VEHIDCODE],0))</f>
        <v>1</v>
      </c>
      <c r="O564" s="30" t="str">
        <f>"item_"&amp;CONTROL[[#This Row],[VEHIDCODE]]</f>
        <v>item_singlemtro_USA_Brooklyn_Union_Gate_Car</v>
      </c>
      <c r="P564" s="30" t="str">
        <f>"str_"&amp;CONTROL[[#This Row],[VEHIDCODE]]</f>
        <v>str_singlemtro_USA_Brooklyn_Union_Gate_Car</v>
      </c>
      <c r="Q564" s="10" t="b">
        <f>_xlfn.XLOOKUP(CONTROL[[#This Row],[VEHIDCODE]],PROPERTIES[VEHIDCODE],PROPERTIES[EXCLUDE])</f>
        <v>0</v>
      </c>
    </row>
    <row r="565" spans="1:17">
      <c r="A565" s="2" t="s">
        <v>586</v>
      </c>
      <c r="B565" s="30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43" t="s">
        <v>1478</v>
      </c>
      <c r="G565" t="s">
        <v>2872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Row],[VEHIDCODE]],roster!A:A,roster!C:C))</f>
        <v>1</v>
      </c>
      <c r="N565" t="b">
        <f>ISNUMBER(_xlfn.XMATCH(CONTROL[[#This Row],[VEHIDCODE]],GRAPHICS_PROPERTIES[VEHIDCODE],0))</f>
        <v>1</v>
      </c>
      <c r="O565" s="30" t="str">
        <f>"item_"&amp;CONTROL[[#This Row],[VEHIDCODE]]</f>
        <v>item_singlemtro_Hungary_Budapest_1894_Stock</v>
      </c>
      <c r="P565" s="30" t="str">
        <f>"str_"&amp;CONTROL[[#This Row],[VEHIDCODE]]</f>
        <v>str_singlemtro_Hungary_Budapest_1894_Stock</v>
      </c>
      <c r="Q565" s="10" t="b">
        <f>_xlfn.XLOOKUP(CONTROL[[#This Row],[VEHIDCODE]],PROPERTIES[VEHIDCODE],PROPERTIES[EXCLUDE])</f>
        <v>0</v>
      </c>
    </row>
    <row r="566" spans="1:17">
      <c r="A566" s="2" t="s">
        <v>587</v>
      </c>
      <c r="B566" s="30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43" t="s">
        <v>1479</v>
      </c>
      <c r="G566" t="s">
        <v>2873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Row],[VEHIDCODE]],roster!A:A,roster!C:C))</f>
        <v>1</v>
      </c>
      <c r="N566" t="b">
        <f>ISNUMBER(_xlfn.XMATCH(CONTROL[[#This Row],[VEHIDCODE]],GRAPHICS_PROPERTIES[VEHIDCODE],0))</f>
        <v>1</v>
      </c>
      <c r="O566" s="30" t="str">
        <f>"item_"&amp;CONTROL[[#This Row],[VEHIDCODE]]</f>
        <v>item_singlemtro_USA_Chicago_L_Northwest_Elevated_1907_Stock</v>
      </c>
      <c r="P566" s="30" t="str">
        <f>"str_"&amp;CONTROL[[#This Row],[VEHIDCODE]]</f>
        <v>str_singlemtro_USA_Chicago_L_Northwest_Elevated_1907_Stock</v>
      </c>
      <c r="Q566" s="10" t="b">
        <f>_xlfn.XLOOKUP(CONTROL[[#This Row],[VEHIDCODE]],PROPERTIES[VEHIDCODE],PROPERTIES[EXCLUDE])</f>
        <v>0</v>
      </c>
    </row>
    <row r="567" spans="1:17">
      <c r="A567" s="2" t="s">
        <v>588</v>
      </c>
      <c r="B567" s="30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43" t="s">
        <v>1480</v>
      </c>
      <c r="G567" t="s">
        <v>2874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Row],[VEHIDCODE]],roster!A:A,roster!C:C))</f>
        <v>1</v>
      </c>
      <c r="N567" t="b">
        <f>ISNUMBER(_xlfn.XMATCH(CONTROL[[#This Row],[VEHIDCODE]],GRAPHICS_PROPERTIES[VEHIDCODE],0))</f>
        <v>1</v>
      </c>
      <c r="O567" s="30" t="str">
        <f>"item_"&amp;CONTROL[[#This Row],[VEHIDCODE]]</f>
        <v>item_singlemtro_Germany_Berlin_U_Bahn_C_II</v>
      </c>
      <c r="P567" s="30" t="str">
        <f>"str_"&amp;CONTROL[[#This Row],[VEHIDCODE]]</f>
        <v>str_singlemtro_Germany_Berlin_U_Bahn_C_II</v>
      </c>
      <c r="Q567" s="10" t="b">
        <f>_xlfn.XLOOKUP(CONTROL[[#This Row],[VEHIDCODE]],PROPERTIES[VEHIDCODE],PROPERTIES[EXCLUDE])</f>
        <v>0</v>
      </c>
    </row>
    <row r="568" spans="1:17">
      <c r="A568" s="2" t="s">
        <v>589</v>
      </c>
      <c r="B568" s="30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43" t="s">
        <v>1481</v>
      </c>
      <c r="G568" t="s">
        <v>1696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Row],[VEHIDCODE]],roster!A:A,roster!C:C))</f>
        <v>1</v>
      </c>
      <c r="N568" t="b">
        <f>ISNUMBER(_xlfn.XMATCH(CONTROL[[#This Row],[VEHIDCODE]],GRAPHICS_PROPERTIES[VEHIDCODE],0))</f>
        <v>1</v>
      </c>
      <c r="O568" s="30" t="str">
        <f>"item_"&amp;CONTROL[[#This Row],[VEHIDCODE]]</f>
        <v>item_rbm_World_Turbobus</v>
      </c>
      <c r="P568" s="30" t="str">
        <f>"str_"&amp;CONTROL[[#This Row],[VEHIDCODE]]</f>
        <v>str_rbm_World_Turbobus</v>
      </c>
      <c r="Q568" s="10" t="b">
        <f>_xlfn.XLOOKUP(CONTROL[[#This Row],[VEHIDCODE]],PROPERTIES[VEHIDCODE],PROPERTIES[EXCLUDE])</f>
        <v>0</v>
      </c>
    </row>
    <row r="569" spans="1:17">
      <c r="A569" s="2" t="s">
        <v>590</v>
      </c>
      <c r="B569" s="30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43" t="s">
        <v>1482</v>
      </c>
      <c r="G569" t="s">
        <v>1696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Row],[VEHIDCODE]],roster!A:A,roster!C:C))</f>
        <v>1</v>
      </c>
      <c r="N569" t="b">
        <f>ISNUMBER(_xlfn.XMATCH(CONTROL[[#This Row],[VEHIDCODE]],GRAPHICS_PROPERTIES[VEHIDCODE],0))</f>
        <v>1</v>
      </c>
      <c r="O569" s="30" t="str">
        <f>"item_"&amp;CONTROL[[#This Row],[VEHIDCODE]]</f>
        <v>item_mglv_Germany_DB_182_ES64UM_Mutus</v>
      </c>
      <c r="P569" s="30" t="str">
        <f>"str_"&amp;CONTROL[[#This Row],[VEHIDCODE]]</f>
        <v>str_mglv_Germany_DB_182_ES64UM_Mutus</v>
      </c>
      <c r="Q569" s="10" t="b">
        <f>_xlfn.XLOOKUP(CONTROL[[#This Row],[VEHIDCODE]],PROPERTIES[VEHIDCODE],PROPERTIES[EXCLUDE])</f>
        <v>0</v>
      </c>
    </row>
    <row r="570" spans="1:17">
      <c r="A570" s="2" t="s">
        <v>3333</v>
      </c>
      <c r="B570" s="30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43" t="s">
        <v>1483</v>
      </c>
      <c r="G570" t="s">
        <v>2810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Row],[VEHIDCODE]],roster!A:A,roster!C:C))</f>
        <v>1</v>
      </c>
      <c r="N570" t="b">
        <f>ISNUMBER(_xlfn.XMATCH(CONTROL[[#This Row],[VEHIDCODE]],GRAPHICS_PROPERTIES[VEHIDCODE],0))</f>
        <v>1</v>
      </c>
      <c r="O570" s="30" t="str">
        <f>"item_"&amp;CONTROL[[#This Row],[VEHIDCODE]]</f>
        <v>item_mmu_China_Transrapid</v>
      </c>
      <c r="P570" s="30" t="str">
        <f>"str_"&amp;CONTROL[[#This Row],[VEHIDCODE]]</f>
        <v>str_mmu_China_Transrapid</v>
      </c>
      <c r="Q570" s="10" t="b">
        <f>_xlfn.XLOOKUP(CONTROL[[#This Row],[VEHIDCODE]],PROPERTIES[VEHIDCODE],PROPERTIES[EXCLUDE])</f>
        <v>0</v>
      </c>
    </row>
    <row r="571" spans="1:17">
      <c r="A571" s="2" t="s">
        <v>3334</v>
      </c>
      <c r="B571" s="30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43" t="s">
        <v>1484</v>
      </c>
      <c r="G571" t="s">
        <v>2811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Row],[VEHIDCODE]],roster!A:A,roster!C:C))</f>
        <v>1</v>
      </c>
      <c r="N571" t="b">
        <f>ISNUMBER(_xlfn.XMATCH(CONTROL[[#This Row],[VEHIDCODE]],GRAPHICS_PROPERTIES[VEHIDCODE],0))</f>
        <v>1</v>
      </c>
      <c r="O571" s="30" t="str">
        <f>"item_"&amp;CONTROL[[#This Row],[VEHIDCODE]]</f>
        <v>item_mmu_Japan_MLX01_901</v>
      </c>
      <c r="P571" s="30" t="str">
        <f>"str_"&amp;CONTROL[[#This Row],[VEHIDCODE]]</f>
        <v>str_mmu_Japan_MLX01_901</v>
      </c>
      <c r="Q571" s="10" t="b">
        <f>_xlfn.XLOOKUP(CONTROL[[#This Row],[VEHIDCODE]],PROPERTIES[VEHIDCODE],PROPERTIES[EXCLUDE])</f>
        <v>0</v>
      </c>
    </row>
    <row r="572" spans="1:17">
      <c r="A572" s="2" t="s">
        <v>866</v>
      </c>
      <c r="B572" s="30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43" t="s">
        <v>2931</v>
      </c>
      <c r="G572" t="s">
        <v>1696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Row],[VEHIDCODE]],roster!A:A,roster!C:C))</f>
        <v>1</v>
      </c>
      <c r="N572" t="b">
        <f>ISNUMBER(_xlfn.XMATCH(CONTROL[[#This Row],[VEHIDCODE]],GRAPHICS_PROPERTIES[VEHIDCODE],0))</f>
        <v>1</v>
      </c>
      <c r="O572" s="30" t="str">
        <f>"item_"&amp;CONTROL[[#This Row],[VEHIDCODE]]</f>
        <v>item_mglv_Wagon_Gen7M_Boxcar_Type1</v>
      </c>
      <c r="P572" s="30" t="str">
        <f>"str_"&amp;CONTROL[[#This Row],[VEHIDCODE]]</f>
        <v>str_mglv_Wagon_Gen7M_Boxcar_Type1</v>
      </c>
      <c r="Q572" s="10" t="b">
        <f>_xlfn.XLOOKUP(CONTROL[[#This Row],[VEHIDCODE]],PROPERTIES[VEHIDCODE],PROPERTIES[EXCLUDE])</f>
        <v>0</v>
      </c>
    </row>
    <row r="573" spans="1:17">
      <c r="A573" s="2" t="s">
        <v>850</v>
      </c>
      <c r="B573" s="30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43" t="s">
        <v>2946</v>
      </c>
      <c r="G573" t="s">
        <v>1696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Row],[VEHIDCODE]],roster!A:A,roster!C:C))</f>
        <v>1</v>
      </c>
      <c r="N573" t="b">
        <f>ISNUMBER(_xlfn.XMATCH(CONTROL[[#This Row],[VEHIDCODE]],GRAPHICS_PROPERTIES[VEHIDCODE],0))</f>
        <v>1</v>
      </c>
      <c r="O573" s="30" t="str">
        <f>"item_"&amp;CONTROL[[#This Row],[VEHIDCODE]]</f>
        <v>item_mglv_Wagon_Gen7M_Boxcar_Type2</v>
      </c>
      <c r="P573" s="30" t="str">
        <f>"str_"&amp;CONTROL[[#This Row],[VEHIDCODE]]</f>
        <v>str_mglv_Wagon_Gen7M_Boxcar_Type2</v>
      </c>
      <c r="Q573" s="10" t="b">
        <f>_xlfn.XLOOKUP(CONTROL[[#This Row],[VEHIDCODE]],PROPERTIES[VEHIDCODE],PROPERTIES[EXCLUDE])</f>
        <v>0</v>
      </c>
    </row>
    <row r="574" spans="1:17">
      <c r="A574" s="2" t="s">
        <v>851</v>
      </c>
      <c r="B574" s="30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43" t="s">
        <v>1485</v>
      </c>
      <c r="G574" t="s">
        <v>1696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Row],[VEHIDCODE]],roster!A:A,roster!C:C))</f>
        <v>1</v>
      </c>
      <c r="N574" t="b">
        <f>ISNUMBER(_xlfn.XMATCH(CONTROL[[#This Row],[VEHIDCODE]],GRAPHICS_PROPERTIES[VEHIDCODE],0))</f>
        <v>1</v>
      </c>
      <c r="O574" s="30" t="str">
        <f>"item_"&amp;CONTROL[[#This Row],[VEHIDCODE]]</f>
        <v>item_mglv_Wagon_Gen7M_Car_Transporter</v>
      </c>
      <c r="P574" s="30" t="str">
        <f>"str_"&amp;CONTROL[[#This Row],[VEHIDCODE]]</f>
        <v>str_mglv_Wagon_Gen7M_Car_Transporter</v>
      </c>
      <c r="Q574" s="10" t="b">
        <f>_xlfn.XLOOKUP(CONTROL[[#This Row],[VEHIDCODE]],PROPERTIES[VEHIDCODE],PROPERTIES[EXCLUDE])</f>
        <v>0</v>
      </c>
    </row>
    <row r="575" spans="1:17">
      <c r="A575" s="2" t="s">
        <v>852</v>
      </c>
      <c r="B575" s="30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43" t="s">
        <v>1486</v>
      </c>
      <c r="G575" t="s">
        <v>1696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Row],[VEHIDCODE]],roster!A:A,roster!C:C))</f>
        <v>1</v>
      </c>
      <c r="N575" t="b">
        <f>ISNUMBER(_xlfn.XMATCH(CONTROL[[#This Row],[VEHIDCODE]],GRAPHICS_PROPERTIES[VEHIDCODE],0))</f>
        <v>1</v>
      </c>
      <c r="O575" s="30" t="str">
        <f>"item_"&amp;CONTROL[[#This Row],[VEHIDCODE]]</f>
        <v>item_mglv_Wagon_Gen7M_Centerbeam</v>
      </c>
      <c r="P575" s="30" t="str">
        <f>"str_"&amp;CONTROL[[#This Row],[VEHIDCODE]]</f>
        <v>str_mglv_Wagon_Gen7M_Centerbeam</v>
      </c>
      <c r="Q575" s="10" t="b">
        <f>_xlfn.XLOOKUP(CONTROL[[#This Row],[VEHIDCODE]],PROPERTIES[VEHIDCODE],PROPERTIES[EXCLUDE])</f>
        <v>0</v>
      </c>
    </row>
    <row r="576" spans="1:17">
      <c r="A576" s="2" t="s">
        <v>853</v>
      </c>
      <c r="B576" s="30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43" t="s">
        <v>1487</v>
      </c>
      <c r="G576" t="s">
        <v>1696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Row],[VEHIDCODE]],roster!A:A,roster!C:C))</f>
        <v>1</v>
      </c>
      <c r="N576" t="b">
        <f>ISNUMBER(_xlfn.XMATCH(CONTROL[[#This Row],[VEHIDCODE]],GRAPHICS_PROPERTIES[VEHIDCODE],0))</f>
        <v>1</v>
      </c>
      <c r="O576" s="30" t="str">
        <f>"item_"&amp;CONTROL[[#This Row],[VEHIDCODE]]</f>
        <v>item_mglv_Wagon_Gen7M_Container_Carrier</v>
      </c>
      <c r="P576" s="30" t="str">
        <f>"str_"&amp;CONTROL[[#This Row],[VEHIDCODE]]</f>
        <v>str_mglv_Wagon_Gen7M_Container_Carrier</v>
      </c>
      <c r="Q576" s="10" t="b">
        <f>_xlfn.XLOOKUP(CONTROL[[#This Row],[VEHIDCODE]],PROPERTIES[VEHIDCODE],PROPERTIES[EXCLUDE])</f>
        <v>0</v>
      </c>
    </row>
    <row r="577" spans="1:17">
      <c r="A577" s="2" t="s">
        <v>854</v>
      </c>
      <c r="B577" s="30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43" t="s">
        <v>1488</v>
      </c>
      <c r="G577" t="s">
        <v>1696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Row],[VEHIDCODE]],roster!A:A,roster!C:C))</f>
        <v>1</v>
      </c>
      <c r="N577" t="b">
        <f>ISNUMBER(_xlfn.XMATCH(CONTROL[[#This Row],[VEHIDCODE]],GRAPHICS_PROPERTIES[VEHIDCODE],0))</f>
        <v>1</v>
      </c>
      <c r="O577" s="30" t="str">
        <f>"item_"&amp;CONTROL[[#This Row],[VEHIDCODE]]</f>
        <v>item_mglv_Wagon_Gen7M_Container_Doublestack</v>
      </c>
      <c r="P577" s="30" t="str">
        <f>"str_"&amp;CONTROL[[#This Row],[VEHIDCODE]]</f>
        <v>str_mglv_Wagon_Gen7M_Container_Doublestack</v>
      </c>
      <c r="Q577" s="10" t="b">
        <f>_xlfn.XLOOKUP(CONTROL[[#This Row],[VEHIDCODE]],PROPERTIES[VEHIDCODE],PROPERTIES[EXCLUDE])</f>
        <v>0</v>
      </c>
    </row>
    <row r="578" spans="1:17">
      <c r="A578" s="2" t="s">
        <v>855</v>
      </c>
      <c r="B578" s="30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43" t="s">
        <v>1489</v>
      </c>
      <c r="G578" t="s">
        <v>1696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Row],[VEHIDCODE]],roster!A:A,roster!C:C))</f>
        <v>1</v>
      </c>
      <c r="N578" t="b">
        <f>ISNUMBER(_xlfn.XMATCH(CONTROL[[#This Row],[VEHIDCODE]],GRAPHICS_PROPERTIES[VEHIDCODE],0))</f>
        <v>1</v>
      </c>
      <c r="O578" s="30" t="str">
        <f>"item_"&amp;CONTROL[[#This Row],[VEHIDCODE]]</f>
        <v>item_mglv_Wagon_Gen7M_Flatcar</v>
      </c>
      <c r="P578" s="30" t="str">
        <f>"str_"&amp;CONTROL[[#This Row],[VEHIDCODE]]</f>
        <v>str_mglv_Wagon_Gen7M_Flatcar</v>
      </c>
      <c r="Q578" s="10" t="b">
        <f>_xlfn.XLOOKUP(CONTROL[[#This Row],[VEHIDCODE]],PROPERTIES[VEHIDCODE],PROPERTIES[EXCLUDE])</f>
        <v>0</v>
      </c>
    </row>
    <row r="579" spans="1:17">
      <c r="A579" s="2" t="s">
        <v>856</v>
      </c>
      <c r="B579" s="30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43" t="s">
        <v>1490</v>
      </c>
      <c r="G579" t="s">
        <v>1696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Row],[VEHIDCODE]],roster!A:A,roster!C:C))</f>
        <v>1</v>
      </c>
      <c r="N579" t="b">
        <f>ISNUMBER(_xlfn.XMATCH(CONTROL[[#This Row],[VEHIDCODE]],GRAPHICS_PROPERTIES[VEHIDCODE],0))</f>
        <v>1</v>
      </c>
      <c r="O579" s="30" t="str">
        <f>"item_"&amp;CONTROL[[#This Row],[VEHIDCODE]]</f>
        <v>item_mglv_Wagon_Gen7M_Gondola</v>
      </c>
      <c r="P579" s="30" t="str">
        <f>"str_"&amp;CONTROL[[#This Row],[VEHIDCODE]]</f>
        <v>str_mglv_Wagon_Gen7M_Gondola</v>
      </c>
      <c r="Q579" s="10" t="b">
        <f>_xlfn.XLOOKUP(CONTROL[[#This Row],[VEHIDCODE]],PROPERTIES[VEHIDCODE],PROPERTIES[EXCLUDE])</f>
        <v>0</v>
      </c>
    </row>
    <row r="580" spans="1:17">
      <c r="A580" s="2" t="s">
        <v>857</v>
      </c>
      <c r="B580" s="30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43" t="s">
        <v>1491</v>
      </c>
      <c r="G580" t="s">
        <v>1696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Row],[VEHIDCODE]],roster!A:A,roster!C:C))</f>
        <v>1</v>
      </c>
      <c r="N580" t="b">
        <f>ISNUMBER(_xlfn.XMATCH(CONTROL[[#This Row],[VEHIDCODE]],GRAPHICS_PROPERTIES[VEHIDCODE],0))</f>
        <v>1</v>
      </c>
      <c r="O580" s="30" t="str">
        <f>"item_"&amp;CONTROL[[#This Row],[VEHIDCODE]]</f>
        <v>item_mglv_Wagon_Gen7M_Heavy_Flatcar</v>
      </c>
      <c r="P580" s="30" t="str">
        <f>"str_"&amp;CONTROL[[#This Row],[VEHIDCODE]]</f>
        <v>str_mglv_Wagon_Gen7M_Heavy_Flatcar</v>
      </c>
      <c r="Q580" s="10" t="b">
        <f>_xlfn.XLOOKUP(CONTROL[[#This Row],[VEHIDCODE]],PROPERTIES[VEHIDCODE],PROPERTIES[EXCLUDE])</f>
        <v>0</v>
      </c>
    </row>
    <row r="581" spans="1:17">
      <c r="A581" s="2" t="s">
        <v>858</v>
      </c>
      <c r="B581" s="30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43" t="s">
        <v>2932</v>
      </c>
      <c r="G581" t="s">
        <v>1696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Row],[VEHIDCODE]],roster!A:A,roster!C:C))</f>
        <v>1</v>
      </c>
      <c r="N581" t="b">
        <f>ISNUMBER(_xlfn.XMATCH(CONTROL[[#This Row],[VEHIDCODE]],GRAPHICS_PROPERTIES[VEHIDCODE],0))</f>
        <v>1</v>
      </c>
      <c r="O581" s="30" t="str">
        <f>"item_"&amp;CONTROL[[#This Row],[VEHIDCODE]]</f>
        <v>item_mglv_Wagon_Gen7M_Hopper_Type1</v>
      </c>
      <c r="P581" s="30" t="str">
        <f>"str_"&amp;CONTROL[[#This Row],[VEHIDCODE]]</f>
        <v>str_mglv_Wagon_Gen7M_Hopper_Type1</v>
      </c>
      <c r="Q581" s="10" t="b">
        <f>_xlfn.XLOOKUP(CONTROL[[#This Row],[VEHIDCODE]],PROPERTIES[VEHIDCODE],PROPERTIES[EXCLUDE])</f>
        <v>0</v>
      </c>
    </row>
    <row r="582" spans="1:17">
      <c r="A582" s="2" t="s">
        <v>859</v>
      </c>
      <c r="B582" s="30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43" t="s">
        <v>2947</v>
      </c>
      <c r="G582" t="s">
        <v>1696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Row],[VEHIDCODE]],roster!A:A,roster!C:C))</f>
        <v>1</v>
      </c>
      <c r="N582" t="b">
        <f>ISNUMBER(_xlfn.XMATCH(CONTROL[[#This Row],[VEHIDCODE]],GRAPHICS_PROPERTIES[VEHIDCODE],0))</f>
        <v>1</v>
      </c>
      <c r="O582" s="30" t="str">
        <f>"item_"&amp;CONTROL[[#This Row],[VEHIDCODE]]</f>
        <v>item_mglv_Wagon_Gen7M_Hopper_Type2</v>
      </c>
      <c r="P582" s="30" t="str">
        <f>"str_"&amp;CONTROL[[#This Row],[VEHIDCODE]]</f>
        <v>str_mglv_Wagon_Gen7M_Hopper_Type2</v>
      </c>
      <c r="Q582" s="10" t="b">
        <f>_xlfn.XLOOKUP(CONTROL[[#This Row],[VEHIDCODE]],PROPERTIES[VEHIDCODE],PROPERTIES[EXCLUDE])</f>
        <v>0</v>
      </c>
    </row>
    <row r="583" spans="1:17">
      <c r="A583" s="2" t="s">
        <v>860</v>
      </c>
      <c r="B583" s="30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43" t="s">
        <v>2933</v>
      </c>
      <c r="G583" t="s">
        <v>1696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Row],[VEHIDCODE]],roster!A:A,roster!C:C))</f>
        <v>1</v>
      </c>
      <c r="N583" t="b">
        <f>ISNUMBER(_xlfn.XMATCH(CONTROL[[#This Row],[VEHIDCODE]],GRAPHICS_PROPERTIES[VEHIDCODE],0))</f>
        <v>1</v>
      </c>
      <c r="O583" s="30" t="str">
        <f>"item_"&amp;CONTROL[[#This Row],[VEHIDCODE]]</f>
        <v>item_mglv_Wagon_Gen7M_Silo_Type1</v>
      </c>
      <c r="P583" s="30" t="str">
        <f>"str_"&amp;CONTROL[[#This Row],[VEHIDCODE]]</f>
        <v>str_mglv_Wagon_Gen7M_Silo_Type1</v>
      </c>
      <c r="Q583" s="10" t="b">
        <f>_xlfn.XLOOKUP(CONTROL[[#This Row],[VEHIDCODE]],PROPERTIES[VEHIDCODE],PROPERTIES[EXCLUDE])</f>
        <v>0</v>
      </c>
    </row>
    <row r="584" spans="1:17">
      <c r="A584" s="2" t="s">
        <v>861</v>
      </c>
      <c r="B584" s="30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43" t="s">
        <v>2948</v>
      </c>
      <c r="G584" t="s">
        <v>1696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Row],[VEHIDCODE]],roster!A:A,roster!C:C))</f>
        <v>1</v>
      </c>
      <c r="N584" t="b">
        <f>ISNUMBER(_xlfn.XMATCH(CONTROL[[#This Row],[VEHIDCODE]],GRAPHICS_PROPERTIES[VEHIDCODE],0))</f>
        <v>1</v>
      </c>
      <c r="O584" s="30" t="str">
        <f>"item_"&amp;CONTROL[[#This Row],[VEHIDCODE]]</f>
        <v>item_mglv_Wagon_Gen7M_Silo_Type2</v>
      </c>
      <c r="P584" s="30" t="str">
        <f>"str_"&amp;CONTROL[[#This Row],[VEHIDCODE]]</f>
        <v>str_mglv_Wagon_Gen7M_Silo_Type2</v>
      </c>
      <c r="Q584" s="10" t="b">
        <f>_xlfn.XLOOKUP(CONTROL[[#This Row],[VEHIDCODE]],PROPERTIES[VEHIDCODE],PROPERTIES[EXCLUDE])</f>
        <v>0</v>
      </c>
    </row>
    <row r="585" spans="1:17">
      <c r="A585" s="2" t="s">
        <v>862</v>
      </c>
      <c r="B585" s="30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43" t="s">
        <v>1492</v>
      </c>
      <c r="G585" t="s">
        <v>1696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Row],[VEHIDCODE]],roster!A:A,roster!C:C))</f>
        <v>1</v>
      </c>
      <c r="N585" t="b">
        <f>ISNUMBER(_xlfn.XMATCH(CONTROL[[#This Row],[VEHIDCODE]],GRAPHICS_PROPERTIES[VEHIDCODE],0))</f>
        <v>1</v>
      </c>
      <c r="O585" s="30" t="str">
        <f>"item_"&amp;CONTROL[[#This Row],[VEHIDCODE]]</f>
        <v>item_mglv_Wagon_Gen7M_Superheavy_Flatcar</v>
      </c>
      <c r="P585" s="30" t="str">
        <f>"str_"&amp;CONTROL[[#This Row],[VEHIDCODE]]</f>
        <v>str_mglv_Wagon_Gen7M_Superheavy_Flatcar</v>
      </c>
      <c r="Q585" s="10" t="b">
        <f>_xlfn.XLOOKUP(CONTROL[[#This Row],[VEHIDCODE]],PROPERTIES[VEHIDCODE],PROPERTIES[EXCLUDE])</f>
        <v>0</v>
      </c>
    </row>
    <row r="586" spans="1:17">
      <c r="A586" s="2" t="s">
        <v>863</v>
      </c>
      <c r="B586" s="30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43" t="s">
        <v>1493</v>
      </c>
      <c r="G586" t="s">
        <v>1696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Row],[VEHIDCODE]],roster!A:A,roster!C:C))</f>
        <v>1</v>
      </c>
      <c r="N586" t="b">
        <f>ISNUMBER(_xlfn.XMATCH(CONTROL[[#This Row],[VEHIDCODE]],GRAPHICS_PROPERTIES[VEHIDCODE],0))</f>
        <v>1</v>
      </c>
      <c r="O586" s="30" t="str">
        <f>"item_"&amp;CONTROL[[#This Row],[VEHIDCODE]]</f>
        <v>item_mglv_Wagon_Gen7M_Tanker</v>
      </c>
      <c r="P586" s="30" t="str">
        <f>"str_"&amp;CONTROL[[#This Row],[VEHIDCODE]]</f>
        <v>str_mglv_Wagon_Gen7M_Tanker</v>
      </c>
      <c r="Q586" s="10" t="b">
        <f>_xlfn.XLOOKUP(CONTROL[[#This Row],[VEHIDCODE]],PROPERTIES[VEHIDCODE],PROPERTIES[EXCLUDE])</f>
        <v>0</v>
      </c>
    </row>
    <row r="587" spans="1:17">
      <c r="A587" s="2" t="s">
        <v>602</v>
      </c>
      <c r="B587" s="30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43" t="s">
        <v>1494</v>
      </c>
      <c r="G587" t="s">
        <v>2843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Row],[VEHIDCODE]],roster!A:A,roster!C:C))</f>
        <v>1</v>
      </c>
      <c r="N587" t="b">
        <f>ISNUMBER(_xlfn.XMATCH(CONTROL[[#This Row],[VEHIDCODE]],GRAPHICS_PROPERTIES[VEHIDCODE],0))</f>
        <v>1</v>
      </c>
      <c r="O587" s="30" t="str">
        <f>"item_"&amp;CONTROL[[#This Row],[VEHIDCODE]]</f>
        <v>item_rbd_Japan_JR_Shikoku_1000</v>
      </c>
      <c r="P587" s="30" t="str">
        <f>"str_"&amp;CONTROL[[#This Row],[VEHIDCODE]]</f>
        <v>str_rbd_Japan_JR_Shikoku_1000</v>
      </c>
      <c r="Q587" s="10" t="b">
        <f>_xlfn.XLOOKUP(CONTROL[[#This Row],[VEHIDCODE]],PROPERTIES[VEHIDCODE],PROPERTIES[EXCLUDE])</f>
        <v>0</v>
      </c>
    </row>
    <row r="588" spans="1:17">
      <c r="A588" s="2" t="s">
        <v>603</v>
      </c>
      <c r="B588" s="30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43" t="s">
        <v>1495</v>
      </c>
      <c r="G588" t="s">
        <v>2844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Row],[VEHIDCODE]],roster!A:A,roster!C:C))</f>
        <v>1</v>
      </c>
      <c r="N588" t="b">
        <f>ISNUMBER(_xlfn.XMATCH(CONTROL[[#This Row],[VEHIDCODE]],GRAPHICS_PROPERTIES[VEHIDCODE],0))</f>
        <v>1</v>
      </c>
      <c r="O588" s="30" t="str">
        <f>"item_"&amp;CONTROL[[#This Row],[VEHIDCODE]]</f>
        <v>item_rbd_Japan_JR_KiHa_E120</v>
      </c>
      <c r="P588" s="30" t="str">
        <f>"str_"&amp;CONTROL[[#This Row],[VEHIDCODE]]</f>
        <v>str_rbd_Japan_JR_KiHa_E120</v>
      </c>
      <c r="Q588" s="10" t="b">
        <f>_xlfn.XLOOKUP(CONTROL[[#This Row],[VEHIDCODE]],PROPERTIES[VEHIDCODE],PROPERTIES[EXCLUDE])</f>
        <v>0</v>
      </c>
    </row>
    <row r="589" spans="1:17">
      <c r="A589" s="2" t="s">
        <v>604</v>
      </c>
      <c r="B589" s="30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43" t="s">
        <v>2217</v>
      </c>
      <c r="G589" t="s">
        <v>1696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Row],[VEHIDCODE]],roster!A:A,roster!C:C))</f>
        <v>1</v>
      </c>
      <c r="N589" t="b">
        <f>ISNUMBER(_xlfn.XMATCH(CONTROL[[#This Row],[VEHIDCODE]],GRAPHICS_PROPERTIES[VEHIDCODE],0))</f>
        <v>1</v>
      </c>
      <c r="O589" s="30" t="str">
        <f>"item_"&amp;CONTROL[[#This Row],[VEHIDCODE]]</f>
        <v>item_rbd_Chile_EFE_Buscarril</v>
      </c>
      <c r="P589" s="30" t="str">
        <f>"str_"&amp;CONTROL[[#This Row],[VEHIDCODE]]</f>
        <v>str_rbd_Chile_EFE_Buscarril</v>
      </c>
      <c r="Q589" s="10" t="b">
        <f>_xlfn.XLOOKUP(CONTROL[[#This Row],[VEHIDCODE]],PROPERTIES[VEHIDCODE],PROPERTIES[EXCLUDE])</f>
        <v>0</v>
      </c>
    </row>
    <row r="590" spans="1:17">
      <c r="A590" s="2" t="s">
        <v>605</v>
      </c>
      <c r="B590" s="30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43" t="s">
        <v>1496</v>
      </c>
      <c r="G590" t="s">
        <v>2846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Row],[VEHIDCODE]],roster!A:A,roster!C:C))</f>
        <v>1</v>
      </c>
      <c r="N590" t="b">
        <f>ISNUMBER(_xlfn.XMATCH(CONTROL[[#This Row],[VEHIDCODE]],GRAPHICS_PROPERTIES[VEHIDCODE],0))</f>
        <v>1</v>
      </c>
      <c r="O590" s="30" t="str">
        <f>"item_"&amp;CONTROL[[#This Row],[VEHIDCODE]]</f>
        <v>item_rbd_Argentina_FCPBA_M_Railcar</v>
      </c>
      <c r="P590" s="30" t="str">
        <f>"str_"&amp;CONTROL[[#This Row],[VEHIDCODE]]</f>
        <v>str_rbd_Argentina_FCPBA_M_Railcar</v>
      </c>
      <c r="Q590" s="10" t="b">
        <f>_xlfn.XLOOKUP(CONTROL[[#This Row],[VEHIDCODE]],PROPERTIES[VEHIDCODE],PROPERTIES[EXCLUDE])</f>
        <v>0</v>
      </c>
    </row>
    <row r="591" spans="1:17">
      <c r="A591" s="2" t="s">
        <v>606</v>
      </c>
      <c r="B591" s="30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43" t="s">
        <v>1497</v>
      </c>
      <c r="G591" t="s">
        <v>2845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Row],[VEHIDCODE]],roster!A:A,roster!C:C))</f>
        <v>1</v>
      </c>
      <c r="N591" t="b">
        <f>ISNUMBER(_xlfn.XMATCH(CONTROL[[#This Row],[VEHIDCODE]],GRAPHICS_PROPERTIES[VEHIDCODE],0))</f>
        <v>1</v>
      </c>
      <c r="O591" s="30" t="str">
        <f>"item_"&amp;CONTROL[[#This Row],[VEHIDCODE]]</f>
        <v>item_rbd_Eritrea_Eritrean_Railway_A62_70_Littorina</v>
      </c>
      <c r="P591" s="30" t="str">
        <f>"str_"&amp;CONTROL[[#This Row],[VEHIDCODE]]</f>
        <v>str_rbd_Eritrea_Eritrean_Railway_A62_70_Littorina</v>
      </c>
      <c r="Q591" s="10" t="b">
        <f>_xlfn.XLOOKUP(CONTROL[[#This Row],[VEHIDCODE]],PROPERTIES[VEHIDCODE],PROPERTIES[EXCLUDE])</f>
        <v>0</v>
      </c>
    </row>
    <row r="592" spans="1:17">
      <c r="A592" s="2" t="s">
        <v>607</v>
      </c>
      <c r="B592" s="30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43" t="s">
        <v>1498</v>
      </c>
      <c r="G592" t="s">
        <v>2847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Row],[VEHIDCODE]],roster!A:A,roster!C:C))</f>
        <v>1</v>
      </c>
      <c r="N592" t="b">
        <f>ISNUMBER(_xlfn.XMATCH(CONTROL[[#This Row],[VEHIDCODE]],GRAPHICS_PROPERTIES[VEHIDCODE],0))</f>
        <v>1</v>
      </c>
      <c r="O592" s="30" t="str">
        <f>"item_"&amp;CONTROL[[#This Row],[VEHIDCODE]]</f>
        <v>item_rbe_Switzerland_AB_CFe_3_3</v>
      </c>
      <c r="P592" s="30" t="str">
        <f>"str_"&amp;CONTROL[[#This Row],[VEHIDCODE]]</f>
        <v>str_rbe_Switzerland_AB_CFe_3_3</v>
      </c>
      <c r="Q592" s="10" t="b">
        <f>_xlfn.XLOOKUP(CONTROL[[#This Row],[VEHIDCODE]],PROPERTIES[VEHIDCODE],PROPERTIES[EXCLUDE])</f>
        <v>0</v>
      </c>
    </row>
    <row r="593" spans="1:17">
      <c r="A593" s="2" t="s">
        <v>608</v>
      </c>
      <c r="B593" s="30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43" t="s">
        <v>1499</v>
      </c>
      <c r="G593" t="s">
        <v>1696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Row],[VEHIDCODE]],roster!A:A,roster!C:C))</f>
        <v>1</v>
      </c>
      <c r="N593" t="b">
        <f>ISNUMBER(_xlfn.XMATCH(CONTROL[[#This Row],[VEHIDCODE]],GRAPHICS_PROPERTIES[VEHIDCODE],0))</f>
        <v>1</v>
      </c>
      <c r="O593" s="30" t="str">
        <f>"item_"&amp;CONTROL[[#This Row],[VEHIDCODE]]</f>
        <v>item_rbe_Switzerland_TPC_BVB_Be_2_2</v>
      </c>
      <c r="P593" s="30" t="str">
        <f>"str_"&amp;CONTROL[[#This Row],[VEHIDCODE]]</f>
        <v>str_rbe_Switzerland_TPC_BVB_Be_2_2</v>
      </c>
      <c r="Q593" s="10" t="b">
        <f>_xlfn.XLOOKUP(CONTROL[[#This Row],[VEHIDCODE]],PROPERTIES[VEHIDCODE],PROPERTIES[EXCLUDE])</f>
        <v>0</v>
      </c>
    </row>
    <row r="594" spans="1:17">
      <c r="A594" s="2" t="s">
        <v>609</v>
      </c>
      <c r="B594" s="30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43" t="s">
        <v>1500</v>
      </c>
      <c r="G594" t="s">
        <v>2848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Row],[VEHIDCODE]],roster!A:A,roster!C:C))</f>
        <v>1</v>
      </c>
      <c r="N594" t="b">
        <f>ISNUMBER(_xlfn.XMATCH(CONTROL[[#This Row],[VEHIDCODE]],GRAPHICS_PROPERTIES[VEHIDCODE],0))</f>
        <v>1</v>
      </c>
      <c r="O594" s="30" t="str">
        <f>"item_"&amp;CONTROL[[#This Row],[VEHIDCODE]]</f>
        <v>item_rbe_Switzerland_MVR_Beh_2_4</v>
      </c>
      <c r="P594" s="30" t="str">
        <f>"str_"&amp;CONTROL[[#This Row],[VEHIDCODE]]</f>
        <v>str_rbe_Switzerland_MVR_Beh_2_4</v>
      </c>
      <c r="Q594" s="10" t="b">
        <f>_xlfn.XLOOKUP(CONTROL[[#This Row],[VEHIDCODE]],PROPERTIES[VEHIDCODE],PROPERTIES[EXCLUDE])</f>
        <v>0</v>
      </c>
    </row>
    <row r="595" spans="1:17">
      <c r="A595" s="2" t="s">
        <v>610</v>
      </c>
      <c r="B595" s="30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43" t="s">
        <v>1501</v>
      </c>
      <c r="G595" t="s">
        <v>2849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Row],[VEHIDCODE]],roster!A:A,roster!C:C))</f>
        <v>1</v>
      </c>
      <c r="N595" t="b">
        <f>ISNUMBER(_xlfn.XMATCH(CONTROL[[#This Row],[VEHIDCODE]],GRAPHICS_PROPERTIES[VEHIDCODE],0))</f>
        <v>1</v>
      </c>
      <c r="O595" s="30" t="str">
        <f>"item_"&amp;CONTROL[[#This Row],[VEHIDCODE]]</f>
        <v>item_rbe_Spain_Ferrocarril_de_Soller_1_3</v>
      </c>
      <c r="P595" s="30" t="str">
        <f>"str_"&amp;CONTROL[[#This Row],[VEHIDCODE]]</f>
        <v>str_rbe_Spain_Ferrocarril_de_Soller_1_3</v>
      </c>
      <c r="Q595" s="10" t="b">
        <f>_xlfn.XLOOKUP(CONTROL[[#This Row],[VEHIDCODE]],PROPERTIES[VEHIDCODE],PROPERTIES[EXCLUDE])</f>
        <v>0</v>
      </c>
    </row>
    <row r="596" spans="1:17">
      <c r="A596" s="2" t="s">
        <v>611</v>
      </c>
      <c r="B596" s="30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43" t="s">
        <v>1502</v>
      </c>
      <c r="G596" t="s">
        <v>2850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Row],[VEHIDCODE]],roster!A:A,roster!C:C))</f>
        <v>1</v>
      </c>
      <c r="N596" t="b">
        <f>ISNUMBER(_xlfn.XMATCH(CONTROL[[#This Row],[VEHIDCODE]],GRAPHICS_PROPERTIES[VEHIDCODE],0))</f>
        <v>1</v>
      </c>
      <c r="O596" s="30" t="str">
        <f>"item_"&amp;CONTROL[[#This Row],[VEHIDCODE]]</f>
        <v>item_rbe_Japan_Choshi_DeHa_1000</v>
      </c>
      <c r="P596" s="30" t="str">
        <f>"str_"&amp;CONTROL[[#This Row],[VEHIDCODE]]</f>
        <v>str_rbe_Japan_Choshi_DeHa_1000</v>
      </c>
      <c r="Q596" s="10" t="b">
        <f>_xlfn.XLOOKUP(CONTROL[[#This Row],[VEHIDCODE]],PROPERTIES[VEHIDCODE],PROPERTIES[EXCLUDE])</f>
        <v>0</v>
      </c>
    </row>
    <row r="597" spans="1:17">
      <c r="A597" s="2" t="s">
        <v>612</v>
      </c>
      <c r="B597" s="30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43" t="s">
        <v>1503</v>
      </c>
      <c r="G597" t="s">
        <v>2851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Row],[VEHIDCODE]],roster!A:A,roster!C:C))</f>
        <v>1</v>
      </c>
      <c r="N597" t="b">
        <f>ISNUMBER(_xlfn.XMATCH(CONTROL[[#This Row],[VEHIDCODE]],GRAPHICS_PROPERTIES[VEHIDCODE],0))</f>
        <v>1</v>
      </c>
      <c r="O597" s="30" t="str">
        <f>"item_"&amp;CONTROL[[#This Row],[VEHIDCODE]]</f>
        <v>item_steam_Switzerland_RhB_G_3_4</v>
      </c>
      <c r="P597" s="30" t="str">
        <f>"str_"&amp;CONTROL[[#This Row],[VEHIDCODE]]</f>
        <v>str_steam_Switzerland_RhB_G_3_4</v>
      </c>
      <c r="Q597" s="10" t="b">
        <f>_xlfn.XLOOKUP(CONTROL[[#This Row],[VEHIDCODE]],PROPERTIES[VEHIDCODE],PROPERTIES[EXCLUDE])</f>
        <v>0</v>
      </c>
    </row>
    <row r="598" spans="1:17">
      <c r="A598" s="2" t="s">
        <v>613</v>
      </c>
      <c r="B598" s="30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43" t="s">
        <v>1504</v>
      </c>
      <c r="G598" t="s">
        <v>2852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Row],[VEHIDCODE]],roster!A:A,roster!C:C))</f>
        <v>1</v>
      </c>
      <c r="N598" t="b">
        <f>ISNUMBER(_xlfn.XMATCH(CONTROL[[#This Row],[VEHIDCODE]],GRAPHICS_PROPERTIES[VEHIDCODE],0))</f>
        <v>1</v>
      </c>
      <c r="O598" s="30" t="str">
        <f>"item_"&amp;CONTROL[[#This Row],[VEHIDCODE]]</f>
        <v>item_steam_Japan_JNR_Class_E10</v>
      </c>
      <c r="P598" s="30" t="str">
        <f>"str_"&amp;CONTROL[[#This Row],[VEHIDCODE]]</f>
        <v>str_steam_Japan_JNR_Class_E10</v>
      </c>
      <c r="Q598" s="10" t="b">
        <f>_xlfn.XLOOKUP(CONTROL[[#This Row],[VEHIDCODE]],PROPERTIES[VEHIDCODE],PROPERTIES[EXCLUDE])</f>
        <v>0</v>
      </c>
    </row>
    <row r="599" spans="1:17">
      <c r="A599" s="2" t="s">
        <v>614</v>
      </c>
      <c r="B599" s="30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43" t="s">
        <v>1505</v>
      </c>
      <c r="G599" t="s">
        <v>2853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Row],[VEHIDCODE]],roster!A:A,roster!C:C))</f>
        <v>1</v>
      </c>
      <c r="N599" t="b">
        <f>ISNUMBER(_xlfn.XMATCH(CONTROL[[#This Row],[VEHIDCODE]],GRAPHICS_PROPERTIES[VEHIDCODE],0))</f>
        <v>1</v>
      </c>
      <c r="O599" s="30" t="str">
        <f>"item_"&amp;CONTROL[[#This Row],[VEHIDCODE]]</f>
        <v>item_steam_Japan_JNR_7100</v>
      </c>
      <c r="P599" s="30" t="str">
        <f>"str_"&amp;CONTROL[[#This Row],[VEHIDCODE]]</f>
        <v>str_steam_Japan_JNR_7100</v>
      </c>
      <c r="Q599" s="10" t="b">
        <f>_xlfn.XLOOKUP(CONTROL[[#This Row],[VEHIDCODE]],PROPERTIES[VEHIDCODE],PROPERTIES[EXCLUDE])</f>
        <v>0</v>
      </c>
    </row>
    <row r="600" spans="1:17">
      <c r="A600" s="2" t="s">
        <v>615</v>
      </c>
      <c r="B600" s="30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43" t="s">
        <v>1506</v>
      </c>
      <c r="G600" t="s">
        <v>2854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Row],[VEHIDCODE]],roster!A:A,roster!C:C))</f>
        <v>1</v>
      </c>
      <c r="N600" t="b">
        <f>ISNUMBER(_xlfn.XMATCH(CONTROL[[#This Row],[VEHIDCODE]],GRAPHICS_PROPERTIES[VEHIDCODE],0))</f>
        <v>1</v>
      </c>
      <c r="O600" s="30" t="str">
        <f>"item_"&amp;CONTROL[[#This Row],[VEHIDCODE]]</f>
        <v>item_steam_Japan_JNR_860</v>
      </c>
      <c r="P600" s="30" t="str">
        <f>"str_"&amp;CONTROL[[#This Row],[VEHIDCODE]]</f>
        <v>str_steam_Japan_JNR_860</v>
      </c>
      <c r="Q600" s="10" t="b">
        <f>_xlfn.XLOOKUP(CONTROL[[#This Row],[VEHIDCODE]],PROPERTIES[VEHIDCODE],PROPERTIES[EXCLUDE])</f>
        <v>0</v>
      </c>
    </row>
    <row r="601" spans="1:17">
      <c r="A601" s="2" t="s">
        <v>616</v>
      </c>
      <c r="B601" s="30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43" t="s">
        <v>1507</v>
      </c>
      <c r="G601" t="s">
        <v>2855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Row],[VEHIDCODE]],roster!A:A,roster!C:C))</f>
        <v>1</v>
      </c>
      <c r="N601" t="b">
        <f>ISNUMBER(_xlfn.XMATCH(CONTROL[[#This Row],[VEHIDCODE]],GRAPHICS_PROPERTIES[VEHIDCODE],0))</f>
        <v>1</v>
      </c>
      <c r="O601" s="30" t="str">
        <f>"item_"&amp;CONTROL[[#This Row],[VEHIDCODE]]</f>
        <v>item_steam_Japan_JNR_9600</v>
      </c>
      <c r="P601" s="30" t="str">
        <f>"str_"&amp;CONTROL[[#This Row],[VEHIDCODE]]</f>
        <v>str_steam_Japan_JNR_9600</v>
      </c>
      <c r="Q601" s="10" t="b">
        <f>_xlfn.XLOOKUP(CONTROL[[#This Row],[VEHIDCODE]],PROPERTIES[VEHIDCODE],PROPERTIES[EXCLUDE])</f>
        <v>0</v>
      </c>
    </row>
    <row r="602" spans="1:17">
      <c r="A602" s="2" t="s">
        <v>617</v>
      </c>
      <c r="B602" s="30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43" t="s">
        <v>1508</v>
      </c>
      <c r="G602" t="s">
        <v>2856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Row],[VEHIDCODE]],roster!A:A,roster!C:C))</f>
        <v>1</v>
      </c>
      <c r="N602" t="b">
        <f>ISNUMBER(_xlfn.XMATCH(CONTROL[[#This Row],[VEHIDCODE]],GRAPHICS_PROPERTIES[VEHIDCODE],0))</f>
        <v>1</v>
      </c>
      <c r="O602" s="30" t="str">
        <f>"item_"&amp;CONTROL[[#This Row],[VEHIDCODE]]</f>
        <v>item_steam_Japan_JNR_D50</v>
      </c>
      <c r="P602" s="30" t="str">
        <f>"str_"&amp;CONTROL[[#This Row],[VEHIDCODE]]</f>
        <v>str_steam_Japan_JNR_D50</v>
      </c>
      <c r="Q602" s="10" t="b">
        <f>_xlfn.XLOOKUP(CONTROL[[#This Row],[VEHIDCODE]],PROPERTIES[VEHIDCODE],PROPERTIES[EXCLUDE])</f>
        <v>0</v>
      </c>
    </row>
    <row r="603" spans="1:17">
      <c r="A603" s="2" t="s">
        <v>618</v>
      </c>
      <c r="B603" s="30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43" t="s">
        <v>1509</v>
      </c>
      <c r="G603" t="s">
        <v>2857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Row],[VEHIDCODE]],roster!A:A,roster!C:C))</f>
        <v>1</v>
      </c>
      <c r="N603" t="b">
        <f>ISNUMBER(_xlfn.XMATCH(CONTROL[[#This Row],[VEHIDCODE]],GRAPHICS_PROPERTIES[VEHIDCODE],0))</f>
        <v>1</v>
      </c>
      <c r="O603" s="30" t="str">
        <f>"item_"&amp;CONTROL[[#This Row],[VEHIDCODE]]</f>
        <v>item_diesel_Japan_JNR_DF50</v>
      </c>
      <c r="P603" s="30" t="str">
        <f>"str_"&amp;CONTROL[[#This Row],[VEHIDCODE]]</f>
        <v>str_diesel_Japan_JNR_DF50</v>
      </c>
      <c r="Q603" s="10" t="b">
        <f>_xlfn.XLOOKUP(CONTROL[[#This Row],[VEHIDCODE]],PROPERTIES[VEHIDCODE],PROPERTIES[EXCLUDE])</f>
        <v>0</v>
      </c>
    </row>
    <row r="604" spans="1:17">
      <c r="A604" s="2" t="s">
        <v>619</v>
      </c>
      <c r="B604" s="30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43" t="s">
        <v>1510</v>
      </c>
      <c r="G604" t="s">
        <v>2858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Row],[VEHIDCODE]],roster!A:A,roster!C:C))</f>
        <v>1</v>
      </c>
      <c r="N604" t="b">
        <f>ISNUMBER(_xlfn.XMATCH(CONTROL[[#This Row],[VEHIDCODE]],GRAPHICS_PROPERTIES[VEHIDCODE],0))</f>
        <v>1</v>
      </c>
      <c r="O604" s="30" t="str">
        <f>"item_"&amp;CONTROL[[#This Row],[VEHIDCODE]]</f>
        <v>item_electric_Switzerland_RhB_DE_2_2</v>
      </c>
      <c r="P604" s="30" t="str">
        <f>"str_"&amp;CONTROL[[#This Row],[VEHIDCODE]]</f>
        <v>str_electric_Switzerland_RhB_DE_2_2</v>
      </c>
      <c r="Q604" s="10" t="b">
        <f>_xlfn.XLOOKUP(CONTROL[[#This Row],[VEHIDCODE]],PROPERTIES[VEHIDCODE],PROPERTIES[EXCLUDE])</f>
        <v>0</v>
      </c>
    </row>
    <row r="605" spans="1:17">
      <c r="A605" s="2" t="s">
        <v>620</v>
      </c>
      <c r="B605" s="30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43" t="s">
        <v>1511</v>
      </c>
      <c r="G605" t="s">
        <v>2859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Row],[VEHIDCODE]],roster!A:A,roster!C:C))</f>
        <v>1</v>
      </c>
      <c r="N605" t="b">
        <f>ISNUMBER(_xlfn.XMATCH(CONTROL[[#This Row],[VEHIDCODE]],GRAPHICS_PROPERTIES[VEHIDCODE],0))</f>
        <v>1</v>
      </c>
      <c r="O605" s="30" t="str">
        <f>"item_"&amp;CONTROL[[#This Row],[VEHIDCODE]]</f>
        <v>item_electric_Japan_JNR_EH10</v>
      </c>
      <c r="P605" s="30" t="str">
        <f>"str_"&amp;CONTROL[[#This Row],[VEHIDCODE]]</f>
        <v>str_electric_Japan_JNR_EH10</v>
      </c>
      <c r="Q605" s="10" t="b">
        <f>_xlfn.XLOOKUP(CONTROL[[#This Row],[VEHIDCODE]],PROPERTIES[VEHIDCODE],PROPERTIES[EXCLUDE])</f>
        <v>0</v>
      </c>
    </row>
    <row r="606" spans="1:17">
      <c r="A606" s="2" t="s">
        <v>621</v>
      </c>
      <c r="B606" s="30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43" t="s">
        <v>1512</v>
      </c>
      <c r="G606" t="s">
        <v>2860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Row],[VEHIDCODE]],roster!A:A,roster!C:C))</f>
        <v>1</v>
      </c>
      <c r="N606" t="b">
        <f>ISNUMBER(_xlfn.XMATCH(CONTROL[[#This Row],[VEHIDCODE]],GRAPHICS_PROPERTIES[VEHIDCODE],0))</f>
        <v>1</v>
      </c>
      <c r="O606" s="30" t="str">
        <f>"item_"&amp;CONTROL[[#This Row],[VEHIDCODE]]</f>
        <v>item_electric_Japan_JNR_EF64</v>
      </c>
      <c r="P606" s="30" t="str">
        <f>"str_"&amp;CONTROL[[#This Row],[VEHIDCODE]]</f>
        <v>str_electric_Japan_JNR_EF64</v>
      </c>
      <c r="Q606" s="10" t="b">
        <f>_xlfn.XLOOKUP(CONTROL[[#This Row],[VEHIDCODE]],PROPERTIES[VEHIDCODE],PROPERTIES[EXCLUDE])</f>
        <v>0</v>
      </c>
    </row>
    <row r="607" spans="1:17">
      <c r="A607" s="2" t="s">
        <v>622</v>
      </c>
      <c r="B607" s="30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43" t="s">
        <v>1513</v>
      </c>
      <c r="G607" t="s">
        <v>2861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Row],[VEHIDCODE]],roster!A:A,roster!C:C))</f>
        <v>1</v>
      </c>
      <c r="N607" t="b">
        <f>ISNUMBER(_xlfn.XMATCH(CONTROL[[#This Row],[VEHIDCODE]],GRAPHICS_PROPERTIES[VEHIDCODE],0))</f>
        <v>1</v>
      </c>
      <c r="O607" s="30" t="str">
        <f>"item_"&amp;CONTROL[[#This Row],[VEHIDCODE]]</f>
        <v>item_electric_New_Zealand_NZR_EO_Class</v>
      </c>
      <c r="P607" s="30" t="str">
        <f>"str_"&amp;CONTROL[[#This Row],[VEHIDCODE]]</f>
        <v>str_electric_New_Zealand_NZR_EO_Class</v>
      </c>
      <c r="Q607" s="10" t="b">
        <f>_xlfn.XLOOKUP(CONTROL[[#This Row],[VEHIDCODE]],PROPERTIES[VEHIDCODE],PROPERTIES[EXCLUDE])</f>
        <v>0</v>
      </c>
    </row>
    <row r="608" spans="1:17">
      <c r="A608" s="2" t="s">
        <v>623</v>
      </c>
      <c r="B608" s="30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43" t="s">
        <v>1514</v>
      </c>
      <c r="G608" t="s">
        <v>2862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Row],[VEHIDCODE]],roster!A:A,roster!C:C))</f>
        <v>1</v>
      </c>
      <c r="N608" t="b">
        <f>ISNUMBER(_xlfn.XMATCH(CONTROL[[#This Row],[VEHIDCODE]],GRAPHICS_PROPERTIES[VEHIDCODE],0))</f>
        <v>1</v>
      </c>
      <c r="O608" s="30" t="str">
        <f>"item_"&amp;CONTROL[[#This Row],[VEHIDCODE]]</f>
        <v>item_electric_Australia_NSWGR_71</v>
      </c>
      <c r="P608" s="30" t="str">
        <f>"str_"&amp;CONTROL[[#This Row],[VEHIDCODE]]</f>
        <v>str_electric_Australia_NSWGR_71</v>
      </c>
      <c r="Q608" s="10" t="b">
        <f>_xlfn.XLOOKUP(CONTROL[[#This Row],[VEHIDCODE]],PROPERTIES[VEHIDCODE],PROPERTIES[EXCLUDE])</f>
        <v>0</v>
      </c>
    </row>
    <row r="609" spans="1:17">
      <c r="A609" s="2" t="s">
        <v>624</v>
      </c>
      <c r="B609" s="30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43" t="s">
        <v>1515</v>
      </c>
      <c r="G609" t="s">
        <v>2863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Row],[VEHIDCODE]],roster!A:A,roster!C:C))</f>
        <v>1</v>
      </c>
      <c r="N609" t="b">
        <f>ISNUMBER(_xlfn.XMATCH(CONTROL[[#This Row],[VEHIDCODE]],GRAPHICS_PROPERTIES[VEHIDCODE],0))</f>
        <v>1</v>
      </c>
      <c r="O609" s="30" t="str">
        <f>"item_"&amp;CONTROL[[#This Row],[VEHIDCODE]]</f>
        <v>item_electric_South_Africa_SAR_4E</v>
      </c>
      <c r="P609" s="30" t="str">
        <f>"str_"&amp;CONTROL[[#This Row],[VEHIDCODE]]</f>
        <v>str_electric_South_Africa_SAR_4E</v>
      </c>
      <c r="Q609" s="10" t="b">
        <f>_xlfn.XLOOKUP(CONTROL[[#This Row],[VEHIDCODE]],PROPERTIES[VEHIDCODE],PROPERTIES[EXCLUDE])</f>
        <v>0</v>
      </c>
    </row>
    <row r="610" spans="1:17">
      <c r="A610" s="2" t="s">
        <v>625</v>
      </c>
      <c r="B610" s="30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43" t="s">
        <v>1516</v>
      </c>
      <c r="G610" t="s">
        <v>2864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Row],[VEHIDCODE]],roster!A:A,roster!C:C))</f>
        <v>1</v>
      </c>
      <c r="N610" t="b">
        <f>ISNUMBER(_xlfn.XMATCH(CONTROL[[#This Row],[VEHIDCODE]],GRAPHICS_PROPERTIES[VEHIDCODE],0))</f>
        <v>1</v>
      </c>
      <c r="O610" s="30" t="str">
        <f>"item_"&amp;CONTROL[[#This Row],[VEHIDCODE]]</f>
        <v>item_electric_South_Africa_SAR_5E1</v>
      </c>
      <c r="P610" s="30" t="str">
        <f>"str_"&amp;CONTROL[[#This Row],[VEHIDCODE]]</f>
        <v>str_electric_South_Africa_SAR_5E1</v>
      </c>
      <c r="Q610" s="10" t="b">
        <f>_xlfn.XLOOKUP(CONTROL[[#This Row],[VEHIDCODE]],PROPERTIES[VEHIDCODE],PROPERTIES[EXCLUDE])</f>
        <v>0</v>
      </c>
    </row>
    <row r="611" spans="1:17">
      <c r="A611" s="2" t="s">
        <v>626</v>
      </c>
      <c r="B611" s="30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43" t="s">
        <v>1517</v>
      </c>
      <c r="G611" t="s">
        <v>2865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Row],[VEHIDCODE]],roster!A:A,roster!C:C))</f>
        <v>1</v>
      </c>
      <c r="N611" t="b">
        <f>ISNUMBER(_xlfn.XMATCH(CONTROL[[#This Row],[VEHIDCODE]],GRAPHICS_PROPERTIES[VEHIDCODE],0))</f>
        <v>1</v>
      </c>
      <c r="O611" s="30" t="str">
        <f>"item_"&amp;CONTROL[[#This Row],[VEHIDCODE]]</f>
        <v>item_electric_South_Africa_SAR_6E</v>
      </c>
      <c r="P611" s="30" t="str">
        <f>"str_"&amp;CONTROL[[#This Row],[VEHIDCODE]]</f>
        <v>str_electric_South_Africa_SAR_6E</v>
      </c>
      <c r="Q611" s="10" t="b">
        <f>_xlfn.XLOOKUP(CONTROL[[#This Row],[VEHIDCODE]],PROPERTIES[VEHIDCODE],PROPERTIES[EXCLUDE])</f>
        <v>0</v>
      </c>
    </row>
    <row r="612" spans="1:17">
      <c r="A612" s="2" t="s">
        <v>627</v>
      </c>
      <c r="B612" s="30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43" t="s">
        <v>1518</v>
      </c>
      <c r="G612" t="s">
        <v>2868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Row],[VEHIDCODE]],roster!A:A,roster!C:C))</f>
        <v>1</v>
      </c>
      <c r="N612" t="b">
        <f>ISNUMBER(_xlfn.XMATCH(CONTROL[[#This Row],[VEHIDCODE]],GRAPHICS_PROPERTIES[VEHIDCODE],0))</f>
        <v>1</v>
      </c>
      <c r="O612" s="30" t="str">
        <f>"item_"&amp;CONTROL[[#This Row],[VEHIDCODE]]</f>
        <v>item_electric_Switzerland_RhB_Ge_4_4_I</v>
      </c>
      <c r="P612" s="30" t="str">
        <f>"str_"&amp;CONTROL[[#This Row],[VEHIDCODE]]</f>
        <v>str_electric_Switzerland_RhB_Ge_4_4_I</v>
      </c>
      <c r="Q612" s="10" t="b">
        <f>_xlfn.XLOOKUP(CONTROL[[#This Row],[VEHIDCODE]],PROPERTIES[VEHIDCODE],PROPERTIES[EXCLUDE])</f>
        <v>0</v>
      </c>
    </row>
    <row r="613" spans="1:17">
      <c r="A613" s="2" t="s">
        <v>628</v>
      </c>
      <c r="B613" s="30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43" t="s">
        <v>1519</v>
      </c>
      <c r="G613" t="s">
        <v>2869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Row],[VEHIDCODE]],roster!A:A,roster!C:C))</f>
        <v>1</v>
      </c>
      <c r="N613" t="b">
        <f>ISNUMBER(_xlfn.XMATCH(CONTROL[[#This Row],[VEHIDCODE]],GRAPHICS_PROPERTIES[VEHIDCODE],0))</f>
        <v>1</v>
      </c>
      <c r="O613" s="30" t="str">
        <f>"item_"&amp;CONTROL[[#This Row],[VEHIDCODE]]</f>
        <v>item_electric_Switzerland_RhB_Ge_6_6_Krokodil</v>
      </c>
      <c r="P613" s="30" t="str">
        <f>"str_"&amp;CONTROL[[#This Row],[VEHIDCODE]]</f>
        <v>str_electric_Switzerland_RhB_Ge_6_6_Krokodil</v>
      </c>
      <c r="Q613" s="10" t="b">
        <f>_xlfn.XLOOKUP(CONTROL[[#This Row],[VEHIDCODE]],PROPERTIES[VEHIDCODE],PROPERTIES[EXCLUDE])</f>
        <v>0</v>
      </c>
    </row>
    <row r="614" spans="1:17">
      <c r="A614" s="2" t="s">
        <v>629</v>
      </c>
      <c r="B614" s="30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43" t="s">
        <v>3036</v>
      </c>
      <c r="G614" t="s">
        <v>1696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Row],[VEHIDCODE]],roster!A:A,roster!C:C))</f>
        <v>1</v>
      </c>
      <c r="N614" t="b">
        <f>ISNUMBER(_xlfn.XMATCH(CONTROL[[#This Row],[VEHIDCODE]],GRAPHICS_PROPERTIES[VEHIDCODE],0))</f>
        <v>1</v>
      </c>
      <c r="O614" s="30" t="str">
        <f>"item_"&amp;CONTROL[[#This Row],[VEHIDCODE]]</f>
        <v>item_electric_Brasil_MRS_He_4_4</v>
      </c>
      <c r="P614" s="30" t="str">
        <f>"str_"&amp;CONTROL[[#This Row],[VEHIDCODE]]</f>
        <v>str_electric_Brasil_MRS_He_4_4</v>
      </c>
      <c r="Q614" s="10" t="b">
        <f>_xlfn.XLOOKUP(CONTROL[[#This Row],[VEHIDCODE]],PROPERTIES[VEHIDCODE],PROPERTIES[EXCLUDE])</f>
        <v>0</v>
      </c>
    </row>
    <row r="615" spans="1:17">
      <c r="A615" s="2" t="s">
        <v>630</v>
      </c>
      <c r="B615" s="30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43" t="s">
        <v>1520</v>
      </c>
      <c r="G615" t="s">
        <v>2866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Row],[VEHIDCODE]],roster!A:A,roster!C:C))</f>
        <v>1</v>
      </c>
      <c r="N615" t="b">
        <f>ISNUMBER(_xlfn.XMATCH(CONTROL[[#This Row],[VEHIDCODE]],GRAPHICS_PROPERTIES[VEHIDCODE],0))</f>
        <v>1</v>
      </c>
      <c r="O615" s="30" t="str">
        <f>"item_"&amp;CONTROL[[#This Row],[VEHIDCODE]]</f>
        <v>item_electric_South_Africa_SAR_7E</v>
      </c>
      <c r="P615" s="30" t="str">
        <f>"str_"&amp;CONTROL[[#This Row],[VEHIDCODE]]</f>
        <v>str_electric_South_Africa_SAR_7E</v>
      </c>
      <c r="Q615" s="10" t="b">
        <f>_xlfn.XLOOKUP(CONTROL[[#This Row],[VEHIDCODE]],PROPERTIES[VEHIDCODE],PROPERTIES[EXCLUDE])</f>
        <v>0</v>
      </c>
    </row>
    <row r="616" spans="1:17">
      <c r="A616" s="2" t="s">
        <v>631</v>
      </c>
      <c r="B616" s="30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43" t="s">
        <v>1521</v>
      </c>
      <c r="G616" t="s">
        <v>2867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Row],[VEHIDCODE]],roster!A:A,roster!C:C))</f>
        <v>1</v>
      </c>
      <c r="N616" t="b">
        <f>ISNUMBER(_xlfn.XMATCH(CONTROL[[#This Row],[VEHIDCODE]],GRAPHICS_PROPERTIES[VEHIDCODE],0))</f>
        <v>1</v>
      </c>
      <c r="O616" s="30" t="str">
        <f>"item_"&amp;CONTROL[[#This Row],[VEHIDCODE]]</f>
        <v>item_electric_South_Africa_SAR_11E</v>
      </c>
      <c r="P616" s="30" t="str">
        <f>"str_"&amp;CONTROL[[#This Row],[VEHIDCODE]]</f>
        <v>str_electric_South_Africa_SAR_11E</v>
      </c>
      <c r="Q616" s="10" t="b">
        <f>_xlfn.XLOOKUP(CONTROL[[#This Row],[VEHIDCODE]],PROPERTIES[VEHIDCODE],PROPERTIES[EXCLUDE])</f>
        <v>0</v>
      </c>
    </row>
    <row r="617" spans="1:17">
      <c r="A617" s="2" t="s">
        <v>632</v>
      </c>
      <c r="B617" s="30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43" t="s">
        <v>1522</v>
      </c>
      <c r="G617" t="s">
        <v>2870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Row],[VEHIDCODE]],roster!A:A,roster!C:C))</f>
        <v>1</v>
      </c>
      <c r="N617" t="b">
        <f>ISNUMBER(_xlfn.XMATCH(CONTROL[[#This Row],[VEHIDCODE]],GRAPHICS_PROPERTIES[VEHIDCODE],0))</f>
        <v>1</v>
      </c>
      <c r="O617" s="30" t="str">
        <f>"item_"&amp;CONTROL[[#This Row],[VEHIDCODE]]</f>
        <v>item_electric_New_Zealand_TranzRail_EF</v>
      </c>
      <c r="P617" s="30" t="str">
        <f>"str_"&amp;CONTROL[[#This Row],[VEHIDCODE]]</f>
        <v>str_electric_New_Zealand_TranzRail_EF</v>
      </c>
      <c r="Q617" s="10" t="b">
        <f>_xlfn.XLOOKUP(CONTROL[[#This Row],[VEHIDCODE]],PROPERTIES[VEHIDCODE],PROPERTIES[EXCLUDE])</f>
        <v>0</v>
      </c>
    </row>
    <row r="618" spans="1:17">
      <c r="A618" s="2" t="s">
        <v>633</v>
      </c>
      <c r="B618" s="30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43" t="s">
        <v>1523</v>
      </c>
      <c r="G618" t="s">
        <v>2812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Row],[VEHIDCODE]],roster!A:A,roster!C:C))</f>
        <v>1</v>
      </c>
      <c r="N618" t="b">
        <f>ISNUMBER(_xlfn.XMATCH(CONTROL[[#This Row],[VEHIDCODE]],GRAPHICS_PROPERTIES[VEHIDCODE],0))</f>
        <v>1</v>
      </c>
      <c r="O618" s="30" t="str">
        <f>"item_"&amp;CONTROL[[#This Row],[VEHIDCODE]]</f>
        <v>item_emu_Japan_Odakyu_3100_Series_Romance</v>
      </c>
      <c r="P618" s="30" t="str">
        <f>"str_"&amp;CONTROL[[#This Row],[VEHIDCODE]]</f>
        <v>str_emu_Japan_Odakyu_3100_Series_Romance</v>
      </c>
      <c r="Q618" s="10" t="b">
        <f>_xlfn.XLOOKUP(CONTROL[[#This Row],[VEHIDCODE]],PROPERTIES[VEHIDCODE],PROPERTIES[EXCLUDE])</f>
        <v>0</v>
      </c>
    </row>
    <row r="619" spans="1:17">
      <c r="A619" s="2" t="s">
        <v>634</v>
      </c>
      <c r="B619" s="30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43" t="s">
        <v>1524</v>
      </c>
      <c r="G619" t="s">
        <v>2813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Row],[VEHIDCODE]],roster!A:A,roster!C:C))</f>
        <v>1</v>
      </c>
      <c r="N619" t="b">
        <f>ISNUMBER(_xlfn.XMATCH(CONTROL[[#This Row],[VEHIDCODE]],GRAPHICS_PROPERTIES[VEHIDCODE],0))</f>
        <v>1</v>
      </c>
      <c r="O619" s="30" t="str">
        <f>"item_"&amp;CONTROL[[#This Row],[VEHIDCODE]]</f>
        <v>item_emu_Japan_Odakyu_10000_Series_Romance</v>
      </c>
      <c r="P619" s="30" t="str">
        <f>"str_"&amp;CONTROL[[#This Row],[VEHIDCODE]]</f>
        <v>str_emu_Japan_Odakyu_10000_Series_Romance</v>
      </c>
      <c r="Q619" s="10" t="b">
        <f>_xlfn.XLOOKUP(CONTROL[[#This Row],[VEHIDCODE]],PROPERTIES[VEHIDCODE],PROPERTIES[EXCLUDE])</f>
        <v>0</v>
      </c>
    </row>
    <row r="620" spans="1:17">
      <c r="A620" s="2" t="s">
        <v>635</v>
      </c>
      <c r="B620" s="30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43" t="s">
        <v>1525</v>
      </c>
      <c r="G620" t="s">
        <v>2814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Row],[VEHIDCODE]],roster!A:A,roster!C:C))</f>
        <v>1</v>
      </c>
      <c r="N620" t="b">
        <f>ISNUMBER(_xlfn.XMATCH(CONTROL[[#This Row],[VEHIDCODE]],GRAPHICS_PROPERTIES[VEHIDCODE],0))</f>
        <v>1</v>
      </c>
      <c r="O620" s="30" t="str">
        <f>"item_"&amp;CONTROL[[#This Row],[VEHIDCODE]]</f>
        <v>item_emu_Australia_Sydney_Trains_S_Set</v>
      </c>
      <c r="P620" s="30" t="str">
        <f>"str_"&amp;CONTROL[[#This Row],[VEHIDCODE]]</f>
        <v>str_emu_Australia_Sydney_Trains_S_Set</v>
      </c>
      <c r="Q620" s="10" t="b">
        <f>_xlfn.XLOOKUP(CONTROL[[#This Row],[VEHIDCODE]],PROPERTIES[VEHIDCODE],PROPERTIES[EXCLUDE])</f>
        <v>0</v>
      </c>
    </row>
    <row r="621" spans="1:17">
      <c r="A621" s="2" t="s">
        <v>636</v>
      </c>
      <c r="B621" s="30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43" t="s">
        <v>1526</v>
      </c>
      <c r="G621" t="s">
        <v>2815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Row],[VEHIDCODE]],roster!A:A,roster!C:C))</f>
        <v>1</v>
      </c>
      <c r="N621" t="b">
        <f>ISNUMBER(_xlfn.XMATCH(CONTROL[[#This Row],[VEHIDCODE]],GRAPHICS_PROPERTIES[VEHIDCODE],0))</f>
        <v>1</v>
      </c>
      <c r="O621" s="30" t="str">
        <f>"item_"&amp;CONTROL[[#This Row],[VEHIDCODE]]</f>
        <v>item_emu_Australia_Sydney_Trains_OSCars</v>
      </c>
      <c r="P621" s="30" t="str">
        <f>"str_"&amp;CONTROL[[#This Row],[VEHIDCODE]]</f>
        <v>str_emu_Australia_Sydney_Trains_OSCars</v>
      </c>
      <c r="Q621" s="10" t="b">
        <f>_xlfn.XLOOKUP(CONTROL[[#This Row],[VEHIDCODE]],PROPERTIES[VEHIDCODE],PROPERTIES[EXCLUDE])</f>
        <v>0</v>
      </c>
    </row>
    <row r="622" spans="1:17">
      <c r="A622" s="2" t="s">
        <v>637</v>
      </c>
      <c r="B622" s="30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43" t="s">
        <v>1527</v>
      </c>
      <c r="G622" t="s">
        <v>2816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Row],[VEHIDCODE]],roster!A:A,roster!C:C))</f>
        <v>1</v>
      </c>
      <c r="N622" t="b">
        <f>ISNUMBER(_xlfn.XMATCH(CONTROL[[#This Row],[VEHIDCODE]],GRAPHICS_PROPERTIES[VEHIDCODE],0))</f>
        <v>1</v>
      </c>
      <c r="O622" s="30" t="str">
        <f>"item_"&amp;CONTROL[[#This Row],[VEHIDCODE]]</f>
        <v>item_emu_Australia_Victorian_Railways_Swing_Door</v>
      </c>
      <c r="P622" s="30" t="str">
        <f>"str_"&amp;CONTROL[[#This Row],[VEHIDCODE]]</f>
        <v>str_emu_Australia_Victorian_Railways_Swing_Door</v>
      </c>
      <c r="Q622" s="10" t="b">
        <f>_xlfn.XLOOKUP(CONTROL[[#This Row],[VEHIDCODE]],PROPERTIES[VEHIDCODE],PROPERTIES[EXCLUDE])</f>
        <v>0</v>
      </c>
    </row>
    <row r="623" spans="1:17">
      <c r="A623" s="2" t="s">
        <v>638</v>
      </c>
      <c r="B623" s="30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43" t="s">
        <v>1528</v>
      </c>
      <c r="G623" t="s">
        <v>2817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Row],[VEHIDCODE]],roster!A:A,roster!C:C))</f>
        <v>1</v>
      </c>
      <c r="N623" t="b">
        <f>ISNUMBER(_xlfn.XMATCH(CONTROL[[#This Row],[VEHIDCODE]],GRAPHICS_PROPERTIES[VEHIDCODE],0))</f>
        <v>1</v>
      </c>
      <c r="O623" s="30" t="str">
        <f>"item_"&amp;CONTROL[[#This Row],[VEHIDCODE]]</f>
        <v>item_emu_New_Zealand_NZR_EM_ET_Class</v>
      </c>
      <c r="P623" s="30" t="str">
        <f>"str_"&amp;CONTROL[[#This Row],[VEHIDCODE]]</f>
        <v>str_emu_New_Zealand_NZR_EM_ET_Class</v>
      </c>
      <c r="Q623" s="10" t="b">
        <f>_xlfn.XLOOKUP(CONTROL[[#This Row],[VEHIDCODE]],PROPERTIES[VEHIDCODE],PROPERTIES[EXCLUDE])</f>
        <v>0</v>
      </c>
    </row>
    <row r="624" spans="1:17">
      <c r="A624" s="2" t="s">
        <v>639</v>
      </c>
      <c r="B624" s="30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43" t="s">
        <v>1529</v>
      </c>
      <c r="G624" t="s">
        <v>2818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Row],[VEHIDCODE]],roster!A:A,roster!C:C))</f>
        <v>1</v>
      </c>
      <c r="N624" t="b">
        <f>ISNUMBER(_xlfn.XMATCH(CONTROL[[#This Row],[VEHIDCODE]],GRAPHICS_PROPERTIES[VEHIDCODE],0))</f>
        <v>1</v>
      </c>
      <c r="O624" s="30" t="str">
        <f>"item_"&amp;CONTROL[[#This Row],[VEHIDCODE]]</f>
        <v>item_emu_South_Africa_SAR_5M2</v>
      </c>
      <c r="P624" s="30" t="str">
        <f>"str_"&amp;CONTROL[[#This Row],[VEHIDCODE]]</f>
        <v>str_emu_South_Africa_SAR_5M2</v>
      </c>
      <c r="Q624" s="10" t="b">
        <f>_xlfn.XLOOKUP(CONTROL[[#This Row],[VEHIDCODE]],PROPERTIES[VEHIDCODE],PROPERTIES[EXCLUDE])</f>
        <v>0</v>
      </c>
    </row>
    <row r="625" spans="1:17">
      <c r="A625" s="2" t="s">
        <v>640</v>
      </c>
      <c r="B625" s="30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43" t="s">
        <v>1530</v>
      </c>
      <c r="G625" t="s">
        <v>2819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Row],[VEHIDCODE]],roster!A:A,roster!C:C))</f>
        <v>1</v>
      </c>
      <c r="N625" t="b">
        <f>ISNUMBER(_xlfn.XMATCH(CONTROL[[#This Row],[VEHIDCODE]],GRAPHICS_PROPERTIES[VEHIDCODE],0))</f>
        <v>1</v>
      </c>
      <c r="O625" s="30" t="str">
        <f>"item_"&amp;CONTROL[[#This Row],[VEHIDCODE]]</f>
        <v>item_emu_Chile_EFE_XTrapolis_100</v>
      </c>
      <c r="P625" s="30" t="str">
        <f>"str_"&amp;CONTROL[[#This Row],[VEHIDCODE]]</f>
        <v>str_emu_Chile_EFE_XTrapolis_100</v>
      </c>
      <c r="Q625" s="10" t="b">
        <f>_xlfn.XLOOKUP(CONTROL[[#This Row],[VEHIDCODE]],PROPERTIES[VEHIDCODE],PROPERTIES[EXCLUDE])</f>
        <v>0</v>
      </c>
    </row>
    <row r="626" spans="1:17">
      <c r="A626" s="2" t="s">
        <v>641</v>
      </c>
      <c r="B626" s="30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43" t="s">
        <v>1531</v>
      </c>
      <c r="G626" t="s">
        <v>2820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Row],[VEHIDCODE]],roster!A:A,roster!C:C))</f>
        <v>1</v>
      </c>
      <c r="N626" t="b">
        <f>ISNUMBER(_xlfn.XMATCH(CONTROL[[#This Row],[VEHIDCODE]],GRAPHICS_PROPERTIES[VEHIDCODE],0))</f>
        <v>1</v>
      </c>
      <c r="O626" s="30" t="str">
        <f>"item_"&amp;CONTROL[[#This Row],[VEHIDCODE]]</f>
        <v>item_emu_Chile_EFE_AES_Railcar</v>
      </c>
      <c r="P626" s="30" t="str">
        <f>"str_"&amp;CONTROL[[#This Row],[VEHIDCODE]]</f>
        <v>str_emu_Chile_EFE_AES_Railcar</v>
      </c>
      <c r="Q626" s="10" t="b">
        <f>_xlfn.XLOOKUP(CONTROL[[#This Row],[VEHIDCODE]],PROPERTIES[VEHIDCODE],PROPERTIES[EXCLUDE])</f>
        <v>0</v>
      </c>
    </row>
    <row r="627" spans="1:17">
      <c r="A627" s="2" t="s">
        <v>642</v>
      </c>
      <c r="B627" s="30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43" t="s">
        <v>1532</v>
      </c>
      <c r="G627" t="s">
        <v>1696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Row],[VEHIDCODE]],roster!A:A,roster!C:C))</f>
        <v>1</v>
      </c>
      <c r="N627" t="b">
        <f>ISNUMBER(_xlfn.XMATCH(CONTROL[[#This Row],[VEHIDCODE]],GRAPHICS_PROPERTIES[VEHIDCODE],0))</f>
        <v>1</v>
      </c>
      <c r="O627" s="30" t="str">
        <f>"item_"&amp;CONTROL[[#This Row],[VEHIDCODE]]</f>
        <v>item_emu_Tunisia_SNCFT_YZ_E</v>
      </c>
      <c r="P627" s="30" t="str">
        <f>"str_"&amp;CONTROL[[#This Row],[VEHIDCODE]]</f>
        <v>str_emu_Tunisia_SNCFT_YZ_E</v>
      </c>
      <c r="Q627" s="10" t="b">
        <f>_xlfn.XLOOKUP(CONTROL[[#This Row],[VEHIDCODE]],PROPERTIES[VEHIDCODE],PROPERTIES[EXCLUDE])</f>
        <v>0</v>
      </c>
    </row>
    <row r="628" spans="1:17">
      <c r="A628" s="2" t="s">
        <v>643</v>
      </c>
      <c r="B628" s="30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43" t="s">
        <v>3225</v>
      </c>
      <c r="G628" t="s">
        <v>2821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Row],[VEHIDCODE]],roster!A:A,roster!C:C))</f>
        <v>1</v>
      </c>
      <c r="N628" t="b">
        <f>ISNUMBER(_xlfn.XMATCH(CONTROL[[#This Row],[VEHIDCODE]],GRAPHICS_PROPERTIES[VEHIDCODE],0))</f>
        <v>1</v>
      </c>
      <c r="O628" s="30" t="str">
        <f>"item_"&amp;CONTROL[[#This Row],[VEHIDCODE]]</f>
        <v>item_emu_Australia_Queensland_Rail_Tilt_Train</v>
      </c>
      <c r="P628" s="30" t="str">
        <f>"str_"&amp;CONTROL[[#This Row],[VEHIDCODE]]</f>
        <v>str_emu_Australia_Queensland_Rail_Tilt_Train</v>
      </c>
      <c r="Q628" s="10" t="b">
        <f>_xlfn.XLOOKUP(CONTROL[[#This Row],[VEHIDCODE]],PROPERTIES[VEHIDCODE],PROPERTIES[EXCLUDE])</f>
        <v>0</v>
      </c>
    </row>
    <row r="629" spans="1:17">
      <c r="A629" s="2" t="s">
        <v>644</v>
      </c>
      <c r="B629" s="30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43" t="s">
        <v>1533</v>
      </c>
      <c r="G629" t="s">
        <v>2827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Row],[VEHIDCODE]],roster!A:A,roster!C:C))</f>
        <v>1</v>
      </c>
      <c r="N629" t="b">
        <f>ISNUMBER(_xlfn.XMATCH(CONTROL[[#This Row],[VEHIDCODE]],GRAPHICS_PROPERTIES[VEHIDCODE],0))</f>
        <v>1</v>
      </c>
      <c r="O629" s="30" t="str">
        <f>"item_"&amp;CONTROL[[#This Row],[VEHIDCODE]]</f>
        <v>item_electric_Russia_RZD_VL15</v>
      </c>
      <c r="P629" s="30" t="str">
        <f>"str_"&amp;CONTROL[[#This Row],[VEHIDCODE]]</f>
        <v>str_electric_Russia_RZD_VL15</v>
      </c>
      <c r="Q629" s="10" t="b">
        <f>_xlfn.XLOOKUP(CONTROL[[#This Row],[VEHIDCODE]],PROPERTIES[VEHIDCODE],PROPERTIES[EXCLUDE])</f>
        <v>0</v>
      </c>
    </row>
    <row r="630" spans="1:17">
      <c r="A630" s="2" t="s">
        <v>645</v>
      </c>
      <c r="B630" s="30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43" t="s">
        <v>1534</v>
      </c>
      <c r="G630" t="s">
        <v>2828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Row],[VEHIDCODE]],roster!A:A,roster!C:C))</f>
        <v>1</v>
      </c>
      <c r="N630" t="b">
        <f>ISNUMBER(_xlfn.XMATCH(CONTROL[[#This Row],[VEHIDCODE]],GRAPHICS_PROPERTIES[VEHIDCODE],0))</f>
        <v>1</v>
      </c>
      <c r="O630" s="30" t="str">
        <f>"item_"&amp;CONTROL[[#This Row],[VEHIDCODE]]</f>
        <v>item_electric_Russia_RZD_VL11</v>
      </c>
      <c r="P630" s="30" t="str">
        <f>"str_"&amp;CONTROL[[#This Row],[VEHIDCODE]]</f>
        <v>str_electric_Russia_RZD_VL11</v>
      </c>
      <c r="Q630" s="10" t="b">
        <f>_xlfn.XLOOKUP(CONTROL[[#This Row],[VEHIDCODE]],PROPERTIES[VEHIDCODE],PROPERTIES[EXCLUDE])</f>
        <v>0</v>
      </c>
    </row>
    <row r="631" spans="1:17">
      <c r="A631" s="2" t="s">
        <v>646</v>
      </c>
      <c r="B631" s="30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43" t="s">
        <v>1535</v>
      </c>
      <c r="G631" t="s">
        <v>2829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Row],[VEHIDCODE]],roster!A:A,roster!C:C))</f>
        <v>1</v>
      </c>
      <c r="N631" t="b">
        <f>ISNUMBER(_xlfn.XMATCH(CONTROL[[#This Row],[VEHIDCODE]],GRAPHICS_PROPERTIES[VEHIDCODE],0))</f>
        <v>1</v>
      </c>
      <c r="O631" s="30" t="str">
        <f>"item_"&amp;CONTROL[[#This Row],[VEHIDCODE]]</f>
        <v>item_electric_Russia_RZD_VL22M</v>
      </c>
      <c r="P631" s="30" t="str">
        <f>"str_"&amp;CONTROL[[#This Row],[VEHIDCODE]]</f>
        <v>str_electric_Russia_RZD_VL22M</v>
      </c>
      <c r="Q631" s="10" t="b">
        <f>_xlfn.XLOOKUP(CONTROL[[#This Row],[VEHIDCODE]],PROPERTIES[VEHIDCODE],PROPERTIES[EXCLUDE])</f>
        <v>0</v>
      </c>
    </row>
    <row r="632" spans="1:17">
      <c r="A632" s="2" t="s">
        <v>647</v>
      </c>
      <c r="B632" s="30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43" t="s">
        <v>1536</v>
      </c>
      <c r="G632" t="s">
        <v>2830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Row],[VEHIDCODE]],roster!A:A,roster!C:C))</f>
        <v>1</v>
      </c>
      <c r="N632" t="b">
        <f>ISNUMBER(_xlfn.XMATCH(CONTROL[[#This Row],[VEHIDCODE]],GRAPHICS_PROPERTIES[VEHIDCODE],0))</f>
        <v>1</v>
      </c>
      <c r="O632" s="30" t="str">
        <f>"item_"&amp;CONTROL[[#This Row],[VEHIDCODE]]</f>
        <v>item_electric_Ukraine_UZ_DE1</v>
      </c>
      <c r="P632" s="30" t="str">
        <f>"str_"&amp;CONTROL[[#This Row],[VEHIDCODE]]</f>
        <v>str_electric_Ukraine_UZ_DE1</v>
      </c>
      <c r="Q632" s="10" t="b">
        <f>_xlfn.XLOOKUP(CONTROL[[#This Row],[VEHIDCODE]],PROPERTIES[VEHIDCODE],PROPERTIES[EXCLUDE])</f>
        <v>0</v>
      </c>
    </row>
    <row r="633" spans="1:17">
      <c r="A633" s="2" t="s">
        <v>648</v>
      </c>
      <c r="B633" s="30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43" t="s">
        <v>1537</v>
      </c>
      <c r="G633" t="s">
        <v>2831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Row],[VEHIDCODE]],roster!A:A,roster!C:C))</f>
        <v>1</v>
      </c>
      <c r="N633" t="b">
        <f>ISNUMBER(_xlfn.XMATCH(CONTROL[[#This Row],[VEHIDCODE]],GRAPHICS_PROPERTIES[VEHIDCODE],0))</f>
        <v>1</v>
      </c>
      <c r="O633" s="30" t="str">
        <f>"item_"&amp;CONTROL[[#This Row],[VEHIDCODE]]</f>
        <v>item_electric_Russia_RZD_ChS3</v>
      </c>
      <c r="P633" s="30" t="str">
        <f>"str_"&amp;CONTROL[[#This Row],[VEHIDCODE]]</f>
        <v>str_electric_Russia_RZD_ChS3</v>
      </c>
      <c r="Q633" s="10" t="b">
        <f>_xlfn.XLOOKUP(CONTROL[[#This Row],[VEHIDCODE]],PROPERTIES[VEHIDCODE],PROPERTIES[EXCLUDE])</f>
        <v>0</v>
      </c>
    </row>
    <row r="634" spans="1:17">
      <c r="A634" s="2" t="s">
        <v>649</v>
      </c>
      <c r="B634" s="30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43" t="s">
        <v>1538</v>
      </c>
      <c r="G634" t="s">
        <v>2832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Row],[VEHIDCODE]],roster!A:A,roster!C:C))</f>
        <v>1</v>
      </c>
      <c r="N634" t="b">
        <f>ISNUMBER(_xlfn.XMATCH(CONTROL[[#This Row],[VEHIDCODE]],GRAPHICS_PROPERTIES[VEHIDCODE],0))</f>
        <v>1</v>
      </c>
      <c r="O634" s="30" t="str">
        <f>"item_"&amp;CONTROL[[#This Row],[VEHIDCODE]]</f>
        <v>item_electric_Ukraine_UZ_ChS7</v>
      </c>
      <c r="P634" s="30" t="str">
        <f>"str_"&amp;CONTROL[[#This Row],[VEHIDCODE]]</f>
        <v>str_electric_Ukraine_UZ_ChS7</v>
      </c>
      <c r="Q634" s="10" t="b">
        <f>_xlfn.XLOOKUP(CONTROL[[#This Row],[VEHIDCODE]],PROPERTIES[VEHIDCODE],PROPERTIES[EXCLUDE])</f>
        <v>0</v>
      </c>
    </row>
    <row r="635" spans="1:17">
      <c r="A635" s="2" t="s">
        <v>650</v>
      </c>
      <c r="B635" s="30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43" t="s">
        <v>1539</v>
      </c>
      <c r="G635" t="s">
        <v>2833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Row],[VEHIDCODE]],roster!A:A,roster!C:C))</f>
        <v>1</v>
      </c>
      <c r="N635" t="b">
        <f>ISNUMBER(_xlfn.XMATCH(CONTROL[[#This Row],[VEHIDCODE]],GRAPHICS_PROPERTIES[VEHIDCODE],0))</f>
        <v>1</v>
      </c>
      <c r="O635" s="30" t="str">
        <f>"item_"&amp;CONTROL[[#This Row],[VEHIDCODE]]</f>
        <v>item_electric_Brasil_RFFSA_GE_C_C_4400</v>
      </c>
      <c r="P635" s="30" t="str">
        <f>"str_"&amp;CONTROL[[#This Row],[VEHIDCODE]]</f>
        <v>str_electric_Brasil_RFFSA_GE_C_C_4400</v>
      </c>
      <c r="Q635" s="10" t="b">
        <f>_xlfn.XLOOKUP(CONTROL[[#This Row],[VEHIDCODE]],PROPERTIES[VEHIDCODE],PROPERTIES[EXCLUDE])</f>
        <v>0</v>
      </c>
    </row>
    <row r="636" spans="1:17">
      <c r="A636" s="2" t="s">
        <v>651</v>
      </c>
      <c r="B636" s="30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43" t="s">
        <v>1540</v>
      </c>
      <c r="G636" t="s">
        <v>2834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Row],[VEHIDCODE]],roster!A:A,roster!C:C))</f>
        <v>1</v>
      </c>
      <c r="N636" t="b">
        <f>ISNUMBER(_xlfn.XMATCH(CONTROL[[#This Row],[VEHIDCODE]],GRAPHICS_PROPERTIES[VEHIDCODE],0))</f>
        <v>1</v>
      </c>
      <c r="O636" s="30" t="str">
        <f>"item_"&amp;CONTROL[[#This Row],[VEHIDCODE]]</f>
        <v>item_electric_Russia_RZD_VL85</v>
      </c>
      <c r="P636" s="30" t="str">
        <f>"str_"&amp;CONTROL[[#This Row],[VEHIDCODE]]</f>
        <v>str_electric_Russia_RZD_VL85</v>
      </c>
      <c r="Q636" s="10" t="b">
        <f>_xlfn.XLOOKUP(CONTROL[[#This Row],[VEHIDCODE]],PROPERTIES[VEHIDCODE],PROPERTIES[EXCLUDE])</f>
        <v>0</v>
      </c>
    </row>
    <row r="637" spans="1:17">
      <c r="A637" s="2" t="s">
        <v>652</v>
      </c>
      <c r="B637" s="30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43" t="s">
        <v>1541</v>
      </c>
      <c r="G637" t="s">
        <v>2835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Row],[VEHIDCODE]],roster!A:A,roster!C:C))</f>
        <v>1</v>
      </c>
      <c r="N637" t="b">
        <f>ISNUMBER(_xlfn.XMATCH(CONTROL[[#This Row],[VEHIDCODE]],GRAPHICS_PROPERTIES[VEHIDCODE],0))</f>
        <v>1</v>
      </c>
      <c r="O637" s="30" t="str">
        <f>"item_"&amp;CONTROL[[#This Row],[VEHIDCODE]]</f>
        <v>item_electric_Russia_RZD_VL41</v>
      </c>
      <c r="P637" s="30" t="str">
        <f>"str_"&amp;CONTROL[[#This Row],[VEHIDCODE]]</f>
        <v>str_electric_Russia_RZD_VL41</v>
      </c>
      <c r="Q637" s="10" t="b">
        <f>_xlfn.XLOOKUP(CONTROL[[#This Row],[VEHIDCODE]],PROPERTIES[VEHIDCODE],PROPERTIES[EXCLUDE])</f>
        <v>0</v>
      </c>
    </row>
    <row r="638" spans="1:17">
      <c r="A638" s="2" t="s">
        <v>653</v>
      </c>
      <c r="B638" s="30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43" t="s">
        <v>1542</v>
      </c>
      <c r="G638" t="s">
        <v>2836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Row],[VEHIDCODE]],roster!A:A,roster!C:C))</f>
        <v>1</v>
      </c>
      <c r="N638" t="b">
        <f>ISNUMBER(_xlfn.XMATCH(CONTROL[[#This Row],[VEHIDCODE]],GRAPHICS_PROPERTIES[VEHIDCODE],0))</f>
        <v>1</v>
      </c>
      <c r="O638" s="30" t="str">
        <f>"item_"&amp;CONTROL[[#This Row],[VEHIDCODE]]</f>
        <v>item_electric_India_Indian_Railways_WAP_4</v>
      </c>
      <c r="P638" s="30" t="str">
        <f>"str_"&amp;CONTROL[[#This Row],[VEHIDCODE]]</f>
        <v>str_electric_India_Indian_Railways_WAP_4</v>
      </c>
      <c r="Q638" s="10" t="b">
        <f>_xlfn.XLOOKUP(CONTROL[[#This Row],[VEHIDCODE]],PROPERTIES[VEHIDCODE],PROPERTIES[EXCLUDE])</f>
        <v>0</v>
      </c>
    </row>
    <row r="639" spans="1:17">
      <c r="A639" s="2" t="s">
        <v>654</v>
      </c>
      <c r="B639" s="30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43" t="s">
        <v>1543</v>
      </c>
      <c r="G639" t="s">
        <v>2837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Row],[VEHIDCODE]],roster!A:A,roster!C:C))</f>
        <v>1</v>
      </c>
      <c r="N639" t="b">
        <f>ISNUMBER(_xlfn.XMATCH(CONTROL[[#This Row],[VEHIDCODE]],GRAPHICS_PROPERTIES[VEHIDCODE],0))</f>
        <v>1</v>
      </c>
      <c r="O639" s="30" t="str">
        <f>"item_"&amp;CONTROL[[#This Row],[VEHIDCODE]]</f>
        <v>item_electric_Finland_VR_Sr1</v>
      </c>
      <c r="P639" s="30" t="str">
        <f>"str_"&amp;CONTROL[[#This Row],[VEHIDCODE]]</f>
        <v>str_electric_Finland_VR_Sr1</v>
      </c>
      <c r="Q639" s="10" t="b">
        <f>_xlfn.XLOOKUP(CONTROL[[#This Row],[VEHIDCODE]],PROPERTIES[VEHIDCODE],PROPERTIES[EXCLUDE])</f>
        <v>0</v>
      </c>
    </row>
    <row r="640" spans="1:17">
      <c r="A640" s="2" t="s">
        <v>655</v>
      </c>
      <c r="B640" s="30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43" t="s">
        <v>1544</v>
      </c>
      <c r="G640" t="s">
        <v>2838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Row],[VEHIDCODE]],roster!A:A,roster!C:C))</f>
        <v>1</v>
      </c>
      <c r="N640" t="b">
        <f>ISNUMBER(_xlfn.XMATCH(CONTROL[[#This Row],[VEHIDCODE]],GRAPHICS_PROPERTIES[VEHIDCODE],0))</f>
        <v>1</v>
      </c>
      <c r="O640" s="30" t="str">
        <f>"item_"&amp;CONTROL[[#This Row],[VEHIDCODE]]</f>
        <v>item_electric_Kazakhstan_KTZ_KZ4A</v>
      </c>
      <c r="P640" s="30" t="str">
        <f>"str_"&amp;CONTROL[[#This Row],[VEHIDCODE]]</f>
        <v>str_electric_Kazakhstan_KTZ_KZ4A</v>
      </c>
      <c r="Q640" s="10" t="b">
        <f>_xlfn.XLOOKUP(CONTROL[[#This Row],[VEHIDCODE]],PROPERTIES[VEHIDCODE],PROPERTIES[EXCLUDE])</f>
        <v>0</v>
      </c>
    </row>
    <row r="641" spans="1:17">
      <c r="A641" s="2" t="s">
        <v>656</v>
      </c>
      <c r="B641" s="30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43" t="s">
        <v>1545</v>
      </c>
      <c r="G641" t="s">
        <v>2839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Row],[VEHIDCODE]],roster!A:A,roster!C:C))</f>
        <v>1</v>
      </c>
      <c r="N641" t="b">
        <f>ISNUMBER(_xlfn.XMATCH(CONTROL[[#This Row],[VEHIDCODE]],GRAPHICS_PROPERTIES[VEHIDCODE],0))</f>
        <v>1</v>
      </c>
      <c r="O641" s="30" t="str">
        <f>"item_"&amp;CONTROL[[#This Row],[VEHIDCODE]]</f>
        <v>item_electric_Kazakhstan_KTZ_KZ8A</v>
      </c>
      <c r="P641" s="30" t="str">
        <f>"str_"&amp;CONTROL[[#This Row],[VEHIDCODE]]</f>
        <v>str_electric_Kazakhstan_KTZ_KZ8A</v>
      </c>
      <c r="Q641" s="10" t="b">
        <f>_xlfn.XLOOKUP(CONTROL[[#This Row],[VEHIDCODE]],PROPERTIES[VEHIDCODE],PROPERTIES[EXCLUDE])</f>
        <v>0</v>
      </c>
    </row>
    <row r="642" spans="1:17">
      <c r="A642" s="2" t="s">
        <v>657</v>
      </c>
      <c r="B642" s="30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43" t="s">
        <v>1546</v>
      </c>
      <c r="G642" t="s">
        <v>2840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Row],[VEHIDCODE]],roster!A:A,roster!C:C))</f>
        <v>1</v>
      </c>
      <c r="N642" t="b">
        <f>ISNUMBER(_xlfn.XMATCH(CONTROL[[#This Row],[VEHIDCODE]],GRAPHICS_PROPERTIES[VEHIDCODE],0))</f>
        <v>1</v>
      </c>
      <c r="O642" s="30" t="str">
        <f>"item_"&amp;CONTROL[[#This Row],[VEHIDCODE]]</f>
        <v>item_electric_Russia_RZD_EP20</v>
      </c>
      <c r="P642" s="30" t="str">
        <f>"str_"&amp;CONTROL[[#This Row],[VEHIDCODE]]</f>
        <v>str_electric_Russia_RZD_EP20</v>
      </c>
      <c r="Q642" s="10" t="b">
        <f>_xlfn.XLOOKUP(CONTROL[[#This Row],[VEHIDCODE]],PROPERTIES[VEHIDCODE],PROPERTIES[EXCLUDE])</f>
        <v>0</v>
      </c>
    </row>
    <row r="643" spans="1:17">
      <c r="A643" s="2" t="s">
        <v>658</v>
      </c>
      <c r="B643" s="30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43" t="s">
        <v>1547</v>
      </c>
      <c r="G643" t="s">
        <v>2841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Row],[VEHIDCODE]],roster!A:A,roster!C:C))</f>
        <v>1</v>
      </c>
      <c r="N643" t="b">
        <f>ISNUMBER(_xlfn.XMATCH(CONTROL[[#This Row],[VEHIDCODE]],GRAPHICS_PROPERTIES[VEHIDCODE],0))</f>
        <v>1</v>
      </c>
      <c r="O643" s="30" t="str">
        <f>"item_"&amp;CONTROL[[#This Row],[VEHIDCODE]]</f>
        <v>item_rbd_Finland_VR_Dm7</v>
      </c>
      <c r="P643" s="30" t="str">
        <f>"str_"&amp;CONTROL[[#This Row],[VEHIDCODE]]</f>
        <v>str_rbd_Finland_VR_Dm7</v>
      </c>
      <c r="Q643" s="10" t="b">
        <f>_xlfn.XLOOKUP(CONTROL[[#This Row],[VEHIDCODE]],PROPERTIES[VEHIDCODE],PROPERTIES[EXCLUDE])</f>
        <v>0</v>
      </c>
    </row>
    <row r="644" spans="1:17">
      <c r="A644" s="2" t="s">
        <v>659</v>
      </c>
      <c r="B644" s="30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43" t="s">
        <v>1548</v>
      </c>
      <c r="G644" t="s">
        <v>2842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Row],[VEHIDCODE]],roster!A:A,roster!C:C))</f>
        <v>1</v>
      </c>
      <c r="N644" t="b">
        <f>ISNUMBER(_xlfn.XMATCH(CONTROL[[#This Row],[VEHIDCODE]],GRAPHICS_PROPERTIES[VEHIDCODE],0))</f>
        <v>1</v>
      </c>
      <c r="O644" s="30" t="str">
        <f>"item_"&amp;CONTROL[[#This Row],[VEHIDCODE]]</f>
        <v>item_rbd_Russia_RZD_ACh2</v>
      </c>
      <c r="P644" s="30" t="str">
        <f>"str_"&amp;CONTROL[[#This Row],[VEHIDCODE]]</f>
        <v>str_rbd_Russia_RZD_ACh2</v>
      </c>
      <c r="Q644" s="10" t="b">
        <f>_xlfn.XLOOKUP(CONTROL[[#This Row],[VEHIDCODE]],PROPERTIES[VEHIDCODE],PROPERTIES[EXCLUDE])</f>
        <v>0</v>
      </c>
    </row>
    <row r="645" spans="1:17">
      <c r="A645" s="2" t="s">
        <v>660</v>
      </c>
      <c r="B645" s="30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43" t="s">
        <v>1549</v>
      </c>
      <c r="G645" t="s">
        <v>2822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Row],[VEHIDCODE]],roster!A:A,roster!C:C))</f>
        <v>1</v>
      </c>
      <c r="N645" t="b">
        <f>ISNUMBER(_xlfn.XMATCH(CONTROL[[#This Row],[VEHIDCODE]],GRAPHICS_PROPERTIES[VEHIDCODE],0))</f>
        <v>1</v>
      </c>
      <c r="O645" s="30" t="str">
        <f>"item_"&amp;CONTROL[[#This Row],[VEHIDCODE]]</f>
        <v>item_emu_Russia_RZD_ER200</v>
      </c>
      <c r="P645" s="30" t="str">
        <f>"str_"&amp;CONTROL[[#This Row],[VEHIDCODE]]</f>
        <v>str_emu_Russia_RZD_ER200</v>
      </c>
      <c r="Q645" s="10" t="b">
        <f>_xlfn.XLOOKUP(CONTROL[[#This Row],[VEHIDCODE]],PROPERTIES[VEHIDCODE],PROPERTIES[EXCLUDE])</f>
        <v>0</v>
      </c>
    </row>
    <row r="646" spans="1:17">
      <c r="A646" s="2" t="s">
        <v>661</v>
      </c>
      <c r="B646" s="30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43" t="s">
        <v>1550</v>
      </c>
      <c r="G646" t="s">
        <v>2823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Row],[VEHIDCODE]],roster!A:A,roster!C:C))</f>
        <v>1</v>
      </c>
      <c r="N646" t="b">
        <f>ISNUMBER(_xlfn.XMATCH(CONTROL[[#This Row],[VEHIDCODE]],GRAPHICS_PROPERTIES[VEHIDCODE],0))</f>
        <v>1</v>
      </c>
      <c r="O646" s="30" t="str">
        <f>"item_"&amp;CONTROL[[#This Row],[VEHIDCODE]]</f>
        <v>item_emu_Russia_RZD_S</v>
      </c>
      <c r="P646" s="30" t="str">
        <f>"str_"&amp;CONTROL[[#This Row],[VEHIDCODE]]</f>
        <v>str_emu_Russia_RZD_S</v>
      </c>
      <c r="Q646" s="10" t="b">
        <f>_xlfn.XLOOKUP(CONTROL[[#This Row],[VEHIDCODE]],PROPERTIES[VEHIDCODE],PROPERTIES[EXCLUDE])</f>
        <v>0</v>
      </c>
    </row>
    <row r="647" spans="1:17">
      <c r="A647" s="2" t="s">
        <v>662</v>
      </c>
      <c r="B647" s="30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43" t="s">
        <v>1551</v>
      </c>
      <c r="G647" t="s">
        <v>2824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Row],[VEHIDCODE]],roster!A:A,roster!C:C))</f>
        <v>1</v>
      </c>
      <c r="N647" t="b">
        <f>ISNUMBER(_xlfn.XMATCH(CONTROL[[#This Row],[VEHIDCODE]],GRAPHICS_PROPERTIES[VEHIDCODE],0))</f>
        <v>1</v>
      </c>
      <c r="O647" s="30" t="str">
        <f>"item_"&amp;CONTROL[[#This Row],[VEHIDCODE]]</f>
        <v>item_emu_Croatia_HZ_6112</v>
      </c>
      <c r="P647" s="30" t="str">
        <f>"str_"&amp;CONTROL[[#This Row],[VEHIDCODE]]</f>
        <v>str_emu_Croatia_HZ_6112</v>
      </c>
      <c r="Q647" s="10" t="b">
        <f>_xlfn.XLOOKUP(CONTROL[[#This Row],[VEHIDCODE]],PROPERTIES[VEHIDCODE],PROPERTIES[EXCLUDE])</f>
        <v>0</v>
      </c>
    </row>
    <row r="648" spans="1:17">
      <c r="A648" s="2" t="s">
        <v>663</v>
      </c>
      <c r="B648" s="30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43" t="s">
        <v>1552</v>
      </c>
      <c r="G648" t="s">
        <v>2825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Row],[VEHIDCODE]],roster!A:A,roster!C:C))</f>
        <v>1</v>
      </c>
      <c r="N648" t="b">
        <f>ISNUMBER(_xlfn.XMATCH(CONTROL[[#This Row],[VEHIDCODE]],GRAPHICS_PROPERTIES[VEHIDCODE],0))</f>
        <v>1</v>
      </c>
      <c r="O648" s="30" t="str">
        <f>"item_"&amp;CONTROL[[#This Row],[VEHIDCODE]]</f>
        <v>item_emu_Russia_RZD_ES1_Lastochka</v>
      </c>
      <c r="P648" s="30" t="str">
        <f>"str_"&amp;CONTROL[[#This Row],[VEHIDCODE]]</f>
        <v>str_emu_Russia_RZD_ES1_Lastochka</v>
      </c>
      <c r="Q648" s="10" t="b">
        <f>_xlfn.XLOOKUP(CONTROL[[#This Row],[VEHIDCODE]],PROPERTIES[VEHIDCODE],PROPERTIES[EXCLUDE])</f>
        <v>0</v>
      </c>
    </row>
    <row r="649" spans="1:17">
      <c r="A649" s="2" t="s">
        <v>712</v>
      </c>
      <c r="B649" s="30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43" t="s">
        <v>1553</v>
      </c>
      <c r="G649" t="s">
        <v>1696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Row],[VEHIDCODE]],roster!A:A,roster!C:C))</f>
        <v>1</v>
      </c>
      <c r="N649" t="b">
        <f>ISNUMBER(_xlfn.XMATCH(CONTROL[[#This Row],[VEHIDCODE]],GRAPHICS_PROPERTIES[VEHIDCODE],0))</f>
        <v>1</v>
      </c>
      <c r="O649" s="30" t="str">
        <f>"item_"&amp;CONTROL[[#This Row],[VEHIDCODE]]</f>
        <v>item_mtro_Metro_Wagon_Powered</v>
      </c>
      <c r="P649" s="30" t="str">
        <f>"str_"&amp;CONTROL[[#This Row],[VEHIDCODE]]</f>
        <v>str_mtro_Metro_Wagon_Powered</v>
      </c>
      <c r="Q649" s="10" t="b">
        <f>_xlfn.XLOOKUP(CONTROL[[#This Row],[VEHIDCODE]],PROPERTIES[VEHIDCODE],PROPERTIES[EXCLUDE])</f>
        <v>0</v>
      </c>
    </row>
    <row r="650" spans="1:17">
      <c r="A650" s="2" t="s">
        <v>711</v>
      </c>
      <c r="B650" s="30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43" t="s">
        <v>1553</v>
      </c>
      <c r="G650" t="s">
        <v>1696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Row],[VEHIDCODE]],roster!A:A,roster!C:C))</f>
        <v>1</v>
      </c>
      <c r="N650" t="b">
        <f>ISNUMBER(_xlfn.XMATCH(CONTROL[[#This Row],[VEHIDCODE]],GRAPHICS_PROPERTIES[VEHIDCODE],0))</f>
        <v>1</v>
      </c>
      <c r="O650" s="30" t="str">
        <f>"item_"&amp;CONTROL[[#This Row],[VEHIDCODE]]</f>
        <v>item_mtro_Metro_Wagon_Unpowered</v>
      </c>
      <c r="P650" s="30" t="str">
        <f>"str_"&amp;CONTROL[[#This Row],[VEHIDCODE]]</f>
        <v>str_mtro_Metro_Wagon_Unpowered</v>
      </c>
      <c r="Q650" s="10" t="b">
        <f>_xlfn.XLOOKUP(CONTROL[[#This Row],[VEHIDCODE]],PROPERTIES[VEHIDCODE],PROPERTIES[EXCLUDE])</f>
        <v>0</v>
      </c>
    </row>
    <row r="651" spans="1:17">
      <c r="A651" s="2" t="s">
        <v>713</v>
      </c>
      <c r="B651" s="30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43" t="s">
        <v>1554</v>
      </c>
      <c r="G651" t="s">
        <v>1696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Row],[VEHIDCODE]],roster!A:A,roster!C:C))</f>
        <v>1</v>
      </c>
      <c r="N651" t="b">
        <f>ISNUMBER(_xlfn.XMATCH(CONTROL[[#This Row],[VEHIDCODE]],GRAPHICS_PROPERTIES[VEHIDCODE],0))</f>
        <v>1</v>
      </c>
      <c r="O651" s="30" t="str">
        <f>"item_"&amp;CONTROL[[#This Row],[VEHIDCODE]]</f>
        <v>item_mu_MU_Cargo_Wagon_Powered</v>
      </c>
      <c r="P651" s="30" t="str">
        <f>"str_"&amp;CONTROL[[#This Row],[VEHIDCODE]]</f>
        <v>str_mu_MU_Cargo_Wagon_Powered</v>
      </c>
      <c r="Q651" s="10" t="b">
        <f>_xlfn.XLOOKUP(CONTROL[[#This Row],[VEHIDCODE]],PROPERTIES[VEHIDCODE],PROPERTIES[EXCLUDE])</f>
        <v>0</v>
      </c>
    </row>
    <row r="652" spans="1:17">
      <c r="A652" s="2" t="s">
        <v>714</v>
      </c>
      <c r="B652" s="30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43" t="s">
        <v>1554</v>
      </c>
      <c r="G652" t="s">
        <v>1696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Row],[VEHIDCODE]],roster!A:A,roster!C:C))</f>
        <v>1</v>
      </c>
      <c r="N652" t="b">
        <f>ISNUMBER(_xlfn.XMATCH(CONTROL[[#This Row],[VEHIDCODE]],GRAPHICS_PROPERTIES[VEHIDCODE],0))</f>
        <v>1</v>
      </c>
      <c r="O652" s="30" t="str">
        <f>"item_"&amp;CONTROL[[#This Row],[VEHIDCODE]]</f>
        <v>item_mu_MU_Cargo_Wagon_Unpowered</v>
      </c>
      <c r="P652" s="30" t="str">
        <f>"str_"&amp;CONTROL[[#This Row],[VEHIDCODE]]</f>
        <v>str_mu_MU_Cargo_Wagon_Unpowered</v>
      </c>
      <c r="Q652" s="10" t="b">
        <f>_xlfn.XLOOKUP(CONTROL[[#This Row],[VEHIDCODE]],PROPERTIES[VEHIDCODE],PROPERTIES[EXCLUDE])</f>
        <v>0</v>
      </c>
    </row>
    <row r="653" spans="1:17">
      <c r="A653" s="2" t="s">
        <v>715</v>
      </c>
      <c r="B653" s="30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43" t="s">
        <v>1555</v>
      </c>
      <c r="G653" t="s">
        <v>1696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Row],[VEHIDCODE]],roster!A:A,roster!C:C))</f>
        <v>1</v>
      </c>
      <c r="N653" t="b">
        <f>ISNUMBER(_xlfn.XMATCH(CONTROL[[#This Row],[VEHIDCODE]],GRAPHICS_PROPERTIES[VEHIDCODE],0))</f>
        <v>1</v>
      </c>
      <c r="O653" s="30" t="str">
        <f>"item_"&amp;CONTROL[[#This Row],[VEHIDCODE]]</f>
        <v>item_mu_MU_Wagon_Powered</v>
      </c>
      <c r="P653" s="30" t="str">
        <f>"str_"&amp;CONTROL[[#This Row],[VEHIDCODE]]</f>
        <v>str_mu_MU_Wagon_Powered</v>
      </c>
      <c r="Q653" s="10" t="b">
        <f>_xlfn.XLOOKUP(CONTROL[[#This Row],[VEHIDCODE]],PROPERTIES[VEHIDCODE],PROPERTIES[EXCLUDE])</f>
        <v>0</v>
      </c>
    </row>
    <row r="654" spans="1:17">
      <c r="A654" s="2" t="s">
        <v>716</v>
      </c>
      <c r="B654" s="30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43" t="s">
        <v>1555</v>
      </c>
      <c r="G654" t="s">
        <v>1696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Row],[VEHIDCODE]],roster!A:A,roster!C:C))</f>
        <v>1</v>
      </c>
      <c r="N654" t="b">
        <f>ISNUMBER(_xlfn.XMATCH(CONTROL[[#This Row],[VEHIDCODE]],GRAPHICS_PROPERTIES[VEHIDCODE],0))</f>
        <v>1</v>
      </c>
      <c r="O654" s="30" t="str">
        <f>"item_"&amp;CONTROL[[#This Row],[VEHIDCODE]]</f>
        <v>item_mu_MU_Wagon_Unpowered</v>
      </c>
      <c r="P654" s="30" t="str">
        <f>"str_"&amp;CONTROL[[#This Row],[VEHIDCODE]]</f>
        <v>str_mu_MU_Wagon_Unpowered</v>
      </c>
      <c r="Q654" s="10" t="b">
        <f>_xlfn.XLOOKUP(CONTROL[[#This Row],[VEHIDCODE]],PROPERTIES[VEHIDCODE],PROPERTIES[EXCLUDE])</f>
        <v>0</v>
      </c>
    </row>
    <row r="655" spans="1:17">
      <c r="A655" s="2" t="s">
        <v>717</v>
      </c>
      <c r="B655" s="30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43" t="s">
        <v>1556</v>
      </c>
      <c r="G655" t="s">
        <v>1696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Row],[VEHIDCODE]],roster!A:A,roster!C:C))</f>
        <v>1</v>
      </c>
      <c r="N655" t="b">
        <f>ISNUMBER(_xlfn.XMATCH(CONTROL[[#This Row],[VEHIDCODE]],GRAPHICS_PROPERTIES[VEHIDCODE],0))</f>
        <v>1</v>
      </c>
      <c r="O655" s="30" t="str">
        <f>"item_"&amp;CONTROL[[#This Row],[VEHIDCODE]]</f>
        <v>item_mu_Wagon_Gen1_Flat_Wagon</v>
      </c>
      <c r="P655" s="30" t="str">
        <f>"str_"&amp;CONTROL[[#This Row],[VEHIDCODE]]</f>
        <v>str_mu_Wagon_Gen1_Flat_Wagon</v>
      </c>
      <c r="Q655" s="10" t="b">
        <f>_xlfn.XLOOKUP(CONTROL[[#This Row],[VEHIDCODE]],PROPERTIES[VEHIDCODE],PROPERTIES[EXCLUDE])</f>
        <v>0</v>
      </c>
    </row>
    <row r="656" spans="1:17">
      <c r="A656" s="2" t="s">
        <v>718</v>
      </c>
      <c r="B656" s="30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43" t="s">
        <v>1557</v>
      </c>
      <c r="G656" t="s">
        <v>1696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Row],[VEHIDCODE]],roster!A:A,roster!C:C))</f>
        <v>1</v>
      </c>
      <c r="N656" t="b">
        <f>ISNUMBER(_xlfn.XMATCH(CONTROL[[#This Row],[VEHIDCODE]],GRAPHICS_PROPERTIES[VEHIDCODE],0))</f>
        <v>1</v>
      </c>
      <c r="O656" s="30" t="str">
        <f>"item_"&amp;CONTROL[[#This Row],[VEHIDCODE]]</f>
        <v>item_mu_Wagon_Gen1_Boxcar</v>
      </c>
      <c r="P656" s="30" t="str">
        <f>"str_"&amp;CONTROL[[#This Row],[VEHIDCODE]]</f>
        <v>str_mu_Wagon_Gen1_Boxcar</v>
      </c>
      <c r="Q656" s="10" t="b">
        <f>_xlfn.XLOOKUP(CONTROL[[#This Row],[VEHIDCODE]],PROPERTIES[VEHIDCODE],PROPERTIES[EXCLUDE])</f>
        <v>0</v>
      </c>
    </row>
    <row r="657" spans="1:17">
      <c r="A657" s="2" t="s">
        <v>719</v>
      </c>
      <c r="B657" s="30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43" t="s">
        <v>1558</v>
      </c>
      <c r="G657" t="s">
        <v>1696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Row],[VEHIDCODE]],roster!A:A,roster!C:C))</f>
        <v>1</v>
      </c>
      <c r="N657" t="b">
        <f>ISNUMBER(_xlfn.XMATCH(CONTROL[[#This Row],[VEHIDCODE]],GRAPHICS_PROPERTIES[VEHIDCODE],0))</f>
        <v>1</v>
      </c>
      <c r="O657" s="30" t="str">
        <f>"item_"&amp;CONTROL[[#This Row],[VEHIDCODE]]</f>
        <v>item_mu_Wagon_Gen1_Tanker</v>
      </c>
      <c r="P657" s="30" t="str">
        <f>"str_"&amp;CONTROL[[#This Row],[VEHIDCODE]]</f>
        <v>str_mu_Wagon_Gen1_Tanker</v>
      </c>
      <c r="Q657" s="10" t="b">
        <f>_xlfn.XLOOKUP(CONTROL[[#This Row],[VEHIDCODE]],PROPERTIES[VEHIDCODE],PROPERTIES[EXCLUDE])</f>
        <v>0</v>
      </c>
    </row>
    <row r="658" spans="1:17">
      <c r="A658" s="2" t="s">
        <v>720</v>
      </c>
      <c r="B658" s="30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43" t="s">
        <v>1559</v>
      </c>
      <c r="G658" t="s">
        <v>1696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Row],[VEHIDCODE]],roster!A:A,roster!C:C))</f>
        <v>1</v>
      </c>
      <c r="N658" t="b">
        <f>ISNUMBER(_xlfn.XMATCH(CONTROL[[#This Row],[VEHIDCODE]],GRAPHICS_PROPERTIES[VEHIDCODE],0))</f>
        <v>1</v>
      </c>
      <c r="O658" s="30" t="str">
        <f>"item_"&amp;CONTROL[[#This Row],[VEHIDCODE]]</f>
        <v>item_mu_Wagon_Gen1_Open_Wagon</v>
      </c>
      <c r="P658" s="30" t="str">
        <f>"str_"&amp;CONTROL[[#This Row],[VEHIDCODE]]</f>
        <v>str_mu_Wagon_Gen1_Open_Wagon</v>
      </c>
      <c r="Q658" s="10" t="b">
        <f>_xlfn.XLOOKUP(CONTROL[[#This Row],[VEHIDCODE]],PROPERTIES[VEHIDCODE],PROPERTIES[EXCLUDE])</f>
        <v>0</v>
      </c>
    </row>
    <row r="659" spans="1:17">
      <c r="A659" s="2" t="s">
        <v>792</v>
      </c>
      <c r="B659" s="30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43" t="s">
        <v>1560</v>
      </c>
      <c r="G659" t="s">
        <v>1696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Row],[VEHIDCODE]],roster!A:A,roster!C:C))</f>
        <v>1</v>
      </c>
      <c r="N659" t="b">
        <f>ISNUMBER(_xlfn.XMATCH(CONTROL[[#This Row],[VEHIDCODE]],GRAPHICS_PROPERTIES[VEHIDCODE],0))</f>
        <v>1</v>
      </c>
      <c r="O659" s="30" t="str">
        <f>"item_"&amp;CONTROL[[#This Row],[VEHIDCODE]]</f>
        <v>item_mu_Wagon_Gen2_Flat_Wagon</v>
      </c>
      <c r="P659" s="30" t="str">
        <f>"str_"&amp;CONTROL[[#This Row],[VEHIDCODE]]</f>
        <v>str_mu_Wagon_Gen2_Flat_Wagon</v>
      </c>
      <c r="Q659" s="10" t="b">
        <f>_xlfn.XLOOKUP(CONTROL[[#This Row],[VEHIDCODE]],PROPERTIES[VEHIDCODE],PROPERTIES[EXCLUDE])</f>
        <v>0</v>
      </c>
    </row>
    <row r="660" spans="1:17">
      <c r="A660" s="2" t="s">
        <v>793</v>
      </c>
      <c r="B660" s="30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43" t="s">
        <v>2934</v>
      </c>
      <c r="G660" t="s">
        <v>1696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Row],[VEHIDCODE]],roster!A:A,roster!C:C))</f>
        <v>1</v>
      </c>
      <c r="N660" t="b">
        <f>ISNUMBER(_xlfn.XMATCH(CONTROL[[#This Row],[VEHIDCODE]],GRAPHICS_PROPERTIES[VEHIDCODE],0))</f>
        <v>1</v>
      </c>
      <c r="O660" s="30" t="str">
        <f>"item_"&amp;CONTROL[[#This Row],[VEHIDCODE]]</f>
        <v>item_mu_Wagon_Gen2_Boxcar_Type1</v>
      </c>
      <c r="P660" s="30" t="str">
        <f>"str_"&amp;CONTROL[[#This Row],[VEHIDCODE]]</f>
        <v>str_mu_Wagon_Gen2_Boxcar_Type1</v>
      </c>
      <c r="Q660" s="10" t="b">
        <f>_xlfn.XLOOKUP(CONTROL[[#This Row],[VEHIDCODE]],PROPERTIES[VEHIDCODE],PROPERTIES[EXCLUDE])</f>
        <v>0</v>
      </c>
    </row>
    <row r="661" spans="1:17">
      <c r="A661" s="2" t="s">
        <v>794</v>
      </c>
      <c r="B661" s="30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43" t="s">
        <v>2949</v>
      </c>
      <c r="G661" t="s">
        <v>1696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Row],[VEHIDCODE]],roster!A:A,roster!C:C))</f>
        <v>1</v>
      </c>
      <c r="N661" t="b">
        <f>ISNUMBER(_xlfn.XMATCH(CONTROL[[#This Row],[VEHIDCODE]],GRAPHICS_PROPERTIES[VEHIDCODE],0))</f>
        <v>1</v>
      </c>
      <c r="O661" s="30" t="str">
        <f>"item_"&amp;CONTROL[[#This Row],[VEHIDCODE]]</f>
        <v>item_mu_Wagon_Gen2_Boxcar_Type2</v>
      </c>
      <c r="P661" s="30" t="str">
        <f>"str_"&amp;CONTROL[[#This Row],[VEHIDCODE]]</f>
        <v>str_mu_Wagon_Gen2_Boxcar_Type2</v>
      </c>
      <c r="Q661" s="10" t="b">
        <f>_xlfn.XLOOKUP(CONTROL[[#This Row],[VEHIDCODE]],PROPERTIES[VEHIDCODE],PROPERTIES[EXCLUDE])</f>
        <v>0</v>
      </c>
    </row>
    <row r="662" spans="1:17">
      <c r="A662" s="2" t="s">
        <v>795</v>
      </c>
      <c r="B662" s="30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43" t="s">
        <v>1561</v>
      </c>
      <c r="G662" t="s">
        <v>1696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Row],[VEHIDCODE]],roster!A:A,roster!C:C))</f>
        <v>1</v>
      </c>
      <c r="N662" t="b">
        <f>ISNUMBER(_xlfn.XMATCH(CONTROL[[#This Row],[VEHIDCODE]],GRAPHICS_PROPERTIES[VEHIDCODE],0))</f>
        <v>1</v>
      </c>
      <c r="O662" s="30" t="str">
        <f>"item_"&amp;CONTROL[[#This Row],[VEHIDCODE]]</f>
        <v>item_mu_Wagon_Gen2_Tanker</v>
      </c>
      <c r="P662" s="30" t="str">
        <f>"str_"&amp;CONTROL[[#This Row],[VEHIDCODE]]</f>
        <v>str_mu_Wagon_Gen2_Tanker</v>
      </c>
      <c r="Q662" s="10" t="b">
        <f>_xlfn.XLOOKUP(CONTROL[[#This Row],[VEHIDCODE]],PROPERTIES[VEHIDCODE],PROPERTIES[EXCLUDE])</f>
        <v>0</v>
      </c>
    </row>
    <row r="663" spans="1:17">
      <c r="A663" s="2" t="s">
        <v>796</v>
      </c>
      <c r="B663" s="30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43" t="s">
        <v>1562</v>
      </c>
      <c r="G663" t="s">
        <v>1696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Row],[VEHIDCODE]],roster!A:A,roster!C:C))</f>
        <v>1</v>
      </c>
      <c r="N663" t="b">
        <f>ISNUMBER(_xlfn.XMATCH(CONTROL[[#This Row],[VEHIDCODE]],GRAPHICS_PROPERTIES[VEHIDCODE],0))</f>
        <v>1</v>
      </c>
      <c r="O663" s="30" t="str">
        <f>"item_"&amp;CONTROL[[#This Row],[VEHIDCODE]]</f>
        <v>item_mu_Wagon_Gen2_Open_Wagon</v>
      </c>
      <c r="P663" s="30" t="str">
        <f>"str_"&amp;CONTROL[[#This Row],[VEHIDCODE]]</f>
        <v>str_mu_Wagon_Gen2_Open_Wagon</v>
      </c>
      <c r="Q663" s="10" t="b">
        <f>_xlfn.XLOOKUP(CONTROL[[#This Row],[VEHIDCODE]],PROPERTIES[VEHIDCODE],PROPERTIES[EXCLUDE])</f>
        <v>0</v>
      </c>
    </row>
    <row r="664" spans="1:17">
      <c r="A664" s="2" t="s">
        <v>797</v>
      </c>
      <c r="B664" s="30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43" t="s">
        <v>1563</v>
      </c>
      <c r="G664" t="s">
        <v>1696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Row],[VEHIDCODE]],roster!A:A,roster!C:C))</f>
        <v>1</v>
      </c>
      <c r="N664" t="b">
        <f>ISNUMBER(_xlfn.XMATCH(CONTROL[[#This Row],[VEHIDCODE]],GRAPHICS_PROPERTIES[VEHIDCODE],0))</f>
        <v>1</v>
      </c>
      <c r="O664" s="30" t="str">
        <f>"item_"&amp;CONTROL[[#This Row],[VEHIDCODE]]</f>
        <v>item_mu_Wagon_Gen2_Silo</v>
      </c>
      <c r="P664" s="30" t="str">
        <f>"str_"&amp;CONTROL[[#This Row],[VEHIDCODE]]</f>
        <v>str_mu_Wagon_Gen2_Silo</v>
      </c>
      <c r="Q664" s="10" t="b">
        <f>_xlfn.XLOOKUP(CONTROL[[#This Row],[VEHIDCODE]],PROPERTIES[VEHIDCODE],PROPERTIES[EXCLUDE])</f>
        <v>0</v>
      </c>
    </row>
    <row r="665" spans="1:17">
      <c r="A665" s="2" t="s">
        <v>798</v>
      </c>
      <c r="B665" s="30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43" t="s">
        <v>1564</v>
      </c>
      <c r="G665" t="s">
        <v>1696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Row],[VEHIDCODE]],roster!A:A,roster!C:C))</f>
        <v>1</v>
      </c>
      <c r="N665" t="b">
        <f>ISNUMBER(_xlfn.XMATCH(CONTROL[[#This Row],[VEHIDCODE]],GRAPHICS_PROPERTIES[VEHIDCODE],0))</f>
        <v>1</v>
      </c>
      <c r="O665" s="30" t="str">
        <f>"item_"&amp;CONTROL[[#This Row],[VEHIDCODE]]</f>
        <v>item_mu_Wagon_Gen2_Hopper</v>
      </c>
      <c r="P665" s="30" t="str">
        <f>"str_"&amp;CONTROL[[#This Row],[VEHIDCODE]]</f>
        <v>str_mu_Wagon_Gen2_Hopper</v>
      </c>
      <c r="Q665" s="10" t="b">
        <f>_xlfn.XLOOKUP(CONTROL[[#This Row],[VEHIDCODE]],PROPERTIES[VEHIDCODE],PROPERTIES[EXCLUDE])</f>
        <v>0</v>
      </c>
    </row>
    <row r="666" spans="1:17">
      <c r="A666" s="2" t="s">
        <v>799</v>
      </c>
      <c r="B666" s="30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43" t="s">
        <v>1565</v>
      </c>
      <c r="G666" t="s">
        <v>1696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Row],[VEHIDCODE]],roster!A:A,roster!C:C))</f>
        <v>1</v>
      </c>
      <c r="N666" t="b">
        <f>ISNUMBER(_xlfn.XMATCH(CONTROL[[#This Row],[VEHIDCODE]],GRAPHICS_PROPERTIES[VEHIDCODE],0))</f>
        <v>1</v>
      </c>
      <c r="O666" s="30" t="str">
        <f>"item_"&amp;CONTROL[[#This Row],[VEHIDCODE]]</f>
        <v>item_mu_Wagon_Gen3_Flat_Wagon</v>
      </c>
      <c r="P666" s="30" t="str">
        <f>"str_"&amp;CONTROL[[#This Row],[VEHIDCODE]]</f>
        <v>str_mu_Wagon_Gen3_Flat_Wagon</v>
      </c>
      <c r="Q666" s="10" t="b">
        <f>_xlfn.XLOOKUP(CONTROL[[#This Row],[VEHIDCODE]],PROPERTIES[VEHIDCODE],PROPERTIES[EXCLUDE])</f>
        <v>0</v>
      </c>
    </row>
    <row r="667" spans="1:17">
      <c r="A667" s="2" t="s">
        <v>800</v>
      </c>
      <c r="B667" s="30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43" t="s">
        <v>2935</v>
      </c>
      <c r="G667" t="s">
        <v>1696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Row],[VEHIDCODE]],roster!A:A,roster!C:C))</f>
        <v>1</v>
      </c>
      <c r="N667" t="b">
        <f>ISNUMBER(_xlfn.XMATCH(CONTROL[[#This Row],[VEHIDCODE]],GRAPHICS_PROPERTIES[VEHIDCODE],0))</f>
        <v>1</v>
      </c>
      <c r="O667" s="30" t="str">
        <f>"item_"&amp;CONTROL[[#This Row],[VEHIDCODE]]</f>
        <v>item_mu_Wagon_Gen3_Boxcar_Type1</v>
      </c>
      <c r="P667" s="30" t="str">
        <f>"str_"&amp;CONTROL[[#This Row],[VEHIDCODE]]</f>
        <v>str_mu_Wagon_Gen3_Boxcar_Type1</v>
      </c>
      <c r="Q667" s="10" t="b">
        <f>_xlfn.XLOOKUP(CONTROL[[#This Row],[VEHIDCODE]],PROPERTIES[VEHIDCODE],PROPERTIES[EXCLUDE])</f>
        <v>0</v>
      </c>
    </row>
    <row r="668" spans="1:17">
      <c r="A668" s="2" t="s">
        <v>801</v>
      </c>
      <c r="B668" s="30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43" t="s">
        <v>2950</v>
      </c>
      <c r="G668" t="s">
        <v>1696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Row],[VEHIDCODE]],roster!A:A,roster!C:C))</f>
        <v>1</v>
      </c>
      <c r="N668" t="b">
        <f>ISNUMBER(_xlfn.XMATCH(CONTROL[[#This Row],[VEHIDCODE]],GRAPHICS_PROPERTIES[VEHIDCODE],0))</f>
        <v>1</v>
      </c>
      <c r="O668" s="30" t="str">
        <f>"item_"&amp;CONTROL[[#This Row],[VEHIDCODE]]</f>
        <v>item_mu_Wagon_Gen3_Boxcar_Type2</v>
      </c>
      <c r="P668" s="30" t="str">
        <f>"str_"&amp;CONTROL[[#This Row],[VEHIDCODE]]</f>
        <v>str_mu_Wagon_Gen3_Boxcar_Type2</v>
      </c>
      <c r="Q668" s="10" t="b">
        <f>_xlfn.XLOOKUP(CONTROL[[#This Row],[VEHIDCODE]],PROPERTIES[VEHIDCODE],PROPERTIES[EXCLUDE])</f>
        <v>0</v>
      </c>
    </row>
    <row r="669" spans="1:17">
      <c r="A669" s="2" t="s">
        <v>802</v>
      </c>
      <c r="B669" s="30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43" t="s">
        <v>1566</v>
      </c>
      <c r="G669" t="s">
        <v>1696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Row],[VEHIDCODE]],roster!A:A,roster!C:C))</f>
        <v>1</v>
      </c>
      <c r="N669" t="b">
        <f>ISNUMBER(_xlfn.XMATCH(CONTROL[[#This Row],[VEHIDCODE]],GRAPHICS_PROPERTIES[VEHIDCODE],0))</f>
        <v>1</v>
      </c>
      <c r="O669" s="30" t="str">
        <f>"item_"&amp;CONTROL[[#This Row],[VEHIDCODE]]</f>
        <v>item_mu_Wagon_Gen3_Tanker</v>
      </c>
      <c r="P669" s="30" t="str">
        <f>"str_"&amp;CONTROL[[#This Row],[VEHIDCODE]]</f>
        <v>str_mu_Wagon_Gen3_Tanker</v>
      </c>
      <c r="Q669" s="10" t="b">
        <f>_xlfn.XLOOKUP(CONTROL[[#This Row],[VEHIDCODE]],PROPERTIES[VEHIDCODE],PROPERTIES[EXCLUDE])</f>
        <v>0</v>
      </c>
    </row>
    <row r="670" spans="1:17">
      <c r="A670" s="2" t="s">
        <v>803</v>
      </c>
      <c r="B670" s="30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43" t="s">
        <v>1567</v>
      </c>
      <c r="G670" t="s">
        <v>1696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Row],[VEHIDCODE]],roster!A:A,roster!C:C))</f>
        <v>1</v>
      </c>
      <c r="N670" t="b">
        <f>ISNUMBER(_xlfn.XMATCH(CONTROL[[#This Row],[VEHIDCODE]],GRAPHICS_PROPERTIES[VEHIDCODE],0))</f>
        <v>1</v>
      </c>
      <c r="O670" s="30" t="str">
        <f>"item_"&amp;CONTROL[[#This Row],[VEHIDCODE]]</f>
        <v>item_mu_Wagon_Gen3_Open_Wagon</v>
      </c>
      <c r="P670" s="30" t="str">
        <f>"str_"&amp;CONTROL[[#This Row],[VEHIDCODE]]</f>
        <v>str_mu_Wagon_Gen3_Open_Wagon</v>
      </c>
      <c r="Q670" s="10" t="b">
        <f>_xlfn.XLOOKUP(CONTROL[[#This Row],[VEHIDCODE]],PROPERTIES[VEHIDCODE],PROPERTIES[EXCLUDE])</f>
        <v>0</v>
      </c>
    </row>
    <row r="671" spans="1:17">
      <c r="A671" s="2" t="s">
        <v>804</v>
      </c>
      <c r="B671" s="30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43" t="s">
        <v>2936</v>
      </c>
      <c r="G671" t="s">
        <v>1696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Row],[VEHIDCODE]],roster!A:A,roster!C:C))</f>
        <v>1</v>
      </c>
      <c r="N671" t="b">
        <f>ISNUMBER(_xlfn.XMATCH(CONTROL[[#This Row],[VEHIDCODE]],GRAPHICS_PROPERTIES[VEHIDCODE],0))</f>
        <v>1</v>
      </c>
      <c r="O671" s="30" t="str">
        <f>"item_"&amp;CONTROL[[#This Row],[VEHIDCODE]]</f>
        <v>item_mu_Wagon_Gen3_Silo_Type1</v>
      </c>
      <c r="P671" s="30" t="str">
        <f>"str_"&amp;CONTROL[[#This Row],[VEHIDCODE]]</f>
        <v>str_mu_Wagon_Gen3_Silo_Type1</v>
      </c>
      <c r="Q671" s="10" t="b">
        <f>_xlfn.XLOOKUP(CONTROL[[#This Row],[VEHIDCODE]],PROPERTIES[VEHIDCODE],PROPERTIES[EXCLUDE])</f>
        <v>0</v>
      </c>
    </row>
    <row r="672" spans="1:17">
      <c r="A672" s="2" t="s">
        <v>805</v>
      </c>
      <c r="B672" s="30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43" t="s">
        <v>2951</v>
      </c>
      <c r="G672" t="s">
        <v>1696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Row],[VEHIDCODE]],roster!A:A,roster!C:C))</f>
        <v>1</v>
      </c>
      <c r="N672" t="b">
        <f>ISNUMBER(_xlfn.XMATCH(CONTROL[[#This Row],[VEHIDCODE]],GRAPHICS_PROPERTIES[VEHIDCODE],0))</f>
        <v>1</v>
      </c>
      <c r="O672" s="30" t="str">
        <f>"item_"&amp;CONTROL[[#This Row],[VEHIDCODE]]</f>
        <v>item_mu_Wagon_Gen3_Silo_Type2</v>
      </c>
      <c r="P672" s="30" t="str">
        <f>"str_"&amp;CONTROL[[#This Row],[VEHIDCODE]]</f>
        <v>str_mu_Wagon_Gen3_Silo_Type2</v>
      </c>
      <c r="Q672" s="10" t="b">
        <f>_xlfn.XLOOKUP(CONTROL[[#This Row],[VEHIDCODE]],PROPERTIES[VEHIDCODE],PROPERTIES[EXCLUDE])</f>
        <v>0</v>
      </c>
    </row>
    <row r="673" spans="1:17">
      <c r="A673" s="2" t="s">
        <v>806</v>
      </c>
      <c r="B673" s="30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43" t="s">
        <v>1568</v>
      </c>
      <c r="G673" t="s">
        <v>1696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Row],[VEHIDCODE]],roster!A:A,roster!C:C))</f>
        <v>1</v>
      </c>
      <c r="N673" t="b">
        <f>ISNUMBER(_xlfn.XMATCH(CONTROL[[#This Row],[VEHIDCODE]],GRAPHICS_PROPERTIES[VEHIDCODE],0))</f>
        <v>1</v>
      </c>
      <c r="O673" s="30" t="str">
        <f>"item_"&amp;CONTROL[[#This Row],[VEHIDCODE]]</f>
        <v>item_mu_Wagon_Gen3_Hopper</v>
      </c>
      <c r="P673" s="30" t="str">
        <f>"str_"&amp;CONTROL[[#This Row],[VEHIDCODE]]</f>
        <v>str_mu_Wagon_Gen3_Hopper</v>
      </c>
      <c r="Q673" s="10" t="b">
        <f>_xlfn.XLOOKUP(CONTROL[[#This Row],[VEHIDCODE]],PROPERTIES[VEHIDCODE],PROPERTIES[EXCLUDE])</f>
        <v>0</v>
      </c>
    </row>
    <row r="674" spans="1:17">
      <c r="A674" s="2" t="s">
        <v>807</v>
      </c>
      <c r="B674" s="30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43" t="s">
        <v>1569</v>
      </c>
      <c r="G674" t="s">
        <v>1696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Row],[VEHIDCODE]],roster!A:A,roster!C:C))</f>
        <v>1</v>
      </c>
      <c r="N674" t="b">
        <f>ISNUMBER(_xlfn.XMATCH(CONTROL[[#This Row],[VEHIDCODE]],GRAPHICS_PROPERTIES[VEHIDCODE],0))</f>
        <v>1</v>
      </c>
      <c r="O674" s="30" t="str">
        <f>"item_"&amp;CONTROL[[#This Row],[VEHIDCODE]]</f>
        <v>item_mu_Wagon_Gen4_Flatcar</v>
      </c>
      <c r="P674" s="30" t="str">
        <f>"str_"&amp;CONTROL[[#This Row],[VEHIDCODE]]</f>
        <v>str_mu_Wagon_Gen4_Flatcar</v>
      </c>
      <c r="Q674" s="10" t="b">
        <f>_xlfn.XLOOKUP(CONTROL[[#This Row],[VEHIDCODE]],PROPERTIES[VEHIDCODE],PROPERTIES[EXCLUDE])</f>
        <v>0</v>
      </c>
    </row>
    <row r="675" spans="1:17">
      <c r="A675" s="2" t="s">
        <v>808</v>
      </c>
      <c r="B675" s="30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43" t="s">
        <v>1570</v>
      </c>
      <c r="G675" t="s">
        <v>1696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Row],[VEHIDCODE]],roster!A:A,roster!C:C))</f>
        <v>1</v>
      </c>
      <c r="N675" t="b">
        <f>ISNUMBER(_xlfn.XMATCH(CONTROL[[#This Row],[VEHIDCODE]],GRAPHICS_PROPERTIES[VEHIDCODE],0))</f>
        <v>1</v>
      </c>
      <c r="O675" s="30" t="str">
        <f>"item_"&amp;CONTROL[[#This Row],[VEHIDCODE]]</f>
        <v>item_mu_Wagon_Gen4_Heavy_Flatcar</v>
      </c>
      <c r="P675" s="30" t="str">
        <f>"str_"&amp;CONTROL[[#This Row],[VEHIDCODE]]</f>
        <v>str_mu_Wagon_Gen4_Heavy_Flatcar</v>
      </c>
      <c r="Q675" s="10" t="b">
        <f>_xlfn.XLOOKUP(CONTROL[[#This Row],[VEHIDCODE]],PROPERTIES[VEHIDCODE],PROPERTIES[EXCLUDE])</f>
        <v>0</v>
      </c>
    </row>
    <row r="676" spans="1:17">
      <c r="A676" s="2" t="s">
        <v>809</v>
      </c>
      <c r="B676" s="30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43" t="s">
        <v>2937</v>
      </c>
      <c r="G676" t="s">
        <v>1696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Row],[VEHIDCODE]],roster!A:A,roster!C:C))</f>
        <v>1</v>
      </c>
      <c r="N676" t="b">
        <f>ISNUMBER(_xlfn.XMATCH(CONTROL[[#This Row],[VEHIDCODE]],GRAPHICS_PROPERTIES[VEHIDCODE],0))</f>
        <v>1</v>
      </c>
      <c r="O676" s="30" t="str">
        <f>"item_"&amp;CONTROL[[#This Row],[VEHIDCODE]]</f>
        <v>item_mu_Wagon_Gen4_Boxcar_Type1</v>
      </c>
      <c r="P676" s="30" t="str">
        <f>"str_"&amp;CONTROL[[#This Row],[VEHIDCODE]]</f>
        <v>str_mu_Wagon_Gen4_Boxcar_Type1</v>
      </c>
      <c r="Q676" s="10" t="b">
        <f>_xlfn.XLOOKUP(CONTROL[[#This Row],[VEHIDCODE]],PROPERTIES[VEHIDCODE],PROPERTIES[EXCLUDE])</f>
        <v>0</v>
      </c>
    </row>
    <row r="677" spans="1:17">
      <c r="A677" s="2" t="s">
        <v>810</v>
      </c>
      <c r="B677" s="30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43" t="s">
        <v>2952</v>
      </c>
      <c r="G677" t="s">
        <v>1696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Row],[VEHIDCODE]],roster!A:A,roster!C:C))</f>
        <v>1</v>
      </c>
      <c r="N677" t="b">
        <f>ISNUMBER(_xlfn.XMATCH(CONTROL[[#This Row],[VEHIDCODE]],GRAPHICS_PROPERTIES[VEHIDCODE],0))</f>
        <v>1</v>
      </c>
      <c r="O677" s="30" t="str">
        <f>"item_"&amp;CONTROL[[#This Row],[VEHIDCODE]]</f>
        <v>item_mu_Wagon_Gen4_Boxcar_Type2</v>
      </c>
      <c r="P677" s="30" t="str">
        <f>"str_"&amp;CONTROL[[#This Row],[VEHIDCODE]]</f>
        <v>str_mu_Wagon_Gen4_Boxcar_Type2</v>
      </c>
      <c r="Q677" s="10" t="b">
        <f>_xlfn.XLOOKUP(CONTROL[[#This Row],[VEHIDCODE]],PROPERTIES[VEHIDCODE],PROPERTIES[EXCLUDE])</f>
        <v>0</v>
      </c>
    </row>
    <row r="678" spans="1:17">
      <c r="A678" s="2" t="s">
        <v>811</v>
      </c>
      <c r="B678" s="30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43" t="s">
        <v>1571</v>
      </c>
      <c r="G678" t="s">
        <v>1696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Row],[VEHIDCODE]],roster!A:A,roster!C:C))</f>
        <v>1</v>
      </c>
      <c r="N678" t="b">
        <f>ISNUMBER(_xlfn.XMATCH(CONTROL[[#This Row],[VEHIDCODE]],GRAPHICS_PROPERTIES[VEHIDCODE],0))</f>
        <v>1</v>
      </c>
      <c r="O678" s="30" t="str">
        <f>"item_"&amp;CONTROL[[#This Row],[VEHIDCODE]]</f>
        <v>item_mu_Wagon_Gen4_Tanker</v>
      </c>
      <c r="P678" s="30" t="str">
        <f>"str_"&amp;CONTROL[[#This Row],[VEHIDCODE]]</f>
        <v>str_mu_Wagon_Gen4_Tanker</v>
      </c>
      <c r="Q678" s="10" t="b">
        <f>_xlfn.XLOOKUP(CONTROL[[#This Row],[VEHIDCODE]],PROPERTIES[VEHIDCODE],PROPERTIES[EXCLUDE])</f>
        <v>0</v>
      </c>
    </row>
    <row r="679" spans="1:17">
      <c r="A679" s="2" t="s">
        <v>812</v>
      </c>
      <c r="B679" s="30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43" t="s">
        <v>1572</v>
      </c>
      <c r="G679" t="s">
        <v>1696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Row],[VEHIDCODE]],roster!A:A,roster!C:C))</f>
        <v>1</v>
      </c>
      <c r="N679" t="b">
        <f>ISNUMBER(_xlfn.XMATCH(CONTROL[[#This Row],[VEHIDCODE]],GRAPHICS_PROPERTIES[VEHIDCODE],0))</f>
        <v>1</v>
      </c>
      <c r="O679" s="30" t="str">
        <f>"item_"&amp;CONTROL[[#This Row],[VEHIDCODE]]</f>
        <v>item_mu_Wagon_Gen4_Gondola</v>
      </c>
      <c r="P679" s="30" t="str">
        <f>"str_"&amp;CONTROL[[#This Row],[VEHIDCODE]]</f>
        <v>str_mu_Wagon_Gen4_Gondola</v>
      </c>
      <c r="Q679" s="10" t="b">
        <f>_xlfn.XLOOKUP(CONTROL[[#This Row],[VEHIDCODE]],PROPERTIES[VEHIDCODE],PROPERTIES[EXCLUDE])</f>
        <v>0</v>
      </c>
    </row>
    <row r="680" spans="1:17">
      <c r="A680" s="2" t="s">
        <v>813</v>
      </c>
      <c r="B680" s="30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43" t="s">
        <v>2938</v>
      </c>
      <c r="G680" t="s">
        <v>1696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Row],[VEHIDCODE]],roster!A:A,roster!C:C))</f>
        <v>1</v>
      </c>
      <c r="N680" t="b">
        <f>ISNUMBER(_xlfn.XMATCH(CONTROL[[#This Row],[VEHIDCODE]],GRAPHICS_PROPERTIES[VEHIDCODE],0))</f>
        <v>1</v>
      </c>
      <c r="O680" s="30" t="str">
        <f>"item_"&amp;CONTROL[[#This Row],[VEHIDCODE]]</f>
        <v>item_mu_Wagon_Gen4_Silo_Type1</v>
      </c>
      <c r="P680" s="30" t="str">
        <f>"str_"&amp;CONTROL[[#This Row],[VEHIDCODE]]</f>
        <v>str_mu_Wagon_Gen4_Silo_Type1</v>
      </c>
      <c r="Q680" s="10" t="b">
        <f>_xlfn.XLOOKUP(CONTROL[[#This Row],[VEHIDCODE]],PROPERTIES[VEHIDCODE],PROPERTIES[EXCLUDE])</f>
        <v>0</v>
      </c>
    </row>
    <row r="681" spans="1:17">
      <c r="A681" s="2" t="s">
        <v>814</v>
      </c>
      <c r="B681" s="30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43" t="s">
        <v>2953</v>
      </c>
      <c r="G681" t="s">
        <v>1696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Row],[VEHIDCODE]],roster!A:A,roster!C:C))</f>
        <v>1</v>
      </c>
      <c r="N681" t="b">
        <f>ISNUMBER(_xlfn.XMATCH(CONTROL[[#This Row],[VEHIDCODE]],GRAPHICS_PROPERTIES[VEHIDCODE],0))</f>
        <v>1</v>
      </c>
      <c r="O681" s="30" t="str">
        <f>"item_"&amp;CONTROL[[#This Row],[VEHIDCODE]]</f>
        <v>item_mu_Wagon_Gen4_Silo_Type2</v>
      </c>
      <c r="P681" s="30" t="str">
        <f>"str_"&amp;CONTROL[[#This Row],[VEHIDCODE]]</f>
        <v>str_mu_Wagon_Gen4_Silo_Type2</v>
      </c>
      <c r="Q681" s="10" t="b">
        <f>_xlfn.XLOOKUP(CONTROL[[#This Row],[VEHIDCODE]],PROPERTIES[VEHIDCODE],PROPERTIES[EXCLUDE])</f>
        <v>0</v>
      </c>
    </row>
    <row r="682" spans="1:17">
      <c r="A682" s="2" t="s">
        <v>815</v>
      </c>
      <c r="B682" s="30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43" t="s">
        <v>2939</v>
      </c>
      <c r="G682" t="s">
        <v>1696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Row],[VEHIDCODE]],roster!A:A,roster!C:C))</f>
        <v>1</v>
      </c>
      <c r="N682" t="b">
        <f>ISNUMBER(_xlfn.XMATCH(CONTROL[[#This Row],[VEHIDCODE]],GRAPHICS_PROPERTIES[VEHIDCODE],0))</f>
        <v>1</v>
      </c>
      <c r="O682" s="30" t="str">
        <f>"item_"&amp;CONTROL[[#This Row],[VEHIDCODE]]</f>
        <v>item_mu_Wagon_Gen4_Hopper_Type1</v>
      </c>
      <c r="P682" s="30" t="str">
        <f>"str_"&amp;CONTROL[[#This Row],[VEHIDCODE]]</f>
        <v>str_mu_Wagon_Gen4_Hopper_Type1</v>
      </c>
      <c r="Q682" s="10" t="b">
        <f>_xlfn.XLOOKUP(CONTROL[[#This Row],[VEHIDCODE]],PROPERTIES[VEHIDCODE],PROPERTIES[EXCLUDE])</f>
        <v>0</v>
      </c>
    </row>
    <row r="683" spans="1:17">
      <c r="A683" s="2" t="s">
        <v>816</v>
      </c>
      <c r="B683" s="30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43" t="s">
        <v>2954</v>
      </c>
      <c r="G683" t="s">
        <v>1696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Row],[VEHIDCODE]],roster!A:A,roster!C:C))</f>
        <v>1</v>
      </c>
      <c r="N683" t="b">
        <f>ISNUMBER(_xlfn.XMATCH(CONTROL[[#This Row],[VEHIDCODE]],GRAPHICS_PROPERTIES[VEHIDCODE],0))</f>
        <v>1</v>
      </c>
      <c r="O683" s="30" t="str">
        <f>"item_"&amp;CONTROL[[#This Row],[VEHIDCODE]]</f>
        <v>item_mu_Wagon_Gen4_Hopper_Type2</v>
      </c>
      <c r="P683" s="30" t="str">
        <f>"str_"&amp;CONTROL[[#This Row],[VEHIDCODE]]</f>
        <v>str_mu_Wagon_Gen4_Hopper_Type2</v>
      </c>
      <c r="Q683" s="10" t="b">
        <f>_xlfn.XLOOKUP(CONTROL[[#This Row],[VEHIDCODE]],PROPERTIES[VEHIDCODE],PROPERTIES[EXCLUDE])</f>
        <v>0</v>
      </c>
    </row>
    <row r="684" spans="1:17">
      <c r="A684" s="2" t="s">
        <v>817</v>
      </c>
      <c r="B684" s="30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43" t="s">
        <v>1573</v>
      </c>
      <c r="G684" t="s">
        <v>1696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Row],[VEHIDCODE]],roster!A:A,roster!C:C))</f>
        <v>1</v>
      </c>
      <c r="N684" t="b">
        <f>ISNUMBER(_xlfn.XMATCH(CONTROL[[#This Row],[VEHIDCODE]],GRAPHICS_PROPERTIES[VEHIDCODE],0))</f>
        <v>1</v>
      </c>
      <c r="O684" s="30" t="str">
        <f>"item_"&amp;CONTROL[[#This Row],[VEHIDCODE]]</f>
        <v>item_mu_Wagon_Gen4_Car_Transporter</v>
      </c>
      <c r="P684" s="30" t="str">
        <f>"str_"&amp;CONTROL[[#This Row],[VEHIDCODE]]</f>
        <v>str_mu_Wagon_Gen4_Car_Transporter</v>
      </c>
      <c r="Q684" s="10" t="b">
        <f>_xlfn.XLOOKUP(CONTROL[[#This Row],[VEHIDCODE]],PROPERTIES[VEHIDCODE],PROPERTIES[EXCLUDE])</f>
        <v>0</v>
      </c>
    </row>
    <row r="685" spans="1:17">
      <c r="A685" s="2" t="s">
        <v>818</v>
      </c>
      <c r="B685" s="30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43" t="s">
        <v>1574</v>
      </c>
      <c r="G685" t="s">
        <v>1696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Row],[VEHIDCODE]],roster!A:A,roster!C:C))</f>
        <v>1</v>
      </c>
      <c r="N685" t="b">
        <f>ISNUMBER(_xlfn.XMATCH(CONTROL[[#This Row],[VEHIDCODE]],GRAPHICS_PROPERTIES[VEHIDCODE],0))</f>
        <v>1</v>
      </c>
      <c r="O685" s="30" t="str">
        <f>"item_"&amp;CONTROL[[#This Row],[VEHIDCODE]]</f>
        <v>item_mu_Wagon_Gen4_Container_Carrier</v>
      </c>
      <c r="P685" s="30" t="str">
        <f>"str_"&amp;CONTROL[[#This Row],[VEHIDCODE]]</f>
        <v>str_mu_Wagon_Gen4_Container_Carrier</v>
      </c>
      <c r="Q685" s="10" t="b">
        <f>_xlfn.XLOOKUP(CONTROL[[#This Row],[VEHIDCODE]],PROPERTIES[VEHIDCODE],PROPERTIES[EXCLUDE])</f>
        <v>0</v>
      </c>
    </row>
    <row r="686" spans="1:17">
      <c r="A686" s="2" t="s">
        <v>819</v>
      </c>
      <c r="B686" s="30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43" t="s">
        <v>1575</v>
      </c>
      <c r="G686" t="s">
        <v>1696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Row],[VEHIDCODE]],roster!A:A,roster!C:C))</f>
        <v>1</v>
      </c>
      <c r="N686" t="b">
        <f>ISNUMBER(_xlfn.XMATCH(CONTROL[[#This Row],[VEHIDCODE]],GRAPHICS_PROPERTIES[VEHIDCODE],0))</f>
        <v>1</v>
      </c>
      <c r="O686" s="30" t="str">
        <f>"item_"&amp;CONTROL[[#This Row],[VEHIDCODE]]</f>
        <v>item_mu_Wagon_Gen4_Centerbeam</v>
      </c>
      <c r="P686" s="30" t="str">
        <f>"str_"&amp;CONTROL[[#This Row],[VEHIDCODE]]</f>
        <v>str_mu_Wagon_Gen4_Centerbeam</v>
      </c>
      <c r="Q686" s="10" t="b">
        <f>_xlfn.XLOOKUP(CONTROL[[#This Row],[VEHIDCODE]],PROPERTIES[VEHIDCODE],PROPERTIES[EXCLUDE])</f>
        <v>0</v>
      </c>
    </row>
    <row r="687" spans="1:17">
      <c r="A687" s="2" t="s">
        <v>820</v>
      </c>
      <c r="B687" s="30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43" t="s">
        <v>1576</v>
      </c>
      <c r="G687" t="s">
        <v>1696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Row],[VEHIDCODE]],roster!A:A,roster!C:C))</f>
        <v>1</v>
      </c>
      <c r="N687" t="b">
        <f>ISNUMBER(_xlfn.XMATCH(CONTROL[[#This Row],[VEHIDCODE]],GRAPHICS_PROPERTIES[VEHIDCODE],0))</f>
        <v>1</v>
      </c>
      <c r="O687" s="30" t="str">
        <f>"item_"&amp;CONTROL[[#This Row],[VEHIDCODE]]</f>
        <v>item_mu_Wagon_Gen5_Flatcar</v>
      </c>
      <c r="P687" s="30" t="str">
        <f>"str_"&amp;CONTROL[[#This Row],[VEHIDCODE]]</f>
        <v>str_mu_Wagon_Gen5_Flatcar</v>
      </c>
      <c r="Q687" s="10" t="b">
        <f>_xlfn.XLOOKUP(CONTROL[[#This Row],[VEHIDCODE]],PROPERTIES[VEHIDCODE],PROPERTIES[EXCLUDE])</f>
        <v>0</v>
      </c>
    </row>
    <row r="688" spans="1:17">
      <c r="A688" s="2" t="s">
        <v>821</v>
      </c>
      <c r="B688" s="30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43" t="s">
        <v>1577</v>
      </c>
      <c r="G688" t="s">
        <v>1696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Row],[VEHIDCODE]],roster!A:A,roster!C:C))</f>
        <v>1</v>
      </c>
      <c r="N688" t="b">
        <f>ISNUMBER(_xlfn.XMATCH(CONTROL[[#This Row],[VEHIDCODE]],GRAPHICS_PROPERTIES[VEHIDCODE],0))</f>
        <v>1</v>
      </c>
      <c r="O688" s="30" t="str">
        <f>"item_"&amp;CONTROL[[#This Row],[VEHIDCODE]]</f>
        <v>item_mu_Wagon_Gen5_Heavy_Flatcar</v>
      </c>
      <c r="P688" s="30" t="str">
        <f>"str_"&amp;CONTROL[[#This Row],[VEHIDCODE]]</f>
        <v>str_mu_Wagon_Gen5_Heavy_Flatcar</v>
      </c>
      <c r="Q688" s="10" t="b">
        <f>_xlfn.XLOOKUP(CONTROL[[#This Row],[VEHIDCODE]],PROPERTIES[VEHIDCODE],PROPERTIES[EXCLUDE])</f>
        <v>0</v>
      </c>
    </row>
    <row r="689" spans="1:17">
      <c r="A689" s="2" t="s">
        <v>822</v>
      </c>
      <c r="B689" s="30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43" t="s">
        <v>2940</v>
      </c>
      <c r="G689" t="s">
        <v>1696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Row],[VEHIDCODE]],roster!A:A,roster!C:C))</f>
        <v>1</v>
      </c>
      <c r="N689" t="b">
        <f>ISNUMBER(_xlfn.XMATCH(CONTROL[[#This Row],[VEHIDCODE]],GRAPHICS_PROPERTIES[VEHIDCODE],0))</f>
        <v>1</v>
      </c>
      <c r="O689" s="30" t="str">
        <f>"item_"&amp;CONTROL[[#This Row],[VEHIDCODE]]</f>
        <v>item_mu_Wagon_Gen5_Boxcar_Type1</v>
      </c>
      <c r="P689" s="30" t="str">
        <f>"str_"&amp;CONTROL[[#This Row],[VEHIDCODE]]</f>
        <v>str_mu_Wagon_Gen5_Boxcar_Type1</v>
      </c>
      <c r="Q689" s="10" t="b">
        <f>_xlfn.XLOOKUP(CONTROL[[#This Row],[VEHIDCODE]],PROPERTIES[VEHIDCODE],PROPERTIES[EXCLUDE])</f>
        <v>0</v>
      </c>
    </row>
    <row r="690" spans="1:17">
      <c r="A690" s="2" t="s">
        <v>823</v>
      </c>
      <c r="B690" s="30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43" t="s">
        <v>2955</v>
      </c>
      <c r="G690" t="s">
        <v>1696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Row],[VEHIDCODE]],roster!A:A,roster!C:C))</f>
        <v>1</v>
      </c>
      <c r="N690" t="b">
        <f>ISNUMBER(_xlfn.XMATCH(CONTROL[[#This Row],[VEHIDCODE]],GRAPHICS_PROPERTIES[VEHIDCODE],0))</f>
        <v>1</v>
      </c>
      <c r="O690" s="30" t="str">
        <f>"item_"&amp;CONTROL[[#This Row],[VEHIDCODE]]</f>
        <v>item_mu_Wagon_Gen5_Boxcar_Type2</v>
      </c>
      <c r="P690" s="30" t="str">
        <f>"str_"&amp;CONTROL[[#This Row],[VEHIDCODE]]</f>
        <v>str_mu_Wagon_Gen5_Boxcar_Type2</v>
      </c>
      <c r="Q690" s="10" t="b">
        <f>_xlfn.XLOOKUP(CONTROL[[#This Row],[VEHIDCODE]],PROPERTIES[VEHIDCODE],PROPERTIES[EXCLUDE])</f>
        <v>0</v>
      </c>
    </row>
    <row r="691" spans="1:17">
      <c r="A691" s="2" t="s">
        <v>824</v>
      </c>
      <c r="B691" s="30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43" t="s">
        <v>1578</v>
      </c>
      <c r="G691" t="s">
        <v>1696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Row],[VEHIDCODE]],roster!A:A,roster!C:C))</f>
        <v>1</v>
      </c>
      <c r="N691" t="b">
        <f>ISNUMBER(_xlfn.XMATCH(CONTROL[[#This Row],[VEHIDCODE]],GRAPHICS_PROPERTIES[VEHIDCODE],0))</f>
        <v>1</v>
      </c>
      <c r="O691" s="30" t="str">
        <f>"item_"&amp;CONTROL[[#This Row],[VEHIDCODE]]</f>
        <v>item_mu_Wagon_Gen5_Tanker</v>
      </c>
      <c r="P691" s="30" t="str">
        <f>"str_"&amp;CONTROL[[#This Row],[VEHIDCODE]]</f>
        <v>str_mu_Wagon_Gen5_Tanker</v>
      </c>
      <c r="Q691" s="10" t="b">
        <f>_xlfn.XLOOKUP(CONTROL[[#This Row],[VEHIDCODE]],PROPERTIES[VEHIDCODE],PROPERTIES[EXCLUDE])</f>
        <v>0</v>
      </c>
    </row>
    <row r="692" spans="1:17">
      <c r="A692" s="2" t="s">
        <v>825</v>
      </c>
      <c r="B692" s="30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43" t="s">
        <v>1579</v>
      </c>
      <c r="G692" t="s">
        <v>1696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Row],[VEHIDCODE]],roster!A:A,roster!C:C))</f>
        <v>1</v>
      </c>
      <c r="N692" t="b">
        <f>ISNUMBER(_xlfn.XMATCH(CONTROL[[#This Row],[VEHIDCODE]],GRAPHICS_PROPERTIES[VEHIDCODE],0))</f>
        <v>1</v>
      </c>
      <c r="O692" s="30" t="str">
        <f>"item_"&amp;CONTROL[[#This Row],[VEHIDCODE]]</f>
        <v>item_mu_Wagon_Gen5_Gondola</v>
      </c>
      <c r="P692" s="30" t="str">
        <f>"str_"&amp;CONTROL[[#This Row],[VEHIDCODE]]</f>
        <v>str_mu_Wagon_Gen5_Gondola</v>
      </c>
      <c r="Q692" s="10" t="b">
        <f>_xlfn.XLOOKUP(CONTROL[[#This Row],[VEHIDCODE]],PROPERTIES[VEHIDCODE],PROPERTIES[EXCLUDE])</f>
        <v>0</v>
      </c>
    </row>
    <row r="693" spans="1:17">
      <c r="A693" s="2" t="s">
        <v>826</v>
      </c>
      <c r="B693" s="30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43" t="s">
        <v>2941</v>
      </c>
      <c r="G693" t="s">
        <v>1696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Row],[VEHIDCODE]],roster!A:A,roster!C:C))</f>
        <v>1</v>
      </c>
      <c r="N693" t="b">
        <f>ISNUMBER(_xlfn.XMATCH(CONTROL[[#This Row],[VEHIDCODE]],GRAPHICS_PROPERTIES[VEHIDCODE],0))</f>
        <v>1</v>
      </c>
      <c r="O693" s="30" t="str">
        <f>"item_"&amp;CONTROL[[#This Row],[VEHIDCODE]]</f>
        <v>item_mu_Wagon_Gen5_Silo_Type1</v>
      </c>
      <c r="P693" s="30" t="str">
        <f>"str_"&amp;CONTROL[[#This Row],[VEHIDCODE]]</f>
        <v>str_mu_Wagon_Gen5_Silo_Type1</v>
      </c>
      <c r="Q693" s="10" t="b">
        <f>_xlfn.XLOOKUP(CONTROL[[#This Row],[VEHIDCODE]],PROPERTIES[VEHIDCODE],PROPERTIES[EXCLUDE])</f>
        <v>0</v>
      </c>
    </row>
    <row r="694" spans="1:17">
      <c r="A694" s="2" t="s">
        <v>827</v>
      </c>
      <c r="B694" s="30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43" t="s">
        <v>2956</v>
      </c>
      <c r="G694" t="s">
        <v>1696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Row],[VEHIDCODE]],roster!A:A,roster!C:C))</f>
        <v>1</v>
      </c>
      <c r="N694" t="b">
        <f>ISNUMBER(_xlfn.XMATCH(CONTROL[[#This Row],[VEHIDCODE]],GRAPHICS_PROPERTIES[VEHIDCODE],0))</f>
        <v>1</v>
      </c>
      <c r="O694" s="30" t="str">
        <f>"item_"&amp;CONTROL[[#This Row],[VEHIDCODE]]</f>
        <v>item_mu_Wagon_Gen5_Silo_Type2</v>
      </c>
      <c r="P694" s="30" t="str">
        <f>"str_"&amp;CONTROL[[#This Row],[VEHIDCODE]]</f>
        <v>str_mu_Wagon_Gen5_Silo_Type2</v>
      </c>
      <c r="Q694" s="10" t="b">
        <f>_xlfn.XLOOKUP(CONTROL[[#This Row],[VEHIDCODE]],PROPERTIES[VEHIDCODE],PROPERTIES[EXCLUDE])</f>
        <v>0</v>
      </c>
    </row>
    <row r="695" spans="1:17">
      <c r="A695" s="2" t="s">
        <v>828</v>
      </c>
      <c r="B695" s="30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43" t="s">
        <v>2942</v>
      </c>
      <c r="G695" t="s">
        <v>1696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Row],[VEHIDCODE]],roster!A:A,roster!C:C))</f>
        <v>1</v>
      </c>
      <c r="N695" t="b">
        <f>ISNUMBER(_xlfn.XMATCH(CONTROL[[#This Row],[VEHIDCODE]],GRAPHICS_PROPERTIES[VEHIDCODE],0))</f>
        <v>1</v>
      </c>
      <c r="O695" s="30" t="str">
        <f>"item_"&amp;CONTROL[[#This Row],[VEHIDCODE]]</f>
        <v>item_mu_Wagon_Gen5_Hopper_Type1</v>
      </c>
      <c r="P695" s="30" t="str">
        <f>"str_"&amp;CONTROL[[#This Row],[VEHIDCODE]]</f>
        <v>str_mu_Wagon_Gen5_Hopper_Type1</v>
      </c>
      <c r="Q695" s="10" t="b">
        <f>_xlfn.XLOOKUP(CONTROL[[#This Row],[VEHIDCODE]],PROPERTIES[VEHIDCODE],PROPERTIES[EXCLUDE])</f>
        <v>0</v>
      </c>
    </row>
    <row r="696" spans="1:17">
      <c r="A696" s="2" t="s">
        <v>829</v>
      </c>
      <c r="B696" s="30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43" t="s">
        <v>2957</v>
      </c>
      <c r="G696" t="s">
        <v>1696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Row],[VEHIDCODE]],roster!A:A,roster!C:C))</f>
        <v>1</v>
      </c>
      <c r="N696" t="b">
        <f>ISNUMBER(_xlfn.XMATCH(CONTROL[[#This Row],[VEHIDCODE]],GRAPHICS_PROPERTIES[VEHIDCODE],0))</f>
        <v>1</v>
      </c>
      <c r="O696" s="30" t="str">
        <f>"item_"&amp;CONTROL[[#This Row],[VEHIDCODE]]</f>
        <v>item_mu_Wagon_Gen5_Hopper_Type2</v>
      </c>
      <c r="P696" s="30" t="str">
        <f>"str_"&amp;CONTROL[[#This Row],[VEHIDCODE]]</f>
        <v>str_mu_Wagon_Gen5_Hopper_Type2</v>
      </c>
      <c r="Q696" s="10" t="b">
        <f>_xlfn.XLOOKUP(CONTROL[[#This Row],[VEHIDCODE]],PROPERTIES[VEHIDCODE],PROPERTIES[EXCLUDE])</f>
        <v>0</v>
      </c>
    </row>
    <row r="697" spans="1:17">
      <c r="A697" s="2" t="s">
        <v>830</v>
      </c>
      <c r="B697" s="30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43" t="s">
        <v>1580</v>
      </c>
      <c r="G697" t="s">
        <v>1696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Row],[VEHIDCODE]],roster!A:A,roster!C:C))</f>
        <v>1</v>
      </c>
      <c r="N697" t="b">
        <f>ISNUMBER(_xlfn.XMATCH(CONTROL[[#This Row],[VEHIDCODE]],GRAPHICS_PROPERTIES[VEHIDCODE],0))</f>
        <v>1</v>
      </c>
      <c r="O697" s="30" t="str">
        <f>"item_"&amp;CONTROL[[#This Row],[VEHIDCODE]]</f>
        <v>item_mu_Wagon_Gen5_Car_Transporter</v>
      </c>
      <c r="P697" s="30" t="str">
        <f>"str_"&amp;CONTROL[[#This Row],[VEHIDCODE]]</f>
        <v>str_mu_Wagon_Gen5_Car_Transporter</v>
      </c>
      <c r="Q697" s="10" t="b">
        <f>_xlfn.XLOOKUP(CONTROL[[#This Row],[VEHIDCODE]],PROPERTIES[VEHIDCODE],PROPERTIES[EXCLUDE])</f>
        <v>0</v>
      </c>
    </row>
    <row r="698" spans="1:17">
      <c r="A698" s="2" t="s">
        <v>831</v>
      </c>
      <c r="B698" s="30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43" t="s">
        <v>1581</v>
      </c>
      <c r="G698" t="s">
        <v>1696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Row],[VEHIDCODE]],roster!A:A,roster!C:C))</f>
        <v>1</v>
      </c>
      <c r="N698" t="b">
        <f>ISNUMBER(_xlfn.XMATCH(CONTROL[[#This Row],[VEHIDCODE]],GRAPHICS_PROPERTIES[VEHIDCODE],0))</f>
        <v>1</v>
      </c>
      <c r="O698" s="30" t="str">
        <f>"item_"&amp;CONTROL[[#This Row],[VEHIDCODE]]</f>
        <v>item_mu_Wagon_Gen5_Container_Carrier</v>
      </c>
      <c r="P698" s="30" t="str">
        <f>"str_"&amp;CONTROL[[#This Row],[VEHIDCODE]]</f>
        <v>str_mu_Wagon_Gen5_Container_Carrier</v>
      </c>
      <c r="Q698" s="10" t="b">
        <f>_xlfn.XLOOKUP(CONTROL[[#This Row],[VEHIDCODE]],PROPERTIES[VEHIDCODE],PROPERTIES[EXCLUDE])</f>
        <v>0</v>
      </c>
    </row>
    <row r="699" spans="1:17">
      <c r="A699" s="2" t="s">
        <v>832</v>
      </c>
      <c r="B699" s="30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43" t="s">
        <v>1582</v>
      </c>
      <c r="G699" t="s">
        <v>1696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Row],[VEHIDCODE]],roster!A:A,roster!C:C))</f>
        <v>1</v>
      </c>
      <c r="N699" t="b">
        <f>ISNUMBER(_xlfn.XMATCH(CONTROL[[#This Row],[VEHIDCODE]],GRAPHICS_PROPERTIES[VEHIDCODE],0))</f>
        <v>1</v>
      </c>
      <c r="O699" s="30" t="str">
        <f>"item_"&amp;CONTROL[[#This Row],[VEHIDCODE]]</f>
        <v>item_mu_Wagon_Gen5_Centerbeam</v>
      </c>
      <c r="P699" s="30" t="str">
        <f>"str_"&amp;CONTROL[[#This Row],[VEHIDCODE]]</f>
        <v>str_mu_Wagon_Gen5_Centerbeam</v>
      </c>
      <c r="Q699" s="10" t="b">
        <f>_xlfn.XLOOKUP(CONTROL[[#This Row],[VEHIDCODE]],PROPERTIES[VEHIDCODE],PROPERTIES[EXCLUDE])</f>
        <v>0</v>
      </c>
    </row>
    <row r="700" spans="1:17">
      <c r="A700" s="2" t="s">
        <v>833</v>
      </c>
      <c r="B700" s="30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43" t="s">
        <v>1583</v>
      </c>
      <c r="G700" t="s">
        <v>1696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Row],[VEHIDCODE]],roster!A:A,roster!C:C))</f>
        <v>1</v>
      </c>
      <c r="N700" t="b">
        <f>ISNUMBER(_xlfn.XMATCH(CONTROL[[#This Row],[VEHIDCODE]],GRAPHICS_PROPERTIES[VEHIDCODE],0))</f>
        <v>1</v>
      </c>
      <c r="O700" s="30" t="str">
        <f>"item_"&amp;CONTROL[[#This Row],[VEHIDCODE]]</f>
        <v>item_mu_Wagon_Gen5_Container_Doublestack</v>
      </c>
      <c r="P700" s="30" t="str">
        <f>"str_"&amp;CONTROL[[#This Row],[VEHIDCODE]]</f>
        <v>str_mu_Wagon_Gen5_Container_Doublestack</v>
      </c>
      <c r="Q700" s="10" t="b">
        <f>_xlfn.XLOOKUP(CONTROL[[#This Row],[VEHIDCODE]],PROPERTIES[VEHIDCODE],PROPERTIES[EXCLUDE])</f>
        <v>0</v>
      </c>
    </row>
    <row r="701" spans="1:17">
      <c r="A701" s="2" t="s">
        <v>834</v>
      </c>
      <c r="B701" s="30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43" t="s">
        <v>1584</v>
      </c>
      <c r="G701" t="s">
        <v>1696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Row],[VEHIDCODE]],roster!A:A,roster!C:C))</f>
        <v>1</v>
      </c>
      <c r="N701" t="b">
        <f>ISNUMBER(_xlfn.XMATCH(CONTROL[[#This Row],[VEHIDCODE]],GRAPHICS_PROPERTIES[VEHIDCODE],0))</f>
        <v>1</v>
      </c>
      <c r="O701" s="30" t="str">
        <f>"item_"&amp;CONTROL[[#This Row],[VEHIDCODE]]</f>
        <v>item_mu_Wagon_Gen5_Superheavy_Flatcar</v>
      </c>
      <c r="P701" s="30" t="str">
        <f>"str_"&amp;CONTROL[[#This Row],[VEHIDCODE]]</f>
        <v>str_mu_Wagon_Gen5_Superheavy_Flatcar</v>
      </c>
      <c r="Q701" s="10" t="b">
        <f>_xlfn.XLOOKUP(CONTROL[[#This Row],[VEHIDCODE]],PROPERTIES[VEHIDCODE],PROPERTIES[EXCLUDE])</f>
        <v>0</v>
      </c>
    </row>
    <row r="702" spans="1:17">
      <c r="A702" s="2" t="s">
        <v>835</v>
      </c>
      <c r="B702" s="30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43" t="s">
        <v>1585</v>
      </c>
      <c r="G702" t="s">
        <v>1696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Row],[VEHIDCODE]],roster!A:A,roster!C:C))</f>
        <v>1</v>
      </c>
      <c r="N702" t="b">
        <f>ISNUMBER(_xlfn.XMATCH(CONTROL[[#This Row],[VEHIDCODE]],GRAPHICS_PROPERTIES[VEHIDCODE],0))</f>
        <v>1</v>
      </c>
      <c r="O702" s="30" t="str">
        <f>"item_"&amp;CONTROL[[#This Row],[VEHIDCODE]]</f>
        <v>item_mu_Wagon_Gen6_Flatcar</v>
      </c>
      <c r="P702" s="30" t="str">
        <f>"str_"&amp;CONTROL[[#This Row],[VEHIDCODE]]</f>
        <v>str_mu_Wagon_Gen6_Flatcar</v>
      </c>
      <c r="Q702" s="10" t="b">
        <f>_xlfn.XLOOKUP(CONTROL[[#This Row],[VEHIDCODE]],PROPERTIES[VEHIDCODE],PROPERTIES[EXCLUDE])</f>
        <v>0</v>
      </c>
    </row>
    <row r="703" spans="1:17">
      <c r="A703" s="2" t="s">
        <v>836</v>
      </c>
      <c r="B703" s="30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43" t="s">
        <v>1586</v>
      </c>
      <c r="G703" t="s">
        <v>1696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Row],[VEHIDCODE]],roster!A:A,roster!C:C))</f>
        <v>1</v>
      </c>
      <c r="N703" t="b">
        <f>ISNUMBER(_xlfn.XMATCH(CONTROL[[#This Row],[VEHIDCODE]],GRAPHICS_PROPERTIES[VEHIDCODE],0))</f>
        <v>1</v>
      </c>
      <c r="O703" s="30" t="str">
        <f>"item_"&amp;CONTROL[[#This Row],[VEHIDCODE]]</f>
        <v>item_mu_Wagon_Gen6_Heavy_Flatcar</v>
      </c>
      <c r="P703" s="30" t="str">
        <f>"str_"&amp;CONTROL[[#This Row],[VEHIDCODE]]</f>
        <v>str_mu_Wagon_Gen6_Heavy_Flatcar</v>
      </c>
      <c r="Q703" s="10" t="b">
        <f>_xlfn.XLOOKUP(CONTROL[[#This Row],[VEHIDCODE]],PROPERTIES[VEHIDCODE],PROPERTIES[EXCLUDE])</f>
        <v>0</v>
      </c>
    </row>
    <row r="704" spans="1:17">
      <c r="A704" s="2" t="s">
        <v>837</v>
      </c>
      <c r="B704" s="30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43" t="s">
        <v>2943</v>
      </c>
      <c r="G704" t="s">
        <v>1696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Row],[VEHIDCODE]],roster!A:A,roster!C:C))</f>
        <v>1</v>
      </c>
      <c r="N704" t="b">
        <f>ISNUMBER(_xlfn.XMATCH(CONTROL[[#This Row],[VEHIDCODE]],GRAPHICS_PROPERTIES[VEHIDCODE],0))</f>
        <v>1</v>
      </c>
      <c r="O704" s="30" t="str">
        <f>"item_"&amp;CONTROL[[#This Row],[VEHIDCODE]]</f>
        <v>item_mu_Wagon_Gen6_Boxcar_Type1</v>
      </c>
      <c r="P704" s="30" t="str">
        <f>"str_"&amp;CONTROL[[#This Row],[VEHIDCODE]]</f>
        <v>str_mu_Wagon_Gen6_Boxcar_Type1</v>
      </c>
      <c r="Q704" s="10" t="b">
        <f>_xlfn.XLOOKUP(CONTROL[[#This Row],[VEHIDCODE]],PROPERTIES[VEHIDCODE],PROPERTIES[EXCLUDE])</f>
        <v>0</v>
      </c>
    </row>
    <row r="705" spans="1:17">
      <c r="A705" s="2" t="s">
        <v>838</v>
      </c>
      <c r="B705" s="30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43" t="s">
        <v>2958</v>
      </c>
      <c r="G705" t="s">
        <v>1696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Row],[VEHIDCODE]],roster!A:A,roster!C:C))</f>
        <v>1</v>
      </c>
      <c r="N705" t="b">
        <f>ISNUMBER(_xlfn.XMATCH(CONTROL[[#This Row],[VEHIDCODE]],GRAPHICS_PROPERTIES[VEHIDCODE],0))</f>
        <v>1</v>
      </c>
      <c r="O705" s="30" t="str">
        <f>"item_"&amp;CONTROL[[#This Row],[VEHIDCODE]]</f>
        <v>item_mu_Wagon_Gen6_Boxcar_Type2</v>
      </c>
      <c r="P705" s="30" t="str">
        <f>"str_"&amp;CONTROL[[#This Row],[VEHIDCODE]]</f>
        <v>str_mu_Wagon_Gen6_Boxcar_Type2</v>
      </c>
      <c r="Q705" s="10" t="b">
        <f>_xlfn.XLOOKUP(CONTROL[[#This Row],[VEHIDCODE]],PROPERTIES[VEHIDCODE],PROPERTIES[EXCLUDE])</f>
        <v>0</v>
      </c>
    </row>
    <row r="706" spans="1:17">
      <c r="A706" s="2" t="s">
        <v>839</v>
      </c>
      <c r="B706" s="30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43" t="s">
        <v>1587</v>
      </c>
      <c r="G706" t="s">
        <v>1696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Row],[VEHIDCODE]],roster!A:A,roster!C:C))</f>
        <v>1</v>
      </c>
      <c r="N706" t="b">
        <f>ISNUMBER(_xlfn.XMATCH(CONTROL[[#This Row],[VEHIDCODE]],GRAPHICS_PROPERTIES[VEHIDCODE],0))</f>
        <v>1</v>
      </c>
      <c r="O706" s="30" t="str">
        <f>"item_"&amp;CONTROL[[#This Row],[VEHIDCODE]]</f>
        <v>item_mu_Wagon_Gen6_Tanker</v>
      </c>
      <c r="P706" s="30" t="str">
        <f>"str_"&amp;CONTROL[[#This Row],[VEHIDCODE]]</f>
        <v>str_mu_Wagon_Gen6_Tanker</v>
      </c>
      <c r="Q706" s="10" t="b">
        <f>_xlfn.XLOOKUP(CONTROL[[#This Row],[VEHIDCODE]],PROPERTIES[VEHIDCODE],PROPERTIES[EXCLUDE])</f>
        <v>0</v>
      </c>
    </row>
    <row r="707" spans="1:17">
      <c r="A707" s="2" t="s">
        <v>840</v>
      </c>
      <c r="B707" s="30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43" t="s">
        <v>1588</v>
      </c>
      <c r="G707" t="s">
        <v>1696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Row],[VEHIDCODE]],roster!A:A,roster!C:C))</f>
        <v>1</v>
      </c>
      <c r="N707" t="b">
        <f>ISNUMBER(_xlfn.XMATCH(CONTROL[[#This Row],[VEHIDCODE]],GRAPHICS_PROPERTIES[VEHIDCODE],0))</f>
        <v>1</v>
      </c>
      <c r="O707" s="30" t="str">
        <f>"item_"&amp;CONTROL[[#This Row],[VEHIDCODE]]</f>
        <v>item_mu_Wagon_Gen6_Gondola</v>
      </c>
      <c r="P707" s="30" t="str">
        <f>"str_"&amp;CONTROL[[#This Row],[VEHIDCODE]]</f>
        <v>str_mu_Wagon_Gen6_Gondola</v>
      </c>
      <c r="Q707" s="10" t="b">
        <f>_xlfn.XLOOKUP(CONTROL[[#This Row],[VEHIDCODE]],PROPERTIES[VEHIDCODE],PROPERTIES[EXCLUDE])</f>
        <v>0</v>
      </c>
    </row>
    <row r="708" spans="1:17">
      <c r="A708" s="2" t="s">
        <v>841</v>
      </c>
      <c r="B708" s="30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43" t="s">
        <v>2944</v>
      </c>
      <c r="G708" t="s">
        <v>1696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Row],[VEHIDCODE]],roster!A:A,roster!C:C))</f>
        <v>1</v>
      </c>
      <c r="N708" t="b">
        <f>ISNUMBER(_xlfn.XMATCH(CONTROL[[#This Row],[VEHIDCODE]],GRAPHICS_PROPERTIES[VEHIDCODE],0))</f>
        <v>1</v>
      </c>
      <c r="O708" s="30" t="str">
        <f>"item_"&amp;CONTROL[[#This Row],[VEHIDCODE]]</f>
        <v>item_mu_Wagon_Gen6_Silo_Type1</v>
      </c>
      <c r="P708" s="30" t="str">
        <f>"str_"&amp;CONTROL[[#This Row],[VEHIDCODE]]</f>
        <v>str_mu_Wagon_Gen6_Silo_Type1</v>
      </c>
      <c r="Q708" s="10" t="b">
        <f>_xlfn.XLOOKUP(CONTROL[[#This Row],[VEHIDCODE]],PROPERTIES[VEHIDCODE],PROPERTIES[EXCLUDE])</f>
        <v>0</v>
      </c>
    </row>
    <row r="709" spans="1:17">
      <c r="A709" s="2" t="s">
        <v>842</v>
      </c>
      <c r="B709" s="30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43" t="s">
        <v>2959</v>
      </c>
      <c r="G709" t="s">
        <v>1696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Row],[VEHIDCODE]],roster!A:A,roster!C:C))</f>
        <v>1</v>
      </c>
      <c r="N709" t="b">
        <f>ISNUMBER(_xlfn.XMATCH(CONTROL[[#This Row],[VEHIDCODE]],GRAPHICS_PROPERTIES[VEHIDCODE],0))</f>
        <v>1</v>
      </c>
      <c r="O709" s="30" t="str">
        <f>"item_"&amp;CONTROL[[#This Row],[VEHIDCODE]]</f>
        <v>item_mu_Wagon_Gen6_Silo_Type2</v>
      </c>
      <c r="P709" s="30" t="str">
        <f>"str_"&amp;CONTROL[[#This Row],[VEHIDCODE]]</f>
        <v>str_mu_Wagon_Gen6_Silo_Type2</v>
      </c>
      <c r="Q709" s="10" t="b">
        <f>_xlfn.XLOOKUP(CONTROL[[#This Row],[VEHIDCODE]],PROPERTIES[VEHIDCODE],PROPERTIES[EXCLUDE])</f>
        <v>0</v>
      </c>
    </row>
    <row r="710" spans="1:17">
      <c r="A710" s="2" t="s">
        <v>843</v>
      </c>
      <c r="B710" s="30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43" t="s">
        <v>2945</v>
      </c>
      <c r="G710" t="s">
        <v>1696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Row],[VEHIDCODE]],roster!A:A,roster!C:C))</f>
        <v>1</v>
      </c>
      <c r="N710" t="b">
        <f>ISNUMBER(_xlfn.XMATCH(CONTROL[[#This Row],[VEHIDCODE]],GRAPHICS_PROPERTIES[VEHIDCODE],0))</f>
        <v>1</v>
      </c>
      <c r="O710" s="30" t="str">
        <f>"item_"&amp;CONTROL[[#This Row],[VEHIDCODE]]</f>
        <v>item_mu_Wagon_Gen6_Hopper_Type1</v>
      </c>
      <c r="P710" s="30" t="str">
        <f>"str_"&amp;CONTROL[[#This Row],[VEHIDCODE]]</f>
        <v>str_mu_Wagon_Gen6_Hopper_Type1</v>
      </c>
      <c r="Q710" s="10" t="b">
        <f>_xlfn.XLOOKUP(CONTROL[[#This Row],[VEHIDCODE]],PROPERTIES[VEHIDCODE],PROPERTIES[EXCLUDE])</f>
        <v>0</v>
      </c>
    </row>
    <row r="711" spans="1:17">
      <c r="A711" s="2" t="s">
        <v>844</v>
      </c>
      <c r="B711" s="30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43" t="s">
        <v>2960</v>
      </c>
      <c r="G711" t="s">
        <v>1696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Row],[VEHIDCODE]],roster!A:A,roster!C:C))</f>
        <v>1</v>
      </c>
      <c r="N711" t="b">
        <f>ISNUMBER(_xlfn.XMATCH(CONTROL[[#This Row],[VEHIDCODE]],GRAPHICS_PROPERTIES[VEHIDCODE],0))</f>
        <v>1</v>
      </c>
      <c r="O711" s="30" t="str">
        <f>"item_"&amp;CONTROL[[#This Row],[VEHIDCODE]]</f>
        <v>item_mu_Wagon_Gen6_Hopper_Type2</v>
      </c>
      <c r="P711" s="30" t="str">
        <f>"str_"&amp;CONTROL[[#This Row],[VEHIDCODE]]</f>
        <v>str_mu_Wagon_Gen6_Hopper_Type2</v>
      </c>
      <c r="Q711" s="10" t="b">
        <f>_xlfn.XLOOKUP(CONTROL[[#This Row],[VEHIDCODE]],PROPERTIES[VEHIDCODE],PROPERTIES[EXCLUDE])</f>
        <v>0</v>
      </c>
    </row>
    <row r="712" spans="1:17">
      <c r="A712" s="2" t="s">
        <v>845</v>
      </c>
      <c r="B712" s="30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43" t="s">
        <v>1589</v>
      </c>
      <c r="G712" t="s">
        <v>1696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Row],[VEHIDCODE]],roster!A:A,roster!C:C))</f>
        <v>1</v>
      </c>
      <c r="N712" t="b">
        <f>ISNUMBER(_xlfn.XMATCH(CONTROL[[#This Row],[VEHIDCODE]],GRAPHICS_PROPERTIES[VEHIDCODE],0))</f>
        <v>1</v>
      </c>
      <c r="O712" s="30" t="str">
        <f>"item_"&amp;CONTROL[[#This Row],[VEHIDCODE]]</f>
        <v>item_mu_Wagon_Gen6_Car_Transporter</v>
      </c>
      <c r="P712" s="30" t="str">
        <f>"str_"&amp;CONTROL[[#This Row],[VEHIDCODE]]</f>
        <v>str_mu_Wagon_Gen6_Car_Transporter</v>
      </c>
      <c r="Q712" s="10" t="b">
        <f>_xlfn.XLOOKUP(CONTROL[[#This Row],[VEHIDCODE]],PROPERTIES[VEHIDCODE],PROPERTIES[EXCLUDE])</f>
        <v>0</v>
      </c>
    </row>
    <row r="713" spans="1:17">
      <c r="A713" s="2" t="s">
        <v>846</v>
      </c>
      <c r="B713" s="30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43" t="s">
        <v>1590</v>
      </c>
      <c r="G713" t="s">
        <v>1696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Row],[VEHIDCODE]],roster!A:A,roster!C:C))</f>
        <v>1</v>
      </c>
      <c r="N713" t="b">
        <f>ISNUMBER(_xlfn.XMATCH(CONTROL[[#This Row],[VEHIDCODE]],GRAPHICS_PROPERTIES[VEHIDCODE],0))</f>
        <v>1</v>
      </c>
      <c r="O713" s="30" t="str">
        <f>"item_"&amp;CONTROL[[#This Row],[VEHIDCODE]]</f>
        <v>item_mu_Wagon_Gen6_Container_Carrier</v>
      </c>
      <c r="P713" s="30" t="str">
        <f>"str_"&amp;CONTROL[[#This Row],[VEHIDCODE]]</f>
        <v>str_mu_Wagon_Gen6_Container_Carrier</v>
      </c>
      <c r="Q713" s="10" t="b">
        <f>_xlfn.XLOOKUP(CONTROL[[#This Row],[VEHIDCODE]],PROPERTIES[VEHIDCODE],PROPERTIES[EXCLUDE])</f>
        <v>0</v>
      </c>
    </row>
    <row r="714" spans="1:17">
      <c r="A714" s="2" t="s">
        <v>847</v>
      </c>
      <c r="B714" s="30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43" t="s">
        <v>1591</v>
      </c>
      <c r="G714" t="s">
        <v>1696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Row],[VEHIDCODE]],roster!A:A,roster!C:C))</f>
        <v>1</v>
      </c>
      <c r="N714" t="b">
        <f>ISNUMBER(_xlfn.XMATCH(CONTROL[[#This Row],[VEHIDCODE]],GRAPHICS_PROPERTIES[VEHIDCODE],0))</f>
        <v>1</v>
      </c>
      <c r="O714" s="30" t="str">
        <f>"item_"&amp;CONTROL[[#This Row],[VEHIDCODE]]</f>
        <v>item_mu_Wagon_Gen6_Centerbeam</v>
      </c>
      <c r="P714" s="30" t="str">
        <f>"str_"&amp;CONTROL[[#This Row],[VEHIDCODE]]</f>
        <v>str_mu_Wagon_Gen6_Centerbeam</v>
      </c>
      <c r="Q714" s="10" t="b">
        <f>_xlfn.XLOOKUP(CONTROL[[#This Row],[VEHIDCODE]],PROPERTIES[VEHIDCODE],PROPERTIES[EXCLUDE])</f>
        <v>0</v>
      </c>
    </row>
    <row r="715" spans="1:17">
      <c r="A715" s="2" t="s">
        <v>848</v>
      </c>
      <c r="B715" s="30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43" t="s">
        <v>1592</v>
      </c>
      <c r="G715" t="s">
        <v>1696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Row],[VEHIDCODE]],roster!A:A,roster!C:C))</f>
        <v>1</v>
      </c>
      <c r="N715" t="b">
        <f>ISNUMBER(_xlfn.XMATCH(CONTROL[[#This Row],[VEHIDCODE]],GRAPHICS_PROPERTIES[VEHIDCODE],0))</f>
        <v>1</v>
      </c>
      <c r="O715" s="30" t="str">
        <f>"item_"&amp;CONTROL[[#This Row],[VEHIDCODE]]</f>
        <v>item_mu_Wagon_Gen6_Container_Doublestack</v>
      </c>
      <c r="P715" s="30" t="str">
        <f>"str_"&amp;CONTROL[[#This Row],[VEHIDCODE]]</f>
        <v>str_mu_Wagon_Gen6_Container_Doublestack</v>
      </c>
      <c r="Q715" s="10" t="b">
        <f>_xlfn.XLOOKUP(CONTROL[[#This Row],[VEHIDCODE]],PROPERTIES[VEHIDCODE],PROPERTIES[EXCLUDE])</f>
        <v>0</v>
      </c>
    </row>
    <row r="716" spans="1:17">
      <c r="A716" s="2" t="s">
        <v>849</v>
      </c>
      <c r="B716" s="30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43" t="s">
        <v>1593</v>
      </c>
      <c r="G716" t="s">
        <v>1696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Row],[VEHIDCODE]],roster!A:A,roster!C:C))</f>
        <v>1</v>
      </c>
      <c r="N716" t="b">
        <f>ISNUMBER(_xlfn.XMATCH(CONTROL[[#This Row],[VEHIDCODE]],GRAPHICS_PROPERTIES[VEHIDCODE],0))</f>
        <v>1</v>
      </c>
      <c r="O716" s="30" t="str">
        <f>"item_"&amp;CONTROL[[#This Row],[VEHIDCODE]]</f>
        <v>item_mu_Wagon_Gen6_Superheavy_Flatcar</v>
      </c>
      <c r="P716" s="30" t="str">
        <f>"str_"&amp;CONTROL[[#This Row],[VEHIDCODE]]</f>
        <v>str_mu_Wagon_Gen6_Superheavy_Flatcar</v>
      </c>
      <c r="Q716" s="10" t="b">
        <f>_xlfn.XLOOKUP(CONTROL[[#This Row],[VEHIDCODE]],PROPERTIES[VEHIDCODE],PROPERTIES[EXCLUDE])</f>
        <v>0</v>
      </c>
    </row>
    <row r="717" spans="1:17">
      <c r="A717" s="2" t="s">
        <v>864</v>
      </c>
      <c r="B717" s="30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43" t="s">
        <v>2919</v>
      </c>
      <c r="G717" t="s">
        <v>1696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Row],[VEHIDCODE]],roster!A:A,roster!C:C))</f>
        <v>1</v>
      </c>
      <c r="N717" t="b">
        <f>ISNUMBER(_xlfn.XMATCH(CONTROL[[#This Row],[VEHIDCODE]],GRAPHICS_PROPERTIES[VEHIDCODE],0))</f>
        <v>1</v>
      </c>
      <c r="O717" s="30" t="str">
        <f>"item_"&amp;CONTROL[[#This Row],[VEHIDCODE]]</f>
        <v>item_mu_Wagon_Service_Car_Type1</v>
      </c>
      <c r="P717" s="30" t="str">
        <f>"str_"&amp;CONTROL[[#This Row],[VEHIDCODE]]</f>
        <v>str_mu_Wagon_Service_Car_Type1</v>
      </c>
      <c r="Q717" s="10" t="b">
        <f>_xlfn.XLOOKUP(CONTROL[[#This Row],[VEHIDCODE]],PROPERTIES[VEHIDCODE],PROPERTIES[EXCLUDE])</f>
        <v>0</v>
      </c>
    </row>
    <row r="718" spans="1:17">
      <c r="A718" s="2" t="s">
        <v>865</v>
      </c>
      <c r="B718" s="30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43" t="s">
        <v>2920</v>
      </c>
      <c r="G718" t="s">
        <v>1696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Row],[VEHIDCODE]],roster!A:A,roster!C:C))</f>
        <v>1</v>
      </c>
      <c r="N718" t="b">
        <f>ISNUMBER(_xlfn.XMATCH(CONTROL[[#This Row],[VEHIDCODE]],GRAPHICS_PROPERTIES[VEHIDCODE],0))</f>
        <v>1</v>
      </c>
      <c r="O718" s="30" t="str">
        <f>"item_"&amp;CONTROL[[#This Row],[VEHIDCODE]]</f>
        <v>item_mu_Wagon_Service_Car_Type2</v>
      </c>
      <c r="P718" s="30" t="str">
        <f>"str_"&amp;CONTROL[[#This Row],[VEHIDCODE]]</f>
        <v>str_mu_Wagon_Service_Car_Type2</v>
      </c>
      <c r="Q718" s="10" t="b">
        <f>_xlfn.XLOOKUP(CONTROL[[#This Row],[VEHIDCODE]],PROPERTIES[VEHIDCODE],PROPERTIES[EXCLUDE])</f>
        <v>0</v>
      </c>
    </row>
    <row r="719" spans="1:17">
      <c r="A719" s="2" t="s">
        <v>721</v>
      </c>
      <c r="B719" s="30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43" t="s">
        <v>1594</v>
      </c>
      <c r="G719" t="s">
        <v>1696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Row],[VEHIDCODE]],roster!A:A,roster!C:C))</f>
        <v>1</v>
      </c>
      <c r="N719" t="b">
        <f>ISNUMBER(_xlfn.XMATCH(CONTROL[[#This Row],[VEHIDCODE]],GRAPHICS_PROPERTIES[VEHIDCODE],0))</f>
        <v>1</v>
      </c>
      <c r="O719" s="30" t="str">
        <f>"item_"&amp;CONTROL[[#This Row],[VEHIDCODE]]</f>
        <v>item_mu_Coach_Gen1_Wooden_2_axle_Compartment_Coach</v>
      </c>
      <c r="P719" s="30" t="str">
        <f>"str_"&amp;CONTROL[[#This Row],[VEHIDCODE]]</f>
        <v>str_mu_Coach_Gen1_Wooden_2_axle_Compartment_Coach</v>
      </c>
      <c r="Q719" s="10" t="b">
        <f>_xlfn.XLOOKUP(CONTROL[[#This Row],[VEHIDCODE]],PROPERTIES[VEHIDCODE],PROPERTIES[EXCLUDE])</f>
        <v>0</v>
      </c>
    </row>
    <row r="720" spans="1:17">
      <c r="A720" s="2" t="s">
        <v>722</v>
      </c>
      <c r="B720" s="30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43" t="s">
        <v>1595</v>
      </c>
      <c r="G720" t="s">
        <v>1696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Row],[VEHIDCODE]],roster!A:A,roster!C:C))</f>
        <v>1</v>
      </c>
      <c r="N720" t="b">
        <f>ISNUMBER(_xlfn.XMATCH(CONTROL[[#This Row],[VEHIDCODE]],GRAPHICS_PROPERTIES[VEHIDCODE],0))</f>
        <v>1</v>
      </c>
      <c r="O720" s="30" t="str">
        <f>"item_"&amp;CONTROL[[#This Row],[VEHIDCODE]]</f>
        <v>item_mu_Coach_Gen1_Wooden_2_axle_Regional_Coach</v>
      </c>
      <c r="P720" s="30" t="str">
        <f>"str_"&amp;CONTROL[[#This Row],[VEHIDCODE]]</f>
        <v>str_mu_Coach_Gen1_Wooden_2_axle_Regional_Coach</v>
      </c>
      <c r="Q720" s="10" t="b">
        <f>_xlfn.XLOOKUP(CONTROL[[#This Row],[VEHIDCODE]],PROPERTIES[VEHIDCODE],PROPERTIES[EXCLUDE])</f>
        <v>0</v>
      </c>
    </row>
    <row r="721" spans="1:17">
      <c r="A721" s="2" t="s">
        <v>723</v>
      </c>
      <c r="B721" s="30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43" t="s">
        <v>1596</v>
      </c>
      <c r="G721" t="s">
        <v>1696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Row],[VEHIDCODE]],roster!A:A,roster!C:C))</f>
        <v>1</v>
      </c>
      <c r="N721" t="b">
        <f>ISNUMBER(_xlfn.XMATCH(CONTROL[[#This Row],[VEHIDCODE]],GRAPHICS_PROPERTIES[VEHIDCODE],0))</f>
        <v>1</v>
      </c>
      <c r="O721" s="30" t="str">
        <f>"item_"&amp;CONTROL[[#This Row],[VEHIDCODE]]</f>
        <v>item_mu_Coach_Gen1_Wooden_2_axle_Mail_Coach</v>
      </c>
      <c r="P721" s="30" t="str">
        <f>"str_"&amp;CONTROL[[#This Row],[VEHIDCODE]]</f>
        <v>str_mu_Coach_Gen1_Wooden_2_axle_Mail_Coach</v>
      </c>
      <c r="Q721" s="10" t="b">
        <f>_xlfn.XLOOKUP(CONTROL[[#This Row],[VEHIDCODE]],PROPERTIES[VEHIDCODE],PROPERTIES[EXCLUDE])</f>
        <v>0</v>
      </c>
    </row>
    <row r="722" spans="1:17">
      <c r="A722" s="2" t="s">
        <v>724</v>
      </c>
      <c r="B722" s="30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43" t="s">
        <v>1597</v>
      </c>
      <c r="G722" t="s">
        <v>1696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Row],[VEHIDCODE]],roster!A:A,roster!C:C))</f>
        <v>1</v>
      </c>
      <c r="N722" t="b">
        <f>ISNUMBER(_xlfn.XMATCH(CONTROL[[#This Row],[VEHIDCODE]],GRAPHICS_PROPERTIES[VEHIDCODE],0))</f>
        <v>1</v>
      </c>
      <c r="O722" s="30" t="str">
        <f>"item_"&amp;CONTROL[[#This Row],[VEHIDCODE]]</f>
        <v>item_mu_Coach_Gen1_Clerestory_Compartment_Coach</v>
      </c>
      <c r="P722" s="30" t="str">
        <f>"str_"&amp;CONTROL[[#This Row],[VEHIDCODE]]</f>
        <v>str_mu_Coach_Gen1_Clerestory_Compartment_Coach</v>
      </c>
      <c r="Q722" s="10" t="b">
        <f>_xlfn.XLOOKUP(CONTROL[[#This Row],[VEHIDCODE]],PROPERTIES[VEHIDCODE],PROPERTIES[EXCLUDE])</f>
        <v>0</v>
      </c>
    </row>
    <row r="723" spans="1:17">
      <c r="A723" s="2" t="s">
        <v>725</v>
      </c>
      <c r="B723" s="30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43" t="s">
        <v>1598</v>
      </c>
      <c r="G723" t="s">
        <v>1696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Row],[VEHIDCODE]],roster!A:A,roster!C:C))</f>
        <v>1</v>
      </c>
      <c r="N723" t="b">
        <f>ISNUMBER(_xlfn.XMATCH(CONTROL[[#This Row],[VEHIDCODE]],GRAPHICS_PROPERTIES[VEHIDCODE],0))</f>
        <v>1</v>
      </c>
      <c r="O723" s="30" t="str">
        <f>"item_"&amp;CONTROL[[#This Row],[VEHIDCODE]]</f>
        <v>item_mu_Coach_Gen1_Clerestory_Regional_Coach</v>
      </c>
      <c r="P723" s="30" t="str">
        <f>"str_"&amp;CONTROL[[#This Row],[VEHIDCODE]]</f>
        <v>str_mu_Coach_Gen1_Clerestory_Regional_Coach</v>
      </c>
      <c r="Q723" s="10" t="b">
        <f>_xlfn.XLOOKUP(CONTROL[[#This Row],[VEHIDCODE]],PROPERTIES[VEHIDCODE],PROPERTIES[EXCLUDE])</f>
        <v>0</v>
      </c>
    </row>
    <row r="724" spans="1:17">
      <c r="A724" s="2" t="s">
        <v>726</v>
      </c>
      <c r="B724" s="30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43" t="s">
        <v>1599</v>
      </c>
      <c r="G724" t="s">
        <v>1696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Row],[VEHIDCODE]],roster!A:A,roster!C:C))</f>
        <v>1</v>
      </c>
      <c r="N724" t="b">
        <f>ISNUMBER(_xlfn.XMATCH(CONTROL[[#This Row],[VEHIDCODE]],GRAPHICS_PROPERTIES[VEHIDCODE],0))</f>
        <v>1</v>
      </c>
      <c r="O724" s="30" t="str">
        <f>"item_"&amp;CONTROL[[#This Row],[VEHIDCODE]]</f>
        <v>item_mu_Coach_Gen1_Clerestory_Mail_Coach</v>
      </c>
      <c r="P724" s="30" t="str">
        <f>"str_"&amp;CONTROL[[#This Row],[VEHIDCODE]]</f>
        <v>str_mu_Coach_Gen1_Clerestory_Mail_Coach</v>
      </c>
      <c r="Q724" s="10" t="b">
        <f>_xlfn.XLOOKUP(CONTROL[[#This Row],[VEHIDCODE]],PROPERTIES[VEHIDCODE],PROPERTIES[EXCLUDE])</f>
        <v>0</v>
      </c>
    </row>
    <row r="725" spans="1:17">
      <c r="A725" s="2" t="s">
        <v>727</v>
      </c>
      <c r="B725" s="30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43" t="s">
        <v>1600</v>
      </c>
      <c r="G725" t="s">
        <v>1696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Row],[VEHIDCODE]],roster!A:A,roster!C:C))</f>
        <v>1</v>
      </c>
      <c r="N725" t="b">
        <f>ISNUMBER(_xlfn.XMATCH(CONTROL[[#This Row],[VEHIDCODE]],GRAPHICS_PROPERTIES[VEHIDCODE],0))</f>
        <v>1</v>
      </c>
      <c r="O725" s="30" t="str">
        <f>"item_"&amp;CONTROL[[#This Row],[VEHIDCODE]]</f>
        <v>item_mu_Coach_Gen1_Wooden_3_axle_Compartment_Coach</v>
      </c>
      <c r="P725" s="30" t="str">
        <f>"str_"&amp;CONTROL[[#This Row],[VEHIDCODE]]</f>
        <v>str_mu_Coach_Gen1_Wooden_3_axle_Compartment_Coach</v>
      </c>
      <c r="Q725" s="10" t="b">
        <f>_xlfn.XLOOKUP(CONTROL[[#This Row],[VEHIDCODE]],PROPERTIES[VEHIDCODE],PROPERTIES[EXCLUDE])</f>
        <v>0</v>
      </c>
    </row>
    <row r="726" spans="1:17">
      <c r="A726" s="2" t="s">
        <v>728</v>
      </c>
      <c r="B726" s="30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43" t="s">
        <v>1601</v>
      </c>
      <c r="G726" t="s">
        <v>1696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Row],[VEHIDCODE]],roster!A:A,roster!C:C))</f>
        <v>1</v>
      </c>
      <c r="N726" t="b">
        <f>ISNUMBER(_xlfn.XMATCH(CONTROL[[#This Row],[VEHIDCODE]],GRAPHICS_PROPERTIES[VEHIDCODE],0))</f>
        <v>1</v>
      </c>
      <c r="O726" s="30" t="str">
        <f>"item_"&amp;CONTROL[[#This Row],[VEHIDCODE]]</f>
        <v>item_mu_Coach_Gen1_Wooden_3_axle_Regional_Coach</v>
      </c>
      <c r="P726" s="30" t="str">
        <f>"str_"&amp;CONTROL[[#This Row],[VEHIDCODE]]</f>
        <v>str_mu_Coach_Gen1_Wooden_3_axle_Regional_Coach</v>
      </c>
      <c r="Q726" s="10" t="b">
        <f>_xlfn.XLOOKUP(CONTROL[[#This Row],[VEHIDCODE]],PROPERTIES[VEHIDCODE],PROPERTIES[EXCLUDE])</f>
        <v>0</v>
      </c>
    </row>
    <row r="727" spans="1:17">
      <c r="A727" s="2" t="s">
        <v>729</v>
      </c>
      <c r="B727" s="30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43" t="s">
        <v>1602</v>
      </c>
      <c r="G727" t="s">
        <v>1696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Row],[VEHIDCODE]],roster!A:A,roster!C:C))</f>
        <v>1</v>
      </c>
      <c r="N727" t="b">
        <f>ISNUMBER(_xlfn.XMATCH(CONTROL[[#This Row],[VEHIDCODE]],GRAPHICS_PROPERTIES[VEHIDCODE],0))</f>
        <v>1</v>
      </c>
      <c r="O727" s="30" t="str">
        <f>"item_"&amp;CONTROL[[#This Row],[VEHIDCODE]]</f>
        <v>item_mu_Coach_Gen1_Wooden_3_axle_Mail_Coach</v>
      </c>
      <c r="P727" s="30" t="str">
        <f>"str_"&amp;CONTROL[[#This Row],[VEHIDCODE]]</f>
        <v>str_mu_Coach_Gen1_Wooden_3_axle_Mail_Coach</v>
      </c>
      <c r="Q727" s="10" t="b">
        <f>_xlfn.XLOOKUP(CONTROL[[#This Row],[VEHIDCODE]],PROPERTIES[VEHIDCODE],PROPERTIES[EXCLUDE])</f>
        <v>0</v>
      </c>
    </row>
    <row r="728" spans="1:17">
      <c r="A728" s="2" t="s">
        <v>730</v>
      </c>
      <c r="B728" s="30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43" t="s">
        <v>1603</v>
      </c>
      <c r="G728" t="s">
        <v>1696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Row],[VEHIDCODE]],roster!A:A,roster!C:C))</f>
        <v>1</v>
      </c>
      <c r="N728" t="b">
        <f>ISNUMBER(_xlfn.XMATCH(CONTROL[[#This Row],[VEHIDCODE]],GRAPHICS_PROPERTIES[VEHIDCODE],0))</f>
        <v>1</v>
      </c>
      <c r="O728" s="30" t="str">
        <f>"item_"&amp;CONTROL[[#This Row],[VEHIDCODE]]</f>
        <v>item_mu_Coach_Gen2_Heavyweight_Intercity_Coach</v>
      </c>
      <c r="P728" s="30" t="str">
        <f>"str_"&amp;CONTROL[[#This Row],[VEHIDCODE]]</f>
        <v>str_mu_Coach_Gen2_Heavyweight_Intercity_Coach</v>
      </c>
      <c r="Q728" s="10" t="b">
        <f>_xlfn.XLOOKUP(CONTROL[[#This Row],[VEHIDCODE]],PROPERTIES[VEHIDCODE],PROPERTIES[EXCLUDE])</f>
        <v>0</v>
      </c>
    </row>
    <row r="729" spans="1:17">
      <c r="A729" s="2" t="s">
        <v>731</v>
      </c>
      <c r="B729" s="30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43" t="s">
        <v>1604</v>
      </c>
      <c r="G729" t="s">
        <v>1696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Row],[VEHIDCODE]],roster!A:A,roster!C:C))</f>
        <v>1</v>
      </c>
      <c r="N729" t="b">
        <f>ISNUMBER(_xlfn.XMATCH(CONTROL[[#This Row],[VEHIDCODE]],GRAPHICS_PROPERTIES[VEHIDCODE],0))</f>
        <v>1</v>
      </c>
      <c r="O729" s="30" t="str">
        <f>"item_"&amp;CONTROL[[#This Row],[VEHIDCODE]]</f>
        <v>item_mu_Coach_Gen2_Heavyweight_Mail_Coach</v>
      </c>
      <c r="P729" s="30" t="str">
        <f>"str_"&amp;CONTROL[[#This Row],[VEHIDCODE]]</f>
        <v>str_mu_Coach_Gen2_Heavyweight_Mail_Coach</v>
      </c>
      <c r="Q729" s="10" t="b">
        <f>_xlfn.XLOOKUP(CONTROL[[#This Row],[VEHIDCODE]],PROPERTIES[VEHIDCODE],PROPERTIES[EXCLUDE])</f>
        <v>0</v>
      </c>
    </row>
    <row r="730" spans="1:17">
      <c r="A730" s="2" t="s">
        <v>732</v>
      </c>
      <c r="B730" s="30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43" t="s">
        <v>1605</v>
      </c>
      <c r="G730" t="s">
        <v>1696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Row],[VEHIDCODE]],roster!A:A,roster!C:C))</f>
        <v>1</v>
      </c>
      <c r="N730" t="b">
        <f>ISNUMBER(_xlfn.XMATCH(CONTROL[[#This Row],[VEHIDCODE]],GRAPHICS_PROPERTIES[VEHIDCODE],0))</f>
        <v>1</v>
      </c>
      <c r="O730" s="30" t="str">
        <f>"item_"&amp;CONTROL[[#This Row],[VEHIDCODE]]</f>
        <v>item_mu_Coach_Gen2_Steel_Intercity_Coach</v>
      </c>
      <c r="P730" s="30" t="str">
        <f>"str_"&amp;CONTROL[[#This Row],[VEHIDCODE]]</f>
        <v>str_mu_Coach_Gen2_Steel_Intercity_Coach</v>
      </c>
      <c r="Q730" s="10" t="b">
        <f>_xlfn.XLOOKUP(CONTROL[[#This Row],[VEHIDCODE]],PROPERTIES[VEHIDCODE],PROPERTIES[EXCLUDE])</f>
        <v>0</v>
      </c>
    </row>
    <row r="731" spans="1:17">
      <c r="A731" s="2" t="s">
        <v>733</v>
      </c>
      <c r="B731" s="30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43" t="s">
        <v>1606</v>
      </c>
      <c r="G731" t="s">
        <v>1696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Row],[VEHIDCODE]],roster!A:A,roster!C:C))</f>
        <v>1</v>
      </c>
      <c r="N731" t="b">
        <f>ISNUMBER(_xlfn.XMATCH(CONTROL[[#This Row],[VEHIDCODE]],GRAPHICS_PROPERTIES[VEHIDCODE],0))</f>
        <v>1</v>
      </c>
      <c r="O731" s="30" t="str">
        <f>"item_"&amp;CONTROL[[#This Row],[VEHIDCODE]]</f>
        <v>item_mu_Coach_Gen2_Steel_Compartment_Coach</v>
      </c>
      <c r="P731" s="30" t="str">
        <f>"str_"&amp;CONTROL[[#This Row],[VEHIDCODE]]</f>
        <v>str_mu_Coach_Gen2_Steel_Compartment_Coach</v>
      </c>
      <c r="Q731" s="10" t="b">
        <f>_xlfn.XLOOKUP(CONTROL[[#This Row],[VEHIDCODE]],PROPERTIES[VEHIDCODE],PROPERTIES[EXCLUDE])</f>
        <v>0</v>
      </c>
    </row>
    <row r="732" spans="1:17">
      <c r="A732" s="2" t="s">
        <v>734</v>
      </c>
      <c r="B732" s="30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43" t="s">
        <v>1607</v>
      </c>
      <c r="G732" t="s">
        <v>1696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Row],[VEHIDCODE]],roster!A:A,roster!C:C))</f>
        <v>1</v>
      </c>
      <c r="N732" t="b">
        <f>ISNUMBER(_xlfn.XMATCH(CONTROL[[#This Row],[VEHIDCODE]],GRAPHICS_PROPERTIES[VEHIDCODE],0))</f>
        <v>1</v>
      </c>
      <c r="O732" s="30" t="str">
        <f>"item_"&amp;CONTROL[[#This Row],[VEHIDCODE]]</f>
        <v>item_mu_Coach_Gen2_Steel_Regional_Coach</v>
      </c>
      <c r="P732" s="30" t="str">
        <f>"str_"&amp;CONTROL[[#This Row],[VEHIDCODE]]</f>
        <v>str_mu_Coach_Gen2_Steel_Regional_Coach</v>
      </c>
      <c r="Q732" s="10" t="b">
        <f>_xlfn.XLOOKUP(CONTROL[[#This Row],[VEHIDCODE]],PROPERTIES[VEHIDCODE],PROPERTIES[EXCLUDE])</f>
        <v>0</v>
      </c>
    </row>
    <row r="733" spans="1:17">
      <c r="A733" s="2" t="s">
        <v>735</v>
      </c>
      <c r="B733" s="30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43" t="s">
        <v>1608</v>
      </c>
      <c r="G733" t="s">
        <v>1696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Row],[VEHIDCODE]],roster!A:A,roster!C:C))</f>
        <v>1</v>
      </c>
      <c r="N733" t="b">
        <f>ISNUMBER(_xlfn.XMATCH(CONTROL[[#This Row],[VEHIDCODE]],GRAPHICS_PROPERTIES[VEHIDCODE],0))</f>
        <v>1</v>
      </c>
      <c r="O733" s="30" t="str">
        <f>"item_"&amp;CONTROL[[#This Row],[VEHIDCODE]]</f>
        <v>item_mu_Coach_Gen2_Steel_Mail_Coach</v>
      </c>
      <c r="P733" s="30" t="str">
        <f>"str_"&amp;CONTROL[[#This Row],[VEHIDCODE]]</f>
        <v>str_mu_Coach_Gen2_Steel_Mail_Coach</v>
      </c>
      <c r="Q733" s="10" t="b">
        <f>_xlfn.XLOOKUP(CONTROL[[#This Row],[VEHIDCODE]],PROPERTIES[VEHIDCODE],PROPERTIES[EXCLUDE])</f>
        <v>0</v>
      </c>
    </row>
    <row r="734" spans="1:17">
      <c r="A734" s="2" t="s">
        <v>736</v>
      </c>
      <c r="B734" s="30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43" t="s">
        <v>1609</v>
      </c>
      <c r="G734" t="s">
        <v>1696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Row],[VEHIDCODE]],roster!A:A,roster!C:C))</f>
        <v>1</v>
      </c>
      <c r="N734" t="b">
        <f>ISNUMBER(_xlfn.XMATCH(CONTROL[[#This Row],[VEHIDCODE]],GRAPHICS_PROPERTIES[VEHIDCODE],0))</f>
        <v>1</v>
      </c>
      <c r="O734" s="30" t="str">
        <f>"item_"&amp;CONTROL[[#This Row],[VEHIDCODE]]</f>
        <v>item_mu_Coach_Gen2_Steel_2_axle_Compartment_Coach</v>
      </c>
      <c r="P734" s="30" t="str">
        <f>"str_"&amp;CONTROL[[#This Row],[VEHIDCODE]]</f>
        <v>str_mu_Coach_Gen2_Steel_2_axle_Compartment_Coach</v>
      </c>
      <c r="Q734" s="10" t="b">
        <f>_xlfn.XLOOKUP(CONTROL[[#This Row],[VEHIDCODE]],PROPERTIES[VEHIDCODE],PROPERTIES[EXCLUDE])</f>
        <v>0</v>
      </c>
    </row>
    <row r="735" spans="1:17">
      <c r="A735" s="2" t="s">
        <v>737</v>
      </c>
      <c r="B735" s="30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43" t="s">
        <v>1610</v>
      </c>
      <c r="G735" t="s">
        <v>1696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Row],[VEHIDCODE]],roster!A:A,roster!C:C))</f>
        <v>1</v>
      </c>
      <c r="N735" t="b">
        <f>ISNUMBER(_xlfn.XMATCH(CONTROL[[#This Row],[VEHIDCODE]],GRAPHICS_PROPERTIES[VEHIDCODE],0))</f>
        <v>1</v>
      </c>
      <c r="O735" s="30" t="str">
        <f>"item_"&amp;CONTROL[[#This Row],[VEHIDCODE]]</f>
        <v>item_mu_Coach_Gen2_Steel_2_axle_Regional_Coach</v>
      </c>
      <c r="P735" s="30" t="str">
        <f>"str_"&amp;CONTROL[[#This Row],[VEHIDCODE]]</f>
        <v>str_mu_Coach_Gen2_Steel_2_axle_Regional_Coach</v>
      </c>
      <c r="Q735" s="10" t="b">
        <f>_xlfn.XLOOKUP(CONTROL[[#This Row],[VEHIDCODE]],PROPERTIES[VEHIDCODE],PROPERTIES[EXCLUDE])</f>
        <v>0</v>
      </c>
    </row>
    <row r="736" spans="1:17">
      <c r="A736" s="2" t="s">
        <v>738</v>
      </c>
      <c r="B736" s="30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43" t="s">
        <v>1611</v>
      </c>
      <c r="G736" t="s">
        <v>1696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Row],[VEHIDCODE]],roster!A:A,roster!C:C))</f>
        <v>1</v>
      </c>
      <c r="N736" t="b">
        <f>ISNUMBER(_xlfn.XMATCH(CONTROL[[#This Row],[VEHIDCODE]],GRAPHICS_PROPERTIES[VEHIDCODE],0))</f>
        <v>1</v>
      </c>
      <c r="O736" s="30" t="str">
        <f>"item_"&amp;CONTROL[[#This Row],[VEHIDCODE]]</f>
        <v>item_mu_Coach_Gen2_Steel_2_axle_Mail_Coach</v>
      </c>
      <c r="P736" s="30" t="str">
        <f>"str_"&amp;CONTROL[[#This Row],[VEHIDCODE]]</f>
        <v>str_mu_Coach_Gen2_Steel_2_axle_Mail_Coach</v>
      </c>
      <c r="Q736" s="10" t="b">
        <f>_xlfn.XLOOKUP(CONTROL[[#This Row],[VEHIDCODE]],PROPERTIES[VEHIDCODE],PROPERTIES[EXCLUDE])</f>
        <v>0</v>
      </c>
    </row>
    <row r="737" spans="1:17">
      <c r="A737" s="2" t="s">
        <v>739</v>
      </c>
      <c r="B737" s="30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43" t="s">
        <v>1612</v>
      </c>
      <c r="G737" t="s">
        <v>1696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Row],[VEHIDCODE]],roster!A:A,roster!C:C))</f>
        <v>1</v>
      </c>
      <c r="N737" t="b">
        <f>ISNUMBER(_xlfn.XMATCH(CONTROL[[#This Row],[VEHIDCODE]],GRAPHICS_PROPERTIES[VEHIDCODE],0))</f>
        <v>1</v>
      </c>
      <c r="O737" s="30" t="str">
        <f>"item_"&amp;CONTROL[[#This Row],[VEHIDCODE]]</f>
        <v>item_mu_Coach_Gen2_Steel_3_axle_Compartment_Coach</v>
      </c>
      <c r="P737" s="30" t="str">
        <f>"str_"&amp;CONTROL[[#This Row],[VEHIDCODE]]</f>
        <v>str_mu_Coach_Gen2_Steel_3_axle_Compartment_Coach</v>
      </c>
      <c r="Q737" s="10" t="b">
        <f>_xlfn.XLOOKUP(CONTROL[[#This Row],[VEHIDCODE]],PROPERTIES[VEHIDCODE],PROPERTIES[EXCLUDE])</f>
        <v>0</v>
      </c>
    </row>
    <row r="738" spans="1:17">
      <c r="A738" s="2" t="s">
        <v>740</v>
      </c>
      <c r="B738" s="30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43" t="s">
        <v>1613</v>
      </c>
      <c r="G738" t="s">
        <v>1696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Row],[VEHIDCODE]],roster!A:A,roster!C:C))</f>
        <v>1</v>
      </c>
      <c r="N738" t="b">
        <f>ISNUMBER(_xlfn.XMATCH(CONTROL[[#This Row],[VEHIDCODE]],GRAPHICS_PROPERTIES[VEHIDCODE],0))</f>
        <v>1</v>
      </c>
      <c r="O738" s="30" t="str">
        <f>"item_"&amp;CONTROL[[#This Row],[VEHIDCODE]]</f>
        <v>item_mu_Coach_Gen2_Steel_3_axle_Regional_Coach</v>
      </c>
      <c r="P738" s="30" t="str">
        <f>"str_"&amp;CONTROL[[#This Row],[VEHIDCODE]]</f>
        <v>str_mu_Coach_Gen2_Steel_3_axle_Regional_Coach</v>
      </c>
      <c r="Q738" s="10" t="b">
        <f>_xlfn.XLOOKUP(CONTROL[[#This Row],[VEHIDCODE]],PROPERTIES[VEHIDCODE],PROPERTIES[EXCLUDE])</f>
        <v>0</v>
      </c>
    </row>
    <row r="739" spans="1:17">
      <c r="A739" s="2" t="s">
        <v>741</v>
      </c>
      <c r="B739" s="30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43" t="s">
        <v>1614</v>
      </c>
      <c r="G739" t="s">
        <v>1696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Row],[VEHIDCODE]],roster!A:A,roster!C:C))</f>
        <v>1</v>
      </c>
      <c r="N739" t="b">
        <f>ISNUMBER(_xlfn.XMATCH(CONTROL[[#This Row],[VEHIDCODE]],GRAPHICS_PROPERTIES[VEHIDCODE],0))</f>
        <v>1</v>
      </c>
      <c r="O739" s="30" t="str">
        <f>"item_"&amp;CONTROL[[#This Row],[VEHIDCODE]]</f>
        <v>item_mu_Coach_Gen2_Steel_3_axle_Mail_Coach</v>
      </c>
      <c r="P739" s="30" t="str">
        <f>"str_"&amp;CONTROL[[#This Row],[VEHIDCODE]]</f>
        <v>str_mu_Coach_Gen2_Steel_3_axle_Mail_Coach</v>
      </c>
      <c r="Q739" s="10" t="b">
        <f>_xlfn.XLOOKUP(CONTROL[[#This Row],[VEHIDCODE]],PROPERTIES[VEHIDCODE],PROPERTIES[EXCLUDE])</f>
        <v>0</v>
      </c>
    </row>
    <row r="740" spans="1:17">
      <c r="A740" s="2" t="s">
        <v>742</v>
      </c>
      <c r="B740" s="30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43" t="s">
        <v>1615</v>
      </c>
      <c r="G740" t="s">
        <v>1696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Row],[VEHIDCODE]],roster!A:A,roster!C:C))</f>
        <v>1</v>
      </c>
      <c r="N740" t="b">
        <f>ISNUMBER(_xlfn.XMATCH(CONTROL[[#This Row],[VEHIDCODE]],GRAPHICS_PROPERTIES[VEHIDCODE],0))</f>
        <v>1</v>
      </c>
      <c r="O740" s="30" t="str">
        <f>"item_"&amp;CONTROL[[#This Row],[VEHIDCODE]]</f>
        <v>item_mu_Coach_Gen3_Steel_Lightweight_Intercity_Coach</v>
      </c>
      <c r="P740" s="30" t="str">
        <f>"str_"&amp;CONTROL[[#This Row],[VEHIDCODE]]</f>
        <v>str_mu_Coach_Gen3_Steel_Lightweight_Intercity_Coach</v>
      </c>
      <c r="Q740" s="10" t="b">
        <f>_xlfn.XLOOKUP(CONTROL[[#This Row],[VEHIDCODE]],PROPERTIES[VEHIDCODE],PROPERTIES[EXCLUDE])</f>
        <v>0</v>
      </c>
    </row>
    <row r="741" spans="1:17">
      <c r="A741" s="2" t="s">
        <v>743</v>
      </c>
      <c r="B741" s="30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43" t="s">
        <v>1616</v>
      </c>
      <c r="G741" t="s">
        <v>1696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Row],[VEHIDCODE]],roster!A:A,roster!C:C))</f>
        <v>1</v>
      </c>
      <c r="N741" t="b">
        <f>ISNUMBER(_xlfn.XMATCH(CONTROL[[#This Row],[VEHIDCODE]],GRAPHICS_PROPERTIES[VEHIDCODE],0))</f>
        <v>1</v>
      </c>
      <c r="O741" s="30" t="str">
        <f>"item_"&amp;CONTROL[[#This Row],[VEHIDCODE]]</f>
        <v>item_mu_Coach_Gen3_Steel_Lightweight_Regional_Coach</v>
      </c>
      <c r="P741" s="30" t="str">
        <f>"str_"&amp;CONTROL[[#This Row],[VEHIDCODE]]</f>
        <v>str_mu_Coach_Gen3_Steel_Lightweight_Regional_Coach</v>
      </c>
      <c r="Q741" s="10" t="b">
        <f>_xlfn.XLOOKUP(CONTROL[[#This Row],[VEHIDCODE]],PROPERTIES[VEHIDCODE],PROPERTIES[EXCLUDE])</f>
        <v>0</v>
      </c>
    </row>
    <row r="742" spans="1:17">
      <c r="A742" s="2" t="s">
        <v>744</v>
      </c>
      <c r="B742" s="30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43" t="s">
        <v>1617</v>
      </c>
      <c r="G742" t="s">
        <v>1696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Row],[VEHIDCODE]],roster!A:A,roster!C:C))</f>
        <v>1</v>
      </c>
      <c r="N742" t="b">
        <f>ISNUMBER(_xlfn.XMATCH(CONTROL[[#This Row],[VEHIDCODE]],GRAPHICS_PROPERTIES[VEHIDCODE],0))</f>
        <v>1</v>
      </c>
      <c r="O742" s="30" t="str">
        <f>"item_"&amp;CONTROL[[#This Row],[VEHIDCODE]]</f>
        <v>item_mu_Coach_Gen3_Steel_Lightweight_Mail_Coach</v>
      </c>
      <c r="P742" s="30" t="str">
        <f>"str_"&amp;CONTROL[[#This Row],[VEHIDCODE]]</f>
        <v>str_mu_Coach_Gen3_Steel_Lightweight_Mail_Coach</v>
      </c>
      <c r="Q742" s="10" t="b">
        <f>_xlfn.XLOOKUP(CONTROL[[#This Row],[VEHIDCODE]],PROPERTIES[VEHIDCODE],PROPERTIES[EXCLUDE])</f>
        <v>0</v>
      </c>
    </row>
    <row r="743" spans="1:17">
      <c r="A743" s="2" t="s">
        <v>745</v>
      </c>
      <c r="B743" s="30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43" t="s">
        <v>1618</v>
      </c>
      <c r="G743" t="s">
        <v>1696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Row],[VEHIDCODE]],roster!A:A,roster!C:C))</f>
        <v>1</v>
      </c>
      <c r="N743" t="b">
        <f>ISNUMBER(_xlfn.XMATCH(CONTROL[[#This Row],[VEHIDCODE]],GRAPHICS_PROPERTIES[VEHIDCODE],0))</f>
        <v>1</v>
      </c>
      <c r="O743" s="30" t="str">
        <f>"item_"&amp;CONTROL[[#This Row],[VEHIDCODE]]</f>
        <v>item_mu_Coach_Gen3_Aluminium_Lightweight_Intercity_Coach</v>
      </c>
      <c r="P743" s="30" t="str">
        <f>"str_"&amp;CONTROL[[#This Row],[VEHIDCODE]]</f>
        <v>str_mu_Coach_Gen3_Aluminium_Lightweight_Intercity_Coach</v>
      </c>
      <c r="Q743" s="10" t="b">
        <f>_xlfn.XLOOKUP(CONTROL[[#This Row],[VEHIDCODE]],PROPERTIES[VEHIDCODE],PROPERTIES[EXCLUDE])</f>
        <v>0</v>
      </c>
    </row>
    <row r="744" spans="1:17">
      <c r="A744" s="2" t="s">
        <v>746</v>
      </c>
      <c r="B744" s="30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43" t="s">
        <v>1619</v>
      </c>
      <c r="G744" t="s">
        <v>1696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Row],[VEHIDCODE]],roster!A:A,roster!C:C))</f>
        <v>1</v>
      </c>
      <c r="N744" t="b">
        <f>ISNUMBER(_xlfn.XMATCH(CONTROL[[#This Row],[VEHIDCODE]],GRAPHICS_PROPERTIES[VEHIDCODE],0))</f>
        <v>1</v>
      </c>
      <c r="O744" s="30" t="str">
        <f>"item_"&amp;CONTROL[[#This Row],[VEHIDCODE]]</f>
        <v>item_mu_Coach_Gen3_Aluminium_Lightweight_Regional_Coach</v>
      </c>
      <c r="P744" s="30" t="str">
        <f>"str_"&amp;CONTROL[[#This Row],[VEHIDCODE]]</f>
        <v>str_mu_Coach_Gen3_Aluminium_Lightweight_Regional_Coach</v>
      </c>
      <c r="Q744" s="10" t="b">
        <f>_xlfn.XLOOKUP(CONTROL[[#This Row],[VEHIDCODE]],PROPERTIES[VEHIDCODE],PROPERTIES[EXCLUDE])</f>
        <v>0</v>
      </c>
    </row>
    <row r="745" spans="1:17">
      <c r="A745" s="2" t="s">
        <v>747</v>
      </c>
      <c r="B745" s="30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43" t="s">
        <v>1620</v>
      </c>
      <c r="G745" t="s">
        <v>1696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Row],[VEHIDCODE]],roster!A:A,roster!C:C))</f>
        <v>1</v>
      </c>
      <c r="N745" t="b">
        <f>ISNUMBER(_xlfn.XMATCH(CONTROL[[#This Row],[VEHIDCODE]],GRAPHICS_PROPERTIES[VEHIDCODE],0))</f>
        <v>1</v>
      </c>
      <c r="O745" s="30" t="str">
        <f>"item_"&amp;CONTROL[[#This Row],[VEHIDCODE]]</f>
        <v>item_mu_Coach_Gen3_Aluminium_Lightweight_Mail_Coach</v>
      </c>
      <c r="P745" s="30" t="str">
        <f>"str_"&amp;CONTROL[[#This Row],[VEHIDCODE]]</f>
        <v>str_mu_Coach_Gen3_Aluminium_Lightweight_Mail_Coach</v>
      </c>
      <c r="Q745" s="10" t="b">
        <f>_xlfn.XLOOKUP(CONTROL[[#This Row],[VEHIDCODE]],PROPERTIES[VEHIDCODE],PROPERTIES[EXCLUDE])</f>
        <v>0</v>
      </c>
    </row>
    <row r="746" spans="1:17">
      <c r="A746" s="2" t="s">
        <v>748</v>
      </c>
      <c r="B746" s="30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43" t="s">
        <v>1621</v>
      </c>
      <c r="G746" t="s">
        <v>1696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Row],[VEHIDCODE]],roster!A:A,roster!C:C))</f>
        <v>1</v>
      </c>
      <c r="N746" t="b">
        <f>ISNUMBER(_xlfn.XMATCH(CONTROL[[#This Row],[VEHIDCODE]],GRAPHICS_PROPERTIES[VEHIDCODE],0))</f>
        <v>1</v>
      </c>
      <c r="O746" s="30" t="str">
        <f>"item_"&amp;CONTROL[[#This Row],[VEHIDCODE]]</f>
        <v>item_mu_Coach_Gen3_Gallery_Car</v>
      </c>
      <c r="P746" s="30" t="str">
        <f>"str_"&amp;CONTROL[[#This Row],[VEHIDCODE]]</f>
        <v>str_mu_Coach_Gen3_Gallery_Car</v>
      </c>
      <c r="Q746" s="10" t="b">
        <f>_xlfn.XLOOKUP(CONTROL[[#This Row],[VEHIDCODE]],PROPERTIES[VEHIDCODE],PROPERTIES[EXCLUDE])</f>
        <v>0</v>
      </c>
    </row>
    <row r="747" spans="1:17">
      <c r="A747" s="2" t="s">
        <v>749</v>
      </c>
      <c r="B747" s="30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43" t="s">
        <v>1622</v>
      </c>
      <c r="G747" t="s">
        <v>1696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Row],[VEHIDCODE]],roster!A:A,roster!C:C))</f>
        <v>1</v>
      </c>
      <c r="N747" t="b">
        <f>ISNUMBER(_xlfn.XMATCH(CONTROL[[#This Row],[VEHIDCODE]],GRAPHICS_PROPERTIES[VEHIDCODE],0))</f>
        <v>1</v>
      </c>
      <c r="O747" s="30" t="str">
        <f>"item_"&amp;CONTROL[[#This Row],[VEHIDCODE]]</f>
        <v>item_mu_Coach_Gen3_Mk1_Intercity_Coach</v>
      </c>
      <c r="P747" s="30" t="str">
        <f>"str_"&amp;CONTROL[[#This Row],[VEHIDCODE]]</f>
        <v>str_mu_Coach_Gen3_Mk1_Intercity_Coach</v>
      </c>
      <c r="Q747" s="10" t="b">
        <f>_xlfn.XLOOKUP(CONTROL[[#This Row],[VEHIDCODE]],PROPERTIES[VEHIDCODE],PROPERTIES[EXCLUDE])</f>
        <v>0</v>
      </c>
    </row>
    <row r="748" spans="1:17">
      <c r="A748" s="2" t="s">
        <v>750</v>
      </c>
      <c r="B748" s="30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43" t="s">
        <v>1623</v>
      </c>
      <c r="G748" t="s">
        <v>1696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Row],[VEHIDCODE]],roster!A:A,roster!C:C))</f>
        <v>1</v>
      </c>
      <c r="N748" t="b">
        <f>ISNUMBER(_xlfn.XMATCH(CONTROL[[#This Row],[VEHIDCODE]],GRAPHICS_PROPERTIES[VEHIDCODE],0))</f>
        <v>1</v>
      </c>
      <c r="O748" s="30" t="str">
        <f>"item_"&amp;CONTROL[[#This Row],[VEHIDCODE]]</f>
        <v>item_mu_Coach_Gen3_Mk1_Regional_Coach</v>
      </c>
      <c r="P748" s="30" t="str">
        <f>"str_"&amp;CONTROL[[#This Row],[VEHIDCODE]]</f>
        <v>str_mu_Coach_Gen3_Mk1_Regional_Coach</v>
      </c>
      <c r="Q748" s="10" t="b">
        <f>_xlfn.XLOOKUP(CONTROL[[#This Row],[VEHIDCODE]],PROPERTIES[VEHIDCODE],PROPERTIES[EXCLUDE])</f>
        <v>0</v>
      </c>
    </row>
    <row r="749" spans="1:17">
      <c r="A749" s="2" t="s">
        <v>751</v>
      </c>
      <c r="B749" s="30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43" t="s">
        <v>1624</v>
      </c>
      <c r="G749" t="s">
        <v>1696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Row],[VEHIDCODE]],roster!A:A,roster!C:C))</f>
        <v>1</v>
      </c>
      <c r="N749" t="b">
        <f>ISNUMBER(_xlfn.XMATCH(CONTROL[[#This Row],[VEHIDCODE]],GRAPHICS_PROPERTIES[VEHIDCODE],0))</f>
        <v>1</v>
      </c>
      <c r="O749" s="30" t="str">
        <f>"item_"&amp;CONTROL[[#This Row],[VEHIDCODE]]</f>
        <v>item_mu_Coach_Gen3_Mk1_Mail_Coach</v>
      </c>
      <c r="P749" s="30" t="str">
        <f>"str_"&amp;CONTROL[[#This Row],[VEHIDCODE]]</f>
        <v>str_mu_Coach_Gen3_Mk1_Mail_Coach</v>
      </c>
      <c r="Q749" s="10" t="b">
        <f>_xlfn.XLOOKUP(CONTROL[[#This Row],[VEHIDCODE]],PROPERTIES[VEHIDCODE],PROPERTIES[EXCLUDE])</f>
        <v>0</v>
      </c>
    </row>
    <row r="750" spans="1:17">
      <c r="A750" s="2" t="s">
        <v>752</v>
      </c>
      <c r="B750" s="30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43" t="s">
        <v>1625</v>
      </c>
      <c r="G750" t="s">
        <v>1696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Row],[VEHIDCODE]],roster!A:A,roster!C:C))</f>
        <v>1</v>
      </c>
      <c r="N750" t="b">
        <f>ISNUMBER(_xlfn.XMATCH(CONTROL[[#This Row],[VEHIDCODE]],GRAPHICS_PROPERTIES[VEHIDCODE],0))</f>
        <v>1</v>
      </c>
      <c r="O750" s="30" t="str">
        <f>"item_"&amp;CONTROL[[#This Row],[VEHIDCODE]]</f>
        <v>item_mu_Coach_Gen3_UIC_X_Intercity_Coach</v>
      </c>
      <c r="P750" s="30" t="str">
        <f>"str_"&amp;CONTROL[[#This Row],[VEHIDCODE]]</f>
        <v>str_mu_Coach_Gen3_UIC_X_Intercity_Coach</v>
      </c>
      <c r="Q750" s="10" t="b">
        <f>_xlfn.XLOOKUP(CONTROL[[#This Row],[VEHIDCODE]],PROPERTIES[VEHIDCODE],PROPERTIES[EXCLUDE])</f>
        <v>0</v>
      </c>
    </row>
    <row r="751" spans="1:17">
      <c r="A751" s="2" t="s">
        <v>753</v>
      </c>
      <c r="B751" s="30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43" t="s">
        <v>1626</v>
      </c>
      <c r="G751" t="s">
        <v>1696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Row],[VEHIDCODE]],roster!A:A,roster!C:C))</f>
        <v>1</v>
      </c>
      <c r="N751" t="b">
        <f>ISNUMBER(_xlfn.XMATCH(CONTROL[[#This Row],[VEHIDCODE]],GRAPHICS_PROPERTIES[VEHIDCODE],0))</f>
        <v>1</v>
      </c>
      <c r="O751" s="30" t="str">
        <f>"item_"&amp;CONTROL[[#This Row],[VEHIDCODE]]</f>
        <v>item_mu_Coach_Gen3_TEE_Intercity_Coach</v>
      </c>
      <c r="P751" s="30" t="str">
        <f>"str_"&amp;CONTROL[[#This Row],[VEHIDCODE]]</f>
        <v>str_mu_Coach_Gen3_TEE_Intercity_Coach</v>
      </c>
      <c r="Q751" s="10" t="b">
        <f>_xlfn.XLOOKUP(CONTROL[[#This Row],[VEHIDCODE]],PROPERTIES[VEHIDCODE],PROPERTIES[EXCLUDE])</f>
        <v>0</v>
      </c>
    </row>
    <row r="752" spans="1:17">
      <c r="A752" s="2" t="s">
        <v>754</v>
      </c>
      <c r="B752" s="30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43" t="s">
        <v>1627</v>
      </c>
      <c r="G752" t="s">
        <v>1696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Row],[VEHIDCODE]],roster!A:A,roster!C:C))</f>
        <v>1</v>
      </c>
      <c r="N752" t="b">
        <f>ISNUMBER(_xlfn.XMATCH(CONTROL[[#This Row],[VEHIDCODE]],GRAPHICS_PROPERTIES[VEHIDCODE],0))</f>
        <v>1</v>
      </c>
      <c r="O752" s="30" t="str">
        <f>"item_"&amp;CONTROL[[#This Row],[VEHIDCODE]]</f>
        <v>item_mu_Coach_Gen3_UIC_X_Regional_Coach</v>
      </c>
      <c r="P752" s="30" t="str">
        <f>"str_"&amp;CONTROL[[#This Row],[VEHIDCODE]]</f>
        <v>str_mu_Coach_Gen3_UIC_X_Regional_Coach</v>
      </c>
      <c r="Q752" s="10" t="b">
        <f>_xlfn.XLOOKUP(CONTROL[[#This Row],[VEHIDCODE]],PROPERTIES[VEHIDCODE],PROPERTIES[EXCLUDE])</f>
        <v>0</v>
      </c>
    </row>
    <row r="753" spans="1:17">
      <c r="A753" s="2" t="s">
        <v>755</v>
      </c>
      <c r="B753" s="30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43" t="s">
        <v>1628</v>
      </c>
      <c r="G753" t="s">
        <v>1696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Row],[VEHIDCODE]],roster!A:A,roster!C:C))</f>
        <v>1</v>
      </c>
      <c r="N753" t="b">
        <f>ISNUMBER(_xlfn.XMATCH(CONTROL[[#This Row],[VEHIDCODE]],GRAPHICS_PROPERTIES[VEHIDCODE],0))</f>
        <v>1</v>
      </c>
      <c r="O753" s="30" t="str">
        <f>"item_"&amp;CONTROL[[#This Row],[VEHIDCODE]]</f>
        <v>item_mu_Coach_Gen3_Umbauwagen_Local_Coach</v>
      </c>
      <c r="P753" s="30" t="str">
        <f>"str_"&amp;CONTROL[[#This Row],[VEHIDCODE]]</f>
        <v>str_mu_Coach_Gen3_Umbauwagen_Local_Coach</v>
      </c>
      <c r="Q753" s="10" t="b">
        <f>_xlfn.XLOOKUP(CONTROL[[#This Row],[VEHIDCODE]],PROPERTIES[VEHIDCODE],PROPERTIES[EXCLUDE])</f>
        <v>0</v>
      </c>
    </row>
    <row r="754" spans="1:17">
      <c r="A754" s="2" t="s">
        <v>756</v>
      </c>
      <c r="B754" s="30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43" t="s">
        <v>1629</v>
      </c>
      <c r="G754" t="s">
        <v>1696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Row],[VEHIDCODE]],roster!A:A,roster!C:C))</f>
        <v>1</v>
      </c>
      <c r="N754" t="b">
        <f>ISNUMBER(_xlfn.XMATCH(CONTROL[[#This Row],[VEHIDCODE]],GRAPHICS_PROPERTIES[VEHIDCODE],0))</f>
        <v>1</v>
      </c>
      <c r="O754" s="30" t="str">
        <f>"item_"&amp;CONTROL[[#This Row],[VEHIDCODE]]</f>
        <v>item_mu_Coach_Gen3_Doppelstockwagen_Local_Coach</v>
      </c>
      <c r="P754" s="30" t="str">
        <f>"str_"&amp;CONTROL[[#This Row],[VEHIDCODE]]</f>
        <v>str_mu_Coach_Gen3_Doppelstockwagen_Local_Coach</v>
      </c>
      <c r="Q754" s="10" t="b">
        <f>_xlfn.XLOOKUP(CONTROL[[#This Row],[VEHIDCODE]],PROPERTIES[VEHIDCODE],PROPERTIES[EXCLUDE])</f>
        <v>0</v>
      </c>
    </row>
    <row r="755" spans="1:17">
      <c r="A755" s="2" t="s">
        <v>757</v>
      </c>
      <c r="B755" s="30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43" t="s">
        <v>1630</v>
      </c>
      <c r="G755" t="s">
        <v>1696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Row],[VEHIDCODE]],roster!A:A,roster!C:C))</f>
        <v>1</v>
      </c>
      <c r="N755" t="b">
        <f>ISNUMBER(_xlfn.XMATCH(CONTROL[[#This Row],[VEHIDCODE]],GRAPHICS_PROPERTIES[VEHIDCODE],0))</f>
        <v>1</v>
      </c>
      <c r="O755" s="30" t="str">
        <f>"item_"&amp;CONTROL[[#This Row],[VEHIDCODE]]</f>
        <v>item_mu_Coach_Gen3_UIC_X_Mail_Coach</v>
      </c>
      <c r="P755" s="30" t="str">
        <f>"str_"&amp;CONTROL[[#This Row],[VEHIDCODE]]</f>
        <v>str_mu_Coach_Gen3_UIC_X_Mail_Coach</v>
      </c>
      <c r="Q755" s="10" t="b">
        <f>_xlfn.XLOOKUP(CONTROL[[#This Row],[VEHIDCODE]],PROPERTIES[VEHIDCODE],PROPERTIES[EXCLUDE])</f>
        <v>0</v>
      </c>
    </row>
    <row r="756" spans="1:17">
      <c r="A756" s="2" t="s">
        <v>758</v>
      </c>
      <c r="B756" s="30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43" t="s">
        <v>1631</v>
      </c>
      <c r="G756" t="s">
        <v>1696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Row],[VEHIDCODE]],roster!A:A,roster!C:C))</f>
        <v>1</v>
      </c>
      <c r="N756" t="b">
        <f>ISNUMBER(_xlfn.XMATCH(CONTROL[[#This Row],[VEHIDCODE]],GRAPHICS_PROPERTIES[VEHIDCODE],0))</f>
        <v>1</v>
      </c>
      <c r="O756" s="30" t="str">
        <f>"item_"&amp;CONTROL[[#This Row],[VEHIDCODE]]</f>
        <v>item_mu_Coach_Gen3_Indian_Intercity_Coach</v>
      </c>
      <c r="P756" s="30" t="str">
        <f>"str_"&amp;CONTROL[[#This Row],[VEHIDCODE]]</f>
        <v>str_mu_Coach_Gen3_Indian_Intercity_Coach</v>
      </c>
      <c r="Q756" s="10" t="b">
        <f>_xlfn.XLOOKUP(CONTROL[[#This Row],[VEHIDCODE]],PROPERTIES[VEHIDCODE],PROPERTIES[EXCLUDE])</f>
        <v>0</v>
      </c>
    </row>
    <row r="757" spans="1:17">
      <c r="A757" s="2" t="s">
        <v>759</v>
      </c>
      <c r="B757" s="30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43" t="s">
        <v>1632</v>
      </c>
      <c r="G757" t="s">
        <v>1696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Row],[VEHIDCODE]],roster!A:A,roster!C:C))</f>
        <v>1</v>
      </c>
      <c r="N757" t="b">
        <f>ISNUMBER(_xlfn.XMATCH(CONTROL[[#This Row],[VEHIDCODE]],GRAPHICS_PROPERTIES[VEHIDCODE],0))</f>
        <v>1</v>
      </c>
      <c r="O757" s="30" t="str">
        <f>"item_"&amp;CONTROL[[#This Row],[VEHIDCODE]]</f>
        <v>item_mu_Coach_Gen3_Indian_Local_Coach</v>
      </c>
      <c r="P757" s="30" t="str">
        <f>"str_"&amp;CONTROL[[#This Row],[VEHIDCODE]]</f>
        <v>str_mu_Coach_Gen3_Indian_Local_Coach</v>
      </c>
      <c r="Q757" s="10" t="b">
        <f>_xlfn.XLOOKUP(CONTROL[[#This Row],[VEHIDCODE]],PROPERTIES[VEHIDCODE],PROPERTIES[EXCLUDE])</f>
        <v>0</v>
      </c>
    </row>
    <row r="758" spans="1:17">
      <c r="A758" s="2" t="s">
        <v>760</v>
      </c>
      <c r="B758" s="30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43" t="s">
        <v>1633</v>
      </c>
      <c r="G758" t="s">
        <v>1696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Row],[VEHIDCODE]],roster!A:A,roster!C:C))</f>
        <v>1</v>
      </c>
      <c r="N758" t="b">
        <f>ISNUMBER(_xlfn.XMATCH(CONTROL[[#This Row],[VEHIDCODE]],GRAPHICS_PROPERTIES[VEHIDCODE],0))</f>
        <v>1</v>
      </c>
      <c r="O758" s="30" t="str">
        <f>"item_"&amp;CONTROL[[#This Row],[VEHIDCODE]]</f>
        <v>item_mu_Coach_Gen3_Indian_Regional_Coach</v>
      </c>
      <c r="P758" s="30" t="str">
        <f>"str_"&amp;CONTROL[[#This Row],[VEHIDCODE]]</f>
        <v>str_mu_Coach_Gen3_Indian_Regional_Coach</v>
      </c>
      <c r="Q758" s="10" t="b">
        <f>_xlfn.XLOOKUP(CONTROL[[#This Row],[VEHIDCODE]],PROPERTIES[VEHIDCODE],PROPERTIES[EXCLUDE])</f>
        <v>0</v>
      </c>
    </row>
    <row r="759" spans="1:17">
      <c r="A759" s="2" t="s">
        <v>761</v>
      </c>
      <c r="B759" s="30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43" t="s">
        <v>1634</v>
      </c>
      <c r="G759" t="s">
        <v>1696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Row],[VEHIDCODE]],roster!A:A,roster!C:C))</f>
        <v>1</v>
      </c>
      <c r="N759" t="b">
        <f>ISNUMBER(_xlfn.XMATCH(CONTROL[[#This Row],[VEHIDCODE]],GRAPHICS_PROPERTIES[VEHIDCODE],0))</f>
        <v>1</v>
      </c>
      <c r="O759" s="30" t="str">
        <f>"item_"&amp;CONTROL[[#This Row],[VEHIDCODE]]</f>
        <v>item_mu_Coach_Gen3_Indian_Mail_Coach</v>
      </c>
      <c r="P759" s="30" t="str">
        <f>"str_"&amp;CONTROL[[#This Row],[VEHIDCODE]]</f>
        <v>str_mu_Coach_Gen3_Indian_Mail_Coach</v>
      </c>
      <c r="Q759" s="10" t="b">
        <f>_xlfn.XLOOKUP(CONTROL[[#This Row],[VEHIDCODE]],PROPERTIES[VEHIDCODE],PROPERTIES[EXCLUDE])</f>
        <v>0</v>
      </c>
    </row>
    <row r="760" spans="1:17">
      <c r="A760" s="2" t="s">
        <v>762</v>
      </c>
      <c r="B760" s="30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43" t="s">
        <v>1635</v>
      </c>
      <c r="G760" t="s">
        <v>1696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Row],[VEHIDCODE]],roster!A:A,roster!C:C))</f>
        <v>1</v>
      </c>
      <c r="N760" t="b">
        <f>ISNUMBER(_xlfn.XMATCH(CONTROL[[#This Row],[VEHIDCODE]],GRAPHICS_PROPERTIES[VEHIDCODE],0))</f>
        <v>1</v>
      </c>
      <c r="O760" s="30" t="str">
        <f>"item_"&amp;CONTROL[[#This Row],[VEHIDCODE]]</f>
        <v>item_mu_Coach_Gen4_Eurofima_Intercity_Coach</v>
      </c>
      <c r="P760" s="30" t="str">
        <f>"str_"&amp;CONTROL[[#This Row],[VEHIDCODE]]</f>
        <v>str_mu_Coach_Gen4_Eurofima_Intercity_Coach</v>
      </c>
      <c r="Q760" s="10" t="b">
        <f>_xlfn.XLOOKUP(CONTROL[[#This Row],[VEHIDCODE]],PROPERTIES[VEHIDCODE],PROPERTIES[EXCLUDE])</f>
        <v>0</v>
      </c>
    </row>
    <row r="761" spans="1:17">
      <c r="A761" s="2" t="s">
        <v>763</v>
      </c>
      <c r="B761" s="30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43" t="s">
        <v>1636</v>
      </c>
      <c r="G761" t="s">
        <v>1696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Row],[VEHIDCODE]],roster!A:A,roster!C:C))</f>
        <v>1</v>
      </c>
      <c r="N761" t="b">
        <f>ISNUMBER(_xlfn.XMATCH(CONTROL[[#This Row],[VEHIDCODE]],GRAPHICS_PROPERTIES[VEHIDCODE],0))</f>
        <v>1</v>
      </c>
      <c r="O761" s="30" t="str">
        <f>"item_"&amp;CONTROL[[#This Row],[VEHIDCODE]]</f>
        <v>item_mu_Coach_Gen4_InterRegio_Coach</v>
      </c>
      <c r="P761" s="30" t="str">
        <f>"str_"&amp;CONTROL[[#This Row],[VEHIDCODE]]</f>
        <v>str_mu_Coach_Gen4_InterRegio_Coach</v>
      </c>
      <c r="Q761" s="10" t="b">
        <f>_xlfn.XLOOKUP(CONTROL[[#This Row],[VEHIDCODE]],PROPERTIES[VEHIDCODE],PROPERTIES[EXCLUDE])</f>
        <v>0</v>
      </c>
    </row>
    <row r="762" spans="1:17">
      <c r="A762" s="2" t="s">
        <v>764</v>
      </c>
      <c r="B762" s="30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43" t="s">
        <v>1637</v>
      </c>
      <c r="G762" t="s">
        <v>1696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Row],[VEHIDCODE]],roster!A:A,roster!C:C))</f>
        <v>1</v>
      </c>
      <c r="N762" t="b">
        <f>ISNUMBER(_xlfn.XMATCH(CONTROL[[#This Row],[VEHIDCODE]],GRAPHICS_PROPERTIES[VEHIDCODE],0))</f>
        <v>1</v>
      </c>
      <c r="O762" s="30" t="str">
        <f>"item_"&amp;CONTROL[[#This Row],[VEHIDCODE]]</f>
        <v>item_mu_Coach_Gen4_Silberling_Commuter_Coach</v>
      </c>
      <c r="P762" s="30" t="str">
        <f>"str_"&amp;CONTROL[[#This Row],[VEHIDCODE]]</f>
        <v>str_mu_Coach_Gen4_Silberling_Commuter_Coach</v>
      </c>
      <c r="Q762" s="10" t="b">
        <f>_xlfn.XLOOKUP(CONTROL[[#This Row],[VEHIDCODE]],PROPERTIES[VEHIDCODE],PROPERTIES[EXCLUDE])</f>
        <v>0</v>
      </c>
    </row>
    <row r="763" spans="1:17">
      <c r="A763" s="2" t="s">
        <v>765</v>
      </c>
      <c r="B763" s="30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43" t="s">
        <v>1638</v>
      </c>
      <c r="G763" t="s">
        <v>1696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Row],[VEHIDCODE]],roster!A:A,roster!C:C))</f>
        <v>1</v>
      </c>
      <c r="N763" t="b">
        <f>ISNUMBER(_xlfn.XMATCH(CONTROL[[#This Row],[VEHIDCODE]],GRAPHICS_PROPERTIES[VEHIDCODE],0))</f>
        <v>1</v>
      </c>
      <c r="O763" s="30" t="str">
        <f>"item_"&amp;CONTROL[[#This Row],[VEHIDCODE]]</f>
        <v>item_mu_Coach_Gen4_Eurofima_Mail_Coach</v>
      </c>
      <c r="P763" s="30" t="str">
        <f>"str_"&amp;CONTROL[[#This Row],[VEHIDCODE]]</f>
        <v>str_mu_Coach_Gen4_Eurofima_Mail_Coach</v>
      </c>
      <c r="Q763" s="10" t="b">
        <f>_xlfn.XLOOKUP(CONTROL[[#This Row],[VEHIDCODE]],PROPERTIES[VEHIDCODE],PROPERTIES[EXCLUDE])</f>
        <v>0</v>
      </c>
    </row>
    <row r="764" spans="1:17">
      <c r="A764" s="2" t="s">
        <v>766</v>
      </c>
      <c r="B764" s="30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43" t="s">
        <v>1639</v>
      </c>
      <c r="G764" t="s">
        <v>1696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Row],[VEHIDCODE]],roster!A:A,roster!C:C))</f>
        <v>1</v>
      </c>
      <c r="N764" t="b">
        <f>ISNUMBER(_xlfn.XMATCH(CONTROL[[#This Row],[VEHIDCODE]],GRAPHICS_PROPERTIES[VEHIDCODE],0))</f>
        <v>1</v>
      </c>
      <c r="O764" s="30" t="str">
        <f>"item_"&amp;CONTROL[[#This Row],[VEHIDCODE]]</f>
        <v>item_mu_Coach_Gen4_Double_Decker_Coach</v>
      </c>
      <c r="P764" s="30" t="str">
        <f>"str_"&amp;CONTROL[[#This Row],[VEHIDCODE]]</f>
        <v>str_mu_Coach_Gen4_Double_Decker_Coach</v>
      </c>
      <c r="Q764" s="10" t="b">
        <f>_xlfn.XLOOKUP(CONTROL[[#This Row],[VEHIDCODE]],PROPERTIES[VEHIDCODE],PROPERTIES[EXCLUDE])</f>
        <v>0</v>
      </c>
    </row>
    <row r="765" spans="1:17">
      <c r="A765" s="2" t="s">
        <v>767</v>
      </c>
      <c r="B765" s="30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43" t="s">
        <v>1640</v>
      </c>
      <c r="G765" t="s">
        <v>1696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Row],[VEHIDCODE]],roster!A:A,roster!C:C))</f>
        <v>1</v>
      </c>
      <c r="N765" t="b">
        <f>ISNUMBER(_xlfn.XMATCH(CONTROL[[#This Row],[VEHIDCODE]],GRAPHICS_PROPERTIES[VEHIDCODE],0))</f>
        <v>1</v>
      </c>
      <c r="O765" s="30" t="str">
        <f>"item_"&amp;CONTROL[[#This Row],[VEHIDCODE]]</f>
        <v>item_mu_Coach_Gen4_Russian_Intercity_Coach</v>
      </c>
      <c r="P765" s="30" t="str">
        <f>"str_"&amp;CONTROL[[#This Row],[VEHIDCODE]]</f>
        <v>str_mu_Coach_Gen4_Russian_Intercity_Coach</v>
      </c>
      <c r="Q765" s="10" t="b">
        <f>_xlfn.XLOOKUP(CONTROL[[#This Row],[VEHIDCODE]],PROPERTIES[VEHIDCODE],PROPERTIES[EXCLUDE])</f>
        <v>0</v>
      </c>
    </row>
    <row r="766" spans="1:17">
      <c r="A766" s="2" t="s">
        <v>768</v>
      </c>
      <c r="B766" s="30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43" t="s">
        <v>1641</v>
      </c>
      <c r="G766" t="s">
        <v>1696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Row],[VEHIDCODE]],roster!A:A,roster!C:C))</f>
        <v>1</v>
      </c>
      <c r="N766" t="b">
        <f>ISNUMBER(_xlfn.XMATCH(CONTROL[[#This Row],[VEHIDCODE]],GRAPHICS_PROPERTIES[VEHIDCODE],0))</f>
        <v>1</v>
      </c>
      <c r="O766" s="30" t="str">
        <f>"item_"&amp;CONTROL[[#This Row],[VEHIDCODE]]</f>
        <v>item_mu_Coach_Gen4_Russian_Regional_Coach</v>
      </c>
      <c r="P766" s="30" t="str">
        <f>"str_"&amp;CONTROL[[#This Row],[VEHIDCODE]]</f>
        <v>str_mu_Coach_Gen4_Russian_Regional_Coach</v>
      </c>
      <c r="Q766" s="10" t="b">
        <f>_xlfn.XLOOKUP(CONTROL[[#This Row],[VEHIDCODE]],PROPERTIES[VEHIDCODE],PROPERTIES[EXCLUDE])</f>
        <v>0</v>
      </c>
    </row>
    <row r="767" spans="1:17">
      <c r="A767" s="2" t="s">
        <v>769</v>
      </c>
      <c r="B767" s="30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43" t="s">
        <v>1642</v>
      </c>
      <c r="G767" t="s">
        <v>1696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Row],[VEHIDCODE]],roster!A:A,roster!C:C))</f>
        <v>1</v>
      </c>
      <c r="N767" t="b">
        <f>ISNUMBER(_xlfn.XMATCH(CONTROL[[#This Row],[VEHIDCODE]],GRAPHICS_PROPERTIES[VEHIDCODE],0))</f>
        <v>1</v>
      </c>
      <c r="O767" s="30" t="str">
        <f>"item_"&amp;CONTROL[[#This Row],[VEHIDCODE]]</f>
        <v>item_mu_Coach_Gen4_Russian_Mail_Coach</v>
      </c>
      <c r="P767" s="30" t="str">
        <f>"str_"&amp;CONTROL[[#This Row],[VEHIDCODE]]</f>
        <v>str_mu_Coach_Gen4_Russian_Mail_Coach</v>
      </c>
      <c r="Q767" s="10" t="b">
        <f>_xlfn.XLOOKUP(CONTROL[[#This Row],[VEHIDCODE]],PROPERTIES[VEHIDCODE],PROPERTIES[EXCLUDE])</f>
        <v>0</v>
      </c>
    </row>
    <row r="768" spans="1:17">
      <c r="A768" s="2" t="s">
        <v>770</v>
      </c>
      <c r="B768" s="30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43" t="s">
        <v>1643</v>
      </c>
      <c r="G768" t="s">
        <v>1696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Row],[VEHIDCODE]],roster!A:A,roster!C:C))</f>
        <v>1</v>
      </c>
      <c r="N768" t="b">
        <f>ISNUMBER(_xlfn.XMATCH(CONTROL[[#This Row],[VEHIDCODE]],GRAPHICS_PROPERTIES[VEHIDCODE],0))</f>
        <v>1</v>
      </c>
      <c r="O768" s="30" t="str">
        <f>"item_"&amp;CONTROL[[#This Row],[VEHIDCODE]]</f>
        <v>item_mu_Coach_Gen4_Superliner_Coach</v>
      </c>
      <c r="P768" s="30" t="str">
        <f>"str_"&amp;CONTROL[[#This Row],[VEHIDCODE]]</f>
        <v>str_mu_Coach_Gen4_Superliner_Coach</v>
      </c>
      <c r="Q768" s="10" t="b">
        <f>_xlfn.XLOOKUP(CONTROL[[#This Row],[VEHIDCODE]],PROPERTIES[VEHIDCODE],PROPERTIES[EXCLUDE])</f>
        <v>0</v>
      </c>
    </row>
    <row r="769" spans="1:17">
      <c r="A769" s="2" t="s">
        <v>771</v>
      </c>
      <c r="B769" s="30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43" t="s">
        <v>1644</v>
      </c>
      <c r="G769" t="s">
        <v>1696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Row],[VEHIDCODE]],roster!A:A,roster!C:C))</f>
        <v>1</v>
      </c>
      <c r="N769" t="b">
        <f>ISNUMBER(_xlfn.XMATCH(CONTROL[[#This Row],[VEHIDCODE]],GRAPHICS_PROPERTIES[VEHIDCODE],0))</f>
        <v>1</v>
      </c>
      <c r="O769" s="30" t="str">
        <f>"item_"&amp;CONTROL[[#This Row],[VEHIDCODE]]</f>
        <v>item_mu_Coach_Gen4_Superliner_California</v>
      </c>
      <c r="P769" s="30" t="str">
        <f>"str_"&amp;CONTROL[[#This Row],[VEHIDCODE]]</f>
        <v>str_mu_Coach_Gen4_Superliner_California</v>
      </c>
      <c r="Q769" s="10" t="b">
        <f>_xlfn.XLOOKUP(CONTROL[[#This Row],[VEHIDCODE]],PROPERTIES[VEHIDCODE],PROPERTIES[EXCLUDE])</f>
        <v>0</v>
      </c>
    </row>
    <row r="770" spans="1:17">
      <c r="A770" s="2" t="s">
        <v>772</v>
      </c>
      <c r="B770" s="30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43" t="s">
        <v>1645</v>
      </c>
      <c r="G770" t="s">
        <v>1696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Row],[VEHIDCODE]],roster!A:A,roster!C:C))</f>
        <v>1</v>
      </c>
      <c r="N770" t="b">
        <f>ISNUMBER(_xlfn.XMATCH(CONTROL[[#This Row],[VEHIDCODE]],GRAPHICS_PROPERTIES[VEHIDCODE],0))</f>
        <v>1</v>
      </c>
      <c r="O770" s="30" t="str">
        <f>"item_"&amp;CONTROL[[#This Row],[VEHIDCODE]]</f>
        <v>item_mu_Coach_Gen4_Amfleet_Regional_Coach</v>
      </c>
      <c r="P770" s="30" t="str">
        <f>"str_"&amp;CONTROL[[#This Row],[VEHIDCODE]]</f>
        <v>str_mu_Coach_Gen4_Amfleet_Regional_Coach</v>
      </c>
      <c r="Q770" s="10" t="b">
        <f>_xlfn.XLOOKUP(CONTROL[[#This Row],[VEHIDCODE]],PROPERTIES[VEHIDCODE],PROPERTIES[EXCLUDE])</f>
        <v>0</v>
      </c>
    </row>
    <row r="771" spans="1:17">
      <c r="A771" s="2" t="s">
        <v>773</v>
      </c>
      <c r="B771" s="30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43" t="s">
        <v>1646</v>
      </c>
      <c r="G771" t="s">
        <v>1696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Row],[VEHIDCODE]],roster!A:A,roster!C:C))</f>
        <v>1</v>
      </c>
      <c r="N771" t="b">
        <f>ISNUMBER(_xlfn.XMATCH(CONTROL[[#This Row],[VEHIDCODE]],GRAPHICS_PROPERTIES[VEHIDCODE],0))</f>
        <v>1</v>
      </c>
      <c r="O771" s="30" t="str">
        <f>"item_"&amp;CONTROL[[#This Row],[VEHIDCODE]]</f>
        <v>item_mu_Coach_Gen4_Amfleet_Intercity_Coach</v>
      </c>
      <c r="P771" s="30" t="str">
        <f>"str_"&amp;CONTROL[[#This Row],[VEHIDCODE]]</f>
        <v>str_mu_Coach_Gen4_Amfleet_Intercity_Coach</v>
      </c>
      <c r="Q771" s="10" t="b">
        <f>_xlfn.XLOOKUP(CONTROL[[#This Row],[VEHIDCODE]],PROPERTIES[VEHIDCODE],PROPERTIES[EXCLUDE])</f>
        <v>0</v>
      </c>
    </row>
    <row r="772" spans="1:17">
      <c r="A772" s="2" t="s">
        <v>774</v>
      </c>
      <c r="B772" s="30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43" t="s">
        <v>1647</v>
      </c>
      <c r="G772" t="s">
        <v>1696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Row],[VEHIDCODE]],roster!A:A,roster!C:C))</f>
        <v>1</v>
      </c>
      <c r="N772" t="b">
        <f>ISNUMBER(_xlfn.XMATCH(CONTROL[[#This Row],[VEHIDCODE]],GRAPHICS_PROPERTIES[VEHIDCODE],0))</f>
        <v>1</v>
      </c>
      <c r="O772" s="30" t="str">
        <f>"item_"&amp;CONTROL[[#This Row],[VEHIDCODE]]</f>
        <v>item_mu_Coach_Gen4_Comet_Commuter_Coach</v>
      </c>
      <c r="P772" s="30" t="str">
        <f>"str_"&amp;CONTROL[[#This Row],[VEHIDCODE]]</f>
        <v>str_mu_Coach_Gen4_Comet_Commuter_Coach</v>
      </c>
      <c r="Q772" s="10" t="b">
        <f>_xlfn.XLOOKUP(CONTROL[[#This Row],[VEHIDCODE]],PROPERTIES[VEHIDCODE],PROPERTIES[EXCLUDE])</f>
        <v>0</v>
      </c>
    </row>
    <row r="773" spans="1:17">
      <c r="A773" s="2" t="s">
        <v>775</v>
      </c>
      <c r="B773" s="30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43" t="s">
        <v>1648</v>
      </c>
      <c r="G773" t="s">
        <v>1696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Row],[VEHIDCODE]],roster!A:A,roster!C:C))</f>
        <v>1</v>
      </c>
      <c r="N773" t="b">
        <f>ISNUMBER(_xlfn.XMATCH(CONTROL[[#This Row],[VEHIDCODE]],GRAPHICS_PROPERTIES[VEHIDCODE],0))</f>
        <v>1</v>
      </c>
      <c r="O773" s="30" t="str">
        <f>"item_"&amp;CONTROL[[#This Row],[VEHIDCODE]]</f>
        <v>item_mu_Coach_Gen4_Horizon_Regional_Coach</v>
      </c>
      <c r="P773" s="30" t="str">
        <f>"str_"&amp;CONTROL[[#This Row],[VEHIDCODE]]</f>
        <v>str_mu_Coach_Gen4_Horizon_Regional_Coach</v>
      </c>
      <c r="Q773" s="10" t="b">
        <f>_xlfn.XLOOKUP(CONTROL[[#This Row],[VEHIDCODE]],PROPERTIES[VEHIDCODE],PROPERTIES[EXCLUDE])</f>
        <v>0</v>
      </c>
    </row>
    <row r="774" spans="1:17">
      <c r="A774" s="2" t="s">
        <v>776</v>
      </c>
      <c r="B774" s="30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43" t="s">
        <v>1649</v>
      </c>
      <c r="G774" t="s">
        <v>1696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Row],[VEHIDCODE]],roster!A:A,roster!C:C))</f>
        <v>1</v>
      </c>
      <c r="N774" t="b">
        <f>ISNUMBER(_xlfn.XMATCH(CONTROL[[#This Row],[VEHIDCODE]],GRAPHICS_PROPERTIES[VEHIDCODE],0))</f>
        <v>1</v>
      </c>
      <c r="O774" s="30" t="str">
        <f>"item_"&amp;CONTROL[[#This Row],[VEHIDCODE]]</f>
        <v>item_mu_Coach_Gen4_Horizon_Baggage_Coach</v>
      </c>
      <c r="P774" s="30" t="str">
        <f>"str_"&amp;CONTROL[[#This Row],[VEHIDCODE]]</f>
        <v>str_mu_Coach_Gen4_Horizon_Baggage_Coach</v>
      </c>
      <c r="Q774" s="10" t="b">
        <f>_xlfn.XLOOKUP(CONTROL[[#This Row],[VEHIDCODE]],PROPERTIES[VEHIDCODE],PROPERTIES[EXCLUDE])</f>
        <v>0</v>
      </c>
    </row>
    <row r="775" spans="1:17">
      <c r="A775" s="2" t="s">
        <v>777</v>
      </c>
      <c r="B775" s="30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43" t="s">
        <v>1650</v>
      </c>
      <c r="G775" t="s">
        <v>1696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Row],[VEHIDCODE]],roster!A:A,roster!C:C))</f>
        <v>1</v>
      </c>
      <c r="N775" t="b">
        <f>ISNUMBER(_xlfn.XMATCH(CONTROL[[#This Row],[VEHIDCODE]],GRAPHICS_PROPERTIES[VEHIDCODE],0))</f>
        <v>1</v>
      </c>
      <c r="O775" s="30" t="str">
        <f>"item_"&amp;CONTROL[[#This Row],[VEHIDCODE]]</f>
        <v>item_mu_Coach_Gen4_Bombardier_Bi_level</v>
      </c>
      <c r="P775" s="30" t="str">
        <f>"str_"&amp;CONTROL[[#This Row],[VEHIDCODE]]</f>
        <v>str_mu_Coach_Gen4_Bombardier_Bi_level</v>
      </c>
      <c r="Q775" s="10" t="b">
        <f>_xlfn.XLOOKUP(CONTROL[[#This Row],[VEHIDCODE]],PROPERTIES[VEHIDCODE],PROPERTIES[EXCLUDE])</f>
        <v>0</v>
      </c>
    </row>
    <row r="776" spans="1:17">
      <c r="A776" s="2" t="s">
        <v>778</v>
      </c>
      <c r="B776" s="30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43" t="s">
        <v>1651</v>
      </c>
      <c r="G776" t="s">
        <v>1696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Row],[VEHIDCODE]],roster!A:A,roster!C:C))</f>
        <v>1</v>
      </c>
      <c r="N776" t="b">
        <f>ISNUMBER(_xlfn.XMATCH(CONTROL[[#This Row],[VEHIDCODE]],GRAPHICS_PROPERTIES[VEHIDCODE],0))</f>
        <v>1</v>
      </c>
      <c r="O776" s="30" t="str">
        <f>"item_"&amp;CONTROL[[#This Row],[VEHIDCODE]]</f>
        <v>item_mu_Coach_Gen5_High_Speed_Coach</v>
      </c>
      <c r="P776" s="30" t="str">
        <f>"str_"&amp;CONTROL[[#This Row],[VEHIDCODE]]</f>
        <v>str_mu_Coach_Gen5_High_Speed_Coach</v>
      </c>
      <c r="Q776" s="10" t="b">
        <f>_xlfn.XLOOKUP(CONTROL[[#This Row],[VEHIDCODE]],PROPERTIES[VEHIDCODE],PROPERTIES[EXCLUDE])</f>
        <v>0</v>
      </c>
    </row>
    <row r="777" spans="1:17">
      <c r="A777" s="2" t="s">
        <v>779</v>
      </c>
      <c r="B777" s="30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43" t="s">
        <v>1652</v>
      </c>
      <c r="G777" t="s">
        <v>1696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Row],[VEHIDCODE]],roster!A:A,roster!C:C))</f>
        <v>1</v>
      </c>
      <c r="N777" t="b">
        <f>ISNUMBER(_xlfn.XMATCH(CONTROL[[#This Row],[VEHIDCODE]],GRAPHICS_PROPERTIES[VEHIDCODE],0))</f>
        <v>1</v>
      </c>
      <c r="O777" s="30" t="str">
        <f>"item_"&amp;CONTROL[[#This Row],[VEHIDCODE]]</f>
        <v>item_mu_Coach_Gen5_Modern_Regional_Coach</v>
      </c>
      <c r="P777" s="30" t="str">
        <f>"str_"&amp;CONTROL[[#This Row],[VEHIDCODE]]</f>
        <v>str_mu_Coach_Gen5_Modern_Regional_Coach</v>
      </c>
      <c r="Q777" s="10" t="b">
        <f>_xlfn.XLOOKUP(CONTROL[[#This Row],[VEHIDCODE]],PROPERTIES[VEHIDCODE],PROPERTIES[EXCLUDE])</f>
        <v>0</v>
      </c>
    </row>
    <row r="778" spans="1:17">
      <c r="A778" s="2" t="s">
        <v>780</v>
      </c>
      <c r="B778" s="30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43" t="s">
        <v>1653</v>
      </c>
      <c r="G778" t="s">
        <v>1696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Row],[VEHIDCODE]],roster!A:A,roster!C:C))</f>
        <v>1</v>
      </c>
      <c r="N778" t="b">
        <f>ISNUMBER(_xlfn.XMATCH(CONTROL[[#This Row],[VEHIDCODE]],GRAPHICS_PROPERTIES[VEHIDCODE],0))</f>
        <v>1</v>
      </c>
      <c r="O778" s="30" t="str">
        <f>"item_"&amp;CONTROL[[#This Row],[VEHIDCODE]]</f>
        <v>item_mu_Coach_Gen5_Modern_Commuter_Coach</v>
      </c>
      <c r="P778" s="30" t="str">
        <f>"str_"&amp;CONTROL[[#This Row],[VEHIDCODE]]</f>
        <v>str_mu_Coach_Gen5_Modern_Commuter_Coach</v>
      </c>
      <c r="Q778" s="10" t="b">
        <f>_xlfn.XLOOKUP(CONTROL[[#This Row],[VEHIDCODE]],PROPERTIES[VEHIDCODE],PROPERTIES[EXCLUDE])</f>
        <v>0</v>
      </c>
    </row>
    <row r="779" spans="1:17">
      <c r="A779" s="2" t="s">
        <v>781</v>
      </c>
      <c r="B779" s="30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43" t="s">
        <v>1654</v>
      </c>
      <c r="G779" t="s">
        <v>1696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Row],[VEHIDCODE]],roster!A:A,roster!C:C))</f>
        <v>1</v>
      </c>
      <c r="N779" t="b">
        <f>ISNUMBER(_xlfn.XMATCH(CONTROL[[#This Row],[VEHIDCODE]],GRAPHICS_PROPERTIES[VEHIDCODE],0))</f>
        <v>1</v>
      </c>
      <c r="O779" s="30" t="str">
        <f>"item_"&amp;CONTROL[[#This Row],[VEHIDCODE]]</f>
        <v>item_mu_Coach_Gen5_Modern_Double_Decker_Coach</v>
      </c>
      <c r="P779" s="30" t="str">
        <f>"str_"&amp;CONTROL[[#This Row],[VEHIDCODE]]</f>
        <v>str_mu_Coach_Gen5_Modern_Double_Decker_Coach</v>
      </c>
      <c r="Q779" s="10" t="b">
        <f>_xlfn.XLOOKUP(CONTROL[[#This Row],[VEHIDCODE]],PROPERTIES[VEHIDCODE],PROPERTIES[EXCLUDE])</f>
        <v>0</v>
      </c>
    </row>
    <row r="780" spans="1:17">
      <c r="A780" s="2" t="s">
        <v>782</v>
      </c>
      <c r="B780" s="30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43" t="s">
        <v>1655</v>
      </c>
      <c r="G780" t="s">
        <v>1696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Row],[VEHIDCODE]],roster!A:A,roster!C:C))</f>
        <v>1</v>
      </c>
      <c r="N780" t="b">
        <f>ISNUMBER(_xlfn.XMATCH(CONTROL[[#This Row],[VEHIDCODE]],GRAPHICS_PROPERTIES[VEHIDCODE],0))</f>
        <v>1</v>
      </c>
      <c r="O780" s="30" t="str">
        <f>"item_"&amp;CONTROL[[#This Row],[VEHIDCODE]]</f>
        <v>item_mu_Coach_Gen5_High_Speed_Double_Decker_IC2000</v>
      </c>
      <c r="P780" s="30" t="str">
        <f>"str_"&amp;CONTROL[[#This Row],[VEHIDCODE]]</f>
        <v>str_mu_Coach_Gen5_High_Speed_Double_Decker_IC2000</v>
      </c>
      <c r="Q780" s="10" t="b">
        <f>_xlfn.XLOOKUP(CONTROL[[#This Row],[VEHIDCODE]],PROPERTIES[VEHIDCODE],PROPERTIES[EXCLUDE])</f>
        <v>0</v>
      </c>
    </row>
    <row r="781" spans="1:17">
      <c r="A781" s="2" t="s">
        <v>783</v>
      </c>
      <c r="B781" s="30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43" t="s">
        <v>1656</v>
      </c>
      <c r="G781" t="s">
        <v>1696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Row],[VEHIDCODE]],roster!A:A,roster!C:C))</f>
        <v>1</v>
      </c>
      <c r="N781" t="b">
        <f>ISNUMBER(_xlfn.XMATCH(CONTROL[[#This Row],[VEHIDCODE]],GRAPHICS_PROPERTIES[VEHIDCODE],0))</f>
        <v>1</v>
      </c>
      <c r="O781" s="30" t="str">
        <f>"item_"&amp;CONTROL[[#This Row],[VEHIDCODE]]</f>
        <v>item_mu_Coach_Gen5_High_Speed_Mail_Coach</v>
      </c>
      <c r="P781" s="30" t="str">
        <f>"str_"&amp;CONTROL[[#This Row],[VEHIDCODE]]</f>
        <v>str_mu_Coach_Gen5_High_Speed_Mail_Coach</v>
      </c>
      <c r="Q781" s="10" t="b">
        <f>_xlfn.XLOOKUP(CONTROL[[#This Row],[VEHIDCODE]],PROPERTIES[VEHIDCODE],PROPERTIES[EXCLUDE])</f>
        <v>0</v>
      </c>
    </row>
    <row r="782" spans="1:17">
      <c r="A782" s="2" t="s">
        <v>784</v>
      </c>
      <c r="B782" s="30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43" t="s">
        <v>1657</v>
      </c>
      <c r="G782" t="s">
        <v>1696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Row],[VEHIDCODE]],roster!A:A,roster!C:C))</f>
        <v>1</v>
      </c>
      <c r="N782" t="b">
        <f>ISNUMBER(_xlfn.XMATCH(CONTROL[[#This Row],[VEHIDCODE]],GRAPHICS_PROPERTIES[VEHIDCODE],0))</f>
        <v>1</v>
      </c>
      <c r="O782" s="30" t="str">
        <f>"item_"&amp;CONTROL[[#This Row],[VEHIDCODE]]</f>
        <v>item_mu_Coach_Gen5_Talgo_Pendular</v>
      </c>
      <c r="P782" s="30" t="str">
        <f>"str_"&amp;CONTROL[[#This Row],[VEHIDCODE]]</f>
        <v>str_mu_Coach_Gen5_Talgo_Pendular</v>
      </c>
      <c r="Q782" s="10" t="b">
        <f>_xlfn.XLOOKUP(CONTROL[[#This Row],[VEHIDCODE]],PROPERTIES[VEHIDCODE],PROPERTIES[EXCLUDE])</f>
        <v>0</v>
      </c>
    </row>
    <row r="783" spans="1:17">
      <c r="A783" s="2" t="s">
        <v>785</v>
      </c>
      <c r="B783" s="30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43" t="s">
        <v>1658</v>
      </c>
      <c r="G783" t="s">
        <v>1696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Row],[VEHIDCODE]],roster!A:A,roster!C:C))</f>
        <v>1</v>
      </c>
      <c r="N783" t="b">
        <f>ISNUMBER(_xlfn.XMATCH(CONTROL[[#This Row],[VEHIDCODE]],GRAPHICS_PROPERTIES[VEHIDCODE],0))</f>
        <v>1</v>
      </c>
      <c r="O783" s="30" t="str">
        <f>"item_"&amp;CONTROL[[#This Row],[VEHIDCODE]]</f>
        <v>item_mu_Coach_Gen5_Talgo_Pendular_Mail</v>
      </c>
      <c r="P783" s="30" t="str">
        <f>"str_"&amp;CONTROL[[#This Row],[VEHIDCODE]]</f>
        <v>str_mu_Coach_Gen5_Talgo_Pendular_Mail</v>
      </c>
      <c r="Q783" s="10" t="b">
        <f>_xlfn.XLOOKUP(CONTROL[[#This Row],[VEHIDCODE]],PROPERTIES[VEHIDCODE],PROPERTIES[EXCLUDE])</f>
        <v>0</v>
      </c>
    </row>
    <row r="784" spans="1:17">
      <c r="A784" s="2" t="s">
        <v>786</v>
      </c>
      <c r="B784" s="30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43" t="s">
        <v>1659</v>
      </c>
      <c r="G784" t="s">
        <v>1696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Row],[VEHIDCODE]],roster!A:A,roster!C:C))</f>
        <v>1</v>
      </c>
      <c r="N784" t="b">
        <f>ISNUMBER(_xlfn.XMATCH(CONTROL[[#This Row],[VEHIDCODE]],GRAPHICS_PROPERTIES[VEHIDCODE],0))</f>
        <v>1</v>
      </c>
      <c r="O784" s="30" t="str">
        <f>"item_"&amp;CONTROL[[#This Row],[VEHIDCODE]]</f>
        <v>item_mu_Coach_Gen6_Grand_Voyager_Coach</v>
      </c>
      <c r="P784" s="30" t="str">
        <f>"str_"&amp;CONTROL[[#This Row],[VEHIDCODE]]</f>
        <v>str_mu_Coach_Gen6_Grand_Voyager_Coach</v>
      </c>
      <c r="Q784" s="10" t="b">
        <f>_xlfn.XLOOKUP(CONTROL[[#This Row],[VEHIDCODE]],PROPERTIES[VEHIDCODE],PROPERTIES[EXCLUDE])</f>
        <v>0</v>
      </c>
    </row>
    <row r="785" spans="1:17">
      <c r="A785" s="2" t="s">
        <v>787</v>
      </c>
      <c r="B785" s="30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43" t="s">
        <v>1660</v>
      </c>
      <c r="G785" t="s">
        <v>1696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Row],[VEHIDCODE]],roster!A:A,roster!C:C))</f>
        <v>1</v>
      </c>
      <c r="N785" t="b">
        <f>ISNUMBER(_xlfn.XMATCH(CONTROL[[#This Row],[VEHIDCODE]],GRAPHICS_PROPERTIES[VEHIDCODE],0))</f>
        <v>1</v>
      </c>
      <c r="O785" s="30" t="str">
        <f>"item_"&amp;CONTROL[[#This Row],[VEHIDCODE]]</f>
        <v>item_mu_Coach_Gen6_Grand_Regio_Coach</v>
      </c>
      <c r="P785" s="30" t="str">
        <f>"str_"&amp;CONTROL[[#This Row],[VEHIDCODE]]</f>
        <v>str_mu_Coach_Gen6_Grand_Regio_Coach</v>
      </c>
      <c r="Q785" s="10" t="b">
        <f>_xlfn.XLOOKUP(CONTROL[[#This Row],[VEHIDCODE]],PROPERTIES[VEHIDCODE],PROPERTIES[EXCLUDE])</f>
        <v>0</v>
      </c>
    </row>
    <row r="786" spans="1:17">
      <c r="A786" s="2" t="s">
        <v>788</v>
      </c>
      <c r="B786" s="30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43" t="s">
        <v>1661</v>
      </c>
      <c r="G786" t="s">
        <v>1696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Row],[VEHIDCODE]],roster!A:A,roster!C:C))</f>
        <v>1</v>
      </c>
      <c r="N786" t="b">
        <f>ISNUMBER(_xlfn.XMATCH(CONTROL[[#This Row],[VEHIDCODE]],GRAPHICS_PROPERTIES[VEHIDCODE],0))</f>
        <v>1</v>
      </c>
      <c r="O786" s="30" t="str">
        <f>"item_"&amp;CONTROL[[#This Row],[VEHIDCODE]]</f>
        <v>item_mu_Coach_Gen6_Metropolis_Coach</v>
      </c>
      <c r="P786" s="30" t="str">
        <f>"str_"&amp;CONTROL[[#This Row],[VEHIDCODE]]</f>
        <v>str_mu_Coach_Gen6_Metropolis_Coach</v>
      </c>
      <c r="Q786" s="10" t="b">
        <f>_xlfn.XLOOKUP(CONTROL[[#This Row],[VEHIDCODE]],PROPERTIES[VEHIDCODE],PROPERTIES[EXCLUDE])</f>
        <v>0</v>
      </c>
    </row>
    <row r="787" spans="1:17">
      <c r="A787" s="2" t="s">
        <v>789</v>
      </c>
      <c r="B787" s="30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43" t="s">
        <v>1662</v>
      </c>
      <c r="G787" t="s">
        <v>1696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Row],[VEHIDCODE]],roster!A:A,roster!C:C))</f>
        <v>1</v>
      </c>
      <c r="N787" t="b">
        <f>ISNUMBER(_xlfn.XMATCH(CONTROL[[#This Row],[VEHIDCODE]],GRAPHICS_PROPERTIES[VEHIDCODE],0))</f>
        <v>1</v>
      </c>
      <c r="O787" s="30" t="str">
        <f>"item_"&amp;CONTROL[[#This Row],[VEHIDCODE]]</f>
        <v>item_mu_Coach_Gen6_Speedmail_Coach</v>
      </c>
      <c r="P787" s="30" t="str">
        <f>"str_"&amp;CONTROL[[#This Row],[VEHIDCODE]]</f>
        <v>str_mu_Coach_Gen6_Speedmail_Coach</v>
      </c>
      <c r="Q787" s="10" t="b">
        <f>_xlfn.XLOOKUP(CONTROL[[#This Row],[VEHIDCODE]],PROPERTIES[VEHIDCODE],PROPERTIES[EXCLUDE])</f>
        <v>0</v>
      </c>
    </row>
    <row r="788" spans="1:17">
      <c r="A788" s="2" t="s">
        <v>790</v>
      </c>
      <c r="B788" s="30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43" t="s">
        <v>1663</v>
      </c>
      <c r="G788" t="s">
        <v>1696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Row],[VEHIDCODE]],roster!A:A,roster!C:C))</f>
        <v>1</v>
      </c>
      <c r="N788" t="b">
        <f>ISNUMBER(_xlfn.XMATCH(CONTROL[[#This Row],[VEHIDCODE]],GRAPHICS_PROPERTIES[VEHIDCODE],0))</f>
        <v>1</v>
      </c>
      <c r="O788" s="30" t="str">
        <f>"item_"&amp;CONTROL[[#This Row],[VEHIDCODE]]</f>
        <v>item_mu_Coach_Gen6_Super_Regio_Coach</v>
      </c>
      <c r="P788" s="30" t="str">
        <f>"str_"&amp;CONTROL[[#This Row],[VEHIDCODE]]</f>
        <v>str_mu_Coach_Gen6_Super_Regio_Coach</v>
      </c>
      <c r="Q788" s="10" t="b">
        <f>_xlfn.XLOOKUP(CONTROL[[#This Row],[VEHIDCODE]],PROPERTIES[VEHIDCODE],PROPERTIES[EXCLUDE])</f>
        <v>0</v>
      </c>
    </row>
    <row r="789" spans="1:17">
      <c r="A789" s="2" t="s">
        <v>791</v>
      </c>
      <c r="B789" s="30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43" t="s">
        <v>1664</v>
      </c>
      <c r="G789" t="s">
        <v>1696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Row],[VEHIDCODE]],roster!A:A,roster!C:C))</f>
        <v>1</v>
      </c>
      <c r="N789" t="b">
        <f>ISNUMBER(_xlfn.XMATCH(CONTROL[[#This Row],[VEHIDCODE]],GRAPHICS_PROPERTIES[VEHIDCODE],0))</f>
        <v>1</v>
      </c>
      <c r="O789" s="30" t="str">
        <f>"item_"&amp;CONTROL[[#This Row],[VEHIDCODE]]</f>
        <v>item_mu_Coach_Gen6_Super_Voyager_Coach</v>
      </c>
      <c r="P789" s="30" t="str">
        <f>"str_"&amp;CONTROL[[#This Row],[VEHIDCODE]]</f>
        <v>str_mu_Coach_Gen6_Super_Voyager_Coach</v>
      </c>
      <c r="Q789" s="10" t="b">
        <f>_xlfn.XLOOKUP(CONTROL[[#This Row],[VEHIDCODE]],PROPERTIES[VEHIDCODE],PROPERTIES[EXCLUDE])</f>
        <v>0</v>
      </c>
    </row>
    <row r="790" spans="1:17">
      <c r="A790" t="s">
        <v>1700</v>
      </c>
      <c r="B790" s="30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43" t="s">
        <v>3043</v>
      </c>
      <c r="G790" t="s">
        <v>1696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Row],[VEHIDCODE]],roster!A:A,roster!C:C))</f>
        <v>1</v>
      </c>
      <c r="N790" t="b">
        <f>ISNUMBER(_xlfn.XMATCH(CONTROL[[#This Row],[VEHIDCODE]],GRAPHICS_PROPERTIES[VEHIDCODE],0))</f>
        <v>1</v>
      </c>
      <c r="O790" s="30" t="str">
        <f>"item_"&amp;CONTROL[[#This Row],[VEHIDCODE]]</f>
        <v>item_diesel_Gabon_Alsthom_AD30B</v>
      </c>
      <c r="P790" s="30" t="str">
        <f>"str_"&amp;CONTROL[[#This Row],[VEHIDCODE]]</f>
        <v>str_diesel_Gabon_Alsthom_AD30B</v>
      </c>
      <c r="Q790" s="10" t="b">
        <f>_xlfn.XLOOKUP(CONTROL[[#This Row],[VEHIDCODE]],PROPERTIES[VEHIDCODE],PROPERTIES[EXCLUDE])</f>
        <v>0</v>
      </c>
    </row>
    <row r="791" spans="1:17">
      <c r="A791" t="s">
        <v>1702</v>
      </c>
      <c r="B791" s="30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43" t="s">
        <v>1701</v>
      </c>
      <c r="G791" t="s">
        <v>2372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Row],[VEHIDCODE]],roster!A:A,roster!C:C))</f>
        <v>1</v>
      </c>
      <c r="N791" t="b">
        <f>ISNUMBER(_xlfn.XMATCH(CONTROL[[#This Row],[VEHIDCODE]],GRAPHICS_PROPERTIES[VEHIDCODE],0))</f>
        <v>1</v>
      </c>
      <c r="O791" s="30" t="str">
        <f>"item_"&amp;CONTROL[[#This Row],[VEHIDCODE]]</f>
        <v>item_steam_South_Africa_Katanga_Mikado_2_8_2</v>
      </c>
      <c r="P791" s="30" t="str">
        <f>"str_"&amp;CONTROL[[#This Row],[VEHIDCODE]]</f>
        <v>str_steam_South_Africa_Katanga_Mikado_2_8_2</v>
      </c>
      <c r="Q791" s="10" t="b">
        <f>_xlfn.XLOOKUP(CONTROL[[#This Row],[VEHIDCODE]],PROPERTIES[VEHIDCODE],PROPERTIES[EXCLUDE])</f>
        <v>0</v>
      </c>
    </row>
    <row r="792" spans="1:17">
      <c r="A792" s="2" t="s">
        <v>2748</v>
      </c>
      <c r="B792" s="30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43" t="s">
        <v>2747</v>
      </c>
      <c r="G792" t="s">
        <v>2826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Row],[VEHIDCODE]],roster!A:A,roster!C:C))</f>
        <v>1</v>
      </c>
      <c r="N792" t="b">
        <f>ISNUMBER(_xlfn.XMATCH(CONTROL[[#This Row],[VEHIDCODE]],GRAPHICS_PROPERTIES[VEHIDCODE],0))</f>
        <v>1</v>
      </c>
      <c r="O792" s="30" t="str">
        <f>"item_"&amp;CONTROL[[#This Row],[VEHIDCODE]]</f>
        <v>item_cargoemu_Japan_JR_Freight_M250</v>
      </c>
      <c r="P792" s="30" t="str">
        <f>"str_"&amp;CONTROL[[#This Row],[VEHIDCODE]]</f>
        <v>str_cargoemu_Japan_JR_Freight_M250</v>
      </c>
      <c r="Q792" s="10" t="b">
        <f>_xlfn.XLOOKUP(CONTROL[[#This Row],[VEHIDCODE]],PROPERTIES[VEHIDCODE],PROPERTIES[EXCLUDE])</f>
        <v>0</v>
      </c>
    </row>
    <row r="793" spans="1:17">
      <c r="A793" t="s">
        <v>2885</v>
      </c>
      <c r="B793" s="30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43" t="s">
        <v>3034</v>
      </c>
      <c r="G793" t="s">
        <v>2886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Row],[VEHIDCODE]],roster!A:A,roster!C:C))</f>
        <v>1</v>
      </c>
      <c r="N793" t="b">
        <f>ISNUMBER(_xlfn.XMATCH(CONTROL[[#This Row],[VEHIDCODE]],GRAPHICS_PROPERTIES[VEHIDCODE],0))</f>
        <v>1</v>
      </c>
      <c r="O793" s="30" t="str">
        <f>"item_"&amp;CONTROL[[#This Row],[VEHIDCODE]]</f>
        <v>item_rbs_Gemany_Hessian_Ludwig_Railway_Type_Thomas</v>
      </c>
      <c r="P793" s="30" t="str">
        <f>"str_"&amp;CONTROL[[#This Row],[VEHIDCODE]]</f>
        <v>str_rbs_Gemany_Hessian_Ludwig_Railway_Type_Thomas</v>
      </c>
      <c r="Q793" s="10" t="b">
        <f>_xlfn.XLOOKUP(CONTROL[[#This Row],[VEHIDCODE]],PROPERTIES[VEHIDCODE],PROPERTIES[EXCLUDE])</f>
        <v>0</v>
      </c>
    </row>
    <row r="794" spans="1:17">
      <c r="A794" s="2" t="s">
        <v>2887</v>
      </c>
      <c r="B794" s="30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43" t="s">
        <v>2981</v>
      </c>
      <c r="G794" t="s">
        <v>2228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Row],[VEHIDCODE]],roster!A:A,roster!C:C))</f>
        <v>1</v>
      </c>
      <c r="N794" t="b">
        <f>ISNUMBER(_xlfn.XMATCH(CONTROL[[#This Row],[VEHIDCODE]],GRAPHICS_PROPERTIES[VEHIDCODE],0))</f>
        <v>1</v>
      </c>
      <c r="O794" s="30" t="str">
        <f>"item_"&amp;CONTROL[[#This Row],[VEHIDCODE]]</f>
        <v>item_rbs_Austria_NOLB_30_33</v>
      </c>
      <c r="P794" s="30" t="str">
        <f>"str_"&amp;CONTROL[[#This Row],[VEHIDCODE]]</f>
        <v>str_rbs_Austria_NOLB_30_33</v>
      </c>
      <c r="Q794" s="10" t="b">
        <f>_xlfn.XLOOKUP(CONTROL[[#This Row],[VEHIDCODE]],PROPERTIES[VEHIDCODE],PROPERTIES[EXCLUDE])</f>
        <v>0</v>
      </c>
    </row>
    <row r="795" spans="1:17">
      <c r="A795" t="s">
        <v>2889</v>
      </c>
      <c r="B795" s="30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43" t="s">
        <v>3038</v>
      </c>
      <c r="G795" t="s">
        <v>2888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Row],[VEHIDCODE]],roster!A:A,roster!C:C))</f>
        <v>1</v>
      </c>
      <c r="N795" t="b">
        <f>ISNUMBER(_xlfn.XMATCH(CONTROL[[#This Row],[VEHIDCODE]],GRAPHICS_PROPERTIES[VEHIDCODE],0))</f>
        <v>1</v>
      </c>
      <c r="O795" s="30" t="str">
        <f>"item_"&amp;CONTROL[[#This Row],[VEHIDCODE]]</f>
        <v>item_steam_Mozambique_Mozambique_Railways_No_101</v>
      </c>
      <c r="P795" s="30" t="str">
        <f>"str_"&amp;CONTROL[[#This Row],[VEHIDCODE]]</f>
        <v>str_steam_Mozambique_Mozambique_Railways_No_101</v>
      </c>
      <c r="Q795" s="10" t="b">
        <f>_xlfn.XLOOKUP(CONTROL[[#This Row],[VEHIDCODE]],PROPERTIES[VEHIDCODE],PROPERTIES[EXCLUDE])</f>
        <v>0</v>
      </c>
    </row>
    <row r="796" spans="1:17">
      <c r="A796" t="s">
        <v>2891</v>
      </c>
      <c r="B796" s="30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43" t="s">
        <v>3041</v>
      </c>
      <c r="G796" t="s">
        <v>2890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Row],[VEHIDCODE]],roster!A:A,roster!C:C))</f>
        <v>1</v>
      </c>
      <c r="N796" t="b">
        <f>ISNUMBER(_xlfn.XMATCH(CONTROL[[#This Row],[VEHIDCODE]],GRAPHICS_PROPERTIES[VEHIDCODE],0))</f>
        <v>1</v>
      </c>
      <c r="O796" s="30" t="str">
        <f>"item_"&amp;CONTROL[[#This Row],[VEHIDCODE]]</f>
        <v>item_steam_Ivory_Coast_Golwe_2_6_0_0_6_2T</v>
      </c>
      <c r="P796" s="30" t="str">
        <f>"str_"&amp;CONTROL[[#This Row],[VEHIDCODE]]</f>
        <v>str_steam_Ivory_Coast_Golwe_2_6_0_0_6_2T</v>
      </c>
      <c r="Q796" s="10" t="b">
        <f>_xlfn.XLOOKUP(CONTROL[[#This Row],[VEHIDCODE]],PROPERTIES[VEHIDCODE],PROPERTIES[EXCLUDE])</f>
        <v>0</v>
      </c>
    </row>
    <row r="797" spans="1:17">
      <c r="A797" t="s">
        <v>2904</v>
      </c>
      <c r="B797" s="30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43" t="s">
        <v>3071</v>
      </c>
      <c r="G797" t="s">
        <v>2903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Row],[VEHIDCODE]],roster!A:A,roster!C:C))</f>
        <v>1</v>
      </c>
      <c r="N797" t="b">
        <f>ISNUMBER(_xlfn.XMATCH(CONTROL[[#This Row],[VEHIDCODE]],GRAPHICS_PROPERTIES[VEHIDCODE],0))</f>
        <v>1</v>
      </c>
      <c r="O797" s="30" t="str">
        <f>"item_"&amp;CONTROL[[#This Row],[VEHIDCODE]]</f>
        <v>item_diesel_Ghana_Railway_Corporation_Class_TT12</v>
      </c>
      <c r="P797" s="30" t="str">
        <f>"str_"&amp;CONTROL[[#This Row],[VEHIDCODE]]</f>
        <v>str_diesel_Ghana_Railway_Corporation_Class_TT12</v>
      </c>
      <c r="Q797" s="10" t="b">
        <f>_xlfn.XLOOKUP(CONTROL[[#This Row],[VEHIDCODE]],PROPERTIES[VEHIDCODE],PROPERTIES[EXCLUDE])</f>
        <v>0</v>
      </c>
    </row>
    <row r="798" spans="1:17">
      <c r="A798" t="s">
        <v>2906</v>
      </c>
      <c r="B798" s="30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43" t="s">
        <v>3291</v>
      </c>
      <c r="G798" t="s">
        <v>2907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Row],[VEHIDCODE]],roster!A:A,roster!C:C))</f>
        <v>1</v>
      </c>
      <c r="N798" t="b">
        <f>ISNUMBER(_xlfn.XMATCH(CONTROL[[#This Row],[VEHIDCODE]],GRAPHICS_PROPERTIES[VEHIDCODE],0))</f>
        <v>1</v>
      </c>
      <c r="O798" s="30" t="str">
        <f>"item_"&amp;CONTROL[[#This Row],[VEHIDCODE]]</f>
        <v>item_diesel_Sierra_Leone_LAMCO_301_Series</v>
      </c>
      <c r="P798" s="30" t="str">
        <f>"str_"&amp;CONTROL[[#This Row],[VEHIDCODE]]</f>
        <v>str_diesel_Sierra_Leone_LAMCO_301_Series</v>
      </c>
      <c r="Q798" s="10" t="b">
        <f>_xlfn.XLOOKUP(CONTROL[[#This Row],[VEHIDCODE]],PROPERTIES[VEHIDCODE],PROPERTIES[EXCLUDE])</f>
        <v>0</v>
      </c>
    </row>
    <row r="799" spans="1:17">
      <c r="A799" t="s">
        <v>2908</v>
      </c>
      <c r="B799" s="30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43" t="s">
        <v>2910</v>
      </c>
      <c r="G799" t="s">
        <v>2909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Row],[VEHIDCODE]],roster!A:A,roster!C:C))</f>
        <v>1</v>
      </c>
      <c r="N799" t="b">
        <f>ISNUMBER(_xlfn.XMATCH(CONTROL[[#This Row],[VEHIDCODE]],GRAPHICS_PROPERTIES[VEHIDCODE],0))</f>
        <v>1</v>
      </c>
      <c r="O799" s="30" t="str">
        <f>"item_"&amp;CONTROL[[#This Row],[VEHIDCODE]]</f>
        <v>item_electric_Congo_Type_2450_Acec_Charleroi_Zaire_Electric</v>
      </c>
      <c r="P799" s="30" t="str">
        <f>"str_"&amp;CONTROL[[#This Row],[VEHIDCODE]]</f>
        <v>str_electric_Congo_Type_2450_Acec_Charleroi_Zaire_Electric</v>
      </c>
      <c r="Q799" s="10" t="b">
        <f>_xlfn.XLOOKUP(CONTROL[[#This Row],[VEHIDCODE]],PROPERTIES[VEHIDCODE],PROPERTIES[EXCLUDE])</f>
        <v>0</v>
      </c>
    </row>
    <row r="800" spans="1:17">
      <c r="A800" t="s">
        <v>2911</v>
      </c>
      <c r="B800" s="30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43" t="s">
        <v>3042</v>
      </c>
      <c r="G800" t="s">
        <v>2912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Row],[VEHIDCODE]],roster!A:A,roster!C:C))</f>
        <v>1</v>
      </c>
      <c r="N800" t="b">
        <f>ISNUMBER(_xlfn.XMATCH(CONTROL[[#This Row],[VEHIDCODE]],GRAPHICS_PROPERTIES[VEHIDCODE],0))</f>
        <v>1</v>
      </c>
      <c r="O800" s="30" t="str">
        <f>"item_"&amp;CONTROL[[#This Row],[VEHIDCODE]]</f>
        <v>item_diesel_Congo_Alstom_BB_BB</v>
      </c>
      <c r="P800" s="30" t="str">
        <f>"str_"&amp;CONTROL[[#This Row],[VEHIDCODE]]</f>
        <v>str_diesel_Congo_Alstom_BB_BB</v>
      </c>
      <c r="Q800" s="10" t="b">
        <f>_xlfn.XLOOKUP(CONTROL[[#This Row],[VEHIDCODE]],PROPERTIES[VEHIDCODE],PROPERTIES[EXCLUDE])</f>
        <v>0</v>
      </c>
    </row>
    <row r="801" spans="1:17">
      <c r="A801" t="s">
        <v>2913</v>
      </c>
      <c r="B801" s="30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43" t="s">
        <v>2914</v>
      </c>
      <c r="G801" t="s">
        <v>1696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Row],[VEHIDCODE]],roster!A:A,roster!C:C))</f>
        <v>1</v>
      </c>
      <c r="N801" t="b">
        <f>ISNUMBER(_xlfn.XMATCH(CONTROL[[#This Row],[VEHIDCODE]],GRAPHICS_PROPERTIES[VEHIDCODE],0))</f>
        <v>1</v>
      </c>
      <c r="O801" s="30" t="str">
        <f>"item_"&amp;CONTROL[[#This Row],[VEHIDCODE]]</f>
        <v>item_diesel_Zimbabwe_Sorefame_DE8</v>
      </c>
      <c r="P801" s="30" t="str">
        <f>"str_"&amp;CONTROL[[#This Row],[VEHIDCODE]]</f>
        <v>str_diesel_Zimbabwe_Sorefame_DE8</v>
      </c>
      <c r="Q801" s="10" t="b">
        <f>_xlfn.XLOOKUP(CONTROL[[#This Row],[VEHIDCODE]],PROPERTIES[VEHIDCODE],PROPERTIES[EXCLUDE])</f>
        <v>0</v>
      </c>
    </row>
    <row r="802" spans="1:17">
      <c r="A802" t="s">
        <v>2915</v>
      </c>
      <c r="B802" s="30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43" t="s">
        <v>3039</v>
      </c>
      <c r="G802" t="s">
        <v>2916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Row],[VEHIDCODE]],roster!A:A,roster!C:C))</f>
        <v>1</v>
      </c>
      <c r="N802" t="b">
        <f>ISNUMBER(_xlfn.XMATCH(CONTROL[[#This Row],[VEHIDCODE]],GRAPHICS_PROPERTIES[VEHIDCODE],0))</f>
        <v>1</v>
      </c>
      <c r="O802" s="30" t="str">
        <f>"item_"&amp;CONTROL[[#This Row],[VEHIDCODE]]</f>
        <v>item_diesel_Ivory_Coast_GMD_GT22LC2</v>
      </c>
      <c r="P802" s="30" t="str">
        <f>"str_"&amp;CONTROL[[#This Row],[VEHIDCODE]]</f>
        <v>str_diesel_Ivory_Coast_GMD_GT22LC2</v>
      </c>
      <c r="Q802" s="10" t="b">
        <f>_xlfn.XLOOKUP(CONTROL[[#This Row],[VEHIDCODE]],PROPERTIES[VEHIDCODE],PROPERTIES[EXCLUDE])</f>
        <v>0</v>
      </c>
    </row>
    <row r="803" spans="1:17">
      <c r="A803" t="s">
        <v>2917</v>
      </c>
      <c r="B803" s="30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43" t="s">
        <v>3040</v>
      </c>
      <c r="G803" t="s">
        <v>2918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Row],[VEHIDCODE]],roster!A:A,roster!C:C))</f>
        <v>1</v>
      </c>
      <c r="N803" t="b">
        <f>ISNUMBER(_xlfn.XMATCH(CONTROL[[#This Row],[VEHIDCODE]],GRAPHICS_PROPERTIES[VEHIDCODE],0))</f>
        <v>1</v>
      </c>
      <c r="O803" s="30" t="str">
        <f>"item_"&amp;CONTROL[[#This Row],[VEHIDCODE]]</f>
        <v>item_electric_Tanzania_TRC_E6800</v>
      </c>
      <c r="P803" s="30" t="str">
        <f>"str_"&amp;CONTROL[[#This Row],[VEHIDCODE]]</f>
        <v>str_electric_Tanzania_TRC_E6800</v>
      </c>
      <c r="Q803" s="10" t="b">
        <f>_xlfn.XLOOKUP(CONTROL[[#This Row],[VEHIDCODE]],PROPERTIES[VEHIDCODE],PROPERTIES[EXCLUDE])</f>
        <v>0</v>
      </c>
    </row>
    <row r="804" spans="1:17">
      <c r="A804" s="2" t="s">
        <v>2921</v>
      </c>
      <c r="B804" s="41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7">
        <f ca="1">_xlfn.MAXIFS(INDIRECT("E2:E"&amp;ROW()-1,TRUE),INDIRECT("D2:D"&amp;ROW()-1,TRUE),CONTROL[[#This Row],[VEHID_ID_CATEGORY]])+1</f>
        <v>9056</v>
      </c>
      <c r="F804" s="43" t="s">
        <v>2923</v>
      </c>
      <c r="G804" t="s">
        <v>2871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Row],[VEHIDCODE]],roster!A:A,roster!C:C))</f>
        <v>1</v>
      </c>
      <c r="N804" t="b">
        <f>ISNUMBER(_xlfn.XMATCH(CONTROL[[#This Row],[VEHIDCODE]],GRAPHICS_PROPERTIES[VEHIDCODE],0))</f>
        <v>1</v>
      </c>
      <c r="O804" s="30" t="str">
        <f>"item_"&amp;CONTROL[[#This Row],[VEHIDCODE]]</f>
        <v>item_mtro_USA_Brooklyn_Union_Gate_Car</v>
      </c>
      <c r="P804" s="30" t="str">
        <f>"str_"&amp;CONTROL[[#This Row],[VEHIDCODE]]</f>
        <v>str_mtro_USA_Brooklyn_Union_Gate_Car</v>
      </c>
      <c r="Q804" s="10" t="b">
        <f>_xlfn.XLOOKUP(CONTROL[[#This Row],[VEHIDCODE]],PROPERTIES[VEHIDCODE],PROPERTIES[EXCLUDE])</f>
        <v>0</v>
      </c>
    </row>
    <row r="805" spans="1:17">
      <c r="A805" s="2" t="s">
        <v>3048</v>
      </c>
      <c r="B805" s="30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7">
        <f ca="1">_xlfn.MAXIFS(INDIRECT("E2:E"&amp;ROW()-1,TRUE),INDIRECT("D2:D"&amp;ROW()-1,TRUE),CONTROL[[#This Row],[VEHID_ID_CATEGORY]])+1</f>
        <v>11071</v>
      </c>
      <c r="F805" s="44" t="s">
        <v>3046</v>
      </c>
      <c r="G805" t="s">
        <v>1696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Row],[VEHIDCODE]],roster!A:A,roster!C:C))</f>
        <v>1</v>
      </c>
      <c r="N805" t="b">
        <f>ISNUMBER(_xlfn.XMATCH(CONTROL[[#This Row],[VEHIDCODE]],GRAPHICS_PROPERTIES[VEHIDCODE],0))</f>
        <v>1</v>
      </c>
      <c r="O805" s="30" t="str">
        <f>"item_"&amp;CONTROL[[#This Row],[VEHIDCODE]]</f>
        <v>item_mu_Coach_Gen5_CityNightLine_Sleeper</v>
      </c>
      <c r="P805" s="30" t="str">
        <f>"str_"&amp;CONTROL[[#This Row],[VEHIDCODE]]</f>
        <v>str_mu_Coach_Gen5_CityNightLine_Sleeper</v>
      </c>
      <c r="Q805" s="10" t="b">
        <f>_xlfn.XLOOKUP(CONTROL[[#This Row],[VEHIDCODE]],PROPERTIES[VEHIDCODE],PROPERTIES[EXCLUDE])</f>
        <v>0</v>
      </c>
    </row>
    <row r="806" spans="1:17">
      <c r="A806" t="s">
        <v>3049</v>
      </c>
      <c r="B806" s="30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7">
        <f ca="1">_xlfn.MAXIFS(INDIRECT("E2:E"&amp;ROW()-1,TRUE),INDIRECT("D2:D"&amp;ROW()-1,TRUE),CONTROL[[#This Row],[VEHID_ID_CATEGORY]])+1</f>
        <v>11072</v>
      </c>
      <c r="F806" s="44" t="s">
        <v>3047</v>
      </c>
      <c r="G806" t="s">
        <v>1696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Row],[VEHIDCODE]],roster!A:A,roster!C:C))</f>
        <v>1</v>
      </c>
      <c r="N806" t="b">
        <f>ISNUMBER(_xlfn.XMATCH(CONTROL[[#This Row],[VEHIDCODE]],GRAPHICS_PROPERTIES[VEHIDCODE],0))</f>
        <v>1</v>
      </c>
      <c r="O806" s="30" t="str">
        <f>"item_"&amp;CONTROL[[#This Row],[VEHIDCODE]]</f>
        <v>item_mu_Coach_Gen4_Trans_Euro_Night_Sleeper</v>
      </c>
      <c r="P806" s="30" t="str">
        <f>"str_"&amp;CONTROL[[#This Row],[VEHIDCODE]]</f>
        <v>str_mu_Coach_Gen4_Trans_Euro_Night_Sleeper</v>
      </c>
      <c r="Q806" s="10" t="b">
        <f>_xlfn.XLOOKUP(CONTROL[[#This Row],[VEHIDCODE]],PROPERTIES[VEHIDCODE],PROPERTIES[EXCLUDE])</f>
        <v>0</v>
      </c>
    </row>
    <row r="807" spans="1:17">
      <c r="A807" s="2" t="s">
        <v>3021</v>
      </c>
      <c r="B807" s="30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7">
        <f ca="1">_xlfn.MAXIFS(INDIRECT("E2:E"&amp;ROW()-1,TRUE),INDIRECT("D2:D"&amp;ROW()-1,TRUE),CONTROL[[#This Row],[VEHID_ID_CATEGORY]])+1</f>
        <v>12064</v>
      </c>
      <c r="F807" s="43" t="s">
        <v>3022</v>
      </c>
      <c r="G807" t="s">
        <v>1696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Row],[VEHIDCODE]],roster!A:A,roster!C:C))</f>
        <v>1</v>
      </c>
      <c r="N807" t="b">
        <f>ISNUMBER(_xlfn.XMATCH(CONTROL[[#This Row],[VEHIDCODE]],GRAPHICS_PROPERTIES[VEHIDCODE],0))</f>
        <v>1</v>
      </c>
      <c r="O807" s="30" t="str">
        <f>"item_"&amp;CONTROL[[#This Row],[VEHIDCODE]]</f>
        <v>item_mu_Wagon_Gen1_Livestock_Van</v>
      </c>
      <c r="P807" s="30" t="str">
        <f>"str_"&amp;CONTROL[[#This Row],[VEHIDCODE]]</f>
        <v>str_mu_Wagon_Gen1_Livestock_Van</v>
      </c>
      <c r="Q807" s="10" t="b">
        <f>_xlfn.XLOOKUP(CONTROL[[#This Row],[VEHIDCODE]],PROPERTIES[VEHIDCODE],PROPERTIES[EXCLUDE])</f>
        <v>0</v>
      </c>
    </row>
    <row r="808" spans="1:17">
      <c r="A808" s="2" t="s">
        <v>3016</v>
      </c>
      <c r="B808" s="30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7">
        <f ca="1">_xlfn.MAXIFS(INDIRECT("E2:E"&amp;ROW()-1,TRUE),INDIRECT("D2:D"&amp;ROW()-1,TRUE),CONTROL[[#This Row],[VEHID_ID_CATEGORY]])+1</f>
        <v>12065</v>
      </c>
      <c r="F808" s="43" t="s">
        <v>3023</v>
      </c>
      <c r="G808" t="s">
        <v>1696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Row],[VEHIDCODE]],roster!A:A,roster!C:C))</f>
        <v>1</v>
      </c>
      <c r="N808" t="b">
        <f>ISNUMBER(_xlfn.XMATCH(CONTROL[[#This Row],[VEHIDCODE]],GRAPHICS_PROPERTIES[VEHIDCODE],0))</f>
        <v>1</v>
      </c>
      <c r="O808" s="30" t="str">
        <f>"item_"&amp;CONTROL[[#This Row],[VEHIDCODE]]</f>
        <v>item_mu_Wagon_Gen2_Livestock_Van</v>
      </c>
      <c r="P808" s="30" t="str">
        <f>"str_"&amp;CONTROL[[#This Row],[VEHIDCODE]]</f>
        <v>str_mu_Wagon_Gen2_Livestock_Van</v>
      </c>
      <c r="Q808" s="10" t="b">
        <f>_xlfn.XLOOKUP(CONTROL[[#This Row],[VEHIDCODE]],PROPERTIES[VEHIDCODE],PROPERTIES[EXCLUDE])</f>
        <v>0</v>
      </c>
    </row>
    <row r="809" spans="1:17">
      <c r="A809" s="2" t="s">
        <v>3017</v>
      </c>
      <c r="B809" s="30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7">
        <f ca="1">_xlfn.MAXIFS(INDIRECT("E2:E"&amp;ROW()-1,TRUE),INDIRECT("D2:D"&amp;ROW()-1,TRUE),CONTROL[[#This Row],[VEHID_ID_CATEGORY]])+1</f>
        <v>12066</v>
      </c>
      <c r="F809" s="43" t="s">
        <v>3024</v>
      </c>
      <c r="G809" t="s">
        <v>1696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Row],[VEHIDCODE]],roster!A:A,roster!C:C))</f>
        <v>1</v>
      </c>
      <c r="N809" t="b">
        <f>ISNUMBER(_xlfn.XMATCH(CONTROL[[#This Row],[VEHIDCODE]],GRAPHICS_PROPERTIES[VEHIDCODE],0))</f>
        <v>1</v>
      </c>
      <c r="O809" s="30" t="str">
        <f>"item_"&amp;CONTROL[[#This Row],[VEHIDCODE]]</f>
        <v>item_mu_Wagon_Gen3_Livestock_Van</v>
      </c>
      <c r="P809" s="30" t="str">
        <f>"str_"&amp;CONTROL[[#This Row],[VEHIDCODE]]</f>
        <v>str_mu_Wagon_Gen3_Livestock_Van</v>
      </c>
      <c r="Q809" s="10" t="b">
        <f>_xlfn.XLOOKUP(CONTROL[[#This Row],[VEHIDCODE]],PROPERTIES[VEHIDCODE],PROPERTIES[EXCLUDE])</f>
        <v>0</v>
      </c>
    </row>
    <row r="810" spans="1:17">
      <c r="A810" s="2" t="s">
        <v>3018</v>
      </c>
      <c r="B810" s="30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7">
        <f ca="1">_xlfn.MAXIFS(INDIRECT("E2:E"&amp;ROW()-1,TRUE),INDIRECT("D2:D"&amp;ROW()-1,TRUE),CONTROL[[#This Row],[VEHID_ID_CATEGORY]])+1</f>
        <v>12067</v>
      </c>
      <c r="F810" s="43" t="s">
        <v>3025</v>
      </c>
      <c r="G810" t="s">
        <v>1696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Row],[VEHIDCODE]],roster!A:A,roster!C:C))</f>
        <v>1</v>
      </c>
      <c r="N810" t="b">
        <f>ISNUMBER(_xlfn.XMATCH(CONTROL[[#This Row],[VEHIDCODE]],GRAPHICS_PROPERTIES[VEHIDCODE],0))</f>
        <v>1</v>
      </c>
      <c r="O810" s="30" t="str">
        <f>"item_"&amp;CONTROL[[#This Row],[VEHIDCODE]]</f>
        <v>item_mu_Wagon_Gen4_Livestock_Van</v>
      </c>
      <c r="P810" s="30" t="str">
        <f>"str_"&amp;CONTROL[[#This Row],[VEHIDCODE]]</f>
        <v>str_mu_Wagon_Gen4_Livestock_Van</v>
      </c>
      <c r="Q810" s="10" t="b">
        <f>_xlfn.XLOOKUP(CONTROL[[#This Row],[VEHIDCODE]],PROPERTIES[VEHIDCODE],PROPERTIES[EXCLUDE])</f>
        <v>0</v>
      </c>
    </row>
    <row r="811" spans="1:17">
      <c r="A811" s="2" t="s">
        <v>3019</v>
      </c>
      <c r="B811" s="30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7">
        <f ca="1">_xlfn.MAXIFS(INDIRECT("E2:E"&amp;ROW()-1,TRUE),INDIRECT("D2:D"&amp;ROW()-1,TRUE),CONTROL[[#This Row],[VEHID_ID_CATEGORY]])+1</f>
        <v>12068</v>
      </c>
      <c r="F811" s="43" t="s">
        <v>3026</v>
      </c>
      <c r="G811" t="s">
        <v>1696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Row],[VEHIDCODE]],roster!A:A,roster!C:C))</f>
        <v>1</v>
      </c>
      <c r="N811" t="b">
        <f>ISNUMBER(_xlfn.XMATCH(CONTROL[[#This Row],[VEHIDCODE]],GRAPHICS_PROPERTIES[VEHIDCODE],0))</f>
        <v>1</v>
      </c>
      <c r="O811" s="30" t="str">
        <f>"item_"&amp;CONTROL[[#This Row],[VEHIDCODE]]</f>
        <v>item_mu_Wagon_Gen5_Livestock_Van</v>
      </c>
      <c r="P811" s="30" t="str">
        <f>"str_"&amp;CONTROL[[#This Row],[VEHIDCODE]]</f>
        <v>str_mu_Wagon_Gen5_Livestock_Van</v>
      </c>
      <c r="Q811" s="10" t="b">
        <f>_xlfn.XLOOKUP(CONTROL[[#This Row],[VEHIDCODE]],PROPERTIES[VEHIDCODE],PROPERTIES[EXCLUDE])</f>
        <v>0</v>
      </c>
    </row>
    <row r="812" spans="1:17">
      <c r="A812" s="2" t="s">
        <v>3020</v>
      </c>
      <c r="B812" s="30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7">
        <f ca="1">_xlfn.MAXIFS(INDIRECT("E2:E"&amp;ROW()-1,TRUE),INDIRECT("D2:D"&amp;ROW()-1,TRUE),CONTROL[[#This Row],[VEHID_ID_CATEGORY]])+1</f>
        <v>12069</v>
      </c>
      <c r="F812" s="43" t="s">
        <v>3027</v>
      </c>
      <c r="G812" t="s">
        <v>1696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Row],[VEHIDCODE]],roster!A:A,roster!C:C))</f>
        <v>1</v>
      </c>
      <c r="N812" t="b">
        <f>ISNUMBER(_xlfn.XMATCH(CONTROL[[#This Row],[VEHIDCODE]],GRAPHICS_PROPERTIES[VEHIDCODE],0))</f>
        <v>1</v>
      </c>
      <c r="O812" s="30" t="str">
        <f>"item_"&amp;CONTROL[[#This Row],[VEHIDCODE]]</f>
        <v>item_mu_Wagon_Gen6_Livestock_Van</v>
      </c>
      <c r="P812" s="30" t="str">
        <f>"str_"&amp;CONTROL[[#This Row],[VEHIDCODE]]</f>
        <v>str_mu_Wagon_Gen6_Livestock_Van</v>
      </c>
      <c r="Q812" s="10" t="b">
        <f>_xlfn.XLOOKUP(CONTROL[[#This Row],[VEHIDCODE]],PROPERTIES[VEHIDCODE],PROPERTIES[EXCLUDE])</f>
        <v>0</v>
      </c>
    </row>
    <row r="813" spans="1:17">
      <c r="A813" s="2" t="s">
        <v>3056</v>
      </c>
      <c r="B813" s="30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7">
        <f ca="1">_xlfn.MAXIFS(INDIRECT("E2:E"&amp;ROW()-1,TRUE),INDIRECT("D2:D"&amp;ROW()-1,TRUE),CONTROL[[#This Row],[VEHID_ID_CATEGORY]])+1</f>
        <v>18016</v>
      </c>
      <c r="F813" s="43" t="s">
        <v>3028</v>
      </c>
      <c r="G813" t="s">
        <v>1696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Row],[VEHIDCODE]],roster!A:A,roster!C:C))</f>
        <v>1</v>
      </c>
      <c r="N813" t="b">
        <f>ISNUMBER(_xlfn.XMATCH(CONTROL[[#This Row],[VEHIDCODE]],GRAPHICS_PROPERTIES[VEHIDCODE],0))</f>
        <v>1</v>
      </c>
      <c r="O813" s="30" t="str">
        <f>"item_"&amp;CONTROL[[#This Row],[VEHIDCODE]]</f>
        <v>item_mglv_Wagon_Gen7M_Livestock_Van</v>
      </c>
      <c r="P813" s="30" t="str">
        <f>"str_"&amp;CONTROL[[#This Row],[VEHIDCODE]]</f>
        <v>str_mglv_Wagon_Gen7M_Livestock_Van</v>
      </c>
      <c r="Q813" s="10" t="b">
        <f>_xlfn.XLOOKUP(CONTROL[[#This Row],[VEHIDCODE]],PROPERTIES[VEHIDCODE],PROPERTIES[EXCLUDE])</f>
        <v>0</v>
      </c>
    </row>
    <row r="814" spans="1:17">
      <c r="A814" t="s">
        <v>3032</v>
      </c>
      <c r="B814" s="30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43" t="s">
        <v>3037</v>
      </c>
      <c r="G814" t="s">
        <v>3033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Row],[VEHIDCODE]],roster!A:A,roster!C:C))</f>
        <v>1</v>
      </c>
      <c r="N814" t="b">
        <f>ISNUMBER(_xlfn.XMATCH(CONTROL[[#This Row],[VEHIDCODE]],GRAPHICS_PROPERTIES[VEHIDCODE],0))</f>
        <v>1</v>
      </c>
      <c r="O814" s="30" t="str">
        <f>"item_"&amp;CONTROL[[#This Row],[VEHIDCODE]]</f>
        <v>item_electric_Hungary_MAV_Class_V63</v>
      </c>
      <c r="P814" s="30" t="str">
        <f>"str_"&amp;CONTROL[[#This Row],[VEHIDCODE]]</f>
        <v>str_electric_Hungary_MAV_Class_V63</v>
      </c>
      <c r="Q814" s="10" t="b">
        <f>_xlfn.XLOOKUP(CONTROL[[#This Row],[VEHIDCODE]],PROPERTIES[VEHIDCODE],PROPERTIES[EXCLUDE])</f>
        <v>0</v>
      </c>
    </row>
    <row r="815" spans="1:17">
      <c r="A815" t="s">
        <v>3050</v>
      </c>
      <c r="B815" s="30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43" t="s">
        <v>3051</v>
      </c>
      <c r="G815" t="s">
        <v>3052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Row],[VEHIDCODE]],roster!A:A,roster!C:C))</f>
        <v>1</v>
      </c>
      <c r="N815" t="b">
        <f>ISNUMBER(_xlfn.XMATCH(CONTROL[[#This Row],[VEHIDCODE]],GRAPHICS_PROPERTIES[VEHIDCODE],0))</f>
        <v>1</v>
      </c>
      <c r="O815" s="30" t="str">
        <f>"item_"&amp;CONTROL[[#This Row],[VEHIDCODE]]</f>
        <v>item_mtro_UK_London_1992_Stock</v>
      </c>
      <c r="P815" s="30" t="str">
        <f>"str_"&amp;CONTROL[[#This Row],[VEHIDCODE]]</f>
        <v>str_mtro_UK_London_1992_Stock</v>
      </c>
      <c r="Q815" s="10" t="b">
        <f>_xlfn.XLOOKUP(CONTROL[[#This Row],[VEHIDCODE]],PROPERTIES[VEHIDCODE],PROPERTIES[EXCLUDE])</f>
        <v>0</v>
      </c>
    </row>
    <row r="816" spans="1:17">
      <c r="A816" s="2" t="s">
        <v>3053</v>
      </c>
      <c r="B816" s="30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43" t="s">
        <v>3054</v>
      </c>
      <c r="G816" t="s">
        <v>3055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Row],[VEHIDCODE]],roster!A:A,roster!C:C))</f>
        <v>1</v>
      </c>
      <c r="N816" t="b">
        <f>ISNUMBER(_xlfn.XMATCH(CONTROL[[#This Row],[VEHIDCODE]],GRAPHICS_PROPERTIES[VEHIDCODE],0))</f>
        <v>1</v>
      </c>
      <c r="O816" s="30" t="str">
        <f>"item_"&amp;CONTROL[[#This Row],[VEHIDCODE]]</f>
        <v>item_mtro_UK_London_S_Stock</v>
      </c>
      <c r="P816" s="30" t="str">
        <f>"str_"&amp;CONTROL[[#This Row],[VEHIDCODE]]</f>
        <v>str_mtro_UK_London_S_Stock</v>
      </c>
      <c r="Q816" s="10" t="b">
        <f>_xlfn.XLOOKUP(CONTROL[[#This Row],[VEHIDCODE]],PROPERTIES[VEHIDCODE],PROPERTIES[EXCLUDE])</f>
        <v>0</v>
      </c>
    </row>
    <row r="817" spans="1:17">
      <c r="A817" s="2" t="s">
        <v>3057</v>
      </c>
      <c r="B817" s="30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43" t="s">
        <v>3058</v>
      </c>
      <c r="G817" t="s">
        <v>3059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Row],[VEHIDCODE]],roster!A:A,roster!C:C))</f>
        <v>1</v>
      </c>
      <c r="N817" t="b">
        <f>ISNUMBER(_xlfn.XMATCH(CONTROL[[#This Row],[VEHIDCODE]],GRAPHICS_PROPERTIES[VEHIDCODE],0))</f>
        <v>1</v>
      </c>
      <c r="O817" s="30" t="str">
        <f>"item_"&amp;CONTROL[[#This Row],[VEHIDCODE]]</f>
        <v>item_mtro_UK_London_1972_Stock</v>
      </c>
      <c r="P817" s="30" t="str">
        <f>"str_"&amp;CONTROL[[#This Row],[VEHIDCODE]]</f>
        <v>str_mtro_UK_London_1972_Stock</v>
      </c>
      <c r="Q817" s="10" t="b">
        <f>_xlfn.XLOOKUP(CONTROL[[#This Row],[VEHIDCODE]],PROPERTIES[VEHIDCODE],PROPERTIES[EXCLUDE])</f>
        <v>0</v>
      </c>
    </row>
    <row r="818" spans="1:17">
      <c r="A818" s="2" t="s">
        <v>3060</v>
      </c>
      <c r="B818" s="30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43" t="s">
        <v>3061</v>
      </c>
      <c r="G818" t="s">
        <v>3062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Row],[VEHIDCODE]],roster!A:A,roster!C:C))</f>
        <v>1</v>
      </c>
      <c r="N818" t="b">
        <f>ISNUMBER(_xlfn.XMATCH(CONTROL[[#This Row],[VEHIDCODE]],GRAPHICS_PROPERTIES[VEHIDCODE],0))</f>
        <v>1</v>
      </c>
      <c r="O818" s="30" t="str">
        <f>"item_"&amp;CONTROL[[#This Row],[VEHIDCODE]]</f>
        <v>item_mtro_UK_London_1959_Stock</v>
      </c>
      <c r="P818" s="30" t="str">
        <f>"str_"&amp;CONTROL[[#This Row],[VEHIDCODE]]</f>
        <v>str_mtro_UK_London_1959_Stock</v>
      </c>
      <c r="Q818" s="10" t="b">
        <f>_xlfn.XLOOKUP(CONTROL[[#This Row],[VEHIDCODE]],PROPERTIES[VEHIDCODE],PROPERTIES[EXCLUDE])</f>
        <v>0</v>
      </c>
    </row>
    <row r="819" spans="1:17">
      <c r="A819" s="2" t="s">
        <v>3074</v>
      </c>
      <c r="B819" s="30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43" t="s">
        <v>3072</v>
      </c>
      <c r="G819" t="s">
        <v>3073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Row],[VEHIDCODE]],roster!A:A,roster!C:C))</f>
        <v>1</v>
      </c>
      <c r="N819" t="b">
        <f>ISNUMBER(_xlfn.XMATCH(CONTROL[[#This Row],[VEHIDCODE]],GRAPHICS_PROPERTIES[VEHIDCODE],0))</f>
        <v>1</v>
      </c>
      <c r="O819" s="30" t="str">
        <f>"item_"&amp;CONTROL[[#This Row],[VEHIDCODE]]</f>
        <v>item_mtro_Singapore_Kawasaki_Heavy_Industries_C151</v>
      </c>
      <c r="P819" s="30" t="str">
        <f>"str_"&amp;CONTROL[[#This Row],[VEHIDCODE]]</f>
        <v>str_mtro_Singapore_Kawasaki_Heavy_Industries_C151</v>
      </c>
      <c r="Q819" s="10" t="b">
        <f>_xlfn.XLOOKUP(CONTROL[[#This Row],[VEHIDCODE]],PROPERTIES[VEHIDCODE],PROPERTIES[EXCLUDE])</f>
        <v>0</v>
      </c>
    </row>
    <row r="820" spans="1:17">
      <c r="A820" t="s">
        <v>3075</v>
      </c>
      <c r="B820" s="30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43" t="s">
        <v>3076</v>
      </c>
      <c r="G820" t="s">
        <v>3077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Row],[VEHIDCODE]],roster!A:A,roster!C:C))</f>
        <v>1</v>
      </c>
      <c r="N820" t="b">
        <f>ISNUMBER(_xlfn.XMATCH(CONTROL[[#This Row],[VEHIDCODE]],GRAPHICS_PROPERTIES[VEHIDCODE],0))</f>
        <v>1</v>
      </c>
      <c r="O820" s="30" t="str">
        <f>"item_"&amp;CONTROL[[#This Row],[VEHIDCODE]]</f>
        <v>item_mtro_Singapore_Kawasaki_Heavy_Industries_C751B</v>
      </c>
      <c r="P820" s="30" t="str">
        <f>"str_"&amp;CONTROL[[#This Row],[VEHIDCODE]]</f>
        <v>str_mtro_Singapore_Kawasaki_Heavy_Industries_C751B</v>
      </c>
      <c r="Q820" s="10" t="b">
        <f>_xlfn.XLOOKUP(CONTROL[[#This Row],[VEHIDCODE]],PROPERTIES[VEHIDCODE],PROPERTIES[EXCLUDE])</f>
        <v>0</v>
      </c>
    </row>
    <row r="821" spans="1:17">
      <c r="A821" t="s">
        <v>3078</v>
      </c>
      <c r="B821" s="30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43" t="s">
        <v>3079</v>
      </c>
      <c r="G821" t="s">
        <v>1696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Row],[VEHIDCODE]],roster!A:A,roster!C:C))</f>
        <v>1</v>
      </c>
      <c r="N821" t="b">
        <f>ISNUMBER(_xlfn.XMATCH(CONTROL[[#This Row],[VEHIDCODE]],GRAPHICS_PROPERTIES[VEHIDCODE],0))</f>
        <v>1</v>
      </c>
      <c r="O821" s="30" t="str">
        <f>"item_"&amp;CONTROL[[#This Row],[VEHIDCODE]]</f>
        <v>item_mtro_Australia_Comeng_Light_Metro_MK1</v>
      </c>
      <c r="P821" s="30" t="str">
        <f>"str_"&amp;CONTROL[[#This Row],[VEHIDCODE]]</f>
        <v>str_mtro_Australia_Comeng_Light_Metro_MK1</v>
      </c>
      <c r="Q821" s="10" t="b">
        <f>_xlfn.XLOOKUP(CONTROL[[#This Row],[VEHIDCODE]],PROPERTIES[VEHIDCODE],PROPERTIES[EXCLUDE])</f>
        <v>0</v>
      </c>
    </row>
    <row r="822" spans="1:17">
      <c r="A822" t="s">
        <v>3082</v>
      </c>
      <c r="B822" s="30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43" t="s">
        <v>3081</v>
      </c>
      <c r="G822" t="s">
        <v>3080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Row],[VEHIDCODE]],roster!A:A,roster!C:C))</f>
        <v>1</v>
      </c>
      <c r="N822" t="b">
        <f>ISNUMBER(_xlfn.XMATCH(CONTROL[[#This Row],[VEHIDCODE]],GRAPHICS_PROPERTIES[VEHIDCODE],0))</f>
        <v>1</v>
      </c>
      <c r="O822" s="30" t="str">
        <f>"item_"&amp;CONTROL[[#This Row],[VEHIDCODE]]</f>
        <v>item_emu_Australia_Comeng_EMU</v>
      </c>
      <c r="P822" s="30" t="str">
        <f>"str_"&amp;CONTROL[[#This Row],[VEHIDCODE]]</f>
        <v>str_emu_Australia_Comeng_EMU</v>
      </c>
      <c r="Q822" s="10" t="b">
        <f>_xlfn.XLOOKUP(CONTROL[[#This Row],[VEHIDCODE]],PROPERTIES[VEHIDCODE],PROPERTIES[EXCLUDE])</f>
        <v>0</v>
      </c>
    </row>
    <row r="823" spans="1:17">
      <c r="A823" t="s">
        <v>3083</v>
      </c>
      <c r="B823" s="30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43" t="s">
        <v>3084</v>
      </c>
      <c r="G823" t="s">
        <v>3085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Row],[VEHIDCODE]],roster!A:A,roster!C:C))</f>
        <v>1</v>
      </c>
      <c r="N823" t="b">
        <f>ISNUMBER(_xlfn.XMATCH(CONTROL[[#This Row],[VEHIDCODE]],GRAPHICS_PROPERTIES[VEHIDCODE],0))</f>
        <v>1</v>
      </c>
      <c r="O823" s="30" t="str">
        <f>"item_"&amp;CONTROL[[#This Row],[VEHIDCODE]]</f>
        <v>item_emu_Australia_Melbourne_HCMT_Munnel</v>
      </c>
      <c r="P823" s="30" t="str">
        <f>"str_"&amp;CONTROL[[#This Row],[VEHIDCODE]]</f>
        <v>str_emu_Australia_Melbourne_HCMT_Munnel</v>
      </c>
      <c r="Q823" s="10" t="b">
        <f>_xlfn.XLOOKUP(CONTROL[[#This Row],[VEHIDCODE]],PROPERTIES[VEHIDCODE],PROPERTIES[EXCLUDE])</f>
        <v>0</v>
      </c>
    </row>
    <row r="824" spans="1:17">
      <c r="A824" t="s">
        <v>3086</v>
      </c>
      <c r="B824" s="30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43" t="s">
        <v>3087</v>
      </c>
      <c r="G824" t="s">
        <v>3088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Row],[VEHIDCODE]],roster!A:A,roster!C:C))</f>
        <v>1</v>
      </c>
      <c r="N824" t="b">
        <f>ISNUMBER(_xlfn.XMATCH(CONTROL[[#This Row],[VEHIDCODE]],GRAPHICS_PROPERTIES[VEHIDCODE],0))</f>
        <v>1</v>
      </c>
      <c r="O824" s="30" t="str">
        <f>"item_"&amp;CONTROL[[#This Row],[VEHIDCODE]]</f>
        <v>item_diesel_Germany_DR_130_DBAG_230</v>
      </c>
      <c r="P824" s="30" t="str">
        <f>"str_"&amp;CONTROL[[#This Row],[VEHIDCODE]]</f>
        <v>str_diesel_Germany_DR_130_DBAG_230</v>
      </c>
      <c r="Q824" s="10" t="b">
        <f>_xlfn.XLOOKUP(CONTROL[[#This Row],[VEHIDCODE]],PROPERTIES[VEHIDCODE],PROPERTIES[EXCLUDE])</f>
        <v>0</v>
      </c>
    </row>
    <row r="825" spans="1:17">
      <c r="A825" t="s">
        <v>3090</v>
      </c>
      <c r="B825" s="30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43" t="s">
        <v>3091</v>
      </c>
      <c r="G825" t="s">
        <v>3089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Row],[VEHIDCODE]],roster!A:A,roster!C:C))</f>
        <v>1</v>
      </c>
      <c r="N825" t="b">
        <f>ISNUMBER(_xlfn.XMATCH(CONTROL[[#This Row],[VEHIDCODE]],GRAPHICS_PROPERTIES[VEHIDCODE],0))</f>
        <v>1</v>
      </c>
      <c r="O825" s="30" t="str">
        <f>"item_"&amp;CONTROL[[#This Row],[VEHIDCODE]]</f>
        <v>item_diesel_USA_UP_7000_GE_AC6000CW</v>
      </c>
      <c r="P825" s="30" t="str">
        <f>"str_"&amp;CONTROL[[#This Row],[VEHIDCODE]]</f>
        <v>str_diesel_USA_UP_7000_GE_AC6000CW</v>
      </c>
      <c r="Q825" s="10" t="b">
        <f>_xlfn.XLOOKUP(CONTROL[[#This Row],[VEHIDCODE]],PROPERTIES[VEHIDCODE],PROPERTIES[EXCLUDE])</f>
        <v>0</v>
      </c>
    </row>
    <row r="826" spans="1:17">
      <c r="A826" t="s">
        <v>3092</v>
      </c>
      <c r="B826" s="30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43" t="s">
        <v>3093</v>
      </c>
      <c r="G826" t="s">
        <v>3089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Row],[VEHIDCODE]],roster!A:A,roster!C:C))</f>
        <v>1</v>
      </c>
      <c r="N826" t="b">
        <f>ISNUMBER(_xlfn.XMATCH(CONTROL[[#This Row],[VEHIDCODE]],GRAPHICS_PROPERTIES[VEHIDCODE],0))</f>
        <v>1</v>
      </c>
      <c r="O826" s="30" t="str">
        <f>"item_"&amp;CONTROL[[#This Row],[VEHIDCODE]]</f>
        <v>item_diesel_Australia_BHP_6071_GE_AC6000CW</v>
      </c>
      <c r="P826" s="30" t="str">
        <f>"str_"&amp;CONTROL[[#This Row],[VEHIDCODE]]</f>
        <v>str_diesel_Australia_BHP_6071_GE_AC6000CW</v>
      </c>
      <c r="Q826" s="10" t="b">
        <f>_xlfn.XLOOKUP(CONTROL[[#This Row],[VEHIDCODE]],PROPERTIES[VEHIDCODE],PROPERTIES[EXCLUDE])</f>
        <v>0</v>
      </c>
    </row>
    <row r="827" spans="1:17">
      <c r="A827" t="s">
        <v>3094</v>
      </c>
      <c r="B827" s="30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43" t="s">
        <v>3095</v>
      </c>
      <c r="G827" t="s">
        <v>1696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Row],[VEHIDCODE]],roster!A:A,roster!C:C))</f>
        <v>1</v>
      </c>
      <c r="N827" t="b">
        <f>ISNUMBER(_xlfn.XMATCH(CONTROL[[#This Row],[VEHIDCODE]],GRAPHICS_PROPERTIES[VEHIDCODE],0))</f>
        <v>1</v>
      </c>
      <c r="O827" s="30" t="str">
        <f>"item_"&amp;CONTROL[[#This Row],[VEHIDCODE]]</f>
        <v>item_steam_Egypt_Stephenson_Class_192</v>
      </c>
      <c r="P827" s="30" t="str">
        <f>"str_"&amp;CONTROL[[#This Row],[VEHIDCODE]]</f>
        <v>str_steam_Egypt_Stephenson_Class_192</v>
      </c>
      <c r="Q827" s="10" t="b">
        <f>_xlfn.XLOOKUP(CONTROL[[#This Row],[VEHIDCODE]],PROPERTIES[VEHIDCODE],PROPERTIES[EXCLUDE])</f>
        <v>0</v>
      </c>
    </row>
    <row r="828" spans="1:17">
      <c r="A828" t="s">
        <v>3096</v>
      </c>
      <c r="B828" s="30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43" t="s">
        <v>3097</v>
      </c>
      <c r="G828" t="s">
        <v>3098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Row],[VEHIDCODE]],roster!A:A,roster!C:C))</f>
        <v>1</v>
      </c>
      <c r="N828" t="b">
        <f>ISNUMBER(_xlfn.XMATCH(CONTROL[[#This Row],[VEHIDCODE]],GRAPHICS_PROPERTIES[VEHIDCODE],0))</f>
        <v>1</v>
      </c>
      <c r="O828" s="30" t="str">
        <f>"item_"&amp;CONTROL[[#This Row],[VEHIDCODE]]</f>
        <v>item_emu_Australia_Melbourne_Hitachi</v>
      </c>
      <c r="P828" s="30" t="str">
        <f>"str_"&amp;CONTROL[[#This Row],[VEHIDCODE]]</f>
        <v>str_emu_Australia_Melbourne_Hitachi</v>
      </c>
      <c r="Q828" s="10" t="b">
        <f>_xlfn.XLOOKUP(CONTROL[[#This Row],[VEHIDCODE]],PROPERTIES[VEHIDCODE],PROPERTIES[EXCLUDE])</f>
        <v>0</v>
      </c>
    </row>
    <row r="829" spans="1:17">
      <c r="A829" t="s">
        <v>3099</v>
      </c>
      <c r="B829" s="30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43" t="s">
        <v>3414</v>
      </c>
      <c r="G829" t="s">
        <v>3100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Row],[VEHIDCODE]],roster!A:A,roster!C:C))</f>
        <v>1</v>
      </c>
      <c r="N829" t="b">
        <f>ISNUMBER(_xlfn.XMATCH(CONTROL[[#This Row],[VEHIDCODE]],GRAPHICS_PROPERTIES[VEHIDCODE],0))</f>
        <v>1</v>
      </c>
      <c r="O829" s="30" t="str">
        <f>"item_"&amp;CONTROL[[#This Row],[VEHIDCODE]]</f>
        <v>item_emu_Australia_Melbourne_Harris</v>
      </c>
      <c r="P829" s="30" t="str">
        <f>"str_"&amp;CONTROL[[#This Row],[VEHIDCODE]]</f>
        <v>str_emu_Australia_Melbourne_Harris</v>
      </c>
      <c r="Q829" s="10" t="b">
        <f>_xlfn.XLOOKUP(CONTROL[[#This Row],[VEHIDCODE]],PROPERTIES[VEHIDCODE],PROPERTIES[EXCLUDE])</f>
        <v>0</v>
      </c>
    </row>
    <row r="830" spans="1:17">
      <c r="A830" t="s">
        <v>3101</v>
      </c>
      <c r="B830" s="30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43" t="s">
        <v>3102</v>
      </c>
      <c r="G830" t="s">
        <v>3103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Row],[VEHIDCODE]],roster!A:A,roster!C:C))</f>
        <v>1</v>
      </c>
      <c r="N830" t="b">
        <f>ISNUMBER(_xlfn.XMATCH(CONTROL[[#This Row],[VEHIDCODE]],GRAPHICS_PROPERTIES[VEHIDCODE],0))</f>
        <v>1</v>
      </c>
      <c r="O830" s="30" t="str">
        <f>"item_"&amp;CONTROL[[#This Row],[VEHIDCODE]]</f>
        <v>item_emu_Australia_Melbourne_Nexas</v>
      </c>
      <c r="P830" s="30" t="str">
        <f>"str_"&amp;CONTROL[[#This Row],[VEHIDCODE]]</f>
        <v>str_emu_Australia_Melbourne_Nexas</v>
      </c>
      <c r="Q830" s="10" t="b">
        <f>_xlfn.XLOOKUP(CONTROL[[#This Row],[VEHIDCODE]],PROPERTIES[VEHIDCODE],PROPERTIES[EXCLUDE])</f>
        <v>0</v>
      </c>
    </row>
    <row r="831" spans="1:17">
      <c r="A831" t="s">
        <v>3104</v>
      </c>
      <c r="B831" s="30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43" t="s">
        <v>3105</v>
      </c>
      <c r="G831" t="s">
        <v>3106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Row],[VEHIDCODE]],roster!A:A,roster!C:C))</f>
        <v>1</v>
      </c>
      <c r="N831" t="b">
        <f>ISNUMBER(_xlfn.XMATCH(CONTROL[[#This Row],[VEHIDCODE]],GRAPHICS_PROPERTIES[VEHIDCODE],0))</f>
        <v>1</v>
      </c>
      <c r="O831" s="30" t="str">
        <f>"item_"&amp;CONTROL[[#This Row],[VEHIDCODE]]</f>
        <v>item_emu_Australia_Melbourne_Tait</v>
      </c>
      <c r="P831" s="30" t="str">
        <f>"str_"&amp;CONTROL[[#This Row],[VEHIDCODE]]</f>
        <v>str_emu_Australia_Melbourne_Tait</v>
      </c>
      <c r="Q831" s="10" t="b">
        <f>_xlfn.XLOOKUP(CONTROL[[#This Row],[VEHIDCODE]],PROPERTIES[VEHIDCODE],PROPERTIES[EXCLUDE])</f>
        <v>0</v>
      </c>
    </row>
    <row r="832" spans="1:17">
      <c r="A832" t="s">
        <v>3107</v>
      </c>
      <c r="B832" s="30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43" t="s">
        <v>3109</v>
      </c>
      <c r="G832" t="s">
        <v>3108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Row],[VEHIDCODE]],roster!A:A,roster!C:C))</f>
        <v>1</v>
      </c>
      <c r="N832" t="b">
        <f>ISNUMBER(_xlfn.XMATCH(CONTROL[[#This Row],[VEHIDCODE]],GRAPHICS_PROPERTIES[VEHIDCODE],0))</f>
        <v>1</v>
      </c>
      <c r="O832" s="30" t="str">
        <f>"item_"&amp;CONTROL[[#This Row],[VEHIDCODE]]</f>
        <v>item_mtro_Germany_Berlin_BVG_F</v>
      </c>
      <c r="P832" s="30" t="str">
        <f>"str_"&amp;CONTROL[[#This Row],[VEHIDCODE]]</f>
        <v>str_mtro_Germany_Berlin_BVG_F</v>
      </c>
      <c r="Q832" s="10" t="b">
        <f>_xlfn.XLOOKUP(CONTROL[[#This Row],[VEHIDCODE]],PROPERTIES[VEHIDCODE],PROPERTIES[EXCLUDE])</f>
        <v>0</v>
      </c>
    </row>
    <row r="833" spans="1:17">
      <c r="A833" t="s">
        <v>3110</v>
      </c>
      <c r="B833" s="30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43" t="s">
        <v>3111</v>
      </c>
      <c r="G833" t="s">
        <v>3112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Row],[VEHIDCODE]],roster!A:A,roster!C:C))</f>
        <v>1</v>
      </c>
      <c r="N833" t="b">
        <f>ISNUMBER(_xlfn.XMATCH(CONTROL[[#This Row],[VEHIDCODE]],GRAPHICS_PROPERTIES[VEHIDCODE],0))</f>
        <v>1</v>
      </c>
      <c r="O833" s="30" t="str">
        <f>"item_"&amp;CONTROL[[#This Row],[VEHIDCODE]]</f>
        <v>item_mtro_Germany_Berlin_BVG_H</v>
      </c>
      <c r="P833" s="30" t="str">
        <f>"str_"&amp;CONTROL[[#This Row],[VEHIDCODE]]</f>
        <v>str_mtro_Germany_Berlin_BVG_H</v>
      </c>
      <c r="Q833" s="10" t="b">
        <f>_xlfn.XLOOKUP(CONTROL[[#This Row],[VEHIDCODE]],PROPERTIES[VEHIDCODE],PROPERTIES[EXCLUDE])</f>
        <v>0</v>
      </c>
    </row>
    <row r="834" spans="1:17">
      <c r="A834" t="s">
        <v>3113</v>
      </c>
      <c r="B834" s="30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43" t="s">
        <v>3425</v>
      </c>
      <c r="G834" t="s">
        <v>3114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Row],[VEHIDCODE]],roster!A:A,roster!C:C))</f>
        <v>1</v>
      </c>
      <c r="N834" t="b">
        <f>ISNUMBER(_xlfn.XMATCH(CONTROL[[#This Row],[VEHIDCODE]],GRAPHICS_PROPERTIES[VEHIDCODE],0))</f>
        <v>1</v>
      </c>
      <c r="O834" s="30" t="str">
        <f>"item_"&amp;CONTROL[[#This Row],[VEHIDCODE]]</f>
        <v>item_steam_Australia_NSW_N67_0_6_0T_Terrier</v>
      </c>
      <c r="P834" s="30" t="str">
        <f>"str_"&amp;CONTROL[[#This Row],[VEHIDCODE]]</f>
        <v>str_steam_Australia_NSW_N67_0_6_0T_Terrier</v>
      </c>
      <c r="Q834" s="10" t="b">
        <f>_xlfn.XLOOKUP(CONTROL[[#This Row],[VEHIDCODE]],PROPERTIES[VEHIDCODE],PROPERTIES[EXCLUDE])</f>
        <v>0</v>
      </c>
    </row>
    <row r="835" spans="1:17">
      <c r="A835" t="s">
        <v>3115</v>
      </c>
      <c r="B835" s="30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43" t="s">
        <v>3116</v>
      </c>
      <c r="G835" t="s">
        <v>3117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Row],[VEHIDCODE]],roster!A:A,roster!C:C))</f>
        <v>1</v>
      </c>
      <c r="N835" t="b">
        <f>ISNUMBER(_xlfn.XMATCH(CONTROL[[#This Row],[VEHIDCODE]],GRAPHICS_PROPERTIES[VEHIDCODE],0))</f>
        <v>1</v>
      </c>
      <c r="O835" s="30" t="str">
        <f>"item_"&amp;CONTROL[[#This Row],[VEHIDCODE]]</f>
        <v>item_steam_Australia_NSW_C30</v>
      </c>
      <c r="P835" s="30" t="str">
        <f>"str_"&amp;CONTROL[[#This Row],[VEHIDCODE]]</f>
        <v>str_steam_Australia_NSW_C30</v>
      </c>
      <c r="Q835" s="10" t="b">
        <f>_xlfn.XLOOKUP(CONTROL[[#This Row],[VEHIDCODE]],PROPERTIES[VEHIDCODE],PROPERTIES[EXCLUDE])</f>
        <v>0</v>
      </c>
    </row>
    <row r="836" spans="1:17">
      <c r="A836" s="2" t="s">
        <v>3118</v>
      </c>
      <c r="B836" s="30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43" t="s">
        <v>3119</v>
      </c>
      <c r="G836" t="s">
        <v>3120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Row],[VEHIDCODE]],roster!A:A,roster!C:C))</f>
        <v>1</v>
      </c>
      <c r="N836" t="b">
        <f>ISNUMBER(_xlfn.XMATCH(CONTROL[[#This Row],[VEHIDCODE]],GRAPHICS_PROPERTIES[VEHIDCODE],0))</f>
        <v>1</v>
      </c>
      <c r="O836" s="30" t="str">
        <f>"item_"&amp;CONTROL[[#This Row],[VEHIDCODE]]</f>
        <v>item_steam_Australia_NSW_C32</v>
      </c>
      <c r="P836" s="30" t="str">
        <f>"str_"&amp;CONTROL[[#This Row],[VEHIDCODE]]</f>
        <v>str_steam_Australia_NSW_C32</v>
      </c>
      <c r="Q836" s="10" t="b">
        <f>_xlfn.XLOOKUP(CONTROL[[#This Row],[VEHIDCODE]],PROPERTIES[VEHIDCODE],PROPERTIES[EXCLUDE])</f>
        <v>0</v>
      </c>
    </row>
    <row r="837" spans="1:17">
      <c r="A837" s="2" t="s">
        <v>3121</v>
      </c>
      <c r="B837" s="30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43" t="s">
        <v>3122</v>
      </c>
      <c r="G837" t="s">
        <v>3123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Row],[VEHIDCODE]],roster!A:A,roster!C:C))</f>
        <v>1</v>
      </c>
      <c r="N837" t="b">
        <f>ISNUMBER(_xlfn.XMATCH(CONTROL[[#This Row],[VEHIDCODE]],GRAPHICS_PROPERTIES[VEHIDCODE],0))</f>
        <v>1</v>
      </c>
      <c r="O837" s="30" t="str">
        <f>"item_"&amp;CONTROL[[#This Row],[VEHIDCODE]]</f>
        <v>item_steam_Australia_NSW_D50</v>
      </c>
      <c r="P837" s="30" t="str">
        <f>"str_"&amp;CONTROL[[#This Row],[VEHIDCODE]]</f>
        <v>str_steam_Australia_NSW_D50</v>
      </c>
      <c r="Q837" s="10" t="b">
        <f>_xlfn.XLOOKUP(CONTROL[[#This Row],[VEHIDCODE]],PROPERTIES[VEHIDCODE],PROPERTIES[EXCLUDE])</f>
        <v>0</v>
      </c>
    </row>
    <row r="838" spans="1:17">
      <c r="A838" s="2" t="s">
        <v>3124</v>
      </c>
      <c r="B838" s="30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43" t="s">
        <v>3125</v>
      </c>
      <c r="G838" s="45" t="s">
        <v>3126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Row],[VEHIDCODE]],roster!A:A,roster!C:C))</f>
        <v>1</v>
      </c>
      <c r="N838" t="b">
        <f>ISNUMBER(_xlfn.XMATCH(CONTROL[[#This Row],[VEHIDCODE]],GRAPHICS_PROPERTIES[VEHIDCODE],0))</f>
        <v>1</v>
      </c>
      <c r="O838" s="30" t="str">
        <f>"item_"&amp;CONTROL[[#This Row],[VEHIDCODE]]</f>
        <v>item_steam_Australia_NSW_Z12</v>
      </c>
      <c r="P838" s="30" t="str">
        <f>"str_"&amp;CONTROL[[#This Row],[VEHIDCODE]]</f>
        <v>str_steam_Australia_NSW_Z12</v>
      </c>
      <c r="Q838" s="10" t="b">
        <f>_xlfn.XLOOKUP(CONTROL[[#This Row],[VEHIDCODE]],PROPERTIES[VEHIDCODE],PROPERTIES[EXCLUDE])</f>
        <v>0</v>
      </c>
    </row>
    <row r="839" spans="1:17">
      <c r="A839" s="2" t="s">
        <v>3127</v>
      </c>
      <c r="B839" s="30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43" t="s">
        <v>3128</v>
      </c>
      <c r="G839" s="45" t="s">
        <v>3129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Row],[VEHIDCODE]],roster!A:A,roster!C:C))</f>
        <v>1</v>
      </c>
      <c r="N839" t="b">
        <f>ISNUMBER(_xlfn.XMATCH(CONTROL[[#This Row],[VEHIDCODE]],GRAPHICS_PROPERTIES[VEHIDCODE],0))</f>
        <v>1</v>
      </c>
      <c r="O839" s="30" t="str">
        <f>"item_"&amp;CONTROL[[#This Row],[VEHIDCODE]]</f>
        <v>item_steam_Australia_NSW_Z19</v>
      </c>
      <c r="P839" s="30" t="str">
        <f>"str_"&amp;CONTROL[[#This Row],[VEHIDCODE]]</f>
        <v>str_steam_Australia_NSW_Z19</v>
      </c>
      <c r="Q839" s="10" t="b">
        <f>_xlfn.XLOOKUP(CONTROL[[#This Row],[VEHIDCODE]],PROPERTIES[VEHIDCODE],PROPERTIES[EXCLUDE])</f>
        <v>0</v>
      </c>
    </row>
    <row r="840" spans="1:17">
      <c r="A840" s="2" t="s">
        <v>3130</v>
      </c>
      <c r="B840" s="30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43" t="s">
        <v>3131</v>
      </c>
      <c r="G840" s="45" t="s">
        <v>3132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Row],[VEHIDCODE]],roster!A:A,roster!C:C))</f>
        <v>1</v>
      </c>
      <c r="N840" t="b">
        <f>ISNUMBER(_xlfn.XMATCH(CONTROL[[#This Row],[VEHIDCODE]],GRAPHICS_PROPERTIES[VEHIDCODE],0))</f>
        <v>1</v>
      </c>
      <c r="O840" s="30" t="str">
        <f>"item_"&amp;CONTROL[[#This Row],[VEHIDCODE]]</f>
        <v>item_steam_Australia_NSW_Z26</v>
      </c>
      <c r="P840" s="30" t="str">
        <f>"str_"&amp;CONTROL[[#This Row],[VEHIDCODE]]</f>
        <v>str_steam_Australia_NSW_Z26</v>
      </c>
      <c r="Q840" s="10" t="b">
        <f>_xlfn.XLOOKUP(CONTROL[[#This Row],[VEHIDCODE]],PROPERTIES[VEHIDCODE],PROPERTIES[EXCLUDE])</f>
        <v>0</v>
      </c>
    </row>
    <row r="841" spans="1:17">
      <c r="A841" s="2" t="s">
        <v>3134</v>
      </c>
      <c r="B841" s="30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43" t="s">
        <v>3426</v>
      </c>
      <c r="G841" s="45" t="s">
        <v>3133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Row],[VEHIDCODE]],roster!A:A,roster!C:C))</f>
        <v>1</v>
      </c>
      <c r="N841" t="b">
        <f>ISNUMBER(_xlfn.XMATCH(CONTROL[[#This Row],[VEHIDCODE]],GRAPHICS_PROPERTIES[VEHIDCODE],0))</f>
        <v>1</v>
      </c>
      <c r="O841" s="30" t="str">
        <f>"item_"&amp;CONTROL[[#This Row],[VEHIDCODE]]</f>
        <v>item_steam_Australia_JA_Brown_ROD_280</v>
      </c>
      <c r="P841" s="30" t="str">
        <f>"str_"&amp;CONTROL[[#This Row],[VEHIDCODE]]</f>
        <v>str_steam_Australia_JA_Brown_ROD_280</v>
      </c>
      <c r="Q841" s="10" t="b">
        <f>_xlfn.XLOOKUP(CONTROL[[#This Row],[VEHIDCODE]],PROPERTIES[VEHIDCODE],PROPERTIES[EXCLUDE])</f>
        <v>0</v>
      </c>
    </row>
    <row r="842" spans="1:17">
      <c r="A842" s="2" t="s">
        <v>3135</v>
      </c>
      <c r="B842" s="30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43" t="s">
        <v>3140</v>
      </c>
      <c r="G842" s="45" t="s">
        <v>3136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Row],[VEHIDCODE]],roster!A:A,roster!C:C))</f>
        <v>1</v>
      </c>
      <c r="N842" t="b">
        <f>ISNUMBER(_xlfn.XMATCH(CONTROL[[#This Row],[VEHIDCODE]],GRAPHICS_PROPERTIES[VEHIDCODE],0))</f>
        <v>1</v>
      </c>
      <c r="O842" s="30" t="str">
        <f>"item_"&amp;CONTROL[[#This Row],[VEHIDCODE]]</f>
        <v>item_steam_Australia_SAR_600</v>
      </c>
      <c r="P842" s="30" t="str">
        <f>"str_"&amp;CONTROL[[#This Row],[VEHIDCODE]]</f>
        <v>str_steam_Australia_SAR_600</v>
      </c>
      <c r="Q842" s="10" t="b">
        <f>_xlfn.XLOOKUP(CONTROL[[#This Row],[VEHIDCODE]],PROPERTIES[VEHIDCODE],PROPERTIES[EXCLUDE])</f>
        <v>0</v>
      </c>
    </row>
    <row r="843" spans="1:17">
      <c r="A843" t="s">
        <v>3137</v>
      </c>
      <c r="B843" s="30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43" t="s">
        <v>3141</v>
      </c>
      <c r="G843" t="s">
        <v>3138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Row],[VEHIDCODE]],roster!A:A,roster!C:C))</f>
        <v>1</v>
      </c>
      <c r="N843" t="b">
        <f>ISNUMBER(_xlfn.XMATCH(CONTROL[[#This Row],[VEHIDCODE]],GRAPHICS_PROPERTIES[VEHIDCODE],0))</f>
        <v>1</v>
      </c>
      <c r="O843" s="30" t="str">
        <f>"item_"&amp;CONTROL[[#This Row],[VEHIDCODE]]</f>
        <v>item_steam_Australia_SMR_10</v>
      </c>
      <c r="P843" s="30" t="str">
        <f>"str_"&amp;CONTROL[[#This Row],[VEHIDCODE]]</f>
        <v>str_steam_Australia_SMR_10</v>
      </c>
      <c r="Q843" s="10" t="b">
        <f>_xlfn.XLOOKUP(CONTROL[[#This Row],[VEHIDCODE]],PROPERTIES[VEHIDCODE],PROPERTIES[EXCLUDE])</f>
        <v>0</v>
      </c>
    </row>
    <row r="844" spans="1:17">
      <c r="A844" t="s">
        <v>3139</v>
      </c>
      <c r="B844" s="30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43" t="s">
        <v>3142</v>
      </c>
      <c r="G844" t="s">
        <v>3143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Row],[VEHIDCODE]],roster!A:A,roster!C:C))</f>
        <v>1</v>
      </c>
      <c r="N844" t="b">
        <f>ISNUMBER(_xlfn.XMATCH(CONTROL[[#This Row],[VEHIDCODE]],GRAPHICS_PROPERTIES[VEHIDCODE],0))</f>
        <v>1</v>
      </c>
      <c r="O844" s="30" t="str">
        <f>"item_"&amp;CONTROL[[#This Row],[VEHIDCODE]]</f>
        <v>item_steam_Australia_VR_H</v>
      </c>
      <c r="P844" s="30" t="str">
        <f>"str_"&amp;CONTROL[[#This Row],[VEHIDCODE]]</f>
        <v>str_steam_Australia_VR_H</v>
      </c>
      <c r="Q844" s="10" t="b">
        <f>_xlfn.XLOOKUP(CONTROL[[#This Row],[VEHIDCODE]],PROPERTIES[VEHIDCODE],PROPERTIES[EXCLUDE])</f>
        <v>0</v>
      </c>
    </row>
    <row r="845" spans="1:17">
      <c r="A845" t="s">
        <v>3144</v>
      </c>
      <c r="B845" s="30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43" t="s">
        <v>3145</v>
      </c>
      <c r="G845" t="s">
        <v>3146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Row],[VEHIDCODE]],roster!A:A,roster!C:C))</f>
        <v>1</v>
      </c>
      <c r="N845" t="b">
        <f>ISNUMBER(_xlfn.XMATCH(CONTROL[[#This Row],[VEHIDCODE]],GRAPHICS_PROPERTIES[VEHIDCODE],0))</f>
        <v>1</v>
      </c>
      <c r="O845" s="30" t="str">
        <f>"item_"&amp;CONTROL[[#This Row],[VEHIDCODE]]</f>
        <v>item_diesel_Australia_NSW_41</v>
      </c>
      <c r="P845" s="30" t="str">
        <f>"str_"&amp;CONTROL[[#This Row],[VEHIDCODE]]</f>
        <v>str_diesel_Australia_NSW_41</v>
      </c>
      <c r="Q845" s="10" t="b">
        <f>_xlfn.XLOOKUP(CONTROL[[#This Row],[VEHIDCODE]],PROPERTIES[VEHIDCODE],PROPERTIES[EXCLUDE])</f>
        <v>0</v>
      </c>
    </row>
    <row r="846" spans="1:17">
      <c r="A846" t="s">
        <v>3147</v>
      </c>
      <c r="B846" s="30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43" t="s">
        <v>3148</v>
      </c>
      <c r="G846" t="s">
        <v>3149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Row],[VEHIDCODE]],roster!A:A,roster!C:C))</f>
        <v>1</v>
      </c>
      <c r="N846" t="b">
        <f>ISNUMBER(_xlfn.XMATCH(CONTROL[[#This Row],[VEHIDCODE]],GRAPHICS_PROPERTIES[VEHIDCODE],0))</f>
        <v>1</v>
      </c>
      <c r="O846" s="30" t="str">
        <f>"item_"&amp;CONTROL[[#This Row],[VEHIDCODE]]</f>
        <v>item_diesel_Australia_NSW_48</v>
      </c>
      <c r="P846" s="30" t="str">
        <f>"str_"&amp;CONTROL[[#This Row],[VEHIDCODE]]</f>
        <v>str_diesel_Australia_NSW_48</v>
      </c>
      <c r="Q846" s="10" t="b">
        <f>_xlfn.XLOOKUP(CONTROL[[#This Row],[VEHIDCODE]],PROPERTIES[VEHIDCODE],PROPERTIES[EXCLUDE])</f>
        <v>0</v>
      </c>
    </row>
    <row r="847" spans="1:17">
      <c r="A847" s="2" t="s">
        <v>3153</v>
      </c>
      <c r="B847" s="30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43" t="s">
        <v>3150</v>
      </c>
      <c r="G847" t="s">
        <v>3151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Row],[VEHIDCODE]],roster!A:A,roster!C:C))</f>
        <v>1</v>
      </c>
      <c r="N847" t="b">
        <f>ISNUMBER(_xlfn.XMATCH(CONTROL[[#This Row],[VEHIDCODE]],GRAPHICS_PROPERTIES[VEHIDCODE],0))</f>
        <v>1</v>
      </c>
      <c r="O847" s="30" t="str">
        <f>"item_"&amp;CONTROL[[#This Row],[VEHIDCODE]]</f>
        <v>item_diesel_Australia_SAR_930</v>
      </c>
      <c r="P847" s="30" t="str">
        <f>"str_"&amp;CONTROL[[#This Row],[VEHIDCODE]]</f>
        <v>str_diesel_Australia_SAR_930</v>
      </c>
      <c r="Q847" s="10" t="b">
        <f>_xlfn.XLOOKUP(CONTROL[[#This Row],[VEHIDCODE]],PROPERTIES[VEHIDCODE],PROPERTIES[EXCLUDE])</f>
        <v>0</v>
      </c>
    </row>
    <row r="848" spans="1:17">
      <c r="A848" t="s">
        <v>3154</v>
      </c>
      <c r="B848" s="30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43" t="s">
        <v>3152</v>
      </c>
      <c r="G848" t="s">
        <v>3155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Row],[VEHIDCODE]],roster!A:A,roster!C:C))</f>
        <v>1</v>
      </c>
      <c r="N848" t="b">
        <f>ISNUMBER(_xlfn.XMATCH(CONTROL[[#This Row],[VEHIDCODE]],GRAPHICS_PROPERTIES[VEHIDCODE],0))</f>
        <v>1</v>
      </c>
      <c r="O848" s="30" t="str">
        <f>"item_"&amp;CONTROL[[#This Row],[VEHIDCODE]]</f>
        <v>item_diesel_Australia_Commonwealth_GM</v>
      </c>
      <c r="P848" s="30" t="str">
        <f>"str_"&amp;CONTROL[[#This Row],[VEHIDCODE]]</f>
        <v>str_diesel_Australia_Commonwealth_GM</v>
      </c>
      <c r="Q848" s="10" t="b">
        <f>_xlfn.XLOOKUP(CONTROL[[#This Row],[VEHIDCODE]],PROPERTIES[VEHIDCODE],PROPERTIES[EXCLUDE])</f>
        <v>0</v>
      </c>
    </row>
    <row r="849" spans="1:17">
      <c r="A849" t="s">
        <v>3156</v>
      </c>
      <c r="B849" s="30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43" t="s">
        <v>3157</v>
      </c>
      <c r="G849" t="s">
        <v>3158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Row],[VEHIDCODE]],roster!A:A,roster!C:C))</f>
        <v>1</v>
      </c>
      <c r="N849" t="b">
        <f>ISNUMBER(_xlfn.XMATCH(CONTROL[[#This Row],[VEHIDCODE]],GRAPHICS_PROPERTIES[VEHIDCODE],0))</f>
        <v>1</v>
      </c>
      <c r="O849" s="30" t="str">
        <f>"item_"&amp;CONTROL[[#This Row],[VEHIDCODE]]</f>
        <v>item_diesel_Australia_V_Line_A</v>
      </c>
      <c r="P849" s="30" t="str">
        <f>"str_"&amp;CONTROL[[#This Row],[VEHIDCODE]]</f>
        <v>str_diesel_Australia_V_Line_A</v>
      </c>
      <c r="Q849" s="10" t="b">
        <f>_xlfn.XLOOKUP(CONTROL[[#This Row],[VEHIDCODE]],PROPERTIES[VEHIDCODE],PROPERTIES[EXCLUDE])</f>
        <v>1</v>
      </c>
    </row>
    <row r="850" spans="1:17">
      <c r="A850" t="s">
        <v>3160</v>
      </c>
      <c r="B850" s="30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43" t="s">
        <v>3159</v>
      </c>
      <c r="G850" t="s">
        <v>3161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Row],[VEHIDCODE]],roster!A:A,roster!C:C))</f>
        <v>1</v>
      </c>
      <c r="N850" t="b">
        <f>ISNUMBER(_xlfn.XMATCH(CONTROL[[#This Row],[VEHIDCODE]],GRAPHICS_PROPERTIES[VEHIDCODE],0))</f>
        <v>1</v>
      </c>
      <c r="O850" s="30" t="str">
        <f>"item_"&amp;CONTROL[[#This Row],[VEHIDCODE]]</f>
        <v>item_diesel_Australia_NSW_42</v>
      </c>
      <c r="P850" s="30" t="str">
        <f>"str_"&amp;CONTROL[[#This Row],[VEHIDCODE]]</f>
        <v>str_diesel_Australia_NSW_42</v>
      </c>
      <c r="Q850" s="10" t="b">
        <f>_xlfn.XLOOKUP(CONTROL[[#This Row],[VEHIDCODE]],PROPERTIES[VEHIDCODE],PROPERTIES[EXCLUDE])</f>
        <v>0</v>
      </c>
    </row>
    <row r="851" spans="1:17">
      <c r="A851" t="s">
        <v>3162</v>
      </c>
      <c r="B851" s="30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43" t="s">
        <v>3163</v>
      </c>
      <c r="G851" t="s">
        <v>3164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Row],[VEHIDCODE]],roster!A:A,roster!C:C))</f>
        <v>1</v>
      </c>
      <c r="N851" t="b">
        <f>ISNUMBER(_xlfn.XMATCH(CONTROL[[#This Row],[VEHIDCODE]],GRAPHICS_PROPERTIES[VEHIDCODE],0))</f>
        <v>1</v>
      </c>
      <c r="O851" s="30" t="str">
        <f>"item_"&amp;CONTROL[[#This Row],[VEHIDCODE]]</f>
        <v>item_diesel_Australia_AN_D</v>
      </c>
      <c r="P851" s="30" t="str">
        <f>"str_"&amp;CONTROL[[#This Row],[VEHIDCODE]]</f>
        <v>str_diesel_Australia_AN_D</v>
      </c>
      <c r="Q851" s="10" t="b">
        <f>_xlfn.XLOOKUP(CONTROL[[#This Row],[VEHIDCODE]],PROPERTIES[VEHIDCODE],PROPERTIES[EXCLUDE])</f>
        <v>0</v>
      </c>
    </row>
    <row r="852" spans="1:17">
      <c r="A852" t="s">
        <v>3167</v>
      </c>
      <c r="B852" s="30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43" t="s">
        <v>3166</v>
      </c>
      <c r="G852" t="s">
        <v>3165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Row],[VEHIDCODE]],roster!A:A,roster!C:C))</f>
        <v>1</v>
      </c>
      <c r="N852" t="b">
        <f>ISNUMBER(_xlfn.XMATCH(CONTROL[[#This Row],[VEHIDCODE]],GRAPHICS_PROPERTIES[VEHIDCODE],0))</f>
        <v>1</v>
      </c>
      <c r="O852" s="30" t="str">
        <f>"item_"&amp;CONTROL[[#This Row],[VEHIDCODE]]</f>
        <v>item_electric_Australia_QR_3500</v>
      </c>
      <c r="P852" s="30" t="str">
        <f>"str_"&amp;CONTROL[[#This Row],[VEHIDCODE]]</f>
        <v>str_electric_Australia_QR_3500</v>
      </c>
      <c r="Q852" s="10" t="b">
        <f>_xlfn.XLOOKUP(CONTROL[[#This Row],[VEHIDCODE]],PROPERTIES[VEHIDCODE],PROPERTIES[EXCLUDE])</f>
        <v>0</v>
      </c>
    </row>
    <row r="853" spans="1:17">
      <c r="A853" t="s">
        <v>3168</v>
      </c>
      <c r="B853" s="30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43" t="s">
        <v>3169</v>
      </c>
      <c r="G853" t="s">
        <v>3170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Row],[VEHIDCODE]],roster!A:A,roster!C:C))</f>
        <v>1</v>
      </c>
      <c r="N853" t="b">
        <f>ISNUMBER(_xlfn.XMATCH(CONTROL[[#This Row],[VEHIDCODE]],GRAPHICS_PROPERTIES[VEHIDCODE],0))</f>
        <v>1</v>
      </c>
      <c r="O853" s="30" t="str">
        <f>"item_"&amp;CONTROL[[#This Row],[VEHIDCODE]]</f>
        <v>item_diesel_Australia_NSW_90</v>
      </c>
      <c r="P853" s="30" t="str">
        <f>"str_"&amp;CONTROL[[#This Row],[VEHIDCODE]]</f>
        <v>str_diesel_Australia_NSW_90</v>
      </c>
      <c r="Q853" s="10" t="b">
        <f>_xlfn.XLOOKUP(CONTROL[[#This Row],[VEHIDCODE]],PROPERTIES[VEHIDCODE],PROPERTIES[EXCLUDE])</f>
        <v>0</v>
      </c>
    </row>
    <row r="854" spans="1:17">
      <c r="A854" t="s">
        <v>3171</v>
      </c>
      <c r="B854" s="30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43" t="s">
        <v>3172</v>
      </c>
      <c r="G854" t="s">
        <v>1696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Row],[VEHIDCODE]],roster!A:A,roster!C:C))</f>
        <v>1</v>
      </c>
      <c r="N854" t="b">
        <f>ISNUMBER(_xlfn.XMATCH(CONTROL[[#This Row],[VEHIDCODE]],GRAPHICS_PROPERTIES[VEHIDCODE],0))</f>
        <v>1</v>
      </c>
      <c r="O854" s="30" t="str">
        <f>"item_"&amp;CONTROL[[#This Row],[VEHIDCODE]]</f>
        <v>item_diesel_Australia_EMD_NR_Class</v>
      </c>
      <c r="P854" s="30" t="str">
        <f>"str_"&amp;CONTROL[[#This Row],[VEHIDCODE]]</f>
        <v>str_diesel_Australia_EMD_NR_Class</v>
      </c>
      <c r="Q854" s="10" t="b">
        <f>_xlfn.XLOOKUP(CONTROL[[#This Row],[VEHIDCODE]],PROPERTIES[VEHIDCODE],PROPERTIES[EXCLUDE])</f>
        <v>0</v>
      </c>
    </row>
    <row r="855" spans="1:17">
      <c r="A855" t="s">
        <v>3174</v>
      </c>
      <c r="B855" s="30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43" t="s">
        <v>3173</v>
      </c>
      <c r="G855" t="s">
        <v>1696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Row],[VEHIDCODE]],roster!A:A,roster!C:C))</f>
        <v>1</v>
      </c>
      <c r="N855" t="b">
        <f>ISNUMBER(_xlfn.XMATCH(CONTROL[[#This Row],[VEHIDCODE]],GRAPHICS_PROPERTIES[VEHIDCODE],0))</f>
        <v>1</v>
      </c>
      <c r="O855" s="30" t="str">
        <f>"item_"&amp;CONTROL[[#This Row],[VEHIDCODE]]</f>
        <v>item_diesel_Australia_NSW_PTC_73</v>
      </c>
      <c r="P855" s="30" t="str">
        <f>"str_"&amp;CONTROL[[#This Row],[VEHIDCODE]]</f>
        <v>str_diesel_Australia_NSW_PTC_73</v>
      </c>
      <c r="Q855" s="10" t="b">
        <f>_xlfn.XLOOKUP(CONTROL[[#This Row],[VEHIDCODE]],PROPERTIES[VEHIDCODE],PROPERTIES[EXCLUDE])</f>
        <v>0</v>
      </c>
    </row>
    <row r="856" spans="1:17">
      <c r="A856" t="s">
        <v>3176</v>
      </c>
      <c r="B856" s="30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43" t="s">
        <v>3175</v>
      </c>
      <c r="G856" t="s">
        <v>3177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Row],[VEHIDCODE]],roster!A:A,roster!C:C))</f>
        <v>1</v>
      </c>
      <c r="N856" t="b">
        <f>ISNUMBER(_xlfn.XMATCH(CONTROL[[#This Row],[VEHIDCODE]],GRAPHICS_PROPERTIES[VEHIDCODE],0))</f>
        <v>1</v>
      </c>
      <c r="O856" s="30" t="str">
        <f>"item_"&amp;CONTROL[[#This Row],[VEHIDCODE]]</f>
        <v>item_diesel_Australia_V_Line_N</v>
      </c>
      <c r="P856" s="30" t="str">
        <f>"str_"&amp;CONTROL[[#This Row],[VEHIDCODE]]</f>
        <v>str_diesel_Australia_V_Line_N</v>
      </c>
      <c r="Q856" s="10" t="b">
        <f>_xlfn.XLOOKUP(CONTROL[[#This Row],[VEHIDCODE]],PROPERTIES[VEHIDCODE],PROPERTIES[EXCLUDE])</f>
        <v>0</v>
      </c>
    </row>
    <row r="857" spans="1:17">
      <c r="A857" t="s">
        <v>3178</v>
      </c>
      <c r="B857" s="30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43" t="s">
        <v>3179</v>
      </c>
      <c r="G857" s="45" t="s">
        <v>3180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Row],[VEHIDCODE]],roster!A:A,roster!C:C))</f>
        <v>1</v>
      </c>
      <c r="N857" t="b">
        <f>ISNUMBER(_xlfn.XMATCH(CONTROL[[#This Row],[VEHIDCODE]],GRAPHICS_PROPERTIES[VEHIDCODE],0))</f>
        <v>1</v>
      </c>
      <c r="O857" s="30" t="str">
        <f>"item_"&amp;CONTROL[[#This Row],[VEHIDCODE]]</f>
        <v>item_diesel_Australia_NSW_81</v>
      </c>
      <c r="P857" s="30" t="str">
        <f>"str_"&amp;CONTROL[[#This Row],[VEHIDCODE]]</f>
        <v>str_diesel_Australia_NSW_81</v>
      </c>
      <c r="Q857" s="10" t="b">
        <f>_xlfn.XLOOKUP(CONTROL[[#This Row],[VEHIDCODE]],PROPERTIES[VEHIDCODE],PROPERTIES[EXCLUDE])</f>
        <v>1</v>
      </c>
    </row>
    <row r="858" spans="1:17">
      <c r="A858" t="s">
        <v>3181</v>
      </c>
      <c r="B858" s="30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43" t="s">
        <v>3182</v>
      </c>
      <c r="G858" t="s">
        <v>2494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Row],[VEHIDCODE]],roster!A:A,roster!C:C))</f>
        <v>1</v>
      </c>
      <c r="N858" t="b">
        <f>ISNUMBER(_xlfn.XMATCH(CONTROL[[#This Row],[VEHIDCODE]],GRAPHICS_PROPERTIES[VEHIDCODE],0))</f>
        <v>1</v>
      </c>
      <c r="O858" s="30" t="str">
        <f>"item_"&amp;CONTROL[[#This Row],[VEHIDCODE]]</f>
        <v>item_diesel_Australia_V_Line_G</v>
      </c>
      <c r="P858" s="30" t="str">
        <f>"str_"&amp;CONTROL[[#This Row],[VEHIDCODE]]</f>
        <v>str_diesel_Australia_V_Line_G</v>
      </c>
      <c r="Q858" s="10" t="b">
        <f>_xlfn.XLOOKUP(CONTROL[[#This Row],[VEHIDCODE]],PROPERTIES[VEHIDCODE],PROPERTIES[EXCLUDE])</f>
        <v>0</v>
      </c>
    </row>
    <row r="859" spans="1:17">
      <c r="A859" t="s">
        <v>3183</v>
      </c>
      <c r="B859" s="30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43" t="s">
        <v>3184</v>
      </c>
      <c r="G859" s="45" t="s">
        <v>3185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Row],[VEHIDCODE]],roster!A:A,roster!C:C))</f>
        <v>1</v>
      </c>
      <c r="N859" t="b">
        <f>ISNUMBER(_xlfn.XMATCH(CONTROL[[#This Row],[VEHIDCODE]],GRAPHICS_PROPERTIES[VEHIDCODE],0))</f>
        <v>1</v>
      </c>
      <c r="O859" s="30" t="str">
        <f>"item_"&amp;CONTROL[[#This Row],[VEHIDCODE]]</f>
        <v>item_diesel_Australia_NSW_82</v>
      </c>
      <c r="P859" s="30" t="str">
        <f>"str_"&amp;CONTROL[[#This Row],[VEHIDCODE]]</f>
        <v>str_diesel_Australia_NSW_82</v>
      </c>
      <c r="Q859" s="10" t="b">
        <f>_xlfn.XLOOKUP(CONTROL[[#This Row],[VEHIDCODE]],PROPERTIES[VEHIDCODE],PROPERTIES[EXCLUDE])</f>
        <v>0</v>
      </c>
    </row>
    <row r="860" spans="1:17">
      <c r="A860" t="s">
        <v>3186</v>
      </c>
      <c r="B860" s="30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43" t="s">
        <v>3187</v>
      </c>
      <c r="G860" t="s">
        <v>3188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Row],[VEHIDCODE]],roster!A:A,roster!C:C))</f>
        <v>1</v>
      </c>
      <c r="N860" t="b">
        <f>ISNUMBER(_xlfn.XMATCH(CONTROL[[#This Row],[VEHIDCODE]],GRAPHICS_PROPERTIES[VEHIDCODE],0))</f>
        <v>1</v>
      </c>
      <c r="O860" s="30" t="str">
        <f>"item_"&amp;CONTROL[[#This Row],[VEHIDCODE]]</f>
        <v>item_diesel_Australia_GML_10</v>
      </c>
      <c r="P860" s="30" t="str">
        <f>"str_"&amp;CONTROL[[#This Row],[VEHIDCODE]]</f>
        <v>str_diesel_Australia_GML_10</v>
      </c>
      <c r="Q860" s="10" t="b">
        <f>_xlfn.XLOOKUP(CONTROL[[#This Row],[VEHIDCODE]],PROPERTIES[VEHIDCODE],PROPERTIES[EXCLUDE])</f>
        <v>0</v>
      </c>
    </row>
    <row r="861" spans="1:17">
      <c r="A861" t="s">
        <v>3189</v>
      </c>
      <c r="B861" s="30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43" t="s">
        <v>3190</v>
      </c>
      <c r="G861" t="s">
        <v>3191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Row],[VEHIDCODE]],roster!A:A,roster!C:C))</f>
        <v>1</v>
      </c>
      <c r="N861" t="b">
        <f>ISNUMBER(_xlfn.XMATCH(CONTROL[[#This Row],[VEHIDCODE]],GRAPHICS_PROPERTIES[VEHIDCODE],0))</f>
        <v>1</v>
      </c>
      <c r="O861" s="30" t="str">
        <f>"item_"&amp;CONTROL[[#This Row],[VEHIDCODE]]</f>
        <v>item_diesel_Australia_Westrail_S</v>
      </c>
      <c r="P861" s="30" t="str">
        <f>"str_"&amp;CONTROL[[#This Row],[VEHIDCODE]]</f>
        <v>str_diesel_Australia_Westrail_S</v>
      </c>
      <c r="Q861" s="10" t="b">
        <f>_xlfn.XLOOKUP(CONTROL[[#This Row],[VEHIDCODE]],PROPERTIES[VEHIDCODE],PROPERTIES[EXCLUDE])</f>
        <v>0</v>
      </c>
    </row>
    <row r="862" spans="1:17">
      <c r="A862" t="s">
        <v>3194</v>
      </c>
      <c r="B862" s="30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43" t="s">
        <v>3192</v>
      </c>
      <c r="G862" t="s">
        <v>3193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Row],[VEHIDCODE]],roster!A:A,roster!C:C))</f>
        <v>1</v>
      </c>
      <c r="N862" t="b">
        <f>ISNUMBER(_xlfn.XMATCH(CONTROL[[#This Row],[VEHIDCODE]],GRAPHICS_PROPERTIES[VEHIDCODE],0))</f>
        <v>1</v>
      </c>
      <c r="O862" s="30" t="str">
        <f>"item_"&amp;CONTROL[[#This Row],[VEHIDCODE]]</f>
        <v>item_diesel_Australia_VR_B</v>
      </c>
      <c r="P862" s="30" t="str">
        <f>"str_"&amp;CONTROL[[#This Row],[VEHIDCODE]]</f>
        <v>str_diesel_Australia_VR_B</v>
      </c>
      <c r="Q862" s="10" t="b">
        <f>_xlfn.XLOOKUP(CONTROL[[#This Row],[VEHIDCODE]],PROPERTIES[VEHIDCODE],PROPERTIES[EXCLUDE])</f>
        <v>0</v>
      </c>
    </row>
    <row r="863" spans="1:17">
      <c r="A863" t="s">
        <v>3195</v>
      </c>
      <c r="B863" s="30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43" t="s">
        <v>3198</v>
      </c>
      <c r="G863" t="s">
        <v>3201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Row],[VEHIDCODE]],roster!A:A,roster!C:C))</f>
        <v>1</v>
      </c>
      <c r="N863" t="b">
        <f>ISNUMBER(_xlfn.XMATCH(CONTROL[[#This Row],[VEHIDCODE]],GRAPHICS_PROPERTIES[VEHIDCODE],0))</f>
        <v>1</v>
      </c>
      <c r="O863" s="30" t="str">
        <f>"item_"&amp;CONTROL[[#This Row],[VEHIDCODE]]</f>
        <v>item_diesel_Australia_Victoria_X1</v>
      </c>
      <c r="P863" s="30" t="str">
        <f>"str_"&amp;CONTROL[[#This Row],[VEHIDCODE]]</f>
        <v>str_diesel_Australia_Victoria_X1</v>
      </c>
      <c r="Q863" s="10" t="b">
        <f>_xlfn.XLOOKUP(CONTROL[[#This Row],[VEHIDCODE]],PROPERTIES[VEHIDCODE],PROPERTIES[EXCLUDE])</f>
        <v>0</v>
      </c>
    </row>
    <row r="864" spans="1:17">
      <c r="A864" t="s">
        <v>3196</v>
      </c>
      <c r="B864" s="30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43" t="s">
        <v>3199</v>
      </c>
      <c r="G864" t="s">
        <v>3201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Row],[VEHIDCODE]],roster!A:A,roster!C:C))</f>
        <v>1</v>
      </c>
      <c r="N864" t="b">
        <f>ISNUMBER(_xlfn.XMATCH(CONTROL[[#This Row],[VEHIDCODE]],GRAPHICS_PROPERTIES[VEHIDCODE],0))</f>
        <v>1</v>
      </c>
      <c r="O864" s="30" t="str">
        <f>"item_"&amp;CONTROL[[#This Row],[VEHIDCODE]]</f>
        <v>item_diesel_Australia_Victoria_X2</v>
      </c>
      <c r="P864" s="30" t="str">
        <f>"str_"&amp;CONTROL[[#This Row],[VEHIDCODE]]</f>
        <v>str_diesel_Australia_Victoria_X2</v>
      </c>
      <c r="Q864" s="10" t="b">
        <f>_xlfn.XLOOKUP(CONTROL[[#This Row],[VEHIDCODE]],PROPERTIES[VEHIDCODE],PROPERTIES[EXCLUDE])</f>
        <v>1</v>
      </c>
    </row>
    <row r="865" spans="1:17">
      <c r="A865" t="s">
        <v>3197</v>
      </c>
      <c r="B865" s="30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43" t="s">
        <v>3200</v>
      </c>
      <c r="G865" t="s">
        <v>3201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Row],[VEHIDCODE]],roster!A:A,roster!C:C))</f>
        <v>1</v>
      </c>
      <c r="N865" t="b">
        <f>ISNUMBER(_xlfn.XMATCH(CONTROL[[#This Row],[VEHIDCODE]],GRAPHICS_PROPERTIES[VEHIDCODE],0))</f>
        <v>1</v>
      </c>
      <c r="O865" s="30" t="str">
        <f>"item_"&amp;CONTROL[[#This Row],[VEHIDCODE]]</f>
        <v>item_diesel_Australia_Victoria_X3</v>
      </c>
      <c r="P865" s="30" t="str">
        <f>"str_"&amp;CONTROL[[#This Row],[VEHIDCODE]]</f>
        <v>str_diesel_Australia_Victoria_X3</v>
      </c>
      <c r="Q865" s="10" t="b">
        <f>_xlfn.XLOOKUP(CONTROL[[#This Row],[VEHIDCODE]],PROPERTIES[VEHIDCODE],PROPERTIES[EXCLUDE])</f>
        <v>1</v>
      </c>
    </row>
    <row r="866" spans="1:17">
      <c r="A866" t="s">
        <v>3202</v>
      </c>
      <c r="B866" s="30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43" t="s">
        <v>3203</v>
      </c>
      <c r="G866" s="45" t="s">
        <v>3204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Row],[VEHIDCODE]],roster!A:A,roster!C:C))</f>
        <v>1</v>
      </c>
      <c r="N866" t="b">
        <f>ISNUMBER(_xlfn.XMATCH(CONTROL[[#This Row],[VEHIDCODE]],GRAPHICS_PROPERTIES[VEHIDCODE],0))</f>
        <v>1</v>
      </c>
      <c r="O866" s="30" t="str">
        <f>"item_"&amp;CONTROL[[#This Row],[VEHIDCODE]]</f>
        <v>item_diesel_Australia_NSW_80</v>
      </c>
      <c r="P866" s="30" t="str">
        <f>"str_"&amp;CONTROL[[#This Row],[VEHIDCODE]]</f>
        <v>str_diesel_Australia_NSW_80</v>
      </c>
      <c r="Q866" s="10" t="b">
        <f>_xlfn.XLOOKUP(CONTROL[[#This Row],[VEHIDCODE]],PROPERTIES[VEHIDCODE],PROPERTIES[EXCLUDE])</f>
        <v>0</v>
      </c>
    </row>
    <row r="867" spans="1:17">
      <c r="A867" t="s">
        <v>3206</v>
      </c>
      <c r="B867" s="30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43" t="s">
        <v>3205</v>
      </c>
      <c r="G867" s="45" t="s">
        <v>3207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Row],[VEHIDCODE]],roster!A:A,roster!C:C))</f>
        <v>1</v>
      </c>
      <c r="N867" t="b">
        <f>ISNUMBER(_xlfn.XMATCH(CONTROL[[#This Row],[VEHIDCODE]],GRAPHICS_PROPERTIES[VEHIDCODE],0))</f>
        <v>1</v>
      </c>
      <c r="O867" s="30" t="str">
        <f>"item_"&amp;CONTROL[[#This Row],[VEHIDCODE]]</f>
        <v>item_electric_Australia_NSW_85</v>
      </c>
      <c r="P867" s="30" t="str">
        <f>"str_"&amp;CONTROL[[#This Row],[VEHIDCODE]]</f>
        <v>str_electric_Australia_NSW_85</v>
      </c>
      <c r="Q867" s="10" t="b">
        <f>_xlfn.XLOOKUP(CONTROL[[#This Row],[VEHIDCODE]],PROPERTIES[VEHIDCODE],PROPERTIES[EXCLUDE])</f>
        <v>0</v>
      </c>
    </row>
    <row r="868" spans="1:17">
      <c r="A868" s="2" t="s">
        <v>3209</v>
      </c>
      <c r="B868" s="30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43" t="s">
        <v>3208</v>
      </c>
      <c r="G868" t="s">
        <v>1696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Row],[VEHIDCODE]],roster!A:A,roster!C:C))</f>
        <v>1</v>
      </c>
      <c r="N868" t="b">
        <f>ISNUMBER(_xlfn.XMATCH(CONTROL[[#This Row],[VEHIDCODE]],GRAPHICS_PROPERTIES[VEHIDCODE],0))</f>
        <v>1</v>
      </c>
      <c r="O868" s="30" t="str">
        <f>"item_"&amp;CONTROL[[#This Row],[VEHIDCODE]]</f>
        <v>item_electric_Australia_SRA_8650</v>
      </c>
      <c r="P868" s="30" t="str">
        <f>"str_"&amp;CONTROL[[#This Row],[VEHIDCODE]]</f>
        <v>str_electric_Australia_SRA_8650</v>
      </c>
      <c r="Q868" s="10" t="b">
        <f>_xlfn.XLOOKUP(CONTROL[[#This Row],[VEHIDCODE]],PROPERTIES[VEHIDCODE],PROPERTIES[EXCLUDE])</f>
        <v>0</v>
      </c>
    </row>
    <row r="869" spans="1:17">
      <c r="A869" t="s">
        <v>3210</v>
      </c>
      <c r="B869" s="30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43" t="s">
        <v>3211</v>
      </c>
      <c r="G869" s="45" t="s">
        <v>3212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Row],[VEHIDCODE]],roster!A:A,roster!C:C))</f>
        <v>1</v>
      </c>
      <c r="N869" t="b">
        <f>ISNUMBER(_xlfn.XMATCH(CONTROL[[#This Row],[VEHIDCODE]],GRAPHICS_PROPERTIES[VEHIDCODE],0))</f>
        <v>1</v>
      </c>
      <c r="O869" s="30" t="str">
        <f>"item_"&amp;CONTROL[[#This Row],[VEHIDCODE]]</f>
        <v>item_diesel_Australia_IRA_DSB_MZ_III</v>
      </c>
      <c r="P869" s="30" t="str">
        <f>"str_"&amp;CONTROL[[#This Row],[VEHIDCODE]]</f>
        <v>str_diesel_Australia_IRA_DSB_MZ_III</v>
      </c>
      <c r="Q869" s="10" t="b">
        <f>_xlfn.XLOOKUP(CONTROL[[#This Row],[VEHIDCODE]],PROPERTIES[VEHIDCODE],PROPERTIES[EXCLUDE])</f>
        <v>0</v>
      </c>
    </row>
    <row r="870" spans="1:17">
      <c r="A870" t="s">
        <v>3213</v>
      </c>
      <c r="B870" s="30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43" t="s">
        <v>3214</v>
      </c>
      <c r="G870" t="s">
        <v>1696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Row],[VEHIDCODE]],roster!A:A,roster!C:C))</f>
        <v>1</v>
      </c>
      <c r="N870" t="b">
        <f>ISNUMBER(_xlfn.XMATCH(CONTROL[[#This Row],[VEHIDCODE]],GRAPHICS_PROPERTIES[VEHIDCODE],0))</f>
        <v>1</v>
      </c>
      <c r="O870" s="30" t="str">
        <f>"item_"&amp;CONTROL[[#This Row],[VEHIDCODE]]</f>
        <v>item_diesel_Australia_Commonwealth_Twin_16_645</v>
      </c>
      <c r="P870" s="30" t="str">
        <f>"str_"&amp;CONTROL[[#This Row],[VEHIDCODE]]</f>
        <v>str_diesel_Australia_Commonwealth_Twin_16_645</v>
      </c>
      <c r="Q870" s="10" t="b">
        <f>_xlfn.XLOOKUP(CONTROL[[#This Row],[VEHIDCODE]],PROPERTIES[VEHIDCODE],PROPERTIES[EXCLUDE])</f>
        <v>0</v>
      </c>
    </row>
    <row r="871" spans="1:17">
      <c r="A871" t="s">
        <v>3215</v>
      </c>
      <c r="B871" s="30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43" t="s">
        <v>3217</v>
      </c>
      <c r="G871" t="s">
        <v>3216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Row],[VEHIDCODE]],roster!A:A,roster!C:C))</f>
        <v>1</v>
      </c>
      <c r="N871" t="b">
        <f>ISNUMBER(_xlfn.XMATCH(CONTROL[[#This Row],[VEHIDCODE]],GRAPHICS_PROPERTIES[VEHIDCODE],0))</f>
        <v>1</v>
      </c>
      <c r="O871" s="30" t="str">
        <f>"item_"&amp;CONTROL[[#This Row],[VEHIDCODE]]</f>
        <v>item_diesel_Australia_QR_2170</v>
      </c>
      <c r="P871" s="30" t="str">
        <f>"str_"&amp;CONTROL[[#This Row],[VEHIDCODE]]</f>
        <v>str_diesel_Australia_QR_2170</v>
      </c>
      <c r="Q871" s="10" t="b">
        <f>_xlfn.XLOOKUP(CONTROL[[#This Row],[VEHIDCODE]],PROPERTIES[VEHIDCODE],PROPERTIES[EXCLUDE])</f>
        <v>0</v>
      </c>
    </row>
    <row r="872" spans="1:17">
      <c r="A872" t="s">
        <v>3219</v>
      </c>
      <c r="B872" s="30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43" t="s">
        <v>3220</v>
      </c>
      <c r="G872" t="s">
        <v>3221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Row],[VEHIDCODE]],roster!A:A,roster!C:C))</f>
        <v>1</v>
      </c>
      <c r="N872" t="b">
        <f>ISNUMBER(_xlfn.XMATCH(CONTROL[[#This Row],[VEHIDCODE]],GRAPHICS_PROPERTIES[VEHIDCODE],0))</f>
        <v>1</v>
      </c>
      <c r="O872" s="30" t="str">
        <f>"item_"&amp;CONTROL[[#This Row],[VEHIDCODE]]</f>
        <v>item_diesel_Australia_TGR_Z</v>
      </c>
      <c r="P872" s="30" t="str">
        <f>"str_"&amp;CONTROL[[#This Row],[VEHIDCODE]]</f>
        <v>str_diesel_Australia_TGR_Z</v>
      </c>
      <c r="Q872" s="10" t="b">
        <f>_xlfn.XLOOKUP(CONTROL[[#This Row],[VEHIDCODE]],PROPERTIES[VEHIDCODE],PROPERTIES[EXCLUDE])</f>
        <v>0</v>
      </c>
    </row>
    <row r="873" spans="1:17">
      <c r="A873" t="s">
        <v>3222</v>
      </c>
      <c r="B873" s="30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43" t="s">
        <v>3223</v>
      </c>
      <c r="G873" t="s">
        <v>3226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Row],[VEHIDCODE]],roster!A:A,roster!C:C))</f>
        <v>1</v>
      </c>
      <c r="N873" t="b">
        <f>ISNUMBER(_xlfn.XMATCH(CONTROL[[#This Row],[VEHIDCODE]],GRAPHICS_PROPERTIES[VEHIDCODE],0))</f>
        <v>1</v>
      </c>
      <c r="O873" s="30" t="str">
        <f>"item_"&amp;CONTROL[[#This Row],[VEHIDCODE]]</f>
        <v>item_diesel_Australia_QR_2350</v>
      </c>
      <c r="P873" s="30" t="str">
        <f>"str_"&amp;CONTROL[[#This Row],[VEHIDCODE]]</f>
        <v>str_diesel_Australia_QR_2350</v>
      </c>
      <c r="Q873" s="10" t="b">
        <f>_xlfn.XLOOKUP(CONTROL[[#This Row],[VEHIDCODE]],PROPERTIES[VEHIDCODE],PROPERTIES[EXCLUDE])</f>
        <v>0</v>
      </c>
    </row>
    <row r="874" spans="1:17">
      <c r="A874" t="s">
        <v>3227</v>
      </c>
      <c r="B874" s="30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43" t="s">
        <v>3228</v>
      </c>
      <c r="G874" t="s">
        <v>3229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Row],[VEHIDCODE]],roster!A:A,roster!C:C))</f>
        <v>1</v>
      </c>
      <c r="N874" t="b">
        <f>ISNUMBER(_xlfn.XMATCH(CONTROL[[#This Row],[VEHIDCODE]],GRAPHICS_PROPERTIES[VEHIDCODE],0))</f>
        <v>1</v>
      </c>
      <c r="O874" s="30" t="str">
        <f>"item_"&amp;CONTROL[[#This Row],[VEHIDCODE]]</f>
        <v>item_diesel_New_Zealand_DX_Class</v>
      </c>
      <c r="P874" s="30" t="str">
        <f>"str_"&amp;CONTROL[[#This Row],[VEHIDCODE]]</f>
        <v>str_diesel_New_Zealand_DX_Class</v>
      </c>
      <c r="Q874" s="10" t="b">
        <f>_xlfn.XLOOKUP(CONTROL[[#This Row],[VEHIDCODE]],PROPERTIES[VEHIDCODE],PROPERTIES[EXCLUDE])</f>
        <v>0</v>
      </c>
    </row>
    <row r="875" spans="1:17">
      <c r="A875" t="s">
        <v>3230</v>
      </c>
      <c r="B875" s="30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43" t="s">
        <v>3231</v>
      </c>
      <c r="G875" s="45" t="s">
        <v>3234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Row],[VEHIDCODE]],roster!A:A,roster!C:C))</f>
        <v>1</v>
      </c>
      <c r="N875" t="b">
        <f>ISNUMBER(_xlfn.XMATCH(CONTROL[[#This Row],[VEHIDCODE]],GRAPHICS_PROPERTIES[VEHIDCODE],0))</f>
        <v>1</v>
      </c>
      <c r="O875" s="30" t="str">
        <f>"item_"&amp;CONTROL[[#This Row],[VEHIDCODE]]</f>
        <v>item_electric_Australia_NSW_46</v>
      </c>
      <c r="P875" s="30" t="str">
        <f>"str_"&amp;CONTROL[[#This Row],[VEHIDCODE]]</f>
        <v>str_electric_Australia_NSW_46</v>
      </c>
      <c r="Q875" s="10" t="b">
        <f>_xlfn.XLOOKUP(CONTROL[[#This Row],[VEHIDCODE]],PROPERTIES[VEHIDCODE],PROPERTIES[EXCLUDE])</f>
        <v>0</v>
      </c>
    </row>
    <row r="876" spans="1:17">
      <c r="A876" t="s">
        <v>3232</v>
      </c>
      <c r="B876" s="30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43" t="s">
        <v>3233</v>
      </c>
      <c r="G876" s="45" t="s">
        <v>3235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Row],[VEHIDCODE]],roster!A:A,roster!C:C))</f>
        <v>1</v>
      </c>
      <c r="N876" t="b">
        <f>ISNUMBER(_xlfn.XMATCH(CONTROL[[#This Row],[VEHIDCODE]],GRAPHICS_PROPERTIES[VEHIDCODE],0))</f>
        <v>1</v>
      </c>
      <c r="O876" s="30" t="str">
        <f>"item_"&amp;CONTROL[[#This Row],[VEHIDCODE]]</f>
        <v>item_diesel_Australia_NSW_40</v>
      </c>
      <c r="P876" s="30" t="str">
        <f>"str_"&amp;CONTROL[[#This Row],[VEHIDCODE]]</f>
        <v>str_diesel_Australia_NSW_40</v>
      </c>
      <c r="Q876" s="10" t="b">
        <f>_xlfn.XLOOKUP(CONTROL[[#This Row],[VEHIDCODE]],PROPERTIES[VEHIDCODE],PROPERTIES[EXCLUDE])</f>
        <v>1</v>
      </c>
    </row>
    <row r="877" spans="1:17">
      <c r="A877" t="s">
        <v>3236</v>
      </c>
      <c r="B877" s="30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43" t="s">
        <v>3238</v>
      </c>
      <c r="G877" s="45" t="s">
        <v>3237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Row],[VEHIDCODE]],roster!A:A,roster!C:C))</f>
        <v>1</v>
      </c>
      <c r="N877" t="b">
        <f>ISNUMBER(_xlfn.XMATCH(CONTROL[[#This Row],[VEHIDCODE]],GRAPHICS_PROPERTIES[VEHIDCODE],0))</f>
        <v>1</v>
      </c>
      <c r="O877" s="30" t="str">
        <f>"item_"&amp;CONTROL[[#This Row],[VEHIDCODE]]</f>
        <v>item_diesel_Australia_NSW_49</v>
      </c>
      <c r="P877" s="30" t="str">
        <f>"str_"&amp;CONTROL[[#This Row],[VEHIDCODE]]</f>
        <v>str_diesel_Australia_NSW_49</v>
      </c>
      <c r="Q877" s="10" t="b">
        <f>_xlfn.XLOOKUP(CONTROL[[#This Row],[VEHIDCODE]],PROPERTIES[VEHIDCODE],PROPERTIES[EXCLUDE])</f>
        <v>0</v>
      </c>
    </row>
    <row r="878" spans="1:17">
      <c r="A878" s="2" t="s">
        <v>3239</v>
      </c>
      <c r="B878" s="30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43" t="s">
        <v>3240</v>
      </c>
      <c r="G878" t="s">
        <v>3241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Row],[VEHIDCODE]],roster!A:A,roster!C:C))</f>
        <v>1</v>
      </c>
      <c r="N878" t="b">
        <f>ISNUMBER(_xlfn.XMATCH(CONTROL[[#This Row],[VEHIDCODE]],GRAPHICS_PROPERTIES[VEHIDCODE],0))</f>
        <v>1</v>
      </c>
      <c r="O878" s="30" t="str">
        <f>"item_"&amp;CONTROL[[#This Row],[VEHIDCODE]]</f>
        <v>item_diesel_New_Zealand_DA_Class</v>
      </c>
      <c r="P878" s="30" t="str">
        <f>"str_"&amp;CONTROL[[#This Row],[VEHIDCODE]]</f>
        <v>str_diesel_New_Zealand_DA_Class</v>
      </c>
      <c r="Q878" s="10" t="b">
        <f>_xlfn.XLOOKUP(CONTROL[[#This Row],[VEHIDCODE]],PROPERTIES[VEHIDCODE],PROPERTIES[EXCLUDE])</f>
        <v>0</v>
      </c>
    </row>
    <row r="879" spans="1:17">
      <c r="A879" s="2" t="s">
        <v>3242</v>
      </c>
      <c r="B879" s="30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43" t="s">
        <v>3243</v>
      </c>
      <c r="G879" t="s">
        <v>3241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Row],[VEHIDCODE]],roster!A:A,roster!C:C))</f>
        <v>1</v>
      </c>
      <c r="N879" t="b">
        <f>ISNUMBER(_xlfn.XMATCH(CONTROL[[#This Row],[VEHIDCODE]],GRAPHICS_PROPERTIES[VEHIDCODE],0))</f>
        <v>1</v>
      </c>
      <c r="O879" s="30" t="str">
        <f>"item_"&amp;CONTROL[[#This Row],[VEHIDCODE]]</f>
        <v>item_diesel_New_Zealand_DB_Class</v>
      </c>
      <c r="P879" s="30" t="str">
        <f>"str_"&amp;CONTROL[[#This Row],[VEHIDCODE]]</f>
        <v>str_diesel_New_Zealand_DB_Class</v>
      </c>
      <c r="Q879" s="10" t="b">
        <f>_xlfn.XLOOKUP(CONTROL[[#This Row],[VEHIDCODE]],PROPERTIES[VEHIDCODE],PROPERTIES[EXCLUDE])</f>
        <v>0</v>
      </c>
    </row>
    <row r="880" spans="1:17">
      <c r="A880" t="s">
        <v>3244</v>
      </c>
      <c r="B880" s="30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43" t="s">
        <v>3245</v>
      </c>
      <c r="G880" s="45" t="s">
        <v>3246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Row],[VEHIDCODE]],roster!A:A,roster!C:C))</f>
        <v>1</v>
      </c>
      <c r="N880" t="b">
        <f>ISNUMBER(_xlfn.XMATCH(CONTROL[[#This Row],[VEHIDCODE]],GRAPHICS_PROPERTIES[VEHIDCODE],0))</f>
        <v>1</v>
      </c>
      <c r="O880" s="30" t="str">
        <f>"item_"&amp;CONTROL[[#This Row],[VEHIDCODE]]</f>
        <v>item_diesel_Australia_NSW_47</v>
      </c>
      <c r="P880" s="30" t="str">
        <f>"str_"&amp;CONTROL[[#This Row],[VEHIDCODE]]</f>
        <v>str_diesel_Australia_NSW_47</v>
      </c>
      <c r="Q880" s="10" t="b">
        <f>_xlfn.XLOOKUP(CONTROL[[#This Row],[VEHIDCODE]],PROPERTIES[VEHIDCODE],PROPERTIES[EXCLUDE])</f>
        <v>0</v>
      </c>
    </row>
    <row r="881" spans="1:17">
      <c r="A881" t="s">
        <v>3247</v>
      </c>
      <c r="B881" s="30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43" t="s">
        <v>3249</v>
      </c>
      <c r="G881" s="45" t="s">
        <v>3248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Row],[VEHIDCODE]],roster!A:A,roster!C:C))</f>
        <v>1</v>
      </c>
      <c r="N881" t="b">
        <f>ISNUMBER(_xlfn.XMATCH(CONTROL[[#This Row],[VEHIDCODE]],GRAPHICS_PROPERTIES[VEHIDCODE],0))</f>
        <v>1</v>
      </c>
      <c r="O881" s="30" t="str">
        <f>"item_"&amp;CONTROL[[#This Row],[VEHIDCODE]]</f>
        <v>item_steam_Brazil_Baroneza</v>
      </c>
      <c r="P881" s="30" t="str">
        <f>"str_"&amp;CONTROL[[#This Row],[VEHIDCODE]]</f>
        <v>str_steam_Brazil_Baroneza</v>
      </c>
      <c r="Q881" s="10" t="b">
        <f>_xlfn.XLOOKUP(CONTROL[[#This Row],[VEHIDCODE]],PROPERTIES[VEHIDCODE],PROPERTIES[EXCLUDE])</f>
        <v>0</v>
      </c>
    </row>
    <row r="882" spans="1:17">
      <c r="A882" t="s">
        <v>3250</v>
      </c>
      <c r="B882" s="30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43" t="s">
        <v>3251</v>
      </c>
      <c r="G882" s="45" t="s">
        <v>3252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Row],[VEHIDCODE]],roster!A:A,roster!C:C))</f>
        <v>1</v>
      </c>
      <c r="N882" t="b">
        <f>ISNUMBER(_xlfn.XMATCH(CONTROL[[#This Row],[VEHIDCODE]],GRAPHICS_PROPERTIES[VEHIDCODE],0))</f>
        <v>1</v>
      </c>
      <c r="O882" s="30" t="str">
        <f>"item_"&amp;CONTROL[[#This Row],[VEHIDCODE]]</f>
        <v>item_steam_Argentina_La_Portena</v>
      </c>
      <c r="P882" s="30" t="str">
        <f>"str_"&amp;CONTROL[[#This Row],[VEHIDCODE]]</f>
        <v>str_steam_Argentina_La_Portena</v>
      </c>
      <c r="Q882" s="10" t="b">
        <f>_xlfn.XLOOKUP(CONTROL[[#This Row],[VEHIDCODE]],PROPERTIES[VEHIDCODE],PROPERTIES[EXCLUDE])</f>
        <v>0</v>
      </c>
    </row>
    <row r="883" spans="1:17">
      <c r="A883" t="s">
        <v>3254</v>
      </c>
      <c r="B883" s="30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43" t="s">
        <v>3253</v>
      </c>
      <c r="G883" t="s">
        <v>3255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Row],[VEHIDCODE]],roster!A:A,roster!C:C))</f>
        <v>1</v>
      </c>
      <c r="N883" t="b">
        <f>ISNUMBER(_xlfn.XMATCH(CONTROL[[#This Row],[VEHIDCODE]],GRAPHICS_PROPERTIES[VEHIDCODE],0))</f>
        <v>1</v>
      </c>
      <c r="O883" s="30" t="str">
        <f>"item_"&amp;CONTROL[[#This Row],[VEHIDCODE]]</f>
        <v>item_steam_Brazil_Dom_Pedro_Segundo_119</v>
      </c>
      <c r="P883" s="30" t="str">
        <f>"str_"&amp;CONTROL[[#This Row],[VEHIDCODE]]</f>
        <v>str_steam_Brazil_Dom_Pedro_Segundo_119</v>
      </c>
      <c r="Q883" s="10" t="b">
        <f>_xlfn.XLOOKUP(CONTROL[[#This Row],[VEHIDCODE]],PROPERTIES[VEHIDCODE],PROPERTIES[EXCLUDE])</f>
        <v>0</v>
      </c>
    </row>
    <row r="884" spans="1:17">
      <c r="A884" t="s">
        <v>3256</v>
      </c>
      <c r="B884" s="30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43" t="s">
        <v>3257</v>
      </c>
      <c r="G884" t="s">
        <v>3258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Row],[VEHIDCODE]],roster!A:A,roster!C:C))</f>
        <v>1</v>
      </c>
      <c r="N884" t="b">
        <f>ISNUMBER(_xlfn.XMATCH(CONTROL[[#This Row],[VEHIDCODE]],GRAPHICS_PROPERTIES[VEHIDCODE],0))</f>
        <v>1</v>
      </c>
      <c r="O884" s="30" t="str">
        <f>"item_"&amp;CONTROL[[#This Row],[VEHIDCODE]]</f>
        <v>item_steam_Peru_No8_Monsefu</v>
      </c>
      <c r="P884" s="30" t="str">
        <f>"str_"&amp;CONTROL[[#This Row],[VEHIDCODE]]</f>
        <v>str_steam_Peru_No8_Monsefu</v>
      </c>
      <c r="Q884" s="10" t="b">
        <f>_xlfn.XLOOKUP(CONTROL[[#This Row],[VEHIDCODE]],PROPERTIES[VEHIDCODE],PROPERTIES[EXCLUDE])</f>
        <v>0</v>
      </c>
    </row>
    <row r="885" spans="1:17">
      <c r="A885" t="s">
        <v>3259</v>
      </c>
      <c r="B885" s="30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43" t="s">
        <v>3260</v>
      </c>
      <c r="G885" t="s">
        <v>1696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Row],[VEHIDCODE]],roster!A:A,roster!C:C))</f>
        <v>1</v>
      </c>
      <c r="N885" t="b">
        <f>ISNUMBER(_xlfn.XMATCH(CONTROL[[#This Row],[VEHIDCODE]],GRAPHICS_PROPERTIES[VEHIDCODE],0))</f>
        <v>1</v>
      </c>
      <c r="O885" s="30" t="str">
        <f>"item_"&amp;CONTROL[[#This Row],[VEHIDCODE]]</f>
        <v>item_steam_Paraguay_FCCP_Q_Class</v>
      </c>
      <c r="P885" s="30" t="str">
        <f>"str_"&amp;CONTROL[[#This Row],[VEHIDCODE]]</f>
        <v>str_steam_Paraguay_FCCP_Q_Class</v>
      </c>
      <c r="Q885" s="10" t="b">
        <f>_xlfn.XLOOKUP(CONTROL[[#This Row],[VEHIDCODE]],PROPERTIES[VEHIDCODE],PROPERTIES[EXCLUDE])</f>
        <v>0</v>
      </c>
    </row>
    <row r="886" spans="1:17">
      <c r="A886" s="2" t="s">
        <v>3261</v>
      </c>
      <c r="B886" s="30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43" t="s">
        <v>3262</v>
      </c>
      <c r="G886" t="s">
        <v>3263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Row],[VEHIDCODE]],roster!A:A,roster!C:C))</f>
        <v>1</v>
      </c>
      <c r="N886" t="b">
        <f>ISNUMBER(_xlfn.XMATCH(CONTROL[[#This Row],[VEHIDCODE]],GRAPHICS_PROPERTIES[VEHIDCODE],0))</f>
        <v>1</v>
      </c>
      <c r="O886" s="30" t="str">
        <f>"item_"&amp;CONTROL[[#This Row],[VEHIDCODE]]</f>
        <v>item_steam_Argentina_FCCA_PS10_Class</v>
      </c>
      <c r="P886" s="30" t="str">
        <f>"str_"&amp;CONTROL[[#This Row],[VEHIDCODE]]</f>
        <v>str_steam_Argentina_FCCA_PS10_Class</v>
      </c>
      <c r="Q886" s="10" t="b">
        <f>_xlfn.XLOOKUP(CONTROL[[#This Row],[VEHIDCODE]],PROPERTIES[VEHIDCODE],PROPERTIES[EXCLUDE])</f>
        <v>0</v>
      </c>
    </row>
    <row r="887" spans="1:17">
      <c r="A887" t="s">
        <v>3264</v>
      </c>
      <c r="B887" s="30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43" t="s">
        <v>3265</v>
      </c>
      <c r="G887" t="s">
        <v>3266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Row],[VEHIDCODE]],roster!A:A,roster!C:C))</f>
        <v>1</v>
      </c>
      <c r="N887" t="b">
        <f>ISNUMBER(_xlfn.XMATCH(CONTROL[[#This Row],[VEHIDCODE]],GRAPHICS_PROPERTIES[VEHIDCODE],0))</f>
        <v>1</v>
      </c>
      <c r="O887" s="30" t="str">
        <f>"item_"&amp;CONTROL[[#This Row],[VEHIDCODE]]</f>
        <v>item_steam_Chile_Anglo_Chilean_Nitrate_No_97</v>
      </c>
      <c r="P887" s="30" t="str">
        <f>"str_"&amp;CONTROL[[#This Row],[VEHIDCODE]]</f>
        <v>str_steam_Chile_Anglo_Chilean_Nitrate_No_97</v>
      </c>
      <c r="Q887" s="10" t="b">
        <f>_xlfn.XLOOKUP(CONTROL[[#This Row],[VEHIDCODE]],PROPERTIES[VEHIDCODE],PROPERTIES[EXCLUDE])</f>
        <v>0</v>
      </c>
    </row>
    <row r="888" spans="1:17">
      <c r="A888" t="s">
        <v>3267</v>
      </c>
      <c r="B888" s="30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43" t="s">
        <v>3268</v>
      </c>
      <c r="G888" t="s">
        <v>3269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Row],[VEHIDCODE]],roster!A:A,roster!C:C))</f>
        <v>1</v>
      </c>
      <c r="N888" t="b">
        <f>ISNUMBER(_xlfn.XMATCH(CONTROL[[#This Row],[VEHIDCODE]],GRAPHICS_PROPERTIES[VEHIDCODE],0))</f>
        <v>1</v>
      </c>
      <c r="O888" s="30" t="str">
        <f>"item_"&amp;CONTROL[[#This Row],[VEHIDCODE]]</f>
        <v>item_electric_Brazil_SLM_Winterthur_BBC_1D1</v>
      </c>
      <c r="P888" s="30" t="str">
        <f>"str_"&amp;CONTROL[[#This Row],[VEHIDCODE]]</f>
        <v>str_electric_Brazil_SLM_Winterthur_BBC_1D1</v>
      </c>
      <c r="Q888" s="10" t="b">
        <f>_xlfn.XLOOKUP(CONTROL[[#This Row],[VEHIDCODE]],PROPERTIES[VEHIDCODE],PROPERTIES[EXCLUDE])</f>
        <v>0</v>
      </c>
    </row>
    <row r="889" spans="1:17">
      <c r="A889" t="s">
        <v>3271</v>
      </c>
      <c r="B889" s="30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43" t="s">
        <v>3272</v>
      </c>
      <c r="G889" t="s">
        <v>3273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Row],[VEHIDCODE]],roster!A:A,roster!C:C))</f>
        <v>1</v>
      </c>
      <c r="N889" t="b">
        <f>ISNUMBER(_xlfn.XMATCH(CONTROL[[#This Row],[VEHIDCODE]],GRAPHICS_PROPERTIES[VEHIDCODE],0))</f>
        <v>1</v>
      </c>
      <c r="O889" s="30" t="str">
        <f>"item_"&amp;CONTROL[[#This Row],[VEHIDCODE]]</f>
        <v>item_electric_Brazil_GE_2CC2</v>
      </c>
      <c r="P889" s="30" t="str">
        <f>"str_"&amp;CONTROL[[#This Row],[VEHIDCODE]]</f>
        <v>str_electric_Brazil_GE_2CC2</v>
      </c>
      <c r="Q889" s="10" t="b">
        <f>_xlfn.XLOOKUP(CONTROL[[#This Row],[VEHIDCODE]],PROPERTIES[VEHIDCODE],PROPERTIES[EXCLUDE])</f>
        <v>0</v>
      </c>
    </row>
    <row r="890" spans="1:17">
      <c r="A890" t="s">
        <v>3284</v>
      </c>
      <c r="B890" s="30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43" t="s">
        <v>3276</v>
      </c>
      <c r="G890" t="s">
        <v>3277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Row],[VEHIDCODE]],roster!A:A,roster!C:C))</f>
        <v>1</v>
      </c>
      <c r="N890" t="b">
        <f>ISNUMBER(_xlfn.XMATCH(CONTROL[[#This Row],[VEHIDCODE]],GRAPHICS_PROPERTIES[VEHIDCODE],0))</f>
        <v>1</v>
      </c>
      <c r="O890" s="30" t="str">
        <f>"item_"&amp;CONTROL[[#This Row],[VEHIDCODE]]</f>
        <v>item_steam_Chile_La_Copiapo</v>
      </c>
      <c r="P890" s="30" t="str">
        <f>"str_"&amp;CONTROL[[#This Row],[VEHIDCODE]]</f>
        <v>str_steam_Chile_La_Copiapo</v>
      </c>
      <c r="Q890" s="10" t="b">
        <f>_xlfn.XLOOKUP(CONTROL[[#This Row],[VEHIDCODE]],PROPERTIES[VEHIDCODE],PROPERTIES[EXCLUDE])</f>
        <v>0</v>
      </c>
    </row>
    <row r="891" spans="1:17">
      <c r="A891" t="s">
        <v>3278</v>
      </c>
      <c r="B891" s="30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43" t="s">
        <v>3279</v>
      </c>
      <c r="G891" t="s">
        <v>3280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Row],[VEHIDCODE]],roster!A:A,roster!C:C))</f>
        <v>1</v>
      </c>
      <c r="N891" t="b">
        <f>ISNUMBER(_xlfn.XMATCH(CONTROL[[#This Row],[VEHIDCODE]],GRAPHICS_PROPERTIES[VEHIDCODE],0))</f>
        <v>1</v>
      </c>
      <c r="O891" s="30" t="str">
        <f>"item_"&amp;CONTROL[[#This Row],[VEHIDCODE]]</f>
        <v>item_electric_Costa_Rica_AEG_Pacific_A1A_A1A</v>
      </c>
      <c r="P891" s="30" t="str">
        <f>"str_"&amp;CONTROL[[#This Row],[VEHIDCODE]]</f>
        <v>str_electric_Costa_Rica_AEG_Pacific_A1A_A1A</v>
      </c>
      <c r="Q891" s="10" t="b">
        <f>_xlfn.XLOOKUP(CONTROL[[#This Row],[VEHIDCODE]],PROPERTIES[VEHIDCODE],PROPERTIES[EXCLUDE])</f>
        <v>0</v>
      </c>
    </row>
    <row r="892" spans="1:17">
      <c r="A892" t="s">
        <v>3282</v>
      </c>
      <c r="B892" s="30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43" t="s">
        <v>3283</v>
      </c>
      <c r="G892" t="s">
        <v>3281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Row],[VEHIDCODE]],roster!A:A,roster!C:C))</f>
        <v>1</v>
      </c>
      <c r="N892" t="b">
        <f>ISNUMBER(_xlfn.XMATCH(CONTROL[[#This Row],[VEHIDCODE]],GRAPHICS_PROPERTIES[VEHIDCODE],0))</f>
        <v>1</v>
      </c>
      <c r="O892" s="30" t="str">
        <f>"item_"&amp;CONTROL[[#This Row],[VEHIDCODE]]</f>
        <v>item_dmu_Argentina_Ganz_Arpad_Bariloche</v>
      </c>
      <c r="P892" s="30" t="str">
        <f>"str_"&amp;CONTROL[[#This Row],[VEHIDCODE]]</f>
        <v>str_dmu_Argentina_Ganz_Arpad_Bariloche</v>
      </c>
      <c r="Q892" s="10" t="b">
        <f>_xlfn.XLOOKUP(CONTROL[[#This Row],[VEHIDCODE]],PROPERTIES[VEHIDCODE],PROPERTIES[EXCLUDE])</f>
        <v>0</v>
      </c>
    </row>
    <row r="893" spans="1:17">
      <c r="A893" t="s">
        <v>3285</v>
      </c>
      <c r="B893" s="30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43" t="s">
        <v>3286</v>
      </c>
      <c r="G893" t="s">
        <v>3287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Row],[VEHIDCODE]],roster!A:A,roster!C:C))</f>
        <v>1</v>
      </c>
      <c r="N893" t="b">
        <f>ISNUMBER(_xlfn.XMATCH(CONTROL[[#This Row],[VEHIDCODE]],GRAPHICS_PROPERTIES[VEHIDCODE],0))</f>
        <v>1</v>
      </c>
      <c r="O893" s="30" t="str">
        <f>"item_"&amp;CONTROL[[#This Row],[VEHIDCODE]]</f>
        <v>item_steam_Brazil_Sao_Paulo_Railway_13</v>
      </c>
      <c r="P893" s="30" t="str">
        <f>"str_"&amp;CONTROL[[#This Row],[VEHIDCODE]]</f>
        <v>str_steam_Brazil_Sao_Paulo_Railway_13</v>
      </c>
      <c r="Q893" s="10" t="b">
        <f>_xlfn.XLOOKUP(CONTROL[[#This Row],[VEHIDCODE]],PROPERTIES[VEHIDCODE],PROPERTIES[EXCLUDE])</f>
        <v>0</v>
      </c>
    </row>
    <row r="894" spans="1:17">
      <c r="A894" t="s">
        <v>3289</v>
      </c>
      <c r="B894" s="30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43" t="s">
        <v>3288</v>
      </c>
      <c r="G894" t="s">
        <v>3290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Row],[VEHIDCODE]],roster!A:A,roster!C:C))</f>
        <v>1</v>
      </c>
      <c r="N894" t="b">
        <f>ISNUMBER(_xlfn.XMATCH(CONTROL[[#This Row],[VEHIDCODE]],GRAPHICS_PROPERTIES[VEHIDCODE],0))</f>
        <v>1</v>
      </c>
      <c r="O894" s="30" t="str">
        <f>"item_"&amp;CONTROL[[#This Row],[VEHIDCODE]]</f>
        <v>item_dmu_Argentina_Ganz_Arpad_CMU_4701_Transandino</v>
      </c>
      <c r="P894" s="30" t="str">
        <f>"str_"&amp;CONTROL[[#This Row],[VEHIDCODE]]</f>
        <v>str_dmu_Argentina_Ganz_Arpad_CMU_4701_Transandino</v>
      </c>
      <c r="Q894" s="10" t="b">
        <f>_xlfn.XLOOKUP(CONTROL[[#This Row],[VEHIDCODE]],PROPERTIES[VEHIDCODE],PROPERTIES[EXCLUDE])</f>
        <v>0</v>
      </c>
    </row>
    <row r="895" spans="1:17">
      <c r="A895" t="s">
        <v>3292</v>
      </c>
      <c r="B895" s="30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43" t="s">
        <v>3293</v>
      </c>
      <c r="G895" s="45" t="s">
        <v>3294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Row],[VEHIDCODE]],roster!A:A,roster!C:C))</f>
        <v>1</v>
      </c>
      <c r="N895" t="b">
        <f>ISNUMBER(_xlfn.XMATCH(CONTROL[[#This Row],[VEHIDCODE]],GRAPHICS_PROPERTIES[VEHIDCODE],0))</f>
        <v>1</v>
      </c>
      <c r="O895" s="30" t="str">
        <f>"item_"&amp;CONTROL[[#This Row],[VEHIDCODE]]</f>
        <v>item_emu_Chile_EFE_AEZ_Railcar</v>
      </c>
      <c r="P895" s="30" t="str">
        <f>"str_"&amp;CONTROL[[#This Row],[VEHIDCODE]]</f>
        <v>str_emu_Chile_EFE_AEZ_Railcar</v>
      </c>
      <c r="Q895" s="10" t="b">
        <f>_xlfn.XLOOKUP(CONTROL[[#This Row],[VEHIDCODE]],PROPERTIES[VEHIDCODE],PROPERTIES[EXCLUDE])</f>
        <v>0</v>
      </c>
    </row>
    <row r="896" spans="1:17">
      <c r="A896" t="s">
        <v>3302</v>
      </c>
      <c r="B896" s="30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43" t="s">
        <v>3303</v>
      </c>
      <c r="G896" t="s">
        <v>1696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Row],[VEHIDCODE]],roster!A:A,roster!C:C))</f>
        <v>1</v>
      </c>
      <c r="N896" t="b">
        <f>ISNUMBER(_xlfn.XMATCH(CONTROL[[#This Row],[VEHIDCODE]],GRAPHICS_PROPERTIES[VEHIDCODE],0))</f>
        <v>1</v>
      </c>
      <c r="O896" s="30" t="str">
        <f>"item_"&amp;CONTROL[[#This Row],[VEHIDCODE]]</f>
        <v>item_emu_New_Zealand_BREL_GEC_Auckland_ART_Concept</v>
      </c>
      <c r="P896" s="30" t="str">
        <f>"str_"&amp;CONTROL[[#This Row],[VEHIDCODE]]</f>
        <v>str_emu_New_Zealand_BREL_GEC_Auckland_ART_Concept</v>
      </c>
      <c r="Q896" s="10" t="b">
        <f>_xlfn.XLOOKUP(CONTROL[[#This Row],[VEHIDCODE]],PROPERTIES[VEHIDCODE],PROPERTIES[EXCLUDE])</f>
        <v>0</v>
      </c>
    </row>
    <row r="897" spans="1:17">
      <c r="A897" t="s">
        <v>3304</v>
      </c>
      <c r="B897" s="30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43" t="s">
        <v>3305</v>
      </c>
      <c r="G897" t="s">
        <v>3306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Row],[VEHIDCODE]],roster!A:A,roster!C:C))</f>
        <v>1</v>
      </c>
      <c r="N897" t="b">
        <f>ISNUMBER(_xlfn.XMATCH(CONTROL[[#This Row],[VEHIDCODE]],GRAPHICS_PROPERTIES[VEHIDCODE],0))</f>
        <v>1</v>
      </c>
      <c r="O897" s="30" t="str">
        <f>"item_"&amp;CONTROL[[#This Row],[VEHIDCODE]]</f>
        <v>item_dmu_Australia_NSW_1100</v>
      </c>
      <c r="P897" s="30" t="str">
        <f>"str_"&amp;CONTROL[[#This Row],[VEHIDCODE]]</f>
        <v>str_dmu_Australia_NSW_1100</v>
      </c>
      <c r="Q897" s="10" t="b">
        <f>_xlfn.XLOOKUP(CONTROL[[#This Row],[VEHIDCODE]],PROPERTIES[VEHIDCODE],PROPERTIES[EXCLUDE])</f>
        <v>0</v>
      </c>
    </row>
    <row r="898" spans="1:17">
      <c r="A898" t="s">
        <v>3308</v>
      </c>
      <c r="B898" s="30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43" t="s">
        <v>3309</v>
      </c>
      <c r="G898" t="s">
        <v>1696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Row],[VEHIDCODE]],roster!A:A,roster!C:C))</f>
        <v>1</v>
      </c>
      <c r="N898" t="b">
        <f>ISNUMBER(_xlfn.XMATCH(CONTROL[[#This Row],[VEHIDCODE]],GRAPHICS_PROPERTIES[VEHIDCODE],0))</f>
        <v>1</v>
      </c>
      <c r="O898" s="30" t="str">
        <f>"item_"&amp;CONTROL[[#This Row],[VEHIDCODE]]</f>
        <v>item_dmu_Thailand_Comeng_XPT_Concept</v>
      </c>
      <c r="P898" s="30" t="str">
        <f>"str_"&amp;CONTROL[[#This Row],[VEHIDCODE]]</f>
        <v>str_dmu_Thailand_Comeng_XPT_Concept</v>
      </c>
      <c r="Q898" s="10" t="b">
        <f>_xlfn.XLOOKUP(CONTROL[[#This Row],[VEHIDCODE]],PROPERTIES[VEHIDCODE],PROPERTIES[EXCLUDE])</f>
        <v>0</v>
      </c>
    </row>
    <row r="899" spans="1:17">
      <c r="A899" s="2" t="s">
        <v>3312</v>
      </c>
      <c r="B899" s="30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43" t="s">
        <v>3311</v>
      </c>
      <c r="G899" t="s">
        <v>3310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Row],[VEHIDCODE]],roster!A:A,roster!C:C))</f>
        <v>1</v>
      </c>
      <c r="N899" t="b">
        <f>ISNUMBER(_xlfn.XMATCH(CONTROL[[#This Row],[VEHIDCODE]],GRAPHICS_PROPERTIES[VEHIDCODE],0))</f>
        <v>1</v>
      </c>
      <c r="O899" s="30" t="str">
        <f>"item_"&amp;CONTROL[[#This Row],[VEHIDCODE]]</f>
        <v>item_dmu_Australia_Comeng_XPT</v>
      </c>
      <c r="P899" s="30" t="str">
        <f>"str_"&amp;CONTROL[[#This Row],[VEHIDCODE]]</f>
        <v>str_dmu_Australia_Comeng_XPT</v>
      </c>
      <c r="Q899" s="10" t="b">
        <f>_xlfn.XLOOKUP(CONTROL[[#This Row],[VEHIDCODE]],PROPERTIES[VEHIDCODE],PROPERTIES[EXCLUDE])</f>
        <v>0</v>
      </c>
    </row>
    <row r="900" spans="1:17">
      <c r="A900" t="s">
        <v>3314</v>
      </c>
      <c r="B900" s="30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43" t="s">
        <v>3313</v>
      </c>
      <c r="G900" t="s">
        <v>1696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Row],[VEHIDCODE]],roster!A:A,roster!C:C))</f>
        <v>1</v>
      </c>
      <c r="N900" t="b">
        <f>ISNUMBER(_xlfn.XMATCH(CONTROL[[#This Row],[VEHIDCODE]],GRAPHICS_PROPERTIES[VEHIDCODE],0))</f>
        <v>1</v>
      </c>
      <c r="O900" s="30" t="str">
        <f>"item_"&amp;CONTROL[[#This Row],[VEHIDCODE]]</f>
        <v>item_emu_Australia_Tangara_V_Set_Hybrid</v>
      </c>
      <c r="P900" s="30" t="str">
        <f>"str_"&amp;CONTROL[[#This Row],[VEHIDCODE]]</f>
        <v>str_emu_Australia_Tangara_V_Set_Hybrid</v>
      </c>
      <c r="Q900" s="10" t="b">
        <f>_xlfn.XLOOKUP(CONTROL[[#This Row],[VEHIDCODE]],PROPERTIES[VEHIDCODE],PROPERTIES[EXCLUDE])</f>
        <v>0</v>
      </c>
    </row>
    <row r="901" spans="1:17">
      <c r="A901" t="s">
        <v>3315</v>
      </c>
      <c r="B901" s="30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43" t="s">
        <v>3316</v>
      </c>
      <c r="G901" t="s">
        <v>3317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Row],[VEHIDCODE]],roster!A:A,roster!C:C))</f>
        <v>1</v>
      </c>
      <c r="N901" t="b">
        <f>ISNUMBER(_xlfn.XMATCH(CONTROL[[#This Row],[VEHIDCODE]],GRAPHICS_PROPERTIES[VEHIDCODE],0))</f>
        <v>1</v>
      </c>
      <c r="O901" s="30" t="str">
        <f>"item_"&amp;CONTROL[[#This Row],[VEHIDCODE]]</f>
        <v>item_dmu_Australia_NSW_900</v>
      </c>
      <c r="P901" s="30" t="str">
        <f>"str_"&amp;CONTROL[[#This Row],[VEHIDCODE]]</f>
        <v>str_dmu_Australia_NSW_900</v>
      </c>
      <c r="Q901" s="10" t="b">
        <f>_xlfn.XLOOKUP(CONTROL[[#This Row],[VEHIDCODE]],PROPERTIES[VEHIDCODE],PROPERTIES[EXCLUDE])</f>
        <v>0</v>
      </c>
    </row>
    <row r="902" spans="1:17">
      <c r="A902" t="s">
        <v>3326</v>
      </c>
      <c r="B902" s="30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43" t="s">
        <v>3318</v>
      </c>
      <c r="G902" t="s">
        <v>3319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Row],[VEHIDCODE]],roster!A:A,roster!C:C))</f>
        <v>1</v>
      </c>
      <c r="N902" t="b">
        <f>ISNUMBER(_xlfn.XMATCH(CONTROL[[#This Row],[VEHIDCODE]],GRAPHICS_PROPERTIES[VEHIDCODE],0))</f>
        <v>1</v>
      </c>
      <c r="O902" s="30" t="str">
        <f>"item_"&amp;CONTROL[[#This Row],[VEHIDCODE]]</f>
        <v>item_emu_Australia_4D_Train</v>
      </c>
      <c r="P902" s="30" t="str">
        <f>"str_"&amp;CONTROL[[#This Row],[VEHIDCODE]]</f>
        <v>str_emu_Australia_4D_Train</v>
      </c>
      <c r="Q902" s="10" t="b">
        <f>_xlfn.XLOOKUP(CONTROL[[#This Row],[VEHIDCODE]],PROPERTIES[VEHIDCODE],PROPERTIES[EXCLUDE])</f>
        <v>0</v>
      </c>
    </row>
    <row r="903" spans="1:17">
      <c r="A903" t="s">
        <v>3325</v>
      </c>
      <c r="B903" s="30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43" t="s">
        <v>3320</v>
      </c>
      <c r="G903" t="s">
        <v>3323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Row],[VEHIDCODE]],roster!A:A,roster!C:C))</f>
        <v>1</v>
      </c>
      <c r="N903" t="b">
        <f>ISNUMBER(_xlfn.XMATCH(CONTROL[[#This Row],[VEHIDCODE]],GRAPHICS_PROPERTIES[VEHIDCODE],0))</f>
        <v>1</v>
      </c>
      <c r="O903" s="30" t="str">
        <f>"item_"&amp;CONTROL[[#This Row],[VEHIDCODE]]</f>
        <v>item_emu_Australia_Sydney_Tangara</v>
      </c>
      <c r="P903" s="30" t="str">
        <f>"str_"&amp;CONTROL[[#This Row],[VEHIDCODE]]</f>
        <v>str_emu_Australia_Sydney_Tangara</v>
      </c>
      <c r="Q903" s="10" t="b">
        <f>_xlfn.XLOOKUP(CONTROL[[#This Row],[VEHIDCODE]],PROPERTIES[VEHIDCODE],PROPERTIES[EXCLUDE])</f>
        <v>0</v>
      </c>
    </row>
    <row r="904" spans="1:17">
      <c r="A904" t="s">
        <v>3321</v>
      </c>
      <c r="B904" s="30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43" t="s">
        <v>3322</v>
      </c>
      <c r="G904" t="s">
        <v>3324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Row],[VEHIDCODE]],roster!A:A,roster!C:C))</f>
        <v>1</v>
      </c>
      <c r="N904" t="b">
        <f>ISNUMBER(_xlfn.XMATCH(CONTROL[[#This Row],[VEHIDCODE]],GRAPHICS_PROPERTIES[VEHIDCODE],0))</f>
        <v>1</v>
      </c>
      <c r="O904" s="30" t="str">
        <f>"item_"&amp;CONTROL[[#This Row],[VEHIDCODE]]</f>
        <v>item_dmu_Australia_NSW_600</v>
      </c>
      <c r="P904" s="30" t="str">
        <f>"str_"&amp;CONTROL[[#This Row],[VEHIDCODE]]</f>
        <v>str_dmu_Australia_NSW_600</v>
      </c>
      <c r="Q904" s="10" t="b">
        <f>_xlfn.XLOOKUP(CONTROL[[#This Row],[VEHIDCODE]],PROPERTIES[VEHIDCODE],PROPERTIES[EXCLUDE])</f>
        <v>0</v>
      </c>
    </row>
    <row r="905" spans="1:17">
      <c r="A905" t="s">
        <v>3327</v>
      </c>
      <c r="B905" s="30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43" t="s">
        <v>3329</v>
      </c>
      <c r="G905" t="s">
        <v>3328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Row],[VEHIDCODE]],roster!A:A,roster!C:C))</f>
        <v>1</v>
      </c>
      <c r="N905" t="b">
        <f>ISNUMBER(_xlfn.XMATCH(CONTROL[[#This Row],[VEHIDCODE]],GRAPHICS_PROPERTIES[VEHIDCODE],0))</f>
        <v>1</v>
      </c>
      <c r="O905" s="30" t="str">
        <f>"item_"&amp;CONTROL[[#This Row],[VEHIDCODE]]</f>
        <v>item_dmu_New_Zealand_Silver_Fern</v>
      </c>
      <c r="P905" s="30" t="str">
        <f>"str_"&amp;CONTROL[[#This Row],[VEHIDCODE]]</f>
        <v>str_dmu_New_Zealand_Silver_Fern</v>
      </c>
      <c r="Q905" s="10" t="b">
        <f>_xlfn.XLOOKUP(CONTROL[[#This Row],[VEHIDCODE]],PROPERTIES[VEHIDCODE],PROPERTIES[EXCLUDE])</f>
        <v>0</v>
      </c>
    </row>
    <row r="906" spans="1:17">
      <c r="A906" t="s">
        <v>3330</v>
      </c>
      <c r="B906" s="30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43" t="s">
        <v>3331</v>
      </c>
      <c r="G906" t="s">
        <v>3332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Row],[VEHIDCODE]],roster!A:A,roster!C:C))</f>
        <v>1</v>
      </c>
      <c r="N906" t="b">
        <f>ISNUMBER(_xlfn.XMATCH(CONTROL[[#This Row],[VEHIDCODE]],GRAPHICS_PROPERTIES[VEHIDCODE],0))</f>
        <v>1</v>
      </c>
      <c r="O906" s="30" t="str">
        <f>"item_"&amp;CONTROL[[#This Row],[VEHIDCODE]]</f>
        <v>item_emu_Australia_NSW_W</v>
      </c>
      <c r="P906" s="30" t="str">
        <f>"str_"&amp;CONTROL[[#This Row],[VEHIDCODE]]</f>
        <v>str_emu_Australia_NSW_W</v>
      </c>
      <c r="Q906" s="10" t="b">
        <f>_xlfn.XLOOKUP(CONTROL[[#This Row],[VEHIDCODE]],PROPERTIES[VEHIDCODE],PROPERTIES[EXCLUDE])</f>
        <v>0</v>
      </c>
    </row>
    <row r="907" spans="1:17">
      <c r="A907" t="s">
        <v>3339</v>
      </c>
      <c r="B907" s="30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43" t="s">
        <v>3340</v>
      </c>
      <c r="G907" t="s">
        <v>3341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Row],[VEHIDCODE]],roster!A:A,roster!C:C))</f>
        <v>1</v>
      </c>
      <c r="N907" t="b">
        <f>ISNUMBER(_xlfn.XMATCH(CONTROL[[#This Row],[VEHIDCODE]],GRAPHICS_PROPERTIES[VEHIDCODE],0))</f>
        <v>1</v>
      </c>
      <c r="O907" s="30" t="str">
        <f>"item_"&amp;CONTROL[[#This Row],[VEHIDCODE]]</f>
        <v>item_emu_Australia_NSW_Standard</v>
      </c>
      <c r="P907" s="30" t="str">
        <f>"str_"&amp;CONTROL[[#This Row],[VEHIDCODE]]</f>
        <v>str_emu_Australia_NSW_Standard</v>
      </c>
      <c r="Q907" s="10" t="b">
        <f>_xlfn.XLOOKUP(CONTROL[[#This Row],[VEHIDCODE]],PROPERTIES[VEHIDCODE],PROPERTIES[EXCLUDE])</f>
        <v>0</v>
      </c>
    </row>
    <row r="908" spans="1:17">
      <c r="A908" t="s">
        <v>3342</v>
      </c>
      <c r="B908" s="30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43" t="s">
        <v>3343</v>
      </c>
      <c r="G908" t="s">
        <v>3344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Row],[VEHIDCODE]],roster!A:A,roster!C:C))</f>
        <v>1</v>
      </c>
      <c r="N908" t="b">
        <f>ISNUMBER(_xlfn.XMATCH(CONTROL[[#This Row],[VEHIDCODE]],GRAPHICS_PROPERTIES[VEHIDCODE],0))</f>
        <v>1</v>
      </c>
      <c r="O908" s="30" t="str">
        <f>"item_"&amp;CONTROL[[#This Row],[VEHIDCODE]]</f>
        <v>item_emu_Australia_NSW_Tulloch</v>
      </c>
      <c r="P908" s="30" t="str">
        <f>"str_"&amp;CONTROL[[#This Row],[VEHIDCODE]]</f>
        <v>str_emu_Australia_NSW_Tulloch</v>
      </c>
      <c r="Q908" s="10" t="b">
        <f>_xlfn.XLOOKUP(CONTROL[[#This Row],[VEHIDCODE]],PROPERTIES[VEHIDCODE],PROPERTIES[EXCLUDE])</f>
        <v>0</v>
      </c>
    </row>
    <row r="909" spans="1:17">
      <c r="A909" t="s">
        <v>3345</v>
      </c>
      <c r="B909" s="30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43" t="s">
        <v>3346</v>
      </c>
      <c r="G909" t="s">
        <v>3347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Row],[VEHIDCODE]],roster!A:A,roster!C:C))</f>
        <v>1</v>
      </c>
      <c r="N909" t="b">
        <f>ISNUMBER(_xlfn.XMATCH(CONTROL[[#This Row],[VEHIDCODE]],GRAPHICS_PROPERTIES[VEHIDCODE],0))</f>
        <v>1</v>
      </c>
      <c r="O909" s="30" t="str">
        <f>"item_"&amp;CONTROL[[#This Row],[VEHIDCODE]]</f>
        <v>item_emu_Australia_Melbourne_Xtrapolis_100</v>
      </c>
      <c r="P909" s="30" t="str">
        <f>"str_"&amp;CONTROL[[#This Row],[VEHIDCODE]]</f>
        <v>str_emu_Australia_Melbourne_Xtrapolis_100</v>
      </c>
      <c r="Q909" s="10" t="b">
        <f>_xlfn.XLOOKUP(CONTROL[[#This Row],[VEHIDCODE]],PROPERTIES[VEHIDCODE],PROPERTIES[EXCLUDE])</f>
        <v>0</v>
      </c>
    </row>
    <row r="910" spans="1:17">
      <c r="A910" t="s">
        <v>3348</v>
      </c>
      <c r="B910" s="30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43" t="s">
        <v>3350</v>
      </c>
      <c r="G910" t="s">
        <v>1696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Row],[VEHIDCODE]],roster!A:A,roster!C:C))</f>
        <v>1</v>
      </c>
      <c r="N910" t="b">
        <f>ISNUMBER(_xlfn.XMATCH(CONTROL[[#This Row],[VEHIDCODE]],GRAPHICS_PROPERTIES[VEHIDCODE],0))</f>
        <v>1</v>
      </c>
      <c r="O910" s="30" t="str">
        <f>"item_"&amp;CONTROL[[#This Row],[VEHIDCODE]]</f>
        <v>item_mu_Coach_Gen1_American_Style_NZAUS_Coach</v>
      </c>
      <c r="P910" s="30" t="str">
        <f>"str_"&amp;CONTROL[[#This Row],[VEHIDCODE]]</f>
        <v>str_mu_Coach_Gen1_American_Style_NZAUS_Coach</v>
      </c>
      <c r="Q910" s="10" t="b">
        <f>_xlfn.XLOOKUP(CONTROL[[#This Row],[VEHIDCODE]],PROPERTIES[VEHIDCODE],PROPERTIES[EXCLUDE])</f>
        <v>0</v>
      </c>
    </row>
    <row r="911" spans="1:17">
      <c r="A911" t="s">
        <v>3351</v>
      </c>
      <c r="B911" s="30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43" t="s">
        <v>3352</v>
      </c>
      <c r="G911" t="s">
        <v>1696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Row],[VEHIDCODE]],roster!A:A,roster!C:C))</f>
        <v>1</v>
      </c>
      <c r="N911" t="b">
        <f>ISNUMBER(_xlfn.XMATCH(CONTROL[[#This Row],[VEHIDCODE]],GRAPHICS_PROPERTIES[VEHIDCODE],0))</f>
        <v>1</v>
      </c>
      <c r="O911" s="30" t="str">
        <f>"item_"&amp;CONTROL[[#This Row],[VEHIDCODE]]</f>
        <v>item_mu_Coach_Gen1_American_Style_NZAUS_Mail_Coach</v>
      </c>
      <c r="P911" s="30" t="str">
        <f>"str_"&amp;CONTROL[[#This Row],[VEHIDCODE]]</f>
        <v>str_mu_Coach_Gen1_American_Style_NZAUS_Mail_Coach</v>
      </c>
      <c r="Q911" s="10" t="b">
        <f>_xlfn.XLOOKUP(CONTROL[[#This Row],[VEHIDCODE]],PROPERTIES[VEHIDCODE],PROPERTIES[EXCLUDE])</f>
        <v>0</v>
      </c>
    </row>
    <row r="912" spans="1:17">
      <c r="A912" t="s">
        <v>3353</v>
      </c>
      <c r="B912" s="30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43" t="s">
        <v>3355</v>
      </c>
      <c r="G912" t="s">
        <v>1696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Row],[VEHIDCODE]],roster!A:A,roster!C:C))</f>
        <v>1</v>
      </c>
      <c r="N912" t="b">
        <f>ISNUMBER(_xlfn.XMATCH(CONTROL[[#This Row],[VEHIDCODE]],GRAPHICS_PROPERTIES[VEHIDCODE],0))</f>
        <v>1</v>
      </c>
      <c r="O912" s="30" t="str">
        <f>"item_"&amp;CONTROL[[#This Row],[VEHIDCODE]]</f>
        <v>item_mu_Coach_Gen1_2_Axle_NZAUS_Coach</v>
      </c>
      <c r="P912" s="30" t="str">
        <f>"str_"&amp;CONTROL[[#This Row],[VEHIDCODE]]</f>
        <v>str_mu_Coach_Gen1_2_Axle_NZAUS_Coach</v>
      </c>
      <c r="Q912" s="10" t="b">
        <f>_xlfn.XLOOKUP(CONTROL[[#This Row],[VEHIDCODE]],PROPERTIES[VEHIDCODE],PROPERTIES[EXCLUDE])</f>
        <v>0</v>
      </c>
    </row>
    <row r="913" spans="1:17">
      <c r="A913" t="s">
        <v>3354</v>
      </c>
      <c r="B913" s="30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43" t="s">
        <v>3356</v>
      </c>
      <c r="G913" t="s">
        <v>1696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Row],[VEHIDCODE]],roster!A:A,roster!C:C))</f>
        <v>1</v>
      </c>
      <c r="N913" t="b">
        <f>ISNUMBER(_xlfn.XMATCH(CONTROL[[#This Row],[VEHIDCODE]],GRAPHICS_PROPERTIES[VEHIDCODE],0))</f>
        <v>1</v>
      </c>
      <c r="O913" s="30" t="str">
        <f>"item_"&amp;CONTROL[[#This Row],[VEHIDCODE]]</f>
        <v>item_mu_Coach_Gen1_2_Axle_NZAUS_Mail_Coach</v>
      </c>
      <c r="P913" s="30" t="str">
        <f>"str_"&amp;CONTROL[[#This Row],[VEHIDCODE]]</f>
        <v>str_mu_Coach_Gen1_2_Axle_NZAUS_Mail_Coach</v>
      </c>
      <c r="Q913" s="10" t="b">
        <f>_xlfn.XLOOKUP(CONTROL[[#This Row],[VEHIDCODE]],PROPERTIES[VEHIDCODE],PROPERTIES[EXCLUDE])</f>
        <v>0</v>
      </c>
    </row>
    <row r="914" spans="1:17">
      <c r="A914" t="s">
        <v>3357</v>
      </c>
      <c r="B914" s="30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43" t="s">
        <v>3359</v>
      </c>
      <c r="G914" t="s">
        <v>1696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Row],[VEHIDCODE]],roster!A:A,roster!C:C))</f>
        <v>1</v>
      </c>
      <c r="N914" t="b">
        <f>ISNUMBER(_xlfn.XMATCH(CONTROL[[#This Row],[VEHIDCODE]],GRAPHICS_PROPERTIES[VEHIDCODE],0))</f>
        <v>1</v>
      </c>
      <c r="O914" s="30" t="str">
        <f>"item_"&amp;CONTROL[[#This Row],[VEHIDCODE]]</f>
        <v>item_mu_Coach_Gen1_End_Platform_2_Axle_NZAUS_Coach</v>
      </c>
      <c r="P914" s="30" t="str">
        <f>"str_"&amp;CONTROL[[#This Row],[VEHIDCODE]]</f>
        <v>str_mu_Coach_Gen1_End_Platform_2_Axle_NZAUS_Coach</v>
      </c>
      <c r="Q914" s="10" t="b">
        <f>_xlfn.XLOOKUP(CONTROL[[#This Row],[VEHIDCODE]],PROPERTIES[VEHIDCODE],PROPERTIES[EXCLUDE])</f>
        <v>0</v>
      </c>
    </row>
    <row r="915" spans="1:17">
      <c r="A915" t="s">
        <v>3358</v>
      </c>
      <c r="B915" s="30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43" t="s">
        <v>3360</v>
      </c>
      <c r="G915" t="s">
        <v>1696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Row],[VEHIDCODE]],roster!A:A,roster!C:C))</f>
        <v>1</v>
      </c>
      <c r="N915" t="b">
        <f>ISNUMBER(_xlfn.XMATCH(CONTROL[[#This Row],[VEHIDCODE]],GRAPHICS_PROPERTIES[VEHIDCODE],0))</f>
        <v>1</v>
      </c>
      <c r="O915" s="30" t="str">
        <f>"item_"&amp;CONTROL[[#This Row],[VEHIDCODE]]</f>
        <v>item_mu_Coach_Gen1_Suburban_2_Axle_NZAUS_Coach</v>
      </c>
      <c r="P915" s="30" t="str">
        <f>"str_"&amp;CONTROL[[#This Row],[VEHIDCODE]]</f>
        <v>str_mu_Coach_Gen1_Suburban_2_Axle_NZAUS_Coach</v>
      </c>
      <c r="Q915" s="10" t="b">
        <f>_xlfn.XLOOKUP(CONTROL[[#This Row],[VEHIDCODE]],PROPERTIES[VEHIDCODE],PROPERTIES[EXCLUDE])</f>
        <v>0</v>
      </c>
    </row>
    <row r="916" spans="1:17">
      <c r="A916" t="s">
        <v>3361</v>
      </c>
      <c r="B916" s="30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43" t="s">
        <v>3380</v>
      </c>
      <c r="G916" t="s">
        <v>3364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Row],[VEHIDCODE]],roster!A:A,roster!C:C))</f>
        <v>1</v>
      </c>
      <c r="N916" t="b">
        <f>ISNUMBER(_xlfn.XMATCH(CONTROL[[#This Row],[VEHIDCODE]],GRAPHICS_PROPERTIES[VEHIDCODE],0))</f>
        <v>1</v>
      </c>
      <c r="O916" s="30" t="str">
        <f>"item_"&amp;CONTROL[[#This Row],[VEHIDCODE]]</f>
        <v>item_mu_Coach_Gen4_BREL_Mk3_Coach</v>
      </c>
      <c r="P916" s="30" t="str">
        <f>"str_"&amp;CONTROL[[#This Row],[VEHIDCODE]]</f>
        <v>str_mu_Coach_Gen4_BREL_Mk3_Coach</v>
      </c>
      <c r="Q916" s="10" t="b">
        <f>_xlfn.XLOOKUP(CONTROL[[#This Row],[VEHIDCODE]],PROPERTIES[VEHIDCODE],PROPERTIES[EXCLUDE])</f>
        <v>0</v>
      </c>
    </row>
    <row r="917" spans="1:17">
      <c r="A917" t="s">
        <v>3362</v>
      </c>
      <c r="B917" s="30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43" t="s">
        <v>3363</v>
      </c>
      <c r="G917" t="s">
        <v>3364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Row],[VEHIDCODE]],roster!A:A,roster!C:C))</f>
        <v>1</v>
      </c>
      <c r="N917" t="b">
        <f>ISNUMBER(_xlfn.XMATCH(CONTROL[[#This Row],[VEHIDCODE]],GRAPHICS_PROPERTIES[VEHIDCODE],0))</f>
        <v>1</v>
      </c>
      <c r="O917" s="30" t="str">
        <f>"item_"&amp;CONTROL[[#This Row],[VEHIDCODE]]</f>
        <v>item_mu_Coach_Gen4_BREL_Mk3_Mail_Coach</v>
      </c>
      <c r="P917" s="30" t="str">
        <f>"str_"&amp;CONTROL[[#This Row],[VEHIDCODE]]</f>
        <v>str_mu_Coach_Gen4_BREL_Mk3_Mail_Coach</v>
      </c>
      <c r="Q917" s="10" t="b">
        <f>_xlfn.XLOOKUP(CONTROL[[#This Row],[VEHIDCODE]],PROPERTIES[VEHIDCODE],PROPERTIES[EXCLUDE])</f>
        <v>0</v>
      </c>
    </row>
    <row r="918" spans="1:17">
      <c r="A918" t="s">
        <v>3365</v>
      </c>
      <c r="B918" s="30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43" t="s">
        <v>3366</v>
      </c>
      <c r="G918" t="s">
        <v>1696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Row],[VEHIDCODE]],roster!A:A,roster!C:C))</f>
        <v>1</v>
      </c>
      <c r="N918" t="b">
        <f>ISNUMBER(_xlfn.XMATCH(CONTROL[[#This Row],[VEHIDCODE]],GRAPHICS_PROPERTIES[VEHIDCODE],0))</f>
        <v>1</v>
      </c>
      <c r="O918" s="30" t="str">
        <f>"item_"&amp;CONTROL[[#This Row],[VEHIDCODE]]</f>
        <v>item_mu_Coach_Gen4_Comeng_Suburban_Double_Deck_SA2000</v>
      </c>
      <c r="P918" s="30" t="str">
        <f>"str_"&amp;CONTROL[[#This Row],[VEHIDCODE]]</f>
        <v>str_mu_Coach_Gen4_Comeng_Suburban_Double_Deck_SA2000</v>
      </c>
      <c r="Q918" s="10" t="b">
        <f>_xlfn.XLOOKUP(CONTROL[[#This Row],[VEHIDCODE]],PROPERTIES[VEHIDCODE],PROPERTIES[EXCLUDE])</f>
        <v>0</v>
      </c>
    </row>
    <row r="919" spans="1:17">
      <c r="A919" t="s">
        <v>3367</v>
      </c>
      <c r="B919" s="30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43" t="s">
        <v>3368</v>
      </c>
      <c r="G919" t="s">
        <v>1696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Row],[VEHIDCODE]],roster!A:A,roster!C:C))</f>
        <v>1</v>
      </c>
      <c r="N919" t="b">
        <f>ISNUMBER(_xlfn.XMATCH(CONTROL[[#This Row],[VEHIDCODE]],GRAPHICS_PROPERTIES[VEHIDCODE],0))</f>
        <v>1</v>
      </c>
      <c r="O919" s="30" t="str">
        <f>"item_"&amp;CONTROL[[#This Row],[VEHIDCODE]]</f>
        <v>item_mu_Coach_Gen4_Gonian_4D_Concept</v>
      </c>
      <c r="P919" s="30" t="str">
        <f>"str_"&amp;CONTROL[[#This Row],[VEHIDCODE]]</f>
        <v>str_mu_Coach_Gen4_Gonian_4D_Concept</v>
      </c>
      <c r="Q919" s="10" t="b">
        <f>_xlfn.XLOOKUP(CONTROL[[#This Row],[VEHIDCODE]],PROPERTIES[VEHIDCODE],PROPERTIES[EXCLUDE])</f>
        <v>0</v>
      </c>
    </row>
    <row r="920" spans="1:17">
      <c r="A920" s="2" t="s">
        <v>3369</v>
      </c>
      <c r="B920" s="30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43" t="s">
        <v>3370</v>
      </c>
      <c r="G920" t="s">
        <v>1696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Row],[VEHIDCODE]],roster!A:A,roster!C:C))</f>
        <v>1</v>
      </c>
      <c r="N920" t="b">
        <f>ISNUMBER(_xlfn.XMATCH(CONTROL[[#This Row],[VEHIDCODE]],GRAPHICS_PROPERTIES[VEHIDCODE],0))</f>
        <v>1</v>
      </c>
      <c r="O920" s="30" t="str">
        <f>"item_"&amp;CONTROL[[#This Row],[VEHIDCODE]]</f>
        <v>item_mu_Coach_Gen4_Gonian_Tangara_Concept</v>
      </c>
      <c r="P920" s="30" t="str">
        <f>"str_"&amp;CONTROL[[#This Row],[VEHIDCODE]]</f>
        <v>str_mu_Coach_Gen4_Gonian_Tangara_Concept</v>
      </c>
      <c r="Q920" s="10" t="b">
        <f>_xlfn.XLOOKUP(CONTROL[[#This Row],[VEHIDCODE]],PROPERTIES[VEHIDCODE],PROPERTIES[EXCLUDE])</f>
        <v>0</v>
      </c>
    </row>
    <row r="921" spans="1:17">
      <c r="A921" t="s">
        <v>3371</v>
      </c>
      <c r="B921" s="30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43" t="s">
        <v>3372</v>
      </c>
      <c r="G921" t="s">
        <v>3394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Row],[VEHIDCODE]],roster!A:A,roster!C:C))</f>
        <v>1</v>
      </c>
      <c r="N921" t="b">
        <f>ISNUMBER(_xlfn.XMATCH(CONTROL[[#This Row],[VEHIDCODE]],GRAPHICS_PROPERTIES[VEHIDCODE],0))</f>
        <v>1</v>
      </c>
      <c r="O921" s="30" t="str">
        <f>"item_"&amp;CONTROL[[#This Row],[VEHIDCODE]]</f>
        <v>item_mu_Coach_Gen3_Hitachi_Nippon_Sharyo_Silver_Star_Coach</v>
      </c>
      <c r="P921" s="30" t="str">
        <f>"str_"&amp;CONTROL[[#This Row],[VEHIDCODE]]</f>
        <v>str_mu_Coach_Gen3_Hitachi_Nippon_Sharyo_Silver_Star_Coach</v>
      </c>
      <c r="Q921" s="10" t="b">
        <f>_xlfn.XLOOKUP(CONTROL[[#This Row],[VEHIDCODE]],PROPERTIES[VEHIDCODE],PROPERTIES[EXCLUDE])</f>
        <v>0</v>
      </c>
    </row>
    <row r="922" spans="1:17">
      <c r="A922" t="s">
        <v>3373</v>
      </c>
      <c r="B922" s="30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43" t="s">
        <v>3374</v>
      </c>
      <c r="G922" t="s">
        <v>3394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Row],[VEHIDCODE]],roster!A:A,roster!C:C))</f>
        <v>1</v>
      </c>
      <c r="N922" t="b">
        <f>ISNUMBER(_xlfn.XMATCH(CONTROL[[#This Row],[VEHIDCODE]],GRAPHICS_PROPERTIES[VEHIDCODE],0))</f>
        <v>1</v>
      </c>
      <c r="O922" s="30" t="str">
        <f>"item_"&amp;CONTROL[[#This Row],[VEHIDCODE]]</f>
        <v>item_mu_Coach_Gen3_Hitachi_Nippon_Sharyo_Silver_Star_Mail_Coach</v>
      </c>
      <c r="P922" s="30" t="str">
        <f>"str_"&amp;CONTROL[[#This Row],[VEHIDCODE]]</f>
        <v>str_mu_Coach_Gen3_Hitachi_Nippon_Sharyo_Silver_Star_Mail_Coach</v>
      </c>
      <c r="Q922" s="10" t="b">
        <f>_xlfn.XLOOKUP(CONTROL[[#This Row],[VEHIDCODE]],PROPERTIES[VEHIDCODE],PROPERTIES[EXCLUDE])</f>
        <v>0</v>
      </c>
    </row>
    <row r="923" spans="1:17">
      <c r="A923" t="s">
        <v>3375</v>
      </c>
      <c r="B923" s="30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43" t="s">
        <v>3377</v>
      </c>
      <c r="G923" t="s">
        <v>1696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Row],[VEHIDCODE]],roster!A:A,roster!C:C))</f>
        <v>1</v>
      </c>
      <c r="N923" t="b">
        <f>ISNUMBER(_xlfn.XMATCH(CONTROL[[#This Row],[VEHIDCODE]],GRAPHICS_PROPERTIES[VEHIDCODE],0))</f>
        <v>1</v>
      </c>
      <c r="O923" s="30" t="str">
        <f>"item_"&amp;CONTROL[[#This Row],[VEHIDCODE]]</f>
        <v>item_mu_Coach_Gen3_Comeng_High_Speed_Coach</v>
      </c>
      <c r="P923" s="30" t="str">
        <f>"str_"&amp;CONTROL[[#This Row],[VEHIDCODE]]</f>
        <v>str_mu_Coach_Gen3_Comeng_High_Speed_Coach</v>
      </c>
      <c r="Q923" s="10" t="b">
        <f>_xlfn.XLOOKUP(CONTROL[[#This Row],[VEHIDCODE]],PROPERTIES[VEHIDCODE],PROPERTIES[EXCLUDE])</f>
        <v>0</v>
      </c>
    </row>
    <row r="924" spans="1:17">
      <c r="A924" t="s">
        <v>3376</v>
      </c>
      <c r="B924" s="30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43" t="s">
        <v>3378</v>
      </c>
      <c r="G924" t="s">
        <v>1696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Row],[VEHIDCODE]],roster!A:A,roster!C:C))</f>
        <v>1</v>
      </c>
      <c r="N924" t="b">
        <f>ISNUMBER(_xlfn.XMATCH(CONTROL[[#This Row],[VEHIDCODE]],GRAPHICS_PROPERTIES[VEHIDCODE],0))</f>
        <v>1</v>
      </c>
      <c r="O924" s="30" t="str">
        <f>"item_"&amp;CONTROL[[#This Row],[VEHIDCODE]]</f>
        <v>item_mu_Coach_Gen3_Comeng_High_Speed_Mail_Coach</v>
      </c>
      <c r="P924" s="30" t="str">
        <f>"str_"&amp;CONTROL[[#This Row],[VEHIDCODE]]</f>
        <v>str_mu_Coach_Gen3_Comeng_High_Speed_Mail_Coach</v>
      </c>
      <c r="Q924" s="10" t="b">
        <f>_xlfn.XLOOKUP(CONTROL[[#This Row],[VEHIDCODE]],PROPERTIES[VEHIDCODE],PROPERTIES[EXCLUDE])</f>
        <v>0</v>
      </c>
    </row>
    <row r="925" spans="1:17">
      <c r="A925" t="s">
        <v>3381</v>
      </c>
      <c r="B925" s="30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43" t="s">
        <v>3379</v>
      </c>
      <c r="G925" t="s">
        <v>1696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Row],[VEHIDCODE]],roster!A:A,roster!C:C))</f>
        <v>1</v>
      </c>
      <c r="N925" t="b">
        <f>ISNUMBER(_xlfn.XMATCH(CONTROL[[#This Row],[VEHIDCODE]],GRAPHICS_PROPERTIES[VEHIDCODE],0))</f>
        <v>1</v>
      </c>
      <c r="O925" s="30" t="str">
        <f>"item_"&amp;CONTROL[[#This Row],[VEHIDCODE]]</f>
        <v>item_mu_Coach_Gen4_Comeng_HType_Suburban_Coach</v>
      </c>
      <c r="P925" s="30" t="str">
        <f>"str_"&amp;CONTROL[[#This Row],[VEHIDCODE]]</f>
        <v>str_mu_Coach_Gen4_Comeng_HType_Suburban_Coach</v>
      </c>
      <c r="Q925" s="10" t="b">
        <f>_xlfn.XLOOKUP(CONTROL[[#This Row],[VEHIDCODE]],PROPERTIES[VEHIDCODE],PROPERTIES[EXCLUDE])</f>
        <v>0</v>
      </c>
    </row>
    <row r="926" spans="1:17">
      <c r="A926" t="s">
        <v>3383</v>
      </c>
      <c r="B926" s="30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43" t="s">
        <v>3382</v>
      </c>
      <c r="G926" t="s">
        <v>3344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Row],[VEHIDCODE]],roster!A:A,roster!C:C))</f>
        <v>1</v>
      </c>
      <c r="N926" t="b">
        <f>ISNUMBER(_xlfn.XMATCH(CONTROL[[#This Row],[VEHIDCODE]],GRAPHICS_PROPERTIES[VEHIDCODE],0))</f>
        <v>1</v>
      </c>
      <c r="O926" s="30" t="str">
        <f>"item_"&amp;CONTROL[[#This Row],[VEHIDCODE]]</f>
        <v>item_mu_Coach_Gen3_NSW_Tulloch_RUB_Stock_Coach</v>
      </c>
      <c r="P926" s="30" t="str">
        <f>"str_"&amp;CONTROL[[#This Row],[VEHIDCODE]]</f>
        <v>str_mu_Coach_Gen3_NSW_Tulloch_RUB_Stock_Coach</v>
      </c>
      <c r="Q926" s="10" t="b">
        <f>_xlfn.XLOOKUP(CONTROL[[#This Row],[VEHIDCODE]],PROPERTIES[VEHIDCODE],PROPERTIES[EXCLUDE])</f>
        <v>0</v>
      </c>
    </row>
    <row r="927" spans="1:17">
      <c r="A927" t="s">
        <v>3384</v>
      </c>
      <c r="B927" s="30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43" t="s">
        <v>3385</v>
      </c>
      <c r="G927" t="s">
        <v>3344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Row],[VEHIDCODE]],roster!A:A,roster!C:C))</f>
        <v>1</v>
      </c>
      <c r="N927" t="b">
        <f>ISNUMBER(_xlfn.XMATCH(CONTROL[[#This Row],[VEHIDCODE]],GRAPHICS_PROPERTIES[VEHIDCODE],0))</f>
        <v>1</v>
      </c>
      <c r="O927" s="30" t="str">
        <f>"item_"&amp;CONTROL[[#This Row],[VEHIDCODE]]</f>
        <v>item_mu_Coach_Gen3_NSW_Tulloch_RUB_Stock_Mail_Coach</v>
      </c>
      <c r="P927" s="30" t="str">
        <f>"str_"&amp;CONTROL[[#This Row],[VEHIDCODE]]</f>
        <v>str_mu_Coach_Gen3_NSW_Tulloch_RUB_Stock_Mail_Coach</v>
      </c>
      <c r="Q927" s="10" t="b">
        <f>_xlfn.XLOOKUP(CONTROL[[#This Row],[VEHIDCODE]],PROPERTIES[VEHIDCODE],PROPERTIES[EXCLUDE])</f>
        <v>0</v>
      </c>
    </row>
    <row r="928" spans="1:17">
      <c r="A928" t="s">
        <v>3386</v>
      </c>
      <c r="B928" s="30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43" t="s">
        <v>3387</v>
      </c>
      <c r="G928" t="s">
        <v>3392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Row],[VEHIDCODE]],roster!A:A,roster!C:C))</f>
        <v>1</v>
      </c>
      <c r="N928" t="b">
        <f>ISNUMBER(_xlfn.XMATCH(CONTROL[[#This Row],[VEHIDCODE]],GRAPHICS_PROPERTIES[VEHIDCODE],0))</f>
        <v>1</v>
      </c>
      <c r="O928" s="30" t="str">
        <f>"item_"&amp;CONTROL[[#This Row],[VEHIDCODE]]</f>
        <v>item_mu_Coach_Gen3_WAGR_AY_Suburban_Coach</v>
      </c>
      <c r="P928" s="30" t="str">
        <f>"str_"&amp;CONTROL[[#This Row],[VEHIDCODE]]</f>
        <v>str_mu_Coach_Gen3_WAGR_AY_Suburban_Coach</v>
      </c>
      <c r="Q928" s="10" t="b">
        <f>_xlfn.XLOOKUP(CONTROL[[#This Row],[VEHIDCODE]],PROPERTIES[VEHIDCODE],PROPERTIES[EXCLUDE])</f>
        <v>0</v>
      </c>
    </row>
    <row r="929" spans="1:17">
      <c r="A929" t="s">
        <v>3388</v>
      </c>
      <c r="B929" s="30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43" t="s">
        <v>3390</v>
      </c>
      <c r="G929" t="s">
        <v>3393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Row],[VEHIDCODE]],roster!A:A,roster!C:C))</f>
        <v>1</v>
      </c>
      <c r="N929" t="b">
        <f>ISNUMBER(_xlfn.XMATCH(CONTROL[[#This Row],[VEHIDCODE]],GRAPHICS_PROPERTIES[VEHIDCODE],0))</f>
        <v>1</v>
      </c>
      <c r="O929" s="30" t="str">
        <f>"item_"&amp;CONTROL[[#This Row],[VEHIDCODE]]</f>
        <v>item_mu_Coach_Gen3_NZR_56ft_Coach</v>
      </c>
      <c r="P929" s="30" t="str">
        <f>"str_"&amp;CONTROL[[#This Row],[VEHIDCODE]]</f>
        <v>str_mu_Coach_Gen3_NZR_56ft_Coach</v>
      </c>
      <c r="Q929" s="10" t="b">
        <f>_xlfn.XLOOKUP(CONTROL[[#This Row],[VEHIDCODE]],PROPERTIES[VEHIDCODE],PROPERTIES[EXCLUDE])</f>
        <v>0</v>
      </c>
    </row>
    <row r="930" spans="1:17">
      <c r="A930" t="s">
        <v>3389</v>
      </c>
      <c r="B930" s="30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43" t="s">
        <v>3391</v>
      </c>
      <c r="G930" t="s">
        <v>3393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Row],[VEHIDCODE]],roster!A:A,roster!C:C))</f>
        <v>1</v>
      </c>
      <c r="N930" t="b">
        <f>ISNUMBER(_xlfn.XMATCH(CONTROL[[#This Row],[VEHIDCODE]],GRAPHICS_PROPERTIES[VEHIDCODE],0))</f>
        <v>1</v>
      </c>
      <c r="O930" s="30" t="str">
        <f>"item_"&amp;CONTROL[[#This Row],[VEHIDCODE]]</f>
        <v>item_mu_Coach_Gen3_NZR_56ft_Mail_Coach</v>
      </c>
      <c r="P930" s="30" t="str">
        <f>"str_"&amp;CONTROL[[#This Row],[VEHIDCODE]]</f>
        <v>str_mu_Coach_Gen3_NZR_56ft_Mail_Coach</v>
      </c>
      <c r="Q930" s="10" t="b">
        <f>_xlfn.XLOOKUP(CONTROL[[#This Row],[VEHIDCODE]],PROPERTIES[VEHIDCODE],PROPERTIES[EXCLUDE])</f>
        <v>0</v>
      </c>
    </row>
    <row r="931" spans="1:17">
      <c r="A931" s="2" t="s">
        <v>3397</v>
      </c>
      <c r="B931" s="30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43" t="s">
        <v>3395</v>
      </c>
      <c r="G931" t="s">
        <v>3396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Row],[VEHIDCODE]],roster!A:A,roster!C:C))</f>
        <v>1</v>
      </c>
      <c r="N931" t="b">
        <f>ISNUMBER(_xlfn.XMATCH(CONTROL[[#This Row],[VEHIDCODE]],GRAPHICS_PROPERTIES[VEHIDCODE],0))</f>
        <v>1</v>
      </c>
      <c r="O931" s="30" t="str">
        <f>"item_"&amp;CONTROL[[#This Row],[VEHIDCODE]]</f>
        <v>item_mu_Coach_Gen2_NZR_50ft_Coach</v>
      </c>
      <c r="P931" s="30" t="str">
        <f>"str_"&amp;CONTROL[[#This Row],[VEHIDCODE]]</f>
        <v>str_mu_Coach_Gen2_NZR_50ft_Coach</v>
      </c>
      <c r="Q931" s="10" t="b">
        <f>_xlfn.XLOOKUP(CONTROL[[#This Row],[VEHIDCODE]],PROPERTIES[VEHIDCODE],PROPERTIES[EXCLUDE])</f>
        <v>0</v>
      </c>
    </row>
    <row r="932" spans="1:17">
      <c r="A932" s="2" t="s">
        <v>3398</v>
      </c>
      <c r="B932" s="30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43" t="s">
        <v>3399</v>
      </c>
      <c r="G932" t="s">
        <v>3396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Row],[VEHIDCODE]],roster!A:A,roster!C:C))</f>
        <v>1</v>
      </c>
      <c r="N932" t="b">
        <f>ISNUMBER(_xlfn.XMATCH(CONTROL[[#This Row],[VEHIDCODE]],GRAPHICS_PROPERTIES[VEHIDCODE],0))</f>
        <v>1</v>
      </c>
      <c r="O932" s="30" t="str">
        <f>"item_"&amp;CONTROL[[#This Row],[VEHIDCODE]]</f>
        <v>item_mu_Coach_Gen2_NZR_50ft_Mail_Coach</v>
      </c>
      <c r="P932" s="30" t="str">
        <f>"str_"&amp;CONTROL[[#This Row],[VEHIDCODE]]</f>
        <v>str_mu_Coach_Gen2_NZR_50ft_Mail_Coach</v>
      </c>
      <c r="Q932" s="10" t="b">
        <f>_xlfn.XLOOKUP(CONTROL[[#This Row],[VEHIDCODE]],PROPERTIES[VEHIDCODE],PROPERTIES[EXCLUDE])</f>
        <v>0</v>
      </c>
    </row>
    <row r="933" spans="1:17">
      <c r="A933" t="s">
        <v>3400</v>
      </c>
      <c r="B933" s="30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43" t="s">
        <v>3401</v>
      </c>
      <c r="G933" t="s">
        <v>3402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Row],[VEHIDCODE]],roster!A:A,roster!C:C))</f>
        <v>1</v>
      </c>
      <c r="N933" t="b">
        <f>ISNUMBER(_xlfn.XMATCH(CONTROL[[#This Row],[VEHIDCODE]],GRAPHICS_PROPERTIES[VEHIDCODE],0))</f>
        <v>1</v>
      </c>
      <c r="O933" s="30" t="str">
        <f>"item_"&amp;CONTROL[[#This Row],[VEHIDCODE]]</f>
        <v>item_mu_Coach_Gen1_NSW_KA_Tram_Car</v>
      </c>
      <c r="P933" s="30" t="str">
        <f>"str_"&amp;CONTROL[[#This Row],[VEHIDCODE]]</f>
        <v>str_mu_Coach_Gen1_NSW_KA_Tram_Car</v>
      </c>
      <c r="Q933" s="10" t="b">
        <f>_xlfn.XLOOKUP(CONTROL[[#This Row],[VEHIDCODE]],PROPERTIES[VEHIDCODE],PROPERTIES[EXCLUDE])</f>
        <v>0</v>
      </c>
    </row>
    <row r="934" spans="1:17">
      <c r="A934" t="s">
        <v>3403</v>
      </c>
      <c r="B934" s="30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43" t="s">
        <v>3404</v>
      </c>
      <c r="G934" s="45" t="s">
        <v>3405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Row],[VEHIDCODE]],roster!A:A,roster!C:C))</f>
        <v>1</v>
      </c>
      <c r="N934" t="b">
        <f>ISNUMBER(_xlfn.XMATCH(CONTROL[[#This Row],[VEHIDCODE]],GRAPHICS_PROPERTIES[VEHIDCODE],0))</f>
        <v>1</v>
      </c>
      <c r="O934" s="30" t="str">
        <f>"item_"&amp;CONTROL[[#This Row],[VEHIDCODE]]</f>
        <v>item_electric_Australia_NSW_86</v>
      </c>
      <c r="P934" s="30" t="str">
        <f>"str_"&amp;CONTROL[[#This Row],[VEHIDCODE]]</f>
        <v>str_electric_Australia_NSW_86</v>
      </c>
      <c r="Q934" s="10" t="b">
        <f>_xlfn.XLOOKUP(CONTROL[[#This Row],[VEHIDCODE]],PROPERTIES[VEHIDCODE],PROPERTIES[EXCLUDE])</f>
        <v>0</v>
      </c>
    </row>
    <row r="935" spans="1:17">
      <c r="A935" t="s">
        <v>3406</v>
      </c>
      <c r="B935" s="30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43" t="s">
        <v>3407</v>
      </c>
      <c r="G935" t="s">
        <v>2817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Row],[VEHIDCODE]],roster!A:A,roster!C:C))</f>
        <v>1</v>
      </c>
      <c r="N935" t="b">
        <f>ISNUMBER(_xlfn.XMATCH(CONTROL[[#This Row],[VEHIDCODE]],GRAPHICS_PROPERTIES[VEHIDCODE],0))</f>
        <v>1</v>
      </c>
      <c r="O935" s="30" t="str">
        <f>"item_"&amp;CONTROL[[#This Row],[VEHIDCODE]]</f>
        <v>item_emu_New_Zealand_EM_Ganz_Mavag</v>
      </c>
      <c r="P935" s="30" t="str">
        <f>"str_"&amp;CONTROL[[#This Row],[VEHIDCODE]]</f>
        <v>str_emu_New_Zealand_EM_Ganz_Mavag</v>
      </c>
      <c r="Q935" s="10" t="b">
        <f>_xlfn.XLOOKUP(CONTROL[[#This Row],[VEHIDCODE]],PROPERTIES[VEHIDCODE],PROPERTIES[EXCLUDE])</f>
        <v>0</v>
      </c>
    </row>
    <row r="936" spans="1:17">
      <c r="A936" t="s">
        <v>3408</v>
      </c>
      <c r="B936" s="30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43" t="s">
        <v>3409</v>
      </c>
      <c r="G936" t="s">
        <v>3410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Row],[VEHIDCODE]],roster!A:A,roster!C:C))</f>
        <v>1</v>
      </c>
      <c r="N936" t="b">
        <f>ISNUMBER(_xlfn.XMATCH(CONTROL[[#This Row],[VEHIDCODE]],GRAPHICS_PROPERTIES[VEHIDCODE],0))</f>
        <v>1</v>
      </c>
      <c r="O936" s="30" t="str">
        <f>"item_"&amp;CONTROL[[#This Row],[VEHIDCODE]]</f>
        <v>item_emu_New_Zealand_DM</v>
      </c>
      <c r="P936" s="30" t="str">
        <f>"str_"&amp;CONTROL[[#This Row],[VEHIDCODE]]</f>
        <v>str_emu_New_Zealand_DM</v>
      </c>
      <c r="Q936" s="10" t="b">
        <f>_xlfn.XLOOKUP(CONTROL[[#This Row],[VEHIDCODE]],PROPERTIES[VEHIDCODE],PROPERTIES[EXCLUDE])</f>
        <v>0</v>
      </c>
    </row>
    <row r="937" spans="1:17">
      <c r="A937" t="s">
        <v>3412</v>
      </c>
      <c r="B937" s="30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43" t="s">
        <v>3411</v>
      </c>
      <c r="G937" t="s">
        <v>3413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Row],[VEHIDCODE]],roster!A:A,roster!C:C))</f>
        <v>1</v>
      </c>
      <c r="N937" t="b">
        <f>ISNUMBER(_xlfn.XMATCH(CONTROL[[#This Row],[VEHIDCODE]],GRAPHICS_PROPERTIES[VEHIDCODE],0))</f>
        <v>1</v>
      </c>
      <c r="O937" s="30" t="str">
        <f>"item_"&amp;CONTROL[[#This Row],[VEHIDCODE]]</f>
        <v>item_emu_New_Zealand_FPFT_Matangi</v>
      </c>
      <c r="P937" s="30" t="str">
        <f>"str_"&amp;CONTROL[[#This Row],[VEHIDCODE]]</f>
        <v>str_emu_New_Zealand_FPFT_Matangi</v>
      </c>
      <c r="Q937" s="10" t="b">
        <f>_xlfn.XLOOKUP(CONTROL[[#This Row],[VEHIDCODE]],PROPERTIES[VEHIDCODE],PROPERTIES[EXCLUDE])</f>
        <v>0</v>
      </c>
    </row>
    <row r="938" spans="1:17">
      <c r="A938" t="s">
        <v>3416</v>
      </c>
      <c r="B938" s="30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43" t="s">
        <v>3417</v>
      </c>
      <c r="G938" t="s">
        <v>3418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Row],[VEHIDCODE]],roster!A:A,roster!C:C))</f>
        <v>1</v>
      </c>
      <c r="N938" t="b">
        <f>ISNUMBER(_xlfn.XMATCH(CONTROL[[#This Row],[VEHIDCODE]],GRAPHICS_PROPERTIES[VEHIDCODE],0))</f>
        <v>1</v>
      </c>
      <c r="O938" s="30" t="str">
        <f>"item_"&amp;CONTROL[[#This Row],[VEHIDCODE]]</f>
        <v>item_mtro_Hungary_Budapest_Ganz_Hunslet_G2</v>
      </c>
      <c r="P938" s="30" t="str">
        <f>"str_"&amp;CONTROL[[#This Row],[VEHIDCODE]]</f>
        <v>str_mtro_Hungary_Budapest_Ganz_Hunslet_G2</v>
      </c>
      <c r="Q938" s="10" t="b">
        <f>_xlfn.XLOOKUP(CONTROL[[#This Row],[VEHIDCODE]],PROPERTIES[VEHIDCODE],PROPERTIES[EXCLUDE])</f>
        <v>0</v>
      </c>
    </row>
    <row r="939" spans="1:17">
      <c r="A939" s="2" t="s">
        <v>3419</v>
      </c>
      <c r="B939" s="30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43" t="s">
        <v>3420</v>
      </c>
      <c r="G939" t="s">
        <v>3421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Row],[VEHIDCODE]],roster!A:A,roster!C:C))</f>
        <v>1</v>
      </c>
      <c r="N939" t="b">
        <f>ISNUMBER(_xlfn.XMATCH(CONTROL[[#This Row],[VEHIDCODE]],GRAPHICS_PROPERTIES[VEHIDCODE],0))</f>
        <v>1</v>
      </c>
      <c r="O939" s="30" t="str">
        <f>"item_"&amp;CONTROL[[#This Row],[VEHIDCODE]]</f>
        <v>item_diesel_Australia_Commonwealth_NSU</v>
      </c>
      <c r="P939" s="30" t="str">
        <f>"str_"&amp;CONTROL[[#This Row],[VEHIDCODE]]</f>
        <v>str_diesel_Australia_Commonwealth_NSU</v>
      </c>
      <c r="Q939" s="10" t="b">
        <f>_xlfn.XLOOKUP(CONTROL[[#This Row],[VEHIDCODE]],PROPERTIES[VEHIDCODE],PROPERTIES[EXCLUDE])</f>
        <v>0</v>
      </c>
    </row>
    <row r="940" spans="1:17">
      <c r="A940" t="s">
        <v>3429</v>
      </c>
      <c r="B940" s="30" t="str">
        <f>_xlfn.TEXTAFTER(CONTROL[[#This Row],[VEHIDCODE]],"_")</f>
        <v>Hong_Kong_MTR_SP1900</v>
      </c>
      <c r="C940" s="49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40" s="49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43" t="s">
        <v>3427</v>
      </c>
      <c r="G940" t="s">
        <v>3428</v>
      </c>
      <c r="H940" s="50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s="49" t="b">
        <f>ISNUMBER(_xlfn.XMATCH(CONTROL[[#This Row],[VEHIDCODE]],TRACK_TYPES[VEHIDCODE],0))</f>
        <v>1</v>
      </c>
      <c r="K940" s="49" t="b">
        <f>ISNUMBER(_xlfn.XMATCH(CONTROL[[#This Row],[VEHIDCODE]],PROPERTIES[VEHIDCODE],0))</f>
        <v>1</v>
      </c>
      <c r="L940" s="49" t="b">
        <f>ISNUMBER(_xlfn.XMATCH(CONTROL[[#This Row],[VEHIDCODE]],FLAGS[VEHIDCODE],0))</f>
        <v>1</v>
      </c>
      <c r="M940" s="49" t="b">
        <f>ISNUMBER(_xlfn.XLOOKUP(CONTROL[[#This Row],[VEHIDCODE]],roster!A:A,roster!C:C))</f>
        <v>1</v>
      </c>
      <c r="N940" s="49" t="b">
        <f>ISNUMBER(_xlfn.XMATCH(CONTROL[[#This Row],[VEHIDCODE]],GRAPHICS_PROPERTIES[VEHIDCODE],0))</f>
        <v>1</v>
      </c>
      <c r="O940" s="51" t="str">
        <f>"item_"&amp;CONTROL[[#This Row],[VEHIDCODE]]</f>
        <v>item_emu_Hong_Kong_MTR_SP1900</v>
      </c>
      <c r="P940" s="51" t="str">
        <f>"str_"&amp;CONTROL[[#This Row],[VEHIDCODE]]</f>
        <v>str_emu_Hong_Kong_MTR_SP1900</v>
      </c>
      <c r="Q940" s="10" t="b">
        <f>_xlfn.XLOOKUP(CONTROL[[#This Row],[VEHIDCODE]],PROPERTIES[VEHIDCODE],PROPERTIES[EXCLUDE])</f>
        <v>0</v>
      </c>
    </row>
    <row r="941" spans="1:17">
      <c r="A941" t="s">
        <v>3433</v>
      </c>
      <c r="B941" s="30" t="str">
        <f>_xlfn.TEXTAFTER(CONTROL[[#This Row],[VEHIDCODE]],"_")</f>
        <v>China_China_Railways_HXD2</v>
      </c>
      <c r="C941" s="49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1" s="49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43" t="s">
        <v>3431</v>
      </c>
      <c r="G941" t="s">
        <v>3432</v>
      </c>
      <c r="H941" s="50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s="49" t="b">
        <f>ISNUMBER(_xlfn.XMATCH(CONTROL[[#This Row],[VEHIDCODE]],TRACK_TYPES[VEHIDCODE],0))</f>
        <v>1</v>
      </c>
      <c r="K941" s="49" t="b">
        <f>ISNUMBER(_xlfn.XMATCH(CONTROL[[#This Row],[VEHIDCODE]],PROPERTIES[VEHIDCODE],0))</f>
        <v>1</v>
      </c>
      <c r="L941" s="49" t="b">
        <f>ISNUMBER(_xlfn.XMATCH(CONTROL[[#This Row],[VEHIDCODE]],FLAGS[VEHIDCODE],0))</f>
        <v>1</v>
      </c>
      <c r="M941" s="49" t="b">
        <f>ISNUMBER(_xlfn.XLOOKUP(CONTROL[[#This Row],[VEHIDCODE]],roster!A:A,roster!C:C))</f>
        <v>1</v>
      </c>
      <c r="N941" s="49" t="b">
        <f>ISNUMBER(_xlfn.XMATCH(CONTROL[[#This Row],[VEHIDCODE]],GRAPHICS_PROPERTIES[VEHIDCODE],0))</f>
        <v>1</v>
      </c>
      <c r="O941" s="51" t="str">
        <f>"item_"&amp;CONTROL[[#This Row],[VEHIDCODE]]</f>
        <v>item_electric_China_China_Railways_HXD2</v>
      </c>
      <c r="P941" s="51" t="str">
        <f>"str_"&amp;CONTROL[[#This Row],[VEHIDCODE]]</f>
        <v>str_electric_China_China_Railways_HXD2</v>
      </c>
      <c r="Q941" s="10" t="b">
        <f>_xlfn.XLOOKUP(CONTROL[[#This Row],[VEHIDCODE]],PROPERTIES[VEHIDCODE],PROPERTIES[EXCLUDE])</f>
        <v>0</v>
      </c>
    </row>
    <row r="942" spans="1:17">
      <c r="A942" t="s">
        <v>3436</v>
      </c>
      <c r="B942" s="30" t="str">
        <f>_xlfn.TEXTAFTER(CONTROL[[#This Row],[VEHIDCODE]],"_")</f>
        <v>China_China_Railways_DF11</v>
      </c>
      <c r="C942" s="49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2" s="49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43" t="s">
        <v>3434</v>
      </c>
      <c r="G942" t="s">
        <v>3435</v>
      </c>
      <c r="H942" s="50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s="49" t="b">
        <f>ISNUMBER(_xlfn.XMATCH(CONTROL[[#This Row],[VEHIDCODE]],TRACK_TYPES[VEHIDCODE],0))</f>
        <v>1</v>
      </c>
      <c r="K942" s="49" t="b">
        <f>ISNUMBER(_xlfn.XMATCH(CONTROL[[#This Row],[VEHIDCODE]],PROPERTIES[VEHIDCODE],0))</f>
        <v>1</v>
      </c>
      <c r="L942" s="49" t="b">
        <f>ISNUMBER(_xlfn.XMATCH(CONTROL[[#This Row],[VEHIDCODE]],FLAGS[VEHIDCODE],0))</f>
        <v>1</v>
      </c>
      <c r="M942" s="49" t="b">
        <f>ISNUMBER(_xlfn.XLOOKUP(CONTROL[[#This Row],[VEHIDCODE]],roster!A:A,roster!C:C))</f>
        <v>1</v>
      </c>
      <c r="N942" s="49" t="b">
        <f>ISNUMBER(_xlfn.XMATCH(CONTROL[[#This Row],[VEHIDCODE]],GRAPHICS_PROPERTIES[VEHIDCODE],0))</f>
        <v>1</v>
      </c>
      <c r="O942" s="51" t="str">
        <f>"item_"&amp;CONTROL[[#This Row],[VEHIDCODE]]</f>
        <v>item_diesel_China_China_Railways_DF11</v>
      </c>
      <c r="P942" s="51" t="str">
        <f>"str_"&amp;CONTROL[[#This Row],[VEHIDCODE]]</f>
        <v>str_diesel_China_China_Railways_DF11</v>
      </c>
      <c r="Q942" s="10" t="b">
        <f>_xlfn.XLOOKUP(CONTROL[[#This Row],[VEHIDCODE]],PROPERTIES[VEHIDCODE],PROPERTIES[EXCLUDE])</f>
        <v>0</v>
      </c>
    </row>
    <row r="943" spans="1:17">
      <c r="A943" s="2" t="s">
        <v>3437</v>
      </c>
      <c r="B943" s="30" t="str">
        <f>_xlfn.TEXTAFTER(CONTROL[[#This Row],[VEHIDCODE]],"_")</f>
        <v>China_China_Railways_SS8</v>
      </c>
      <c r="C943" s="49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3" s="49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43" t="s">
        <v>3438</v>
      </c>
      <c r="G943" t="s">
        <v>3439</v>
      </c>
      <c r="H943" s="50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s="49" t="b">
        <f>ISNUMBER(_xlfn.XMATCH(CONTROL[[#This Row],[VEHIDCODE]],TRACK_TYPES[VEHIDCODE],0))</f>
        <v>1</v>
      </c>
      <c r="K943" s="49" t="b">
        <f>ISNUMBER(_xlfn.XMATCH(CONTROL[[#This Row],[VEHIDCODE]],PROPERTIES[VEHIDCODE],0))</f>
        <v>1</v>
      </c>
      <c r="L943" s="49" t="b">
        <f>ISNUMBER(_xlfn.XMATCH(CONTROL[[#This Row],[VEHIDCODE]],FLAGS[VEHIDCODE],0))</f>
        <v>1</v>
      </c>
      <c r="M943" s="49" t="b">
        <f>ISNUMBER(_xlfn.XLOOKUP(CONTROL[[#This Row],[VEHIDCODE]],roster!A:A,roster!C:C))</f>
        <v>1</v>
      </c>
      <c r="N943" s="49" t="b">
        <f>ISNUMBER(_xlfn.XMATCH(CONTROL[[#This Row],[VEHIDCODE]],GRAPHICS_PROPERTIES[VEHIDCODE],0))</f>
        <v>1</v>
      </c>
      <c r="O943" s="51" t="str">
        <f>"item_"&amp;CONTROL[[#This Row],[VEHIDCODE]]</f>
        <v>item_electric_China_China_Railways_SS8</v>
      </c>
      <c r="P943" s="51" t="str">
        <f>"str_"&amp;CONTROL[[#This Row],[VEHIDCODE]]</f>
        <v>str_electric_China_China_Railways_SS8</v>
      </c>
      <c r="Q943" s="10" t="b">
        <f>_xlfn.XLOOKUP(CONTROL[[#This Row],[VEHIDCODE]],PROPERTIES[VEHIDCODE],PROPERTIES[EXCLUDE])</f>
        <v>0</v>
      </c>
    </row>
    <row r="944" spans="1:17">
      <c r="A944" t="s">
        <v>3440</v>
      </c>
      <c r="B944" s="30" t="str">
        <f>_xlfn.TEXTAFTER(CONTROL[[#This Row],[VEHIDCODE]],"_")</f>
        <v>China_China_Railways_HXD2B</v>
      </c>
      <c r="C944" s="49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4" s="49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43" t="s">
        <v>3441</v>
      </c>
      <c r="G944" t="s">
        <v>3442</v>
      </c>
      <c r="H944" s="50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s="49" t="b">
        <f>ISNUMBER(_xlfn.XMATCH(CONTROL[[#This Row],[VEHIDCODE]],TRACK_TYPES[VEHIDCODE],0))</f>
        <v>1</v>
      </c>
      <c r="K944" s="49" t="b">
        <f>ISNUMBER(_xlfn.XMATCH(CONTROL[[#This Row],[VEHIDCODE]],PROPERTIES[VEHIDCODE],0))</f>
        <v>1</v>
      </c>
      <c r="L944" s="49" t="b">
        <f>ISNUMBER(_xlfn.XMATCH(CONTROL[[#This Row],[VEHIDCODE]],FLAGS[VEHIDCODE],0))</f>
        <v>1</v>
      </c>
      <c r="M944" s="49" t="b">
        <f>ISNUMBER(_xlfn.XLOOKUP(CONTROL[[#This Row],[VEHIDCODE]],roster!A:A,roster!C:C))</f>
        <v>1</v>
      </c>
      <c r="N944" s="49" t="b">
        <f>ISNUMBER(_xlfn.XMATCH(CONTROL[[#This Row],[VEHIDCODE]],GRAPHICS_PROPERTIES[VEHIDCODE],0))</f>
        <v>1</v>
      </c>
      <c r="O944" s="51" t="str">
        <f>"item_"&amp;CONTROL[[#This Row],[VEHIDCODE]]</f>
        <v>item_electric_China_China_Railways_HXD2B</v>
      </c>
      <c r="P944" s="51" t="str">
        <f>"str_"&amp;CONTROL[[#This Row],[VEHIDCODE]]</f>
        <v>str_electric_China_China_Railways_HXD2B</v>
      </c>
      <c r="Q944" s="10" t="b">
        <f>_xlfn.XLOOKUP(CONTROL[[#This Row],[VEHIDCODE]],PROPERTIES[VEHIDCODE],PROPERTIES[EXCLUDE])</f>
        <v>0</v>
      </c>
    </row>
    <row r="945" spans="1:17">
      <c r="A945" t="s">
        <v>3443</v>
      </c>
      <c r="B945" s="30" t="str">
        <f>_xlfn.TEXTAFTER(CONTROL[[#This Row],[VEHIDCODE]],"_")</f>
        <v>China_China_Railways_HXD3D</v>
      </c>
      <c r="C945" s="49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5" s="49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43" t="s">
        <v>3446</v>
      </c>
      <c r="G945" t="s">
        <v>3444</v>
      </c>
      <c r="H945" s="50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s="49" t="b">
        <f>ISNUMBER(_xlfn.XMATCH(CONTROL[[#This Row],[VEHIDCODE]],TRACK_TYPES[VEHIDCODE],0))</f>
        <v>1</v>
      </c>
      <c r="K945" s="49" t="b">
        <f>ISNUMBER(_xlfn.XMATCH(CONTROL[[#This Row],[VEHIDCODE]],PROPERTIES[VEHIDCODE],0))</f>
        <v>1</v>
      </c>
      <c r="L945" s="49" t="b">
        <f>ISNUMBER(_xlfn.XMATCH(CONTROL[[#This Row],[VEHIDCODE]],FLAGS[VEHIDCODE],0))</f>
        <v>1</v>
      </c>
      <c r="M945" s="49" t="b">
        <f>ISNUMBER(_xlfn.XLOOKUP(CONTROL[[#This Row],[VEHIDCODE]],roster!A:A,roster!C:C))</f>
        <v>1</v>
      </c>
      <c r="N945" s="49" t="b">
        <f>ISNUMBER(_xlfn.XMATCH(CONTROL[[#This Row],[VEHIDCODE]],GRAPHICS_PROPERTIES[VEHIDCODE],0))</f>
        <v>1</v>
      </c>
      <c r="O945" s="51" t="str">
        <f>"item_"&amp;CONTROL[[#This Row],[VEHIDCODE]]</f>
        <v>item_electric_China_China_Railways_HXD3D</v>
      </c>
      <c r="P945" s="51" t="str">
        <f>"str_"&amp;CONTROL[[#This Row],[VEHIDCODE]]</f>
        <v>str_electric_China_China_Railways_HXD3D</v>
      </c>
      <c r="Q945" s="10" t="b">
        <f>_xlfn.XLOOKUP(CONTROL[[#This Row],[VEHIDCODE]],PROPERTIES[VEHIDCODE],PROPERTIES[EXCLUDE])</f>
        <v>0</v>
      </c>
    </row>
    <row r="946" spans="1:17">
      <c r="A946" t="s">
        <v>3445</v>
      </c>
      <c r="B946" s="30" t="str">
        <f>_xlfn.TEXTAFTER(CONTROL[[#This Row],[VEHIDCODE]],"_")</f>
        <v>China_China_Railways_DF4</v>
      </c>
      <c r="C946" s="49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6" s="49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43" t="s">
        <v>3447</v>
      </c>
      <c r="G946" t="s">
        <v>3448</v>
      </c>
      <c r="H946" s="50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s="49" t="b">
        <f>ISNUMBER(_xlfn.XMATCH(CONTROL[[#This Row],[VEHIDCODE]],TRACK_TYPES[VEHIDCODE],0))</f>
        <v>1</v>
      </c>
      <c r="K946" s="49" t="b">
        <f>ISNUMBER(_xlfn.XMATCH(CONTROL[[#This Row],[VEHIDCODE]],PROPERTIES[VEHIDCODE],0))</f>
        <v>1</v>
      </c>
      <c r="L946" s="49" t="b">
        <f>ISNUMBER(_xlfn.XMATCH(CONTROL[[#This Row],[VEHIDCODE]],FLAGS[VEHIDCODE],0))</f>
        <v>1</v>
      </c>
      <c r="M946" s="49" t="b">
        <f>ISNUMBER(_xlfn.XLOOKUP(CONTROL[[#This Row],[VEHIDCODE]],roster!A:A,roster!C:C))</f>
        <v>1</v>
      </c>
      <c r="N946" s="49" t="b">
        <f>ISNUMBER(_xlfn.XMATCH(CONTROL[[#This Row],[VEHIDCODE]],GRAPHICS_PROPERTIES[VEHIDCODE],0))</f>
        <v>1</v>
      </c>
      <c r="O946" s="51" t="str">
        <f>"item_"&amp;CONTROL[[#This Row],[VEHIDCODE]]</f>
        <v>item_diesel_China_China_Railways_DF4</v>
      </c>
      <c r="P946" s="51" t="str">
        <f>"str_"&amp;CONTROL[[#This Row],[VEHIDCODE]]</f>
        <v>str_diesel_China_China_Railways_DF4</v>
      </c>
      <c r="Q946" s="10" t="b">
        <f>_xlfn.XLOOKUP(CONTROL[[#This Row],[VEHIDCODE]],PROPERTIES[VEHIDCODE],PROPERTIES[EXCLUDE])</f>
        <v>0</v>
      </c>
    </row>
    <row r="947" spans="1:17">
      <c r="A947" t="s">
        <v>3449</v>
      </c>
      <c r="B947" s="30" t="str">
        <f>_xlfn.TEXTAFTER(CONTROL[[#This Row],[VEHIDCODE]],"_")</f>
        <v>China_China_Railways_DF5</v>
      </c>
      <c r="C947" s="49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7" s="49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43" t="s">
        <v>3451</v>
      </c>
      <c r="G947" s="45" t="s">
        <v>3450</v>
      </c>
      <c r="H947" s="50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s="49" t="b">
        <f>ISNUMBER(_xlfn.XMATCH(CONTROL[[#This Row],[VEHIDCODE]],TRACK_TYPES[VEHIDCODE],0))</f>
        <v>1</v>
      </c>
      <c r="K947" s="49" t="b">
        <f>ISNUMBER(_xlfn.XMATCH(CONTROL[[#This Row],[VEHIDCODE]],PROPERTIES[VEHIDCODE],0))</f>
        <v>1</v>
      </c>
      <c r="L947" s="49" t="b">
        <f>ISNUMBER(_xlfn.XMATCH(CONTROL[[#This Row],[VEHIDCODE]],FLAGS[VEHIDCODE],0))</f>
        <v>1</v>
      </c>
      <c r="M947" s="49" t="b">
        <f>ISNUMBER(_xlfn.XLOOKUP(CONTROL[[#This Row],[VEHIDCODE]],roster!A:A,roster!C:C))</f>
        <v>1</v>
      </c>
      <c r="N947" s="49" t="b">
        <f>ISNUMBER(_xlfn.XMATCH(CONTROL[[#This Row],[VEHIDCODE]],GRAPHICS_PROPERTIES[VEHIDCODE],0))</f>
        <v>1</v>
      </c>
      <c r="O947" s="51" t="str">
        <f>"item_"&amp;CONTROL[[#This Row],[VEHIDCODE]]</f>
        <v>item_diesel_China_China_Railways_DF5</v>
      </c>
      <c r="P947" s="51" t="str">
        <f>"str_"&amp;CONTROL[[#This Row],[VEHIDCODE]]</f>
        <v>str_diesel_China_China_Railways_DF5</v>
      </c>
      <c r="Q947" s="10" t="b">
        <f>_xlfn.XLOOKUP(CONTROL[[#This Row],[VEHIDCODE]],PROPERTIES[VEHIDCODE],PROPERTIES[EXCLUDE])</f>
        <v>0</v>
      </c>
    </row>
    <row r="948" spans="1:17">
      <c r="A948" t="s">
        <v>3452</v>
      </c>
      <c r="B948" s="30" t="str">
        <f>_xlfn.TEXTAFTER(CONTROL[[#This Row],[VEHIDCODE]],"_")</f>
        <v>China_China_Railways_JS</v>
      </c>
      <c r="C948" s="49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8" s="49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43" t="s">
        <v>3454</v>
      </c>
      <c r="G948" t="s">
        <v>3456</v>
      </c>
      <c r="H948" s="50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s="49" t="b">
        <f>ISNUMBER(_xlfn.XMATCH(CONTROL[[#This Row],[VEHIDCODE]],TRACK_TYPES[VEHIDCODE],0))</f>
        <v>1</v>
      </c>
      <c r="K948" s="49" t="b">
        <f>ISNUMBER(_xlfn.XMATCH(CONTROL[[#This Row],[VEHIDCODE]],PROPERTIES[VEHIDCODE],0))</f>
        <v>1</v>
      </c>
      <c r="L948" s="49" t="b">
        <f>ISNUMBER(_xlfn.XMATCH(CONTROL[[#This Row],[VEHIDCODE]],FLAGS[VEHIDCODE],0))</f>
        <v>1</v>
      </c>
      <c r="M948" s="49" t="b">
        <f>ISNUMBER(_xlfn.XLOOKUP(CONTROL[[#This Row],[VEHIDCODE]],roster!A:A,roster!C:C))</f>
        <v>1</v>
      </c>
      <c r="N948" s="49" t="b">
        <f>ISNUMBER(_xlfn.XMATCH(CONTROL[[#This Row],[VEHIDCODE]],GRAPHICS_PROPERTIES[VEHIDCODE],0))</f>
        <v>1</v>
      </c>
      <c r="O948" s="51" t="str">
        <f>"item_"&amp;CONTROL[[#This Row],[VEHIDCODE]]</f>
        <v>item_steam_China_China_Railways_JS</v>
      </c>
      <c r="P948" s="51" t="str">
        <f>"str_"&amp;CONTROL[[#This Row],[VEHIDCODE]]</f>
        <v>str_steam_China_China_Railways_JS</v>
      </c>
      <c r="Q948" s="10" t="b">
        <f>_xlfn.XLOOKUP(CONTROL[[#This Row],[VEHIDCODE]],PROPERTIES[VEHIDCODE],PROPERTIES[EXCLUDE])</f>
        <v>0</v>
      </c>
    </row>
    <row r="949" spans="1:17">
      <c r="A949" t="s">
        <v>3453</v>
      </c>
      <c r="B949" s="30" t="str">
        <f>_xlfn.TEXTAFTER(CONTROL[[#This Row],[VEHIDCODE]],"_")</f>
        <v>China_China_Railways_RM</v>
      </c>
      <c r="C949" s="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9" s="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43" t="s">
        <v>3455</v>
      </c>
      <c r="G949" t="s">
        <v>3457</v>
      </c>
      <c r="H949" s="50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s="49" t="b">
        <f>ISNUMBER(_xlfn.XMATCH(CONTROL[[#This Row],[VEHIDCODE]],TRACK_TYPES[VEHIDCODE],0))</f>
        <v>1</v>
      </c>
      <c r="K949" s="49" t="b">
        <f>ISNUMBER(_xlfn.XMATCH(CONTROL[[#This Row],[VEHIDCODE]],PROPERTIES[VEHIDCODE],0))</f>
        <v>1</v>
      </c>
      <c r="L949" s="49" t="b">
        <f>ISNUMBER(_xlfn.XMATCH(CONTROL[[#This Row],[VEHIDCODE]],FLAGS[VEHIDCODE],0))</f>
        <v>1</v>
      </c>
      <c r="M949" s="49" t="b">
        <f>ISNUMBER(_xlfn.XLOOKUP(CONTROL[[#This Row],[VEHIDCODE]],roster!A:A,roster!C:C))</f>
        <v>1</v>
      </c>
      <c r="N949" s="49" t="b">
        <f>ISNUMBER(_xlfn.XMATCH(CONTROL[[#This Row],[VEHIDCODE]],GRAPHICS_PROPERTIES[VEHIDCODE],0))</f>
        <v>1</v>
      </c>
      <c r="O949" s="51" t="str">
        <f>"item_"&amp;CONTROL[[#This Row],[VEHIDCODE]]</f>
        <v>item_steam_China_China_Railways_RM</v>
      </c>
      <c r="P949" s="51" t="str">
        <f>"str_"&amp;CONTROL[[#This Row],[VEHIDCODE]]</f>
        <v>str_steam_China_China_Railways_RM</v>
      </c>
      <c r="Q949" s="10" t="b">
        <f>_xlfn.XLOOKUP(CONTROL[[#This Row],[VEHIDCODE]],PROPERTIES[VEHIDCODE],PROPERTIES[EXCLUDE])</f>
        <v>0</v>
      </c>
    </row>
  </sheetData>
  <conditionalFormatting sqref="A1:A940">
    <cfRule type="containsText" dxfId="175" priority="6" operator="containsText" text=" ">
      <formula>NOT(ISERROR(SEARCH(" ",A1)))</formula>
    </cfRule>
  </conditionalFormatting>
  <conditionalFormatting sqref="A940 A942 A946:A1048576">
    <cfRule type="containsText" dxfId="174" priority="13" operator="containsText" text=" ">
      <formula>NOT(ISERROR(SEARCH(" ",A940)))</formula>
    </cfRule>
  </conditionalFormatting>
  <conditionalFormatting sqref="B1:E1 K935:P1048576">
    <cfRule type="cellIs" dxfId="173" priority="11" operator="equal">
      <formula>FALSE</formula>
    </cfRule>
  </conditionalFormatting>
  <conditionalFormatting sqref="E2:E1048576">
    <cfRule type="duplicateValues" dxfId="172" priority="12"/>
  </conditionalFormatting>
  <conditionalFormatting sqref="F1:F1048576">
    <cfRule type="containsText" dxfId="91" priority="14" operator="containsText" text=")">
      <formula>NOT(ISERROR(SEARCH(")",F1)))</formula>
    </cfRule>
    <cfRule type="containsText" dxfId="90" priority="15" operator="containsText" text="(">
      <formula>NOT(ISERROR(SEARCH("(",F1)))</formula>
    </cfRule>
  </conditionalFormatting>
  <conditionalFormatting sqref="H2:H949">
    <cfRule type="containsText" dxfId="89" priority="16" operator="containsText" text="FALSE">
      <formula>NOT(ISERROR(SEARCH("FALSE",H2)))</formula>
    </cfRule>
  </conditionalFormatting>
  <conditionalFormatting sqref="H1:N1">
    <cfRule type="cellIs" dxfId="171" priority="10" operator="equal">
      <formula>FALSE</formula>
    </cfRule>
  </conditionalFormatting>
  <conditionalFormatting sqref="I2:I949">
    <cfRule type="containsText" dxfId="88" priority="20" operator="containsText" text="FALSE">
      <formula>NOT(ISERROR(SEARCH("FALSE",I2)))</formula>
    </cfRule>
  </conditionalFormatting>
  <conditionalFormatting sqref="K896:P934">
    <cfRule type="cellIs" dxfId="170" priority="5" operator="equal">
      <formula>FALSE</formula>
    </cfRule>
  </conditionalFormatting>
  <conditionalFormatting sqref="O1:P1 J2:P795 K796:P803 J804:P804 K805:P814 J815:P821 K822:P831 J832:P833 K834:P894 J895:P895">
    <cfRule type="cellIs" dxfId="169" priority="18" operator="equal">
      <formula>FALSE</formula>
    </cfRule>
  </conditionalFormatting>
  <conditionalFormatting sqref="Q1">
    <cfRule type="cellIs" dxfId="168" priority="3" operator="equal">
      <formula>FALSE</formula>
    </cfRule>
  </conditionalFormatting>
  <conditionalFormatting sqref="Q2:Q949">
    <cfRule type="cellIs" dxfId="87" priority="2" operator="equal">
      <formula>FALSE</formula>
    </cfRule>
  </conditionalFormatting>
  <conditionalFormatting sqref="A943">
    <cfRule type="containsText" dxfId="79" priority="1" operator="containsText" text=" ">
      <formula>NOT(ISERROR(SEARCH(" ",A943)))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</hyperlinks>
  <pageMargins left="0.7" right="0.7" top="0.75" bottom="0.75" header="0.3" footer="0.3"/>
  <pageSetup paperSize="9" orientation="portrait" horizontalDpi="0" verticalDpi="0" r:id="rId13"/>
  <legacyDrawing r:id="rId14"/>
  <tableParts count="1"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949"/>
  <sheetViews>
    <sheetView tabSelected="1" zoomScaleNormal="100" workbookViewId="0">
      <pane xSplit="1" ySplit="1" topLeftCell="U924" activePane="bottomRight" state="frozen"/>
      <selection pane="topRight" activeCell="B1" sqref="B1"/>
      <selection pane="bottomLeft" activeCell="A2" sqref="A2"/>
      <selection pane="bottomRight" activeCell="W949" sqref="W949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3" width="6.69140625" hidden="1" customWidth="1"/>
    <col min="14" max="14" width="9" customWidth="1"/>
    <col min="15" max="15" width="12" style="32" customWidth="1"/>
    <col min="16" max="16" width="9.84375" customWidth="1"/>
    <col min="17" max="17" width="9.3046875" customWidth="1"/>
    <col min="18" max="18" width="8.4609375" style="29" customWidth="1"/>
    <col min="19" max="19" width="8.4609375" customWidth="1"/>
    <col min="20" max="20" width="8.4609375" style="29" customWidth="1"/>
    <col min="21" max="21" width="8.4609375" customWidth="1"/>
    <col min="22" max="22" width="14.4609375" style="26" hidden="1" customWidth="1"/>
    <col min="23" max="23" width="14.4609375" style="2" customWidth="1"/>
    <col min="24" max="24" width="11.84375" bestFit="1" customWidth="1"/>
    <col min="25" max="25" width="11.84375" style="2" customWidth="1"/>
    <col min="26" max="26" width="12.23046875" bestFit="1" customWidth="1"/>
    <col min="27" max="27" width="11.84375" customWidth="1"/>
    <col min="28" max="28" width="12.3046875" style="2" bestFit="1" customWidth="1"/>
    <col min="29" max="29" width="23" customWidth="1"/>
    <col min="30" max="30" width="35.4609375" customWidth="1"/>
    <col min="31" max="31" width="15.61328125" style="2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20" t="s">
        <v>2</v>
      </c>
      <c r="D1" s="1" t="s">
        <v>1706</v>
      </c>
      <c r="E1" s="20" t="s">
        <v>2218</v>
      </c>
      <c r="F1" s="20" t="s">
        <v>3</v>
      </c>
      <c r="G1" s="1" t="s">
        <v>1</v>
      </c>
      <c r="H1" s="1" t="s">
        <v>4</v>
      </c>
      <c r="I1" s="1" t="s">
        <v>6</v>
      </c>
      <c r="J1" s="1" t="s">
        <v>3031</v>
      </c>
      <c r="K1" s="20" t="s">
        <v>7</v>
      </c>
      <c r="L1" s="20" t="s">
        <v>1008</v>
      </c>
      <c r="M1" s="20" t="s">
        <v>8</v>
      </c>
      <c r="N1" s="1" t="s">
        <v>9</v>
      </c>
      <c r="O1" s="31" t="s">
        <v>16</v>
      </c>
      <c r="P1" s="1" t="s">
        <v>10</v>
      </c>
      <c r="Q1" s="1" t="s">
        <v>11</v>
      </c>
      <c r="R1" s="27" t="s">
        <v>2225</v>
      </c>
      <c r="S1" s="27" t="s">
        <v>2226</v>
      </c>
      <c r="T1" s="27" t="s">
        <v>2227</v>
      </c>
      <c r="U1" s="20" t="s">
        <v>12</v>
      </c>
      <c r="V1" s="5" t="s">
        <v>13</v>
      </c>
      <c r="W1" s="8" t="s">
        <v>14</v>
      </c>
      <c r="X1" s="8" t="s">
        <v>15</v>
      </c>
      <c r="Y1" s="34" t="s">
        <v>1012</v>
      </c>
      <c r="Z1" s="1" t="s">
        <v>676</v>
      </c>
      <c r="AA1" s="1" t="s">
        <v>677</v>
      </c>
      <c r="AB1" s="3" t="s">
        <v>678</v>
      </c>
      <c r="AC1" s="20" t="s">
        <v>967</v>
      </c>
      <c r="AD1" s="20" t="s">
        <v>968</v>
      </c>
      <c r="AE1" s="20" t="s">
        <v>984</v>
      </c>
      <c r="AF1" s="20" t="s">
        <v>2224</v>
      </c>
      <c r="AG1" s="1" t="s">
        <v>2470</v>
      </c>
      <c r="AH1" s="6" t="s">
        <v>3415</v>
      </c>
    </row>
    <row r="2" spans="1:53">
      <c r="A2" s="2" t="s">
        <v>709</v>
      </c>
      <c r="B2">
        <v>2000</v>
      </c>
      <c r="C2" cm="1">
        <f t="array" ref="C2">_xlfn.IFS(ISNUMBER(SEARCH("wagon",PROPERTIES[[#This Row],[VEHIDCODE]])),0,OR(MID(PROPERTIES[[#This Row],[VEHIDCODE]],2,2)="mu",_xlfn.TEXTBEFORE(PROPERTIES[[#This Row],[VEHIDCODE]],"_")="mtro"),1,1=1,0)</f>
        <v>0</v>
      </c>
      <c r="E2" t="str">
        <f>_xlfn.XLOOKUP(PROPERTIES[[#This Row],[COUNTRY]],COUNTRIES[COUNTRY_DESCRIPTION],COUNTRIES[COUNTRY_LABEL],"")</f>
        <v/>
      </c>
      <c r="F2" t="str" cm="1">
        <f t="array" ref="F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2" t="s">
        <v>17</v>
      </c>
      <c r="H2">
        <v>1</v>
      </c>
      <c r="I2">
        <v>8</v>
      </c>
      <c r="J2">
        <v>8</v>
      </c>
      <c r="K2" t="str" cm="1">
        <f t="array" ref="K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">
        <f>_xlfn.XLOOKUP("LOADINGSPEEDDEF_"&amp;PROPERTIES[[#This Row],[LOADINGSPEED]],LOADINGSPEEDDEF[TYPE],LOADINGSPEEDDEF[SPEED])</f>
        <v>40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f>IF(ISNUMBER(SEARCH("passenger",PROPERTIES[[#This Row],[CARGODEF]])),1,0)</f>
        <v>1</v>
      </c>
      <c r="O2" s="32">
        <v>0</v>
      </c>
      <c r="P2">
        <v>0</v>
      </c>
      <c r="Q2">
        <v>0</v>
      </c>
      <c r="R2" s="29">
        <v>0</v>
      </c>
      <c r="S2" s="28">
        <f>IFERROR(PROPERTIES[[#This Row],[TE_STARTING_KN]]/(PROPERTIES[[#This Row],[WEIGHT]]*9.81),0)</f>
        <v>0</v>
      </c>
      <c r="T2" s="28">
        <v>0.3</v>
      </c>
      <c r="U2" s="25">
        <f>ROUND(IF(IFERROR(PROPERTIES[[#This Row],[TE_COEFFICIENT_CALC]],0)=0,PROPERTIES[[#This Row],[TE_COEFFICIENT_MANUAL]],PROPERTIES[[#This Row],[TE_COEFFICIENT_CALC]]),3)</f>
        <v>0.3</v>
      </c>
      <c r="V2" s="11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36">
        <v>0</v>
      </c>
      <c r="X2" s="9">
        <v>0</v>
      </c>
      <c r="Y2" s="10">
        <v>0</v>
      </c>
      <c r="Z2" t="s">
        <v>882</v>
      </c>
      <c r="AA2" t="s">
        <v>868</v>
      </c>
      <c r="AB2" s="2" t="s">
        <v>886</v>
      </c>
      <c r="AC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2" s="2" t="str">
        <f>SUBSTITUTE(SUBSTITUTE(PROPERTIES[[#This Row],[PURCHASECOST_VALUE]], "PURCHASECOST_", ""), "_VALUE", "")</f>
        <v>MMU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H2" s="10" t="b">
        <v>0</v>
      </c>
      <c r="AY2"/>
      <c r="AZ2"/>
      <c r="BA2"/>
    </row>
    <row r="3" spans="1:53">
      <c r="A3" s="2" t="s">
        <v>710</v>
      </c>
      <c r="B3">
        <v>2000</v>
      </c>
      <c r="C3" cm="1">
        <f t="array" ref="C3">_xlfn.IFS(ISNUMBER(SEARCH("wagon",PROPERTIES[[#This Row],[VEHIDCODE]])),0,OR(MID(PROPERTIES[[#This Row],[VEHIDCODE]],2,2)="mu",_xlfn.TEXTBEFORE(PROPERTIES[[#This Row],[VEHIDCODE]],"_")="mtro"),1,1=1,0)</f>
        <v>0</v>
      </c>
      <c r="E3" t="str">
        <f>_xlfn.XLOOKUP(PROPERTIES[[#This Row],[COUNTRY]],COUNTRIES[COUNTRY_DESCRIPTION],COUNTRIES[COUNTRY_LABEL],"")</f>
        <v/>
      </c>
      <c r="F3" t="str" cm="1">
        <f t="array" ref="F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" t="s">
        <v>17</v>
      </c>
      <c r="H3">
        <v>1</v>
      </c>
      <c r="I3">
        <v>8</v>
      </c>
      <c r="J3">
        <v>8</v>
      </c>
      <c r="K3" t="str" cm="1">
        <f t="array" ref="K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">
        <f>_xlfn.XLOOKUP("LOADINGSPEEDDEF_"&amp;PROPERTIES[[#This Row],[LOADINGSPEED]],LOADINGSPEEDDEF[TYPE],LOADINGSPEEDDEF[SPEED])</f>
        <v>40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f>IF(ISNUMBER(SEARCH("passenger",PROPERTIES[[#This Row],[CARGODEF]])),1,0)</f>
        <v>1</v>
      </c>
      <c r="O3" s="32">
        <v>0</v>
      </c>
      <c r="P3">
        <v>0</v>
      </c>
      <c r="Q3">
        <v>0</v>
      </c>
      <c r="R3" s="29">
        <v>0</v>
      </c>
      <c r="S3" s="28">
        <f>IFERROR(PROPERTIES[[#This Row],[TE_STARTING_KN]]/(PROPERTIES[[#This Row],[WEIGHT]]*9.81),0)</f>
        <v>0</v>
      </c>
      <c r="T3" s="28">
        <v>0.3</v>
      </c>
      <c r="U3" s="25">
        <f>ROUND(IF(IFERROR(PROPERTIES[[#This Row],[TE_COEFFICIENT_CALC]],0)=0,PROPERTIES[[#This Row],[TE_COEFFICIENT_MANUAL]],PROPERTIES[[#This Row],[TE_COEFFICIENT_CALC]]),3)</f>
        <v>0.3</v>
      </c>
      <c r="V3" s="11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36">
        <v>0</v>
      </c>
      <c r="X3" s="9">
        <v>0</v>
      </c>
      <c r="Y3" s="10">
        <v>0</v>
      </c>
      <c r="Z3" t="s">
        <v>882</v>
      </c>
      <c r="AA3" t="s">
        <v>868</v>
      </c>
      <c r="AB3" s="2" t="s">
        <v>886</v>
      </c>
      <c r="AC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3" s="2" t="str">
        <f>SUBSTITUTE(SUBSTITUTE(PROPERTIES[[#This Row],[PURCHASECOST_VALUE]], "PURCHASECOST_", ""), "_VALUE", "")</f>
        <v>MMU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H3" s="10" t="b">
        <v>0</v>
      </c>
      <c r="AY3"/>
      <c r="AZ3"/>
      <c r="BA3"/>
    </row>
    <row r="4" spans="1:53">
      <c r="A4" s="2" t="s">
        <v>20</v>
      </c>
      <c r="B4">
        <v>1903</v>
      </c>
      <c r="C4" cm="1">
        <f t="array" ref="C4">_xlfn.IFS(ISNUMBER(SEARCH("wagon",PROPERTIES[[#This Row],[VEHIDCODE]])),0,OR(MID(PROPERTIES[[#This Row],[VEHIDCODE]],2,2)="mu",_xlfn.TEXTBEFORE(PROPERTIES[[#This Row],[VEHIDCODE]],"_")="mtro"),1,1=1,0)</f>
        <v>0</v>
      </c>
      <c r="D4" t="s">
        <v>1718</v>
      </c>
      <c r="E4" t="str">
        <f>_xlfn.XLOOKUP(PROPERTIES[[#This Row],[COUNTRY]],COUNTRIES[COUNTRY_DESCRIPTION],COUNTRIES[COUNTRY_LABEL],"")</f>
        <v>AT</v>
      </c>
      <c r="F4" t="str" cm="1">
        <f t="array" ref="F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4" t="s">
        <v>17</v>
      </c>
      <c r="H4">
        <v>22</v>
      </c>
      <c r="I4">
        <v>5</v>
      </c>
      <c r="J4">
        <v>5</v>
      </c>
      <c r="K4" t="str" cm="1">
        <f t="array" ref="K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f>IF(ISNUMBER(SEARCH("passenger",PROPERTIES[[#This Row],[CARGODEF]])),1,0)</f>
        <v>1</v>
      </c>
      <c r="O4" s="32">
        <v>8</v>
      </c>
      <c r="P4">
        <v>39</v>
      </c>
      <c r="Q4">
        <v>35</v>
      </c>
      <c r="R4" s="29">
        <v>0</v>
      </c>
      <c r="S4" s="28">
        <f>IFERROR(PROPERTIES[[#This Row],[TE_STARTING_KN]]/(PROPERTIES[[#This Row],[WEIGHT]]*9.81),0)</f>
        <v>0</v>
      </c>
      <c r="T4" s="28">
        <v>0.18</v>
      </c>
      <c r="U4" s="25">
        <f>ROUND(IF(IFERROR(PROPERTIES[[#This Row],[TE_COEFFICIENT_CALC]],0)=0,PROPERTIES[[#This Row],[TE_COEFFICIENT_MANUAL]],PROPERTIES[[#This Row],[TE_COEFFICIENT_CALC]]),3)</f>
        <v>0.18</v>
      </c>
      <c r="V4" s="11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36">
        <v>0</v>
      </c>
      <c r="X4" s="9">
        <v>0</v>
      </c>
      <c r="Y4" s="10">
        <v>0</v>
      </c>
      <c r="Z4" t="s">
        <v>869</v>
      </c>
      <c r="AA4" t="s">
        <v>868</v>
      </c>
      <c r="AB4" s="2" t="s">
        <v>886</v>
      </c>
      <c r="AC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4" s="2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H4" s="10" t="b">
        <v>0</v>
      </c>
      <c r="AY4"/>
      <c r="AZ4"/>
      <c r="BA4"/>
    </row>
    <row r="5" spans="1:53">
      <c r="A5" s="2" t="s">
        <v>22</v>
      </c>
      <c r="B5">
        <v>1906</v>
      </c>
      <c r="C5" cm="1">
        <f t="array" ref="C5">_xlfn.IFS(ISNUMBER(SEARCH("wagon",PROPERTIES[[#This Row],[VEHIDCODE]])),0,OR(MID(PROPERTIES[[#This Row],[VEHIDCODE]],2,2)="mu",_xlfn.TEXTBEFORE(PROPERTIES[[#This Row],[VEHIDCODE]],"_")="mtro"),1,1=1,0)</f>
        <v>0</v>
      </c>
      <c r="D5" t="s">
        <v>1815</v>
      </c>
      <c r="E5" t="str">
        <f>_xlfn.XLOOKUP(PROPERTIES[[#This Row],[COUNTRY]],COUNTRIES[COUNTRY_DESCRIPTION],COUNTRIES[COUNTRY_LABEL],"")</f>
        <v>IT</v>
      </c>
      <c r="F5" t="str" cm="1">
        <f t="array" ref="F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" t="s">
        <v>17</v>
      </c>
      <c r="H5">
        <v>86</v>
      </c>
      <c r="I5">
        <v>8</v>
      </c>
      <c r="J5">
        <v>8</v>
      </c>
      <c r="K5" t="str" cm="1">
        <f t="array" ref="K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f>IF(ISNUMBER(SEARCH("passenger",PROPERTIES[[#This Row],[CARGODEF]])),1,0)</f>
        <v>1</v>
      </c>
      <c r="O5" s="32">
        <v>47</v>
      </c>
      <c r="P5">
        <v>170</v>
      </c>
      <c r="Q5">
        <v>55</v>
      </c>
      <c r="R5" s="29">
        <v>0</v>
      </c>
      <c r="S5" s="28">
        <f>IFERROR(PROPERTIES[[#This Row],[TE_STARTING_KN]]/(PROPERTIES[[#This Row],[WEIGHT]]*9.81),0)</f>
        <v>0</v>
      </c>
      <c r="T5" s="28">
        <v>0.08</v>
      </c>
      <c r="U5" s="25">
        <f>ROUND(IF(IFERROR(PROPERTIES[[#This Row],[TE_COEFFICIENT_CALC]],0)=0,PROPERTIES[[#This Row],[TE_COEFFICIENT_MANUAL]],PROPERTIES[[#This Row],[TE_COEFFICIENT_CALC]]),3)</f>
        <v>0.08</v>
      </c>
      <c r="V5" s="11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36">
        <v>0</v>
      </c>
      <c r="X5" s="9">
        <v>0</v>
      </c>
      <c r="Y5" s="10">
        <v>0</v>
      </c>
      <c r="Z5" t="s">
        <v>870</v>
      </c>
      <c r="AA5" t="s">
        <v>868</v>
      </c>
      <c r="AB5" s="2" t="s">
        <v>886</v>
      </c>
      <c r="AC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5" s="2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H5" s="10" t="b">
        <v>0</v>
      </c>
      <c r="AY5"/>
      <c r="AZ5"/>
      <c r="BA5"/>
    </row>
    <row r="6" spans="1:53">
      <c r="A6" s="2" t="s">
        <v>23</v>
      </c>
      <c r="B6">
        <v>1883</v>
      </c>
      <c r="C6" cm="1">
        <f t="array" ref="C6">_xlfn.IFS(ISNUMBER(SEARCH("wagon",PROPERTIES[[#This Row],[VEHIDCODE]])),0,OR(MID(PROPERTIES[[#This Row],[VEHIDCODE]],2,2)="mu",_xlfn.TEXTBEFORE(PROPERTIES[[#This Row],[VEHIDCODE]],"_")="mtro"),1,1=1,0)</f>
        <v>0</v>
      </c>
      <c r="D6" t="s">
        <v>1719</v>
      </c>
      <c r="E6" t="str">
        <f>_xlfn.XLOOKUP(PROPERTIES[[#This Row],[COUNTRY]],COUNTRIES[COUNTRY_DESCRIPTION],COUNTRIES[COUNTRY_LABEL],"")</f>
        <v>AU</v>
      </c>
      <c r="F6" t="str" cm="1">
        <f t="array" ref="F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" t="s">
        <v>17</v>
      </c>
      <c r="H6">
        <v>42</v>
      </c>
      <c r="I6">
        <v>6</v>
      </c>
      <c r="J6">
        <v>6</v>
      </c>
      <c r="K6" t="str" cm="1">
        <f t="array" ref="K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f>IF(ISNUMBER(SEARCH("passenger",PROPERTIES[[#This Row],[CARGODEF]])),1,0)</f>
        <v>1</v>
      </c>
      <c r="O6" s="32">
        <v>15</v>
      </c>
      <c r="P6">
        <v>40</v>
      </c>
      <c r="Q6">
        <v>48</v>
      </c>
      <c r="R6" s="29">
        <v>16</v>
      </c>
      <c r="S6" s="28">
        <f>IFERROR(PROPERTIES[[#This Row],[TE_STARTING_KN]]/(PROPERTIES[[#This Row],[WEIGHT]]*9.81),0)</f>
        <v>0.10873258579680598</v>
      </c>
      <c r="T6" s="28">
        <v>0.34</v>
      </c>
      <c r="U6" s="25">
        <f>ROUND(IF(IFERROR(PROPERTIES[[#This Row],[TE_COEFFICIENT_CALC]],0)=0,PROPERTIES[[#This Row],[TE_COEFFICIENT_MANUAL]],PROPERTIES[[#This Row],[TE_COEFFICIENT_CALC]]),3)</f>
        <v>0.109</v>
      </c>
      <c r="V6" s="11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36">
        <v>0</v>
      </c>
      <c r="X6" s="9">
        <v>0</v>
      </c>
      <c r="Y6" s="10">
        <v>0</v>
      </c>
      <c r="Z6" t="s">
        <v>871</v>
      </c>
      <c r="AA6" t="s">
        <v>868</v>
      </c>
      <c r="AB6" s="2" t="s">
        <v>886</v>
      </c>
      <c r="AC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6" s="2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H6" s="10" t="b">
        <v>0</v>
      </c>
      <c r="AY6"/>
      <c r="AZ6"/>
      <c r="BA6"/>
    </row>
    <row r="7" spans="1:53">
      <c r="A7" s="2" t="s">
        <v>24</v>
      </c>
      <c r="B7">
        <v>1902</v>
      </c>
      <c r="C7" cm="1">
        <f t="array" ref="C7">_xlfn.IFS(ISNUMBER(SEARCH("wagon",PROPERTIES[[#This Row],[VEHIDCODE]])),0,OR(MID(PROPERTIES[[#This Row],[VEHIDCODE]],2,2)="mu",_xlfn.TEXTBEFORE(PROPERTIES[[#This Row],[VEHIDCODE]],"_")="mtro"),1,1=1,0)</f>
        <v>0</v>
      </c>
      <c r="D7" t="s">
        <v>1749</v>
      </c>
      <c r="E7" t="str">
        <f>_xlfn.XLOOKUP(PROPERTIES[[#This Row],[COUNTRY]],COUNTRIES[COUNTRY_DESCRIPTION],COUNTRIES[COUNTRY_LABEL],"")</f>
        <v>CH</v>
      </c>
      <c r="F7" t="str" cm="1">
        <f t="array" ref="F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" t="s">
        <v>17</v>
      </c>
      <c r="H7">
        <v>30</v>
      </c>
      <c r="I7">
        <v>5</v>
      </c>
      <c r="J7">
        <v>5</v>
      </c>
      <c r="K7" t="str" cm="1">
        <f t="array" ref="K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f>IF(ISNUMBER(SEARCH("passenger",PROPERTIES[[#This Row],[CARGODEF]])),1,0)</f>
        <v>1</v>
      </c>
      <c r="O7" s="32">
        <v>21</v>
      </c>
      <c r="P7">
        <v>99</v>
      </c>
      <c r="Q7">
        <v>45</v>
      </c>
      <c r="R7" s="29">
        <v>0</v>
      </c>
      <c r="S7" s="28">
        <f>IFERROR(PROPERTIES[[#This Row],[TE_STARTING_KN]]/(PROPERTIES[[#This Row],[WEIGHT]]*9.81),0)</f>
        <v>0</v>
      </c>
      <c r="T7" s="28">
        <v>0.34</v>
      </c>
      <c r="U7" s="25">
        <f>ROUND(IF(IFERROR(PROPERTIES[[#This Row],[TE_COEFFICIENT_CALC]],0)=0,PROPERTIES[[#This Row],[TE_COEFFICIENT_MANUAL]],PROPERTIES[[#This Row],[TE_COEFFICIENT_CALC]]),3)</f>
        <v>0.34</v>
      </c>
      <c r="V7" s="11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36">
        <v>0</v>
      </c>
      <c r="X7" s="9">
        <v>0</v>
      </c>
      <c r="Y7" s="10">
        <v>0</v>
      </c>
      <c r="Z7" t="s">
        <v>869</v>
      </c>
      <c r="AA7" t="s">
        <v>868</v>
      </c>
      <c r="AB7" s="2" t="s">
        <v>886</v>
      </c>
      <c r="AC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" s="2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H7" s="10" t="b">
        <v>0</v>
      </c>
      <c r="AY7"/>
      <c r="AZ7"/>
      <c r="BA7"/>
    </row>
    <row r="8" spans="1:53">
      <c r="A8" s="2" t="s">
        <v>25</v>
      </c>
      <c r="B8">
        <v>1906</v>
      </c>
      <c r="C8" cm="1">
        <f t="array" ref="C8">_xlfn.IFS(ISNUMBER(SEARCH("wagon",PROPERTIES[[#This Row],[VEHIDCODE]])),0,OR(MID(PROPERTIES[[#This Row],[VEHIDCODE]],2,2)="mu",_xlfn.TEXTBEFORE(PROPERTIES[[#This Row],[VEHIDCODE]],"_")="mtro"),1,1=1,0)</f>
        <v>0</v>
      </c>
      <c r="D8" t="s">
        <v>1763</v>
      </c>
      <c r="E8" t="str">
        <f>_xlfn.XLOOKUP(PROPERTIES[[#This Row],[COUNTRY]],COUNTRIES[COUNTRY_DESCRIPTION],COUNTRIES[COUNTRY_LABEL],"")</f>
        <v>DE</v>
      </c>
      <c r="F8" t="str" cm="1">
        <f t="array" ref="F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" t="s">
        <v>17</v>
      </c>
      <c r="H8">
        <v>52</v>
      </c>
      <c r="I8">
        <v>8</v>
      </c>
      <c r="J8">
        <v>8</v>
      </c>
      <c r="K8" t="str" cm="1">
        <f t="array" ref="K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f>IF(ISNUMBER(SEARCH("passenger",PROPERTIES[[#This Row],[CARGODEF]])),1,0)</f>
        <v>1</v>
      </c>
      <c r="O8" s="32">
        <v>32</v>
      </c>
      <c r="P8">
        <v>195</v>
      </c>
      <c r="Q8">
        <v>50</v>
      </c>
      <c r="R8" s="29">
        <v>0</v>
      </c>
      <c r="S8" s="28">
        <f>IFERROR(PROPERTIES[[#This Row],[TE_STARTING_KN]]/(PROPERTIES[[#This Row],[WEIGHT]]*9.81),0)</f>
        <v>0</v>
      </c>
      <c r="T8" s="28">
        <v>0.34</v>
      </c>
      <c r="U8" s="25">
        <f>ROUND(IF(IFERROR(PROPERTIES[[#This Row],[TE_COEFFICIENT_CALC]],0)=0,PROPERTIES[[#This Row],[TE_COEFFICIENT_MANUAL]],PROPERTIES[[#This Row],[TE_COEFFICIENT_CALC]]),3)</f>
        <v>0.34</v>
      </c>
      <c r="V8" s="11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36">
        <v>0</v>
      </c>
      <c r="X8" s="9">
        <v>0</v>
      </c>
      <c r="Y8" s="10">
        <v>0</v>
      </c>
      <c r="Z8" t="s">
        <v>869</v>
      </c>
      <c r="AA8" t="s">
        <v>868</v>
      </c>
      <c r="AB8" s="2" t="s">
        <v>886</v>
      </c>
      <c r="AC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8" s="2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H8" s="10" t="b">
        <v>0</v>
      </c>
      <c r="AY8"/>
      <c r="AZ8"/>
      <c r="BA8"/>
    </row>
    <row r="9" spans="1:53">
      <c r="A9" s="2" t="s">
        <v>26</v>
      </c>
      <c r="B9">
        <v>1906</v>
      </c>
      <c r="C9" cm="1">
        <f t="array" ref="C9">_xlfn.IFS(ISNUMBER(SEARCH("wagon",PROPERTIES[[#This Row],[VEHIDCODE]])),0,OR(MID(PROPERTIES[[#This Row],[VEHIDCODE]],2,2)="mu",_xlfn.TEXTBEFORE(PROPERTIES[[#This Row],[VEHIDCODE]],"_")="mtro"),1,1=1,0)</f>
        <v>0</v>
      </c>
      <c r="D9" t="s">
        <v>1951</v>
      </c>
      <c r="E9" t="str">
        <f>_xlfn.XLOOKUP(PROPERTIES[[#This Row],[COUNTRY]],COUNTRIES[COUNTRY_DESCRIPTION],COUNTRIES[COUNTRY_LABEL],"")</f>
        <v>ZA</v>
      </c>
      <c r="F9" t="str" cm="1">
        <f t="array" ref="F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" t="s">
        <v>17</v>
      </c>
      <c r="H9">
        <v>50</v>
      </c>
      <c r="I9">
        <v>8</v>
      </c>
      <c r="J9">
        <v>10</v>
      </c>
      <c r="K9" t="str" cm="1">
        <f t="array" ref="K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f>IF(ISNUMBER(SEARCH("passenger",PROPERTIES[[#This Row],[CARGODEF]])),1,0)</f>
        <v>1</v>
      </c>
      <c r="O9" s="32">
        <v>48</v>
      </c>
      <c r="P9">
        <v>40</v>
      </c>
      <c r="Q9">
        <v>48</v>
      </c>
      <c r="R9" s="29">
        <v>28.26</v>
      </c>
      <c r="S9" s="28">
        <f>IFERROR(PROPERTIES[[#This Row],[TE_STARTING_KN]]/(PROPERTIES[[#This Row],[WEIGHT]]*9.81),0)</f>
        <v>6.0015290519877681E-2</v>
      </c>
      <c r="T9" s="28">
        <v>0.08</v>
      </c>
      <c r="U9" s="25">
        <f>ROUND(IF(IFERROR(PROPERTIES[[#This Row],[TE_COEFFICIENT_CALC]],0)=0,PROPERTIES[[#This Row],[TE_COEFFICIENT_MANUAL]],PROPERTIES[[#This Row],[TE_COEFFICIENT_CALC]]),3)</f>
        <v>0.06</v>
      </c>
      <c r="V9" s="11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36">
        <v>0</v>
      </c>
      <c r="X9" s="9">
        <v>2</v>
      </c>
      <c r="Y9" s="10">
        <v>0</v>
      </c>
      <c r="Z9" t="s">
        <v>872</v>
      </c>
      <c r="AA9" t="s">
        <v>868</v>
      </c>
      <c r="AB9" s="2" t="s">
        <v>886</v>
      </c>
      <c r="AC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9" s="2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H9" s="10" t="b">
        <v>0</v>
      </c>
      <c r="AY9"/>
      <c r="AZ9"/>
      <c r="BA9"/>
    </row>
    <row r="10" spans="1:53">
      <c r="A10" s="2" t="s">
        <v>27</v>
      </c>
      <c r="B10">
        <v>1912</v>
      </c>
      <c r="C10" cm="1">
        <f t="array" ref="C10">_xlfn.IFS(ISNUMBER(SEARCH("wagon",PROPERTIES[[#This Row],[VEHIDCODE]])),0,OR(MID(PROPERTIES[[#This Row],[VEHIDCODE]],2,2)="mu",_xlfn.TEXTBEFORE(PROPERTIES[[#This Row],[VEHIDCODE]],"_")="mtro"),1,1=1,0)</f>
        <v>0</v>
      </c>
      <c r="D10" t="s">
        <v>1719</v>
      </c>
      <c r="E10" t="str">
        <f>_xlfn.XLOOKUP(PROPERTIES[[#This Row],[COUNTRY]],COUNTRIES[COUNTRY_DESCRIPTION],COUNTRIES[COUNTRY_LABEL],"")</f>
        <v>AU</v>
      </c>
      <c r="F10" t="str" cm="1">
        <f t="array" ref="F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" t="s">
        <v>17</v>
      </c>
      <c r="H10">
        <v>32</v>
      </c>
      <c r="I10">
        <v>6</v>
      </c>
      <c r="J10">
        <v>6</v>
      </c>
      <c r="K10" t="str" cm="1">
        <f t="array" ref="K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f>IF(ISNUMBER(SEARCH("passenger",PROPERTIES[[#This Row],[CARGODEF]])),1,0)</f>
        <v>1</v>
      </c>
      <c r="O10" s="32">
        <v>42</v>
      </c>
      <c r="P10">
        <v>91</v>
      </c>
      <c r="Q10">
        <v>55</v>
      </c>
      <c r="R10" s="29">
        <v>0</v>
      </c>
      <c r="S10" s="28">
        <f>IFERROR(PROPERTIES[[#This Row],[TE_STARTING_KN]]/(PROPERTIES[[#This Row],[WEIGHT]]*9.81),0)</f>
        <v>0</v>
      </c>
      <c r="T10" s="28">
        <v>0.14000000000000001</v>
      </c>
      <c r="U10" s="25">
        <f>ROUND(IF(IFERROR(PROPERTIES[[#This Row],[TE_COEFFICIENT_CALC]],0)=0,PROPERTIES[[#This Row],[TE_COEFFICIENT_MANUAL]],PROPERTIES[[#This Row],[TE_COEFFICIENT_CALC]]),3)</f>
        <v>0.14000000000000001</v>
      </c>
      <c r="V10" s="11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36">
        <v>0</v>
      </c>
      <c r="X10" s="9">
        <v>0</v>
      </c>
      <c r="Y10" s="10">
        <v>0</v>
      </c>
      <c r="Z10" t="s">
        <v>871</v>
      </c>
      <c r="AA10" t="s">
        <v>868</v>
      </c>
      <c r="AB10" s="2" t="s">
        <v>886</v>
      </c>
      <c r="AC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0" s="2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H10" s="10" t="b">
        <v>0</v>
      </c>
      <c r="AY10"/>
      <c r="AZ10"/>
      <c r="BA10"/>
    </row>
    <row r="11" spans="1:53">
      <c r="A11" s="2" t="s">
        <v>28</v>
      </c>
      <c r="B11">
        <v>1880</v>
      </c>
      <c r="C11" cm="1">
        <f t="array" ref="C11">_xlfn.IFS(ISNUMBER(SEARCH("wagon",PROPERTIES[[#This Row],[VEHIDCODE]])),0,OR(MID(PROPERTIES[[#This Row],[VEHIDCODE]],2,2)="mu",_xlfn.TEXTBEFORE(PROPERTIES[[#This Row],[VEHIDCODE]],"_")="mtro"),1,1=1,0)</f>
        <v>0</v>
      </c>
      <c r="D11" t="s">
        <v>1718</v>
      </c>
      <c r="E11" t="str">
        <f>_xlfn.XLOOKUP(PROPERTIES[[#This Row],[COUNTRY]],COUNTRIES[COUNTRY_DESCRIPTION],COUNTRIES[COUNTRY_LABEL],"")</f>
        <v>AT</v>
      </c>
      <c r="F11" t="str" cm="1">
        <f t="array" ref="F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" t="s">
        <v>29</v>
      </c>
      <c r="H11">
        <v>14</v>
      </c>
      <c r="I11">
        <v>5</v>
      </c>
      <c r="J11">
        <v>5</v>
      </c>
      <c r="K11" t="str" cm="1">
        <f t="array" ref="K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f>IF(ISNUMBER(SEARCH("passenger",PROPERTIES[[#This Row],[CARGODEF]])),1,0)</f>
        <v>0</v>
      </c>
      <c r="O11" s="32">
        <v>23</v>
      </c>
      <c r="P11">
        <v>28</v>
      </c>
      <c r="Q11">
        <v>80</v>
      </c>
      <c r="R11" s="29">
        <v>0</v>
      </c>
      <c r="S11" s="28">
        <f>IFERROR(PROPERTIES[[#This Row],[TE_STARTING_KN]]/(PROPERTIES[[#This Row],[WEIGHT]]*9.81),0)</f>
        <v>0</v>
      </c>
      <c r="T11" s="28">
        <v>7.0000000000000007E-2</v>
      </c>
      <c r="U11" s="25">
        <f>ROUND(IF(IFERROR(PROPERTIES[[#This Row],[TE_COEFFICIENT_CALC]],0)=0,PROPERTIES[[#This Row],[TE_COEFFICIENT_MANUAL]],PROPERTIES[[#This Row],[TE_COEFFICIENT_CALC]]),3)</f>
        <v>7.0000000000000007E-2</v>
      </c>
      <c r="V11" s="11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36">
        <v>0</v>
      </c>
      <c r="X11" s="9">
        <v>0</v>
      </c>
      <c r="Y11" s="10">
        <v>0</v>
      </c>
      <c r="Z11" t="s">
        <v>869</v>
      </c>
      <c r="AA11" t="s">
        <v>868</v>
      </c>
      <c r="AB11" s="2" t="s">
        <v>886</v>
      </c>
      <c r="AC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1" s="2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H11" s="10" t="b">
        <v>0</v>
      </c>
      <c r="AY11"/>
      <c r="AZ11"/>
      <c r="BA11"/>
    </row>
    <row r="12" spans="1:53">
      <c r="A12" s="2" t="s">
        <v>30</v>
      </c>
      <c r="B12">
        <v>1922</v>
      </c>
      <c r="C12" cm="1">
        <f t="array" ref="C12">_xlfn.IFS(ISNUMBER(SEARCH("wagon",PROPERTIES[[#This Row],[VEHIDCODE]])),0,OR(MID(PROPERTIES[[#This Row],[VEHIDCODE]],2,2)="mu",_xlfn.TEXTBEFORE(PROPERTIES[[#This Row],[VEHIDCODE]],"_")="mtro"),1,1=1,0)</f>
        <v>0</v>
      </c>
      <c r="D12" t="s">
        <v>1719</v>
      </c>
      <c r="E12" t="str">
        <f>_xlfn.XLOOKUP(PROPERTIES[[#This Row],[COUNTRY]],COUNTRIES[COUNTRY_DESCRIPTION],COUNTRIES[COUNTRY_LABEL],"")</f>
        <v>AU</v>
      </c>
      <c r="F12" t="str" cm="1">
        <f t="array" ref="F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2" t="s">
        <v>17</v>
      </c>
      <c r="H12">
        <v>37</v>
      </c>
      <c r="I12">
        <v>5</v>
      </c>
      <c r="J12">
        <v>5</v>
      </c>
      <c r="K12" t="str" cm="1">
        <f t="array" ref="K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f>IF(ISNUMBER(SEARCH("passenger",PROPERTIES[[#This Row],[CARGODEF]])),1,0)</f>
        <v>1</v>
      </c>
      <c r="O12" s="32">
        <v>24</v>
      </c>
      <c r="P12">
        <v>45</v>
      </c>
      <c r="Q12">
        <v>50</v>
      </c>
      <c r="R12" s="29">
        <v>0</v>
      </c>
      <c r="S12" s="28">
        <f>IFERROR(PROPERTIES[[#This Row],[TE_STARTING_KN]]/(PROPERTIES[[#This Row],[WEIGHT]]*9.81),0)</f>
        <v>0</v>
      </c>
      <c r="T12" s="28">
        <v>0.1</v>
      </c>
      <c r="U12" s="25">
        <f>ROUND(IF(IFERROR(PROPERTIES[[#This Row],[TE_COEFFICIENT_CALC]],0)=0,PROPERTIES[[#This Row],[TE_COEFFICIENT_MANUAL]],PROPERTIES[[#This Row],[TE_COEFFICIENT_CALC]]),3)</f>
        <v>0.1</v>
      </c>
      <c r="V12" s="11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36">
        <v>0</v>
      </c>
      <c r="X12" s="9">
        <v>0</v>
      </c>
      <c r="Y12" s="10">
        <v>0</v>
      </c>
      <c r="Z12" t="s">
        <v>871</v>
      </c>
      <c r="AA12" t="s">
        <v>868</v>
      </c>
      <c r="AB12" s="2" t="s">
        <v>886</v>
      </c>
      <c r="AC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2" s="2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H12" s="10" t="b">
        <v>0</v>
      </c>
      <c r="AY12"/>
      <c r="AZ12"/>
      <c r="BA12"/>
    </row>
    <row r="13" spans="1:53">
      <c r="A13" s="2" t="s">
        <v>32</v>
      </c>
      <c r="B13">
        <v>1932</v>
      </c>
      <c r="C13" cm="1">
        <f t="array" ref="C13">_xlfn.IFS(ISNUMBER(SEARCH("wagon",PROPERTIES[[#This Row],[VEHIDCODE]])),0,OR(MID(PROPERTIES[[#This Row],[VEHIDCODE]],2,2)="mu",_xlfn.TEXTBEFORE(PROPERTIES[[#This Row],[VEHIDCODE]],"_")="mtro"),1,1=1,0)</f>
        <v>0</v>
      </c>
      <c r="D13" t="s">
        <v>1763</v>
      </c>
      <c r="E13" t="str">
        <f>_xlfn.XLOOKUP(PROPERTIES[[#This Row],[COUNTRY]],COUNTRIES[COUNTRY_DESCRIPTION],COUNTRIES[COUNTRY_LABEL],"")</f>
        <v>DE</v>
      </c>
      <c r="F13" t="str" cm="1">
        <f t="array" ref="F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3" t="s">
        <v>17</v>
      </c>
      <c r="H13">
        <v>24</v>
      </c>
      <c r="I13">
        <v>6</v>
      </c>
      <c r="J13">
        <v>6</v>
      </c>
      <c r="K13" t="str" cm="1">
        <f t="array" ref="K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f>IF(ISNUMBER(SEARCH("passenger",PROPERTIES[[#This Row],[CARGODEF]])),1,0)</f>
        <v>1</v>
      </c>
      <c r="O13" s="32">
        <v>6</v>
      </c>
      <c r="P13">
        <v>38</v>
      </c>
      <c r="Q13">
        <v>56</v>
      </c>
      <c r="R13" s="29">
        <v>0</v>
      </c>
      <c r="S13" s="28">
        <f>IFERROR(PROPERTIES[[#This Row],[TE_STARTING_KN]]/(PROPERTIES[[#This Row],[WEIGHT]]*9.81),0)</f>
        <v>0</v>
      </c>
      <c r="T13" s="28">
        <v>0.5</v>
      </c>
      <c r="U13" s="25">
        <f>ROUND(IF(IFERROR(PROPERTIES[[#This Row],[TE_COEFFICIENT_CALC]],0)=0,PROPERTIES[[#This Row],[TE_COEFFICIENT_MANUAL]],PROPERTIES[[#This Row],[TE_COEFFICIENT_CALC]]),3)</f>
        <v>0.5</v>
      </c>
      <c r="V13" s="11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36">
        <v>0</v>
      </c>
      <c r="X13" s="9">
        <v>0</v>
      </c>
      <c r="Y13" s="10">
        <v>0</v>
      </c>
      <c r="Z13" t="s">
        <v>869</v>
      </c>
      <c r="AA13" t="s">
        <v>868</v>
      </c>
      <c r="AB13" s="2" t="s">
        <v>886</v>
      </c>
      <c r="AC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3" s="2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H13" s="10" t="b">
        <v>0</v>
      </c>
      <c r="AY13"/>
      <c r="AZ13"/>
      <c r="BA13"/>
    </row>
    <row r="14" spans="1:53">
      <c r="A14" s="2" t="s">
        <v>33</v>
      </c>
      <c r="B14">
        <v>1934</v>
      </c>
      <c r="C14" cm="1">
        <f t="array" ref="C14">_xlfn.IFS(ISNUMBER(SEARCH("wagon",PROPERTIES[[#This Row],[VEHIDCODE]])),0,OR(MID(PROPERTIES[[#This Row],[VEHIDCODE]],2,2)="mu",_xlfn.TEXTBEFORE(PROPERTIES[[#This Row],[VEHIDCODE]],"_")="mtro"),1,1=1,0)</f>
        <v>0</v>
      </c>
      <c r="D14" t="s">
        <v>1782</v>
      </c>
      <c r="E14" t="str">
        <f>_xlfn.XLOOKUP(PROPERTIES[[#This Row],[COUNTRY]],COUNTRIES[COUNTRY_DESCRIPTION],COUNTRIES[COUNTRY_LABEL],"")</f>
        <v>GB</v>
      </c>
      <c r="F14" t="str" cm="1">
        <f t="array" ref="F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4" t="s">
        <v>17</v>
      </c>
      <c r="H14">
        <v>69</v>
      </c>
      <c r="I14">
        <v>6</v>
      </c>
      <c r="J14">
        <v>6</v>
      </c>
      <c r="K14" t="str" cm="1">
        <f t="array" ref="K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f>IF(ISNUMBER(SEARCH("passenger",PROPERTIES[[#This Row],[CARGODEF]])),1,0)</f>
        <v>1</v>
      </c>
      <c r="O14" s="32">
        <v>24</v>
      </c>
      <c r="P14">
        <v>130</v>
      </c>
      <c r="Q14">
        <v>101</v>
      </c>
      <c r="R14" s="29">
        <v>0</v>
      </c>
      <c r="S14" s="28">
        <f>IFERROR(PROPERTIES[[#This Row],[TE_STARTING_KN]]/(PROPERTIES[[#This Row],[WEIGHT]]*9.81),0)</f>
        <v>0</v>
      </c>
      <c r="T14" s="28">
        <v>0.27</v>
      </c>
      <c r="U14" s="25">
        <f>ROUND(IF(IFERROR(PROPERTIES[[#This Row],[TE_COEFFICIENT_CALC]],0)=0,PROPERTIES[[#This Row],[TE_COEFFICIENT_MANUAL]],PROPERTIES[[#This Row],[TE_COEFFICIENT_CALC]]),3)</f>
        <v>0.27</v>
      </c>
      <c r="V14" s="11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36">
        <v>0</v>
      </c>
      <c r="X14" s="9">
        <v>0</v>
      </c>
      <c r="Y14" s="10">
        <v>0</v>
      </c>
      <c r="Z14" t="s">
        <v>873</v>
      </c>
      <c r="AA14" t="s">
        <v>868</v>
      </c>
      <c r="AB14" s="2" t="s">
        <v>886</v>
      </c>
      <c r="AC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4" s="2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H14" s="10" t="b">
        <v>0</v>
      </c>
      <c r="AY14"/>
      <c r="AZ14"/>
      <c r="BA14"/>
    </row>
    <row r="15" spans="1:53">
      <c r="A15" s="2" t="s">
        <v>34</v>
      </c>
      <c r="B15">
        <v>1935</v>
      </c>
      <c r="C15" cm="1">
        <f t="array" ref="C15">_xlfn.IFS(ISNUMBER(SEARCH("wagon",PROPERTIES[[#This Row],[VEHIDCODE]])),0,OR(MID(PROPERTIES[[#This Row],[VEHIDCODE]],2,2)="mu",_xlfn.TEXTBEFORE(PROPERTIES[[#This Row],[VEHIDCODE]],"_")="mtro"),1,1=1,0)</f>
        <v>0</v>
      </c>
      <c r="D15" t="s">
        <v>1718</v>
      </c>
      <c r="E15" t="str">
        <f>_xlfn.XLOOKUP(PROPERTIES[[#This Row],[COUNTRY]],COUNTRIES[COUNTRY_DESCRIPTION],COUNTRIES[COUNTRY_LABEL],"")</f>
        <v>AT</v>
      </c>
      <c r="F15" t="str" cm="1">
        <f t="array" ref="F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5" t="s">
        <v>17</v>
      </c>
      <c r="H15">
        <v>78</v>
      </c>
      <c r="I15">
        <v>8</v>
      </c>
      <c r="J15">
        <v>8</v>
      </c>
      <c r="K15" t="str" cm="1">
        <f t="array" ref="K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f>IF(ISNUMBER(SEARCH("passenger",PROPERTIES[[#This Row],[CARGODEF]])),1,0)</f>
        <v>1</v>
      </c>
      <c r="O15" s="32">
        <v>59</v>
      </c>
      <c r="P15">
        <v>210</v>
      </c>
      <c r="Q15">
        <v>110</v>
      </c>
      <c r="R15" s="29">
        <v>50</v>
      </c>
      <c r="S15" s="28">
        <f>IFERROR(PROPERTIES[[#This Row],[TE_STARTING_KN]]/(PROPERTIES[[#This Row],[WEIGHT]]*9.81),0)</f>
        <v>8.6387117952970841E-2</v>
      </c>
      <c r="T15" s="28">
        <v>0.08</v>
      </c>
      <c r="U15" s="25">
        <f>ROUND(IF(IFERROR(PROPERTIES[[#This Row],[TE_COEFFICIENT_CALC]],0)=0,PROPERTIES[[#This Row],[TE_COEFFICIENT_MANUAL]],PROPERTIES[[#This Row],[TE_COEFFICIENT_CALC]]),3)</f>
        <v>8.5999999999999993E-2</v>
      </c>
      <c r="V15" s="11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36">
        <v>0</v>
      </c>
      <c r="X15" s="9">
        <v>0</v>
      </c>
      <c r="Y15" s="10">
        <v>0</v>
      </c>
      <c r="Z15" t="s">
        <v>869</v>
      </c>
      <c r="AA15" t="s">
        <v>868</v>
      </c>
      <c r="AB15" s="2" t="s">
        <v>886</v>
      </c>
      <c r="AC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5" s="2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H15" s="10" t="b">
        <v>0</v>
      </c>
      <c r="AY15"/>
      <c r="AZ15"/>
      <c r="BA15"/>
    </row>
    <row r="16" spans="1:53">
      <c r="A16" s="2" t="s">
        <v>35</v>
      </c>
      <c r="B16">
        <v>1940</v>
      </c>
      <c r="C16" cm="1">
        <f t="array" ref="C16">_xlfn.IFS(ISNUMBER(SEARCH("wagon",PROPERTIES[[#This Row],[VEHIDCODE]])),0,OR(MID(PROPERTIES[[#This Row],[VEHIDCODE]],2,2)="mu",_xlfn.TEXTBEFORE(PROPERTIES[[#This Row],[VEHIDCODE]],"_")="mtro"),1,1=1,0)</f>
        <v>0</v>
      </c>
      <c r="D16" t="s">
        <v>1876</v>
      </c>
      <c r="E16" t="str">
        <f>_xlfn.XLOOKUP(PROPERTIES[[#This Row],[COUNTRY]],COUNTRIES[COUNTRY_DESCRIPTION],COUNTRIES[COUNTRY_LABEL],"")</f>
        <v>NZ</v>
      </c>
      <c r="F16" t="str" cm="1">
        <f t="array" ref="F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6" t="s">
        <v>17</v>
      </c>
      <c r="H16">
        <v>50</v>
      </c>
      <c r="I16">
        <v>8</v>
      </c>
      <c r="J16">
        <v>8</v>
      </c>
      <c r="K16" t="str" cm="1">
        <f t="array" ref="K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f>IF(ISNUMBER(SEARCH("passenger",PROPERTIES[[#This Row],[CARGODEF]])),1,0)</f>
        <v>1</v>
      </c>
      <c r="O16" s="32">
        <v>30</v>
      </c>
      <c r="P16">
        <f>114*2</f>
        <v>228</v>
      </c>
      <c r="Q16">
        <v>100</v>
      </c>
      <c r="R16" s="29">
        <v>0</v>
      </c>
      <c r="S16" s="28">
        <f>IFERROR(PROPERTIES[[#This Row],[TE_STARTING_KN]]/(PROPERTIES[[#This Row],[WEIGHT]]*9.81),0)</f>
        <v>0</v>
      </c>
      <c r="T16" s="28">
        <v>0.2</v>
      </c>
      <c r="U16" s="25">
        <f>ROUND(IF(IFERROR(PROPERTIES[[#This Row],[TE_COEFFICIENT_CALC]],0)=0,PROPERTIES[[#This Row],[TE_COEFFICIENT_MANUAL]],PROPERTIES[[#This Row],[TE_COEFFICIENT_CALC]]),3)</f>
        <v>0.2</v>
      </c>
      <c r="V16" s="11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36">
        <v>0</v>
      </c>
      <c r="X16" s="9">
        <v>0</v>
      </c>
      <c r="Y16" s="10">
        <v>0</v>
      </c>
      <c r="Z16" t="s">
        <v>871</v>
      </c>
      <c r="AA16" t="s">
        <v>868</v>
      </c>
      <c r="AB16" s="2" t="s">
        <v>886</v>
      </c>
      <c r="AC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6" s="2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H16" s="10" t="b">
        <v>0</v>
      </c>
      <c r="AY16"/>
      <c r="AZ16"/>
      <c r="BA16"/>
    </row>
    <row r="17" spans="1:53">
      <c r="A17" s="2" t="s">
        <v>36</v>
      </c>
      <c r="B17">
        <v>1948</v>
      </c>
      <c r="C17" cm="1">
        <f t="array" ref="C17">_xlfn.IFS(ISNUMBER(SEARCH("wagon",PROPERTIES[[#This Row],[VEHIDCODE]])),0,OR(MID(PROPERTIES[[#This Row],[VEHIDCODE]],2,2)="mu",_xlfn.TEXTBEFORE(PROPERTIES[[#This Row],[VEHIDCODE]],"_")="mtro"),1,1=1,0)</f>
        <v>0</v>
      </c>
      <c r="D17" t="s">
        <v>1889</v>
      </c>
      <c r="E17" t="str">
        <f>_xlfn.XLOOKUP(PROPERTIES[[#This Row],[COUNTRY]],COUNTRIES[COUNTRY_DESCRIPTION],COUNTRIES[COUNTRY_LABEL],"")</f>
        <v>PT</v>
      </c>
      <c r="F17" t="str" cm="1">
        <f t="array" ref="F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" t="s">
        <v>17</v>
      </c>
      <c r="H17">
        <v>70</v>
      </c>
      <c r="I17">
        <v>8</v>
      </c>
      <c r="J17">
        <v>8</v>
      </c>
      <c r="K17" t="str" cm="1">
        <f t="array" ref="K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f>IF(ISNUMBER(SEARCH("passenger",PROPERTIES[[#This Row],[CARGODEF]])),1,0)</f>
        <v>1</v>
      </c>
      <c r="O17" s="32">
        <v>34</v>
      </c>
      <c r="P17">
        <v>350</v>
      </c>
      <c r="Q17">
        <v>100</v>
      </c>
      <c r="R17" s="29">
        <v>0</v>
      </c>
      <c r="S17" s="28">
        <f>IFERROR(PROPERTIES[[#This Row],[TE_STARTING_KN]]/(PROPERTIES[[#This Row],[WEIGHT]]*9.81),0)</f>
        <v>0</v>
      </c>
      <c r="T17" s="28">
        <v>0.12</v>
      </c>
      <c r="U17" s="25">
        <f>ROUND(IF(IFERROR(PROPERTIES[[#This Row],[TE_COEFFICIENT_CALC]],0)=0,PROPERTIES[[#This Row],[TE_COEFFICIENT_MANUAL]],PROPERTIES[[#This Row],[TE_COEFFICIENT_CALC]]),3)</f>
        <v>0.12</v>
      </c>
      <c r="V17" s="11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36">
        <v>0</v>
      </c>
      <c r="X17" s="9">
        <v>0</v>
      </c>
      <c r="Y17" s="10">
        <v>0</v>
      </c>
      <c r="Z17" t="s">
        <v>870</v>
      </c>
      <c r="AA17" t="s">
        <v>868</v>
      </c>
      <c r="AB17" s="2" t="s">
        <v>886</v>
      </c>
      <c r="AC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7" s="2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H17" s="10" t="b">
        <v>0</v>
      </c>
      <c r="AY17"/>
      <c r="AZ17"/>
      <c r="BA17"/>
    </row>
    <row r="18" spans="1:53">
      <c r="A18" s="2" t="s">
        <v>37</v>
      </c>
      <c r="B18">
        <v>1949</v>
      </c>
      <c r="C18" cm="1">
        <f t="array" ref="C18">_xlfn.IFS(ISNUMBER(SEARCH("wagon",PROPERTIES[[#This Row],[VEHIDCODE]])),0,OR(MID(PROPERTIES[[#This Row],[VEHIDCODE]],2,2)="mu",_xlfn.TEXTBEFORE(PROPERTIES[[#This Row],[VEHIDCODE]],"_")="mtro"),1,1=1,0)</f>
        <v>0</v>
      </c>
      <c r="D18" t="s">
        <v>1937</v>
      </c>
      <c r="E18" t="str">
        <f>_xlfn.XLOOKUP(PROPERTIES[[#This Row],[COUNTRY]],COUNTRIES[COUNTRY_DESCRIPTION],COUNTRIES[COUNTRY_LABEL],"")</f>
        <v>US</v>
      </c>
      <c r="F18" t="str" cm="1">
        <f t="array" ref="F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" t="s">
        <v>17</v>
      </c>
      <c r="H18">
        <v>90</v>
      </c>
      <c r="I18">
        <v>8</v>
      </c>
      <c r="J18">
        <v>8</v>
      </c>
      <c r="K18" t="str" cm="1">
        <f t="array" ref="K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f>IF(ISNUMBER(SEARCH("passenger",PROPERTIES[[#This Row],[CARGODEF]])),1,0)</f>
        <v>1</v>
      </c>
      <c r="O18" s="32">
        <v>49</v>
      </c>
      <c r="P18">
        <v>550</v>
      </c>
      <c r="Q18">
        <v>136</v>
      </c>
      <c r="R18" s="29">
        <v>0</v>
      </c>
      <c r="S18" s="28">
        <f>IFERROR(PROPERTIES[[#This Row],[TE_STARTING_KN]]/(PROPERTIES[[#This Row],[WEIGHT]]*9.81),0)</f>
        <v>0</v>
      </c>
      <c r="T18" s="28">
        <v>0.1</v>
      </c>
      <c r="U18" s="25">
        <f>ROUND(IF(IFERROR(PROPERTIES[[#This Row],[TE_COEFFICIENT_CALC]],0)=0,PROPERTIES[[#This Row],[TE_COEFFICIENT_MANUAL]],PROPERTIES[[#This Row],[TE_COEFFICIENT_CALC]]),3)</f>
        <v>0.1</v>
      </c>
      <c r="V18" s="11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36">
        <v>0</v>
      </c>
      <c r="X18" s="9">
        <v>0</v>
      </c>
      <c r="Y18" s="10">
        <v>0</v>
      </c>
      <c r="Z18" t="s">
        <v>874</v>
      </c>
      <c r="AA18" t="s">
        <v>868</v>
      </c>
      <c r="AB18" s="2" t="s">
        <v>886</v>
      </c>
      <c r="AC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8" s="2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H18" s="10" t="b">
        <v>0</v>
      </c>
      <c r="AY18"/>
      <c r="AZ18"/>
      <c r="BA18"/>
    </row>
    <row r="19" spans="1:53">
      <c r="A19" s="2" t="s">
        <v>38</v>
      </c>
      <c r="B19">
        <v>1953</v>
      </c>
      <c r="C19" cm="1">
        <f t="array" ref="C19">_xlfn.IFS(ISNUMBER(SEARCH("wagon",PROPERTIES[[#This Row],[VEHIDCODE]])),0,OR(MID(PROPERTIES[[#This Row],[VEHIDCODE]],2,2)="mu",_xlfn.TEXTBEFORE(PROPERTIES[[#This Row],[VEHIDCODE]],"_")="mtro"),1,1=1,0)</f>
        <v>0</v>
      </c>
      <c r="D19" t="s">
        <v>1763</v>
      </c>
      <c r="E19" t="str">
        <f>_xlfn.XLOOKUP(PROPERTIES[[#This Row],[COUNTRY]],COUNTRIES[COUNTRY_DESCRIPTION],COUNTRIES[COUNTRY_LABEL],"")</f>
        <v>DE</v>
      </c>
      <c r="F19" t="str" cm="1">
        <f t="array" ref="F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" t="s">
        <v>17</v>
      </c>
      <c r="H19">
        <v>56</v>
      </c>
      <c r="I19">
        <v>6</v>
      </c>
      <c r="J19">
        <v>6</v>
      </c>
      <c r="K19" t="str" cm="1">
        <f t="array" ref="K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f>IF(ISNUMBER(SEARCH("passenger",PROPERTIES[[#This Row],[CARGODEF]])),1,0)</f>
        <v>1</v>
      </c>
      <c r="O19" s="32">
        <v>21</v>
      </c>
      <c r="P19">
        <v>300</v>
      </c>
      <c r="Q19">
        <v>90</v>
      </c>
      <c r="R19" s="29">
        <v>0</v>
      </c>
      <c r="S19" s="28">
        <f>IFERROR(PROPERTIES[[#This Row],[TE_STARTING_KN]]/(PROPERTIES[[#This Row],[WEIGHT]]*9.81),0)</f>
        <v>0</v>
      </c>
      <c r="T19" s="28">
        <v>0.2</v>
      </c>
      <c r="U19" s="25">
        <f>ROUND(IF(IFERROR(PROPERTIES[[#This Row],[TE_COEFFICIENT_CALC]],0)=0,PROPERTIES[[#This Row],[TE_COEFFICIENT_MANUAL]],PROPERTIES[[#This Row],[TE_COEFFICIENT_CALC]]),3)</f>
        <v>0.2</v>
      </c>
      <c r="V19" s="11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36">
        <v>0</v>
      </c>
      <c r="X19" s="9">
        <v>0</v>
      </c>
      <c r="Y19" s="10">
        <v>0</v>
      </c>
      <c r="Z19" t="s">
        <v>869</v>
      </c>
      <c r="AA19" t="s">
        <v>868</v>
      </c>
      <c r="AB19" s="2" t="s">
        <v>886</v>
      </c>
      <c r="AC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9" s="2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H19" s="10" t="b">
        <v>0</v>
      </c>
      <c r="AY19"/>
      <c r="AZ19"/>
      <c r="BA19"/>
    </row>
    <row r="20" spans="1:53">
      <c r="A20" s="2" t="s">
        <v>39</v>
      </c>
      <c r="B20">
        <v>1959</v>
      </c>
      <c r="C20" cm="1">
        <f t="array" ref="C20">_xlfn.IFS(ISNUMBER(SEARCH("wagon",PROPERTIES[[#This Row],[VEHIDCODE]])),0,OR(MID(PROPERTIES[[#This Row],[VEHIDCODE]],2,2)="mu",_xlfn.TEXTBEFORE(PROPERTIES[[#This Row],[VEHIDCODE]],"_")="mtro"),1,1=1,0)</f>
        <v>0</v>
      </c>
      <c r="D20" t="s">
        <v>1763</v>
      </c>
      <c r="E20" t="str">
        <f>_xlfn.XLOOKUP(PROPERTIES[[#This Row],[COUNTRY]],COUNTRIES[COUNTRY_DESCRIPTION],COUNTRIES[COUNTRY_LABEL],"")</f>
        <v>DE</v>
      </c>
      <c r="F20" t="str" cm="1">
        <f t="array" ref="F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" t="s">
        <v>17</v>
      </c>
      <c r="H20">
        <v>108</v>
      </c>
      <c r="I20">
        <v>8</v>
      </c>
      <c r="J20">
        <v>8</v>
      </c>
      <c r="K20" t="str" cm="1">
        <f t="array" ref="K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f>IF(ISNUMBER(SEARCH("passenger",PROPERTIES[[#This Row],[CARGODEF]])),1,0)</f>
        <v>1</v>
      </c>
      <c r="O20" s="32">
        <v>39</v>
      </c>
      <c r="P20">
        <v>440</v>
      </c>
      <c r="Q20">
        <v>70</v>
      </c>
      <c r="R20" s="29">
        <v>0</v>
      </c>
      <c r="S20" s="28">
        <f>IFERROR(PROPERTIES[[#This Row],[TE_STARTING_KN]]/(PROPERTIES[[#This Row],[WEIGHT]]*9.81),0)</f>
        <v>0</v>
      </c>
      <c r="T20" s="28">
        <v>0.25</v>
      </c>
      <c r="U20" s="25">
        <f>ROUND(IF(IFERROR(PROPERTIES[[#This Row],[TE_COEFFICIENT_CALC]],0)=0,PROPERTIES[[#This Row],[TE_COEFFICIENT_MANUAL]],PROPERTIES[[#This Row],[TE_COEFFICIENT_CALC]]),3)</f>
        <v>0.25</v>
      </c>
      <c r="V20" s="11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36">
        <v>0</v>
      </c>
      <c r="X20" s="9">
        <v>0</v>
      </c>
      <c r="Y20" s="10">
        <v>0</v>
      </c>
      <c r="Z20" t="s">
        <v>869</v>
      </c>
      <c r="AA20" t="s">
        <v>868</v>
      </c>
      <c r="AB20" s="2" t="s">
        <v>886</v>
      </c>
      <c r="AC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0" s="2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H20" s="10" t="b">
        <v>0</v>
      </c>
      <c r="AY20"/>
      <c r="AZ20"/>
      <c r="BA20"/>
    </row>
    <row r="21" spans="1:53">
      <c r="A21" s="2" t="s">
        <v>40</v>
      </c>
      <c r="B21">
        <v>1954</v>
      </c>
      <c r="C21" cm="1">
        <f t="array" ref="C21">_xlfn.IFS(ISNUMBER(SEARCH("wagon",PROPERTIES[[#This Row],[VEHIDCODE]])),0,OR(MID(PROPERTIES[[#This Row],[VEHIDCODE]],2,2)="mu",_xlfn.TEXTBEFORE(PROPERTIES[[#This Row],[VEHIDCODE]],"_")="mtro"),1,1=1,0)</f>
        <v>0</v>
      </c>
      <c r="D21" t="s">
        <v>1871</v>
      </c>
      <c r="E21" t="str">
        <f>_xlfn.XLOOKUP(PROPERTIES[[#This Row],[COUNTRY]],COUNTRIES[COUNTRY_DESCRIPTION],COUNTRIES[COUNTRY_LABEL],"")</f>
        <v>NL</v>
      </c>
      <c r="F21" t="str" cm="1">
        <f t="array" ref="F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" t="s">
        <v>17</v>
      </c>
      <c r="H21">
        <v>28</v>
      </c>
      <c r="I21">
        <v>8</v>
      </c>
      <c r="J21">
        <v>8</v>
      </c>
      <c r="K21" t="str" cm="1">
        <f t="array" ref="K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f>IF(ISNUMBER(SEARCH("passenger",PROPERTIES[[#This Row],[CARGODEF]])),1,0)</f>
        <v>1</v>
      </c>
      <c r="O21" s="32">
        <v>58</v>
      </c>
      <c r="P21">
        <v>285</v>
      </c>
      <c r="Q21">
        <v>125</v>
      </c>
      <c r="R21" s="29">
        <v>0</v>
      </c>
      <c r="S21" s="28">
        <f>IFERROR(PROPERTIES[[#This Row],[TE_STARTING_KN]]/(PROPERTIES[[#This Row],[WEIGHT]]*9.81),0)</f>
        <v>0</v>
      </c>
      <c r="T21" s="28">
        <v>0.12</v>
      </c>
      <c r="U21" s="25">
        <f>ROUND(IF(IFERROR(PROPERTIES[[#This Row],[TE_COEFFICIENT_CALC]],0)=0,PROPERTIES[[#This Row],[TE_COEFFICIENT_MANUAL]],PROPERTIES[[#This Row],[TE_COEFFICIENT_CALC]]),3)</f>
        <v>0.12</v>
      </c>
      <c r="V21" s="11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36">
        <v>0</v>
      </c>
      <c r="X21" s="9">
        <v>0</v>
      </c>
      <c r="Y21" s="10">
        <v>0</v>
      </c>
      <c r="Z21" t="s">
        <v>869</v>
      </c>
      <c r="AA21" t="s">
        <v>868</v>
      </c>
      <c r="AB21" s="2" t="s">
        <v>886</v>
      </c>
      <c r="AC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1" s="2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H21" s="10" t="b">
        <v>0</v>
      </c>
      <c r="AY21"/>
      <c r="AZ21"/>
      <c r="BA21"/>
    </row>
    <row r="22" spans="1:53">
      <c r="A22" s="2" t="s">
        <v>41</v>
      </c>
      <c r="B22">
        <v>1984</v>
      </c>
      <c r="C22" cm="1">
        <f t="array" ref="C22">_xlfn.IFS(ISNUMBER(SEARCH("wagon",PROPERTIES[[#This Row],[VEHIDCODE]])),0,OR(MID(PROPERTIES[[#This Row],[VEHIDCODE]],2,2)="mu",_xlfn.TEXTBEFORE(PROPERTIES[[#This Row],[VEHIDCODE]],"_")="mtro"),1,1=1,0)</f>
        <v>0</v>
      </c>
      <c r="D22" t="s">
        <v>1871</v>
      </c>
      <c r="E22" t="str">
        <f>_xlfn.XLOOKUP(PROPERTIES[[#This Row],[COUNTRY]],COUNTRIES[COUNTRY_DESCRIPTION],COUNTRIES[COUNTRY_LABEL],"")</f>
        <v>NL</v>
      </c>
      <c r="F22" t="str" cm="1">
        <f t="array" ref="F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" t="s">
        <v>17</v>
      </c>
      <c r="H22">
        <v>56</v>
      </c>
      <c r="I22">
        <v>8</v>
      </c>
      <c r="J22">
        <v>8</v>
      </c>
      <c r="K22" t="str" cm="1">
        <f t="array" ref="K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f>IF(ISNUMBER(SEARCH("passenger",PROPERTIES[[#This Row],[CARGODEF]])),1,0)</f>
        <v>1</v>
      </c>
      <c r="O22" s="32">
        <v>37</v>
      </c>
      <c r="P22">
        <v>285</v>
      </c>
      <c r="Q22">
        <v>100</v>
      </c>
      <c r="R22" s="29">
        <v>0</v>
      </c>
      <c r="S22" s="28">
        <f>IFERROR(PROPERTIES[[#This Row],[TE_STARTING_KN]]/(PROPERTIES[[#This Row],[WEIGHT]]*9.81),0)</f>
        <v>0</v>
      </c>
      <c r="T22" s="28">
        <v>0.23</v>
      </c>
      <c r="U22" s="25">
        <f>ROUND(IF(IFERROR(PROPERTIES[[#This Row],[TE_COEFFICIENT_CALC]],0)=0,PROPERTIES[[#This Row],[TE_COEFFICIENT_MANUAL]],PROPERTIES[[#This Row],[TE_COEFFICIENT_CALC]]),3)</f>
        <v>0.23</v>
      </c>
      <c r="V22" s="11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36">
        <v>0</v>
      </c>
      <c r="X22" s="9">
        <v>0</v>
      </c>
      <c r="Y22" s="10">
        <v>0</v>
      </c>
      <c r="Z22" t="s">
        <v>869</v>
      </c>
      <c r="AA22" t="s">
        <v>868</v>
      </c>
      <c r="AB22" s="2" t="s">
        <v>886</v>
      </c>
      <c r="AC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2" s="2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H22" s="10" t="b">
        <v>0</v>
      </c>
      <c r="AY22"/>
      <c r="AZ22"/>
      <c r="BA22"/>
    </row>
    <row r="23" spans="1:53">
      <c r="A23" s="2" t="s">
        <v>42</v>
      </c>
      <c r="B23">
        <v>1987</v>
      </c>
      <c r="C23" cm="1">
        <f t="array" ref="C23">_xlfn.IFS(ISNUMBER(SEARCH("wagon",PROPERTIES[[#This Row],[VEHIDCODE]])),0,OR(MID(PROPERTIES[[#This Row],[VEHIDCODE]],2,2)="mu",_xlfn.TEXTBEFORE(PROPERTIES[[#This Row],[VEHIDCODE]],"_")="mtro"),1,1=1,0)</f>
        <v>0</v>
      </c>
      <c r="D23" t="s">
        <v>1718</v>
      </c>
      <c r="E23" t="str">
        <f>_xlfn.XLOOKUP(PROPERTIES[[#This Row],[COUNTRY]],COUNTRIES[COUNTRY_DESCRIPTION],COUNTRIES[COUNTRY_LABEL],"")</f>
        <v>AT</v>
      </c>
      <c r="F23" t="str" cm="1">
        <f t="array" ref="F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" t="s">
        <v>17</v>
      </c>
      <c r="H23">
        <v>62</v>
      </c>
      <c r="I23">
        <v>8</v>
      </c>
      <c r="J23">
        <v>8</v>
      </c>
      <c r="K23" t="str" cm="1">
        <f t="array" ref="K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f>IF(ISNUMBER(SEARCH("passenger",PROPERTIES[[#This Row],[CARGODEF]])),1,0)</f>
        <v>1</v>
      </c>
      <c r="O23" s="32">
        <v>44</v>
      </c>
      <c r="P23">
        <v>562</v>
      </c>
      <c r="Q23">
        <v>120</v>
      </c>
      <c r="R23" s="29">
        <v>0</v>
      </c>
      <c r="S23" s="28">
        <f>IFERROR(PROPERTIES[[#This Row],[TE_STARTING_KN]]/(PROPERTIES[[#This Row],[WEIGHT]]*9.81),0)</f>
        <v>0</v>
      </c>
      <c r="T23" s="28">
        <v>0.11</v>
      </c>
      <c r="U23" s="25">
        <f>ROUND(IF(IFERROR(PROPERTIES[[#This Row],[TE_COEFFICIENT_CALC]],0)=0,PROPERTIES[[#This Row],[TE_COEFFICIENT_MANUAL]],PROPERTIES[[#This Row],[TE_COEFFICIENT_CALC]]),3)</f>
        <v>0.11</v>
      </c>
      <c r="V23" s="11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36">
        <v>0</v>
      </c>
      <c r="X23" s="9">
        <v>0</v>
      </c>
      <c r="Y23" s="10">
        <v>0</v>
      </c>
      <c r="Z23" t="s">
        <v>869</v>
      </c>
      <c r="AA23" t="s">
        <v>868</v>
      </c>
      <c r="AB23" s="2" t="s">
        <v>886</v>
      </c>
      <c r="AC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3" s="2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H23" s="10" t="b">
        <v>0</v>
      </c>
      <c r="AY23"/>
      <c r="AZ23"/>
      <c r="BA23"/>
    </row>
    <row r="24" spans="1:53">
      <c r="A24" s="2" t="s">
        <v>43</v>
      </c>
      <c r="B24">
        <v>1991</v>
      </c>
      <c r="C24" cm="1">
        <f t="array" ref="C24">_xlfn.IFS(ISNUMBER(SEARCH("wagon",PROPERTIES[[#This Row],[VEHIDCODE]])),0,OR(MID(PROPERTIES[[#This Row],[VEHIDCODE]],2,2)="mu",_xlfn.TEXTBEFORE(PROPERTIES[[#This Row],[VEHIDCODE]],"_")="mtro"),1,1=1,0)</f>
        <v>0</v>
      </c>
      <c r="D24" t="s">
        <v>1782</v>
      </c>
      <c r="E24" t="str">
        <f>_xlfn.XLOOKUP(PROPERTIES[[#This Row],[COUNTRY]],COUNTRIES[COUNTRY_DESCRIPTION],COUNTRIES[COUNTRY_LABEL],"")</f>
        <v>GB</v>
      </c>
      <c r="F24" t="str" cm="1">
        <f t="array" ref="F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" t="s">
        <v>17</v>
      </c>
      <c r="H24">
        <v>75</v>
      </c>
      <c r="I24">
        <v>8</v>
      </c>
      <c r="J24">
        <v>8</v>
      </c>
      <c r="K24" t="str" cm="1">
        <f t="array" ref="K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f>IF(ISNUMBER(SEARCH("passenger",PROPERTIES[[#This Row],[CARGODEF]])),1,0)</f>
        <v>1</v>
      </c>
      <c r="O24" s="32">
        <v>42</v>
      </c>
      <c r="P24">
        <v>285</v>
      </c>
      <c r="Q24">
        <v>120</v>
      </c>
      <c r="R24" s="29">
        <v>0</v>
      </c>
      <c r="S24" s="28">
        <f>IFERROR(PROPERTIES[[#This Row],[TE_STARTING_KN]]/(PROPERTIES[[#This Row],[WEIGHT]]*9.81),0)</f>
        <v>0</v>
      </c>
      <c r="T24" s="28">
        <v>0.1</v>
      </c>
      <c r="U24" s="25">
        <f>ROUND(IF(IFERROR(PROPERTIES[[#This Row],[TE_COEFFICIENT_CALC]],0)=0,PROPERTIES[[#This Row],[TE_COEFFICIENT_MANUAL]],PROPERTIES[[#This Row],[TE_COEFFICIENT_CALC]]),3)</f>
        <v>0.1</v>
      </c>
      <c r="V24" s="11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36">
        <v>0</v>
      </c>
      <c r="X24" s="9">
        <v>0</v>
      </c>
      <c r="Y24" s="10">
        <v>0</v>
      </c>
      <c r="Z24" t="s">
        <v>873</v>
      </c>
      <c r="AA24" t="s">
        <v>868</v>
      </c>
      <c r="AB24" s="2" t="s">
        <v>886</v>
      </c>
      <c r="AC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4" s="2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H24" s="10" t="b">
        <v>0</v>
      </c>
      <c r="AY24"/>
      <c r="AZ24"/>
      <c r="BA24"/>
    </row>
    <row r="25" spans="1:53">
      <c r="A25" s="2" t="s">
        <v>44</v>
      </c>
      <c r="B25">
        <v>1996</v>
      </c>
      <c r="C25" cm="1">
        <f t="array" ref="C25">_xlfn.IFS(ISNUMBER(SEARCH("wagon",PROPERTIES[[#This Row],[VEHIDCODE]])),0,OR(MID(PROPERTIES[[#This Row],[VEHIDCODE]],2,2)="mu",_xlfn.TEXTBEFORE(PROPERTIES[[#This Row],[VEHIDCODE]],"_")="mtro"),1,1=1,0)</f>
        <v>0</v>
      </c>
      <c r="D25" t="s">
        <v>1762</v>
      </c>
      <c r="E25" t="str">
        <f>_xlfn.XLOOKUP(PROPERTIES[[#This Row],[COUNTRY]],COUNTRIES[COUNTRY_DESCRIPTION],COUNTRIES[COUNTRY_LABEL],"")</f>
        <v>CZ</v>
      </c>
      <c r="F25" t="str" cm="1">
        <f t="array" ref="F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" t="s">
        <v>17</v>
      </c>
      <c r="H25">
        <v>95</v>
      </c>
      <c r="I25">
        <v>7</v>
      </c>
      <c r="J25">
        <v>7</v>
      </c>
      <c r="K25" t="str" cm="1">
        <f t="array" ref="K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f>IF(ISNUMBER(SEARCH("passenger",PROPERTIES[[#This Row],[CARGODEF]])),1,0)</f>
        <v>1</v>
      </c>
      <c r="O25" s="32">
        <v>20</v>
      </c>
      <c r="P25">
        <v>210</v>
      </c>
      <c r="Q25">
        <v>80</v>
      </c>
      <c r="R25" s="29">
        <v>0</v>
      </c>
      <c r="S25" s="28">
        <f>IFERROR(PROPERTIES[[#This Row],[TE_STARTING_KN]]/(PROPERTIES[[#This Row],[WEIGHT]]*9.81),0)</f>
        <v>0</v>
      </c>
      <c r="T25" s="28">
        <v>0.15</v>
      </c>
      <c r="U25" s="25">
        <f>ROUND(IF(IFERROR(PROPERTIES[[#This Row],[TE_COEFFICIENT_CALC]],0)=0,PROPERTIES[[#This Row],[TE_COEFFICIENT_MANUAL]],PROPERTIES[[#This Row],[TE_COEFFICIENT_CALC]]),3)</f>
        <v>0.15</v>
      </c>
      <c r="V25" s="11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36">
        <v>0</v>
      </c>
      <c r="X25" s="9">
        <v>0</v>
      </c>
      <c r="Y25" s="10">
        <v>0</v>
      </c>
      <c r="Z25" t="s">
        <v>875</v>
      </c>
      <c r="AA25" t="s">
        <v>868</v>
      </c>
      <c r="AB25" s="2" t="s">
        <v>886</v>
      </c>
      <c r="AC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5" s="2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H25" s="10" t="b">
        <v>0</v>
      </c>
      <c r="AY25"/>
      <c r="AZ25"/>
      <c r="BA25"/>
    </row>
    <row r="26" spans="1:53">
      <c r="A26" s="2" t="s">
        <v>45</v>
      </c>
      <c r="B26">
        <v>1996</v>
      </c>
      <c r="C26" cm="1">
        <f t="array" ref="C26">_xlfn.IFS(ISNUMBER(SEARCH("wagon",PROPERTIES[[#This Row],[VEHIDCODE]])),0,OR(MID(PROPERTIES[[#This Row],[VEHIDCODE]],2,2)="mu",_xlfn.TEXTBEFORE(PROPERTIES[[#This Row],[VEHIDCODE]],"_")="mtro"),1,1=1,0)</f>
        <v>0</v>
      </c>
      <c r="D26" t="s">
        <v>1763</v>
      </c>
      <c r="E26" t="str">
        <f>_xlfn.XLOOKUP(PROPERTIES[[#This Row],[COUNTRY]],COUNTRIES[COUNTRY_DESCRIPTION],COUNTRIES[COUNTRY_LABEL],"")</f>
        <v>DE</v>
      </c>
      <c r="F26" t="str" cm="1">
        <f t="array" ref="F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" t="s">
        <v>17</v>
      </c>
      <c r="H26">
        <v>110</v>
      </c>
      <c r="I26">
        <v>7</v>
      </c>
      <c r="J26">
        <v>7</v>
      </c>
      <c r="K26" t="str" cm="1">
        <f t="array" ref="K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f>IF(ISNUMBER(SEARCH("passenger",PROPERTIES[[#This Row],[CARGODEF]])),1,0)</f>
        <v>1</v>
      </c>
      <c r="O26" s="32">
        <v>34</v>
      </c>
      <c r="P26">
        <v>335</v>
      </c>
      <c r="Q26">
        <v>100</v>
      </c>
      <c r="R26" s="29">
        <v>0</v>
      </c>
      <c r="S26" s="28">
        <f>IFERROR(PROPERTIES[[#This Row],[TE_STARTING_KN]]/(PROPERTIES[[#This Row],[WEIGHT]]*9.81),0)</f>
        <v>0</v>
      </c>
      <c r="T26" s="28">
        <v>0.21</v>
      </c>
      <c r="U26" s="25">
        <f>ROUND(IF(IFERROR(PROPERTIES[[#This Row],[TE_COEFFICIENT_CALC]],0)=0,PROPERTIES[[#This Row],[TE_COEFFICIENT_MANUAL]],PROPERTIES[[#This Row],[TE_COEFFICIENT_CALC]]),3)</f>
        <v>0.21</v>
      </c>
      <c r="V26" s="11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36">
        <v>0</v>
      </c>
      <c r="X26" s="9">
        <v>0</v>
      </c>
      <c r="Y26" s="10">
        <v>0</v>
      </c>
      <c r="Z26" t="s">
        <v>869</v>
      </c>
      <c r="AA26" t="s">
        <v>868</v>
      </c>
      <c r="AB26" s="2" t="s">
        <v>886</v>
      </c>
      <c r="AC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6" s="2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H26" s="10" t="b">
        <v>0</v>
      </c>
      <c r="AY26"/>
      <c r="AZ26"/>
      <c r="BA26"/>
    </row>
    <row r="27" spans="1:53">
      <c r="A27" s="2" t="s">
        <v>46</v>
      </c>
      <c r="B27">
        <v>1997</v>
      </c>
      <c r="C27" cm="1">
        <f t="array" ref="C27">_xlfn.IFS(ISNUMBER(SEARCH("wagon",PROPERTIES[[#This Row],[VEHIDCODE]])),0,OR(MID(PROPERTIES[[#This Row],[VEHIDCODE]],2,2)="mu",_xlfn.TEXTBEFORE(PROPERTIES[[#This Row],[VEHIDCODE]],"_")="mtro"),1,1=1,0)</f>
        <v>0</v>
      </c>
      <c r="D27" t="s">
        <v>1838</v>
      </c>
      <c r="E27" t="str">
        <f>_xlfn.XLOOKUP(PROPERTIES[[#This Row],[COUNTRY]],COUNTRIES[COUNTRY_DESCRIPTION],COUNTRIES[COUNTRY_LABEL],"")</f>
        <v>LT</v>
      </c>
      <c r="F27" t="str" cm="1">
        <f t="array" ref="F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" t="s">
        <v>17</v>
      </c>
      <c r="H27">
        <v>76</v>
      </c>
      <c r="I27">
        <v>8</v>
      </c>
      <c r="J27">
        <v>8</v>
      </c>
      <c r="K27" t="str" cm="1">
        <f t="array" ref="K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f>IF(ISNUMBER(SEARCH("passenger",PROPERTIES[[#This Row],[CARGODEF]])),1,0)</f>
        <v>1</v>
      </c>
      <c r="O27" s="32">
        <v>32</v>
      </c>
      <c r="P27">
        <v>400</v>
      </c>
      <c r="Q27">
        <v>120</v>
      </c>
      <c r="R27" s="29">
        <v>0</v>
      </c>
      <c r="S27" s="28">
        <f>IFERROR(PROPERTIES[[#This Row],[TE_STARTING_KN]]/(PROPERTIES[[#This Row],[WEIGHT]]*9.81),0)</f>
        <v>0</v>
      </c>
      <c r="T27" s="28">
        <v>0.12</v>
      </c>
      <c r="U27" s="25">
        <f>ROUND(IF(IFERROR(PROPERTIES[[#This Row],[TE_COEFFICIENT_CALC]],0)=0,PROPERTIES[[#This Row],[TE_COEFFICIENT_MANUAL]],PROPERTIES[[#This Row],[TE_COEFFICIENT_CALC]]),3)</f>
        <v>0.12</v>
      </c>
      <c r="V27" s="11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36">
        <v>0</v>
      </c>
      <c r="X27" s="9">
        <v>0</v>
      </c>
      <c r="Y27" s="10">
        <v>0</v>
      </c>
      <c r="Z27" t="s">
        <v>873</v>
      </c>
      <c r="AA27" t="s">
        <v>868</v>
      </c>
      <c r="AB27" s="2" t="s">
        <v>886</v>
      </c>
      <c r="AC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7" s="2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H27" s="10" t="b">
        <v>0</v>
      </c>
      <c r="AY27"/>
      <c r="AZ27"/>
      <c r="BA27"/>
    </row>
    <row r="28" spans="1:53">
      <c r="A28" s="2" t="s">
        <v>47</v>
      </c>
      <c r="B28">
        <v>1902</v>
      </c>
      <c r="C28" cm="1">
        <f t="array" ref="C28">_xlfn.IFS(ISNUMBER(SEARCH("wagon",PROPERTIES[[#This Row],[VEHIDCODE]])),0,OR(MID(PROPERTIES[[#This Row],[VEHIDCODE]],2,2)="mu",_xlfn.TEXTBEFORE(PROPERTIES[[#This Row],[VEHIDCODE]],"_")="mtro"),1,1=1,0)</f>
        <v>0</v>
      </c>
      <c r="D28" t="s">
        <v>1718</v>
      </c>
      <c r="E28" t="str">
        <f>_xlfn.XLOOKUP(PROPERTIES[[#This Row],[COUNTRY]],COUNTRIES[COUNTRY_DESCRIPTION],COUNTRIES[COUNTRY_LABEL],"")</f>
        <v>AT</v>
      </c>
      <c r="F28" t="str" cm="1">
        <f t="array" ref="F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" t="s">
        <v>17</v>
      </c>
      <c r="H28">
        <v>16</v>
      </c>
      <c r="I28">
        <v>4</v>
      </c>
      <c r="J28">
        <v>4</v>
      </c>
      <c r="K28" t="str" cm="1">
        <f t="array" ref="K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f>IF(ISNUMBER(SEARCH("passenger",PROPERTIES[[#This Row],[CARGODEF]])),1,0)</f>
        <v>1</v>
      </c>
      <c r="O28" s="32">
        <v>13</v>
      </c>
      <c r="P28">
        <v>55</v>
      </c>
      <c r="Q28">
        <v>35</v>
      </c>
      <c r="R28" s="29">
        <v>0</v>
      </c>
      <c r="S28" s="28">
        <f>IFERROR(PROPERTIES[[#This Row],[TE_STARTING_KN]]/(PROPERTIES[[#This Row],[WEIGHT]]*9.81),0)</f>
        <v>0</v>
      </c>
      <c r="T28" s="28">
        <v>0.34</v>
      </c>
      <c r="U28" s="25">
        <f>ROUND(IF(IFERROR(PROPERTIES[[#This Row],[TE_COEFFICIENT_CALC]],0)=0,PROPERTIES[[#This Row],[TE_COEFFICIENT_MANUAL]],PROPERTIES[[#This Row],[TE_COEFFICIENT_CALC]]),3)</f>
        <v>0.34</v>
      </c>
      <c r="V28" s="11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36">
        <v>0</v>
      </c>
      <c r="X28" s="9">
        <v>0</v>
      </c>
      <c r="Y28" s="10">
        <v>0</v>
      </c>
      <c r="Z28" t="s">
        <v>869</v>
      </c>
      <c r="AA28" t="s">
        <v>868</v>
      </c>
      <c r="AB28" s="2" t="s">
        <v>886</v>
      </c>
      <c r="AC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8" s="2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H28" s="10" t="b">
        <v>0</v>
      </c>
      <c r="AY28"/>
      <c r="AZ28"/>
      <c r="BA28"/>
    </row>
    <row r="29" spans="1:53">
      <c r="A29" s="2" t="s">
        <v>48</v>
      </c>
      <c r="B29">
        <v>1909</v>
      </c>
      <c r="C29" cm="1">
        <f t="array" ref="C29">_xlfn.IFS(ISNUMBER(SEARCH("wagon",PROPERTIES[[#This Row],[VEHIDCODE]])),0,OR(MID(PROPERTIES[[#This Row],[VEHIDCODE]],2,2)="mu",_xlfn.TEXTBEFORE(PROPERTIES[[#This Row],[VEHIDCODE]],"_")="mtro"),1,1=1,0)</f>
        <v>0</v>
      </c>
      <c r="D29" t="s">
        <v>1937</v>
      </c>
      <c r="E29" t="str">
        <f>_xlfn.XLOOKUP(PROPERTIES[[#This Row],[COUNTRY]],COUNTRIES[COUNTRY_DESCRIPTION],COUNTRIES[COUNTRY_LABEL],"")</f>
        <v>US</v>
      </c>
      <c r="F29" t="str" cm="1">
        <f t="array" ref="F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" t="s">
        <v>17</v>
      </c>
      <c r="H29">
        <v>84</v>
      </c>
      <c r="I29">
        <v>8</v>
      </c>
      <c r="J29">
        <v>8</v>
      </c>
      <c r="K29" t="str" cm="1">
        <f t="array" ref="K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f>IF(ISNUMBER(SEARCH("passenger",PROPERTIES[[#This Row],[CARGODEF]])),1,0)</f>
        <v>1</v>
      </c>
      <c r="O29" s="32">
        <v>30</v>
      </c>
      <c r="P29">
        <v>200</v>
      </c>
      <c r="Q29">
        <v>52</v>
      </c>
      <c r="R29" s="29">
        <v>0</v>
      </c>
      <c r="S29" s="28">
        <f>IFERROR(PROPERTIES[[#This Row],[TE_STARTING_KN]]/(PROPERTIES[[#This Row],[WEIGHT]]*9.81),0)</f>
        <v>0</v>
      </c>
      <c r="T29" s="28">
        <v>0.34</v>
      </c>
      <c r="U29" s="25">
        <f>ROUND(IF(IFERROR(PROPERTIES[[#This Row],[TE_COEFFICIENT_CALC]],0)=0,PROPERTIES[[#This Row],[TE_COEFFICIENT_MANUAL]],PROPERTIES[[#This Row],[TE_COEFFICIENT_CALC]]),3)</f>
        <v>0.34</v>
      </c>
      <c r="V29" s="11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36">
        <v>0</v>
      </c>
      <c r="X29" s="9">
        <v>0</v>
      </c>
      <c r="Y29" s="10">
        <v>0</v>
      </c>
      <c r="Z29" t="s">
        <v>874</v>
      </c>
      <c r="AA29" t="s">
        <v>868</v>
      </c>
      <c r="AB29" s="2" t="s">
        <v>886</v>
      </c>
      <c r="AC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9" s="2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H29" s="10" t="b">
        <v>0</v>
      </c>
      <c r="AY29"/>
      <c r="AZ29"/>
      <c r="BA29"/>
    </row>
    <row r="30" spans="1:53">
      <c r="A30" s="2" t="s">
        <v>49</v>
      </c>
      <c r="B30">
        <v>1914</v>
      </c>
      <c r="C30" cm="1">
        <f t="array" ref="C30">_xlfn.IFS(ISNUMBER(SEARCH("wagon",PROPERTIES[[#This Row],[VEHIDCODE]])),0,OR(MID(PROPERTIES[[#This Row],[VEHIDCODE]],2,2)="mu",_xlfn.TEXTBEFORE(PROPERTIES[[#This Row],[VEHIDCODE]],"_")="mtro"),1,1=1,0)</f>
        <v>0</v>
      </c>
      <c r="D30" t="s">
        <v>1763</v>
      </c>
      <c r="E30" t="str">
        <f>_xlfn.XLOOKUP(PROPERTIES[[#This Row],[COUNTRY]],COUNTRIES[COUNTRY_DESCRIPTION],COUNTRIES[COUNTRY_LABEL],"")</f>
        <v>DE</v>
      </c>
      <c r="F30" t="str" cm="1">
        <f t="array" ref="F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" t="s">
        <v>17</v>
      </c>
      <c r="H30">
        <v>79</v>
      </c>
      <c r="I30">
        <v>8</v>
      </c>
      <c r="J30">
        <v>10</v>
      </c>
      <c r="K30" t="str" cm="1">
        <f t="array" ref="K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f>IF(ISNUMBER(SEARCH("passenger",PROPERTIES[[#This Row],[CARGODEF]])),1,0)</f>
        <v>1</v>
      </c>
      <c r="O30" s="32">
        <v>64</v>
      </c>
      <c r="P30">
        <v>200</v>
      </c>
      <c r="Q30">
        <v>70</v>
      </c>
      <c r="R30" s="29">
        <v>0</v>
      </c>
      <c r="S30" s="28">
        <f>IFERROR(PROPERTIES[[#This Row],[TE_STARTING_KN]]/(PROPERTIES[[#This Row],[WEIGHT]]*9.81),0)</f>
        <v>0</v>
      </c>
      <c r="T30" s="28">
        <v>0.34</v>
      </c>
      <c r="U30" s="25">
        <f>ROUND(IF(IFERROR(PROPERTIES[[#This Row],[TE_COEFFICIENT_CALC]],0)=0,PROPERTIES[[#This Row],[TE_COEFFICIENT_MANUAL]],PROPERTIES[[#This Row],[TE_COEFFICIENT_CALC]]),3)</f>
        <v>0.34</v>
      </c>
      <c r="V30" s="11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36">
        <v>0</v>
      </c>
      <c r="X30" s="9">
        <v>2</v>
      </c>
      <c r="Y30" s="10">
        <v>0</v>
      </c>
      <c r="Z30" t="s">
        <v>869</v>
      </c>
      <c r="AA30" t="s">
        <v>868</v>
      </c>
      <c r="AB30" s="2" t="s">
        <v>886</v>
      </c>
      <c r="AC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0" s="2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H30" s="10" t="b">
        <v>0</v>
      </c>
      <c r="AY30"/>
      <c r="AZ30"/>
      <c r="BA30"/>
    </row>
    <row r="31" spans="1:53">
      <c r="A31" s="2" t="s">
        <v>50</v>
      </c>
      <c r="B31">
        <v>1921</v>
      </c>
      <c r="C31" cm="1">
        <f t="array" ref="C31">_xlfn.IFS(ISNUMBER(SEARCH("wagon",PROPERTIES[[#This Row],[VEHIDCODE]])),0,OR(MID(PROPERTIES[[#This Row],[VEHIDCODE]],2,2)="mu",_xlfn.TEXTBEFORE(PROPERTIES[[#This Row],[VEHIDCODE]],"_")="mtro"),1,1=1,0)</f>
        <v>0</v>
      </c>
      <c r="D31" t="s">
        <v>1782</v>
      </c>
      <c r="E31" t="str">
        <f>_xlfn.XLOOKUP(PROPERTIES[[#This Row],[COUNTRY]],COUNTRIES[COUNTRY_DESCRIPTION],COUNTRIES[COUNTRY_LABEL],"")</f>
        <v>GB</v>
      </c>
      <c r="F31" t="str" cm="1">
        <f t="array" ref="F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1" t="s">
        <v>17</v>
      </c>
      <c r="H31">
        <v>42</v>
      </c>
      <c r="I31">
        <v>4</v>
      </c>
      <c r="J31">
        <v>4</v>
      </c>
      <c r="K31" t="str" cm="1">
        <f t="array" ref="K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f>IF(ISNUMBER(SEARCH("passenger",PROPERTIES[[#This Row],[CARGODEF]])),1,0)</f>
        <v>1</v>
      </c>
      <c r="O31" s="32">
        <v>10</v>
      </c>
      <c r="P31">
        <v>35</v>
      </c>
      <c r="Q31">
        <v>40</v>
      </c>
      <c r="R31" s="29">
        <v>0</v>
      </c>
      <c r="S31" s="28">
        <f>IFERROR(PROPERTIES[[#This Row],[TE_STARTING_KN]]/(PROPERTIES[[#This Row],[WEIGHT]]*9.81),0)</f>
        <v>0</v>
      </c>
      <c r="T31" s="28">
        <v>0.21</v>
      </c>
      <c r="U31" s="25">
        <f>ROUND(IF(IFERROR(PROPERTIES[[#This Row],[TE_COEFFICIENT_CALC]],0)=0,PROPERTIES[[#This Row],[TE_COEFFICIENT_MANUAL]],PROPERTIES[[#This Row],[TE_COEFFICIENT_CALC]]),3)</f>
        <v>0.21</v>
      </c>
      <c r="V31" s="11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36">
        <v>0</v>
      </c>
      <c r="X31" s="9">
        <v>0</v>
      </c>
      <c r="Y31" s="10">
        <v>0</v>
      </c>
      <c r="Z31" t="s">
        <v>873</v>
      </c>
      <c r="AA31" t="s">
        <v>868</v>
      </c>
      <c r="AB31" s="2" t="s">
        <v>886</v>
      </c>
      <c r="AC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1" s="2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H31" s="10" t="b">
        <v>0</v>
      </c>
      <c r="AY31"/>
      <c r="AZ31"/>
      <c r="BA31"/>
    </row>
    <row r="32" spans="1:53">
      <c r="A32" s="2" t="s">
        <v>51</v>
      </c>
      <c r="B32">
        <v>1922</v>
      </c>
      <c r="C32" cm="1">
        <f t="array" ref="C32">_xlfn.IFS(ISNUMBER(SEARCH("wagon",PROPERTIES[[#This Row],[VEHIDCODE]])),0,OR(MID(PROPERTIES[[#This Row],[VEHIDCODE]],2,2)="mu",_xlfn.TEXTBEFORE(PROPERTIES[[#This Row],[VEHIDCODE]],"_")="mtro"),1,1=1,0)</f>
        <v>0</v>
      </c>
      <c r="D32" t="s">
        <v>1763</v>
      </c>
      <c r="E32" t="str">
        <f>_xlfn.XLOOKUP(PROPERTIES[[#This Row],[COUNTRY]],COUNTRIES[COUNTRY_DESCRIPTION],COUNTRIES[COUNTRY_LABEL],"")</f>
        <v>DE</v>
      </c>
      <c r="F32" t="str" cm="1">
        <f t="array" ref="F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2" t="s">
        <v>17</v>
      </c>
      <c r="H32">
        <v>38</v>
      </c>
      <c r="I32">
        <v>5</v>
      </c>
      <c r="J32">
        <v>5</v>
      </c>
      <c r="K32" t="str" cm="1">
        <f t="array" ref="K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f>IF(ISNUMBER(SEARCH("passenger",PROPERTIES[[#This Row],[CARGODEF]])),1,0)</f>
        <v>1</v>
      </c>
      <c r="O32" s="32">
        <v>11</v>
      </c>
      <c r="P32">
        <v>75</v>
      </c>
      <c r="Q32">
        <v>40</v>
      </c>
      <c r="R32" s="29">
        <v>0</v>
      </c>
      <c r="S32" s="28">
        <f>IFERROR(PROPERTIES[[#This Row],[TE_STARTING_KN]]/(PROPERTIES[[#This Row],[WEIGHT]]*9.81),0)</f>
        <v>0</v>
      </c>
      <c r="T32" s="28">
        <v>0.34</v>
      </c>
      <c r="U32" s="25">
        <f>ROUND(IF(IFERROR(PROPERTIES[[#This Row],[TE_COEFFICIENT_CALC]],0)=0,PROPERTIES[[#This Row],[TE_COEFFICIENT_MANUAL]],PROPERTIES[[#This Row],[TE_COEFFICIENT_CALC]]),3)</f>
        <v>0.34</v>
      </c>
      <c r="V32" s="11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36">
        <v>0</v>
      </c>
      <c r="X32" s="9">
        <v>0</v>
      </c>
      <c r="Y32" s="10">
        <v>0</v>
      </c>
      <c r="Z32" t="s">
        <v>869</v>
      </c>
      <c r="AA32" t="s">
        <v>868</v>
      </c>
      <c r="AB32" s="2" t="s">
        <v>886</v>
      </c>
      <c r="AC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2" s="2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H32" s="10" t="b">
        <v>0</v>
      </c>
      <c r="AY32"/>
      <c r="AZ32"/>
      <c r="BA32"/>
    </row>
    <row r="33" spans="1:53">
      <c r="A33" s="2" t="s">
        <v>52</v>
      </c>
      <c r="B33">
        <v>1928</v>
      </c>
      <c r="C33" cm="1">
        <f t="array" ref="C33">_xlfn.IFS(ISNUMBER(SEARCH("wagon",PROPERTIES[[#This Row],[VEHIDCODE]])),0,OR(MID(PROPERTIES[[#This Row],[VEHIDCODE]],2,2)="mu",_xlfn.TEXTBEFORE(PROPERTIES[[#This Row],[VEHIDCODE]],"_")="mtro"),1,1=1,0)</f>
        <v>0</v>
      </c>
      <c r="D33" t="s">
        <v>1719</v>
      </c>
      <c r="E33" t="str">
        <f>_xlfn.XLOOKUP(PROPERTIES[[#This Row],[COUNTRY]],COUNTRIES[COUNTRY_DESCRIPTION],COUNTRIES[COUNTRY_LABEL],"")</f>
        <v>AU</v>
      </c>
      <c r="F33" t="str" cm="1">
        <f t="array" ref="F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3" t="s">
        <v>17</v>
      </c>
      <c r="H33">
        <v>40</v>
      </c>
      <c r="I33">
        <v>7</v>
      </c>
      <c r="J33">
        <v>7</v>
      </c>
      <c r="K33" t="str" cm="1">
        <f t="array" ref="K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f>IF(ISNUMBER(SEARCH("passenger",PROPERTIES[[#This Row],[CARGODEF]])),1,0)</f>
        <v>1</v>
      </c>
      <c r="O33" s="32">
        <v>43</v>
      </c>
      <c r="P33">
        <v>255</v>
      </c>
      <c r="Q33">
        <v>100</v>
      </c>
      <c r="R33" s="29">
        <v>0</v>
      </c>
      <c r="S33" s="28">
        <f>IFERROR(PROPERTIES[[#This Row],[TE_STARTING_KN]]/(PROPERTIES[[#This Row],[WEIGHT]]*9.81),0)</f>
        <v>0</v>
      </c>
      <c r="T33" s="28">
        <v>0.34</v>
      </c>
      <c r="U33" s="25">
        <f>ROUND(IF(IFERROR(PROPERTIES[[#This Row],[TE_COEFFICIENT_CALC]],0)=0,PROPERTIES[[#This Row],[TE_COEFFICIENT_MANUAL]],PROPERTIES[[#This Row],[TE_COEFFICIENT_CALC]]),3)</f>
        <v>0.34</v>
      </c>
      <c r="V33" s="11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36">
        <v>0</v>
      </c>
      <c r="X33" s="9">
        <v>0</v>
      </c>
      <c r="Y33" s="10">
        <v>0</v>
      </c>
      <c r="Z33" t="s">
        <v>871</v>
      </c>
      <c r="AA33" t="s">
        <v>868</v>
      </c>
      <c r="AB33" s="2" t="s">
        <v>886</v>
      </c>
      <c r="AC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3" s="2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H33" s="10" t="b">
        <v>0</v>
      </c>
      <c r="AY33"/>
      <c r="AZ33"/>
      <c r="BA33"/>
    </row>
    <row r="34" spans="1:53">
      <c r="A34" s="2" t="s">
        <v>53</v>
      </c>
      <c r="B34">
        <v>1930</v>
      </c>
      <c r="C34" cm="1">
        <f t="array" ref="C34">_xlfn.IFS(ISNUMBER(SEARCH("wagon",PROPERTIES[[#This Row],[VEHIDCODE]])),0,OR(MID(PROPERTIES[[#This Row],[VEHIDCODE]],2,2)="mu",_xlfn.TEXTBEFORE(PROPERTIES[[#This Row],[VEHIDCODE]],"_")="mtro"),1,1=1,0)</f>
        <v>0</v>
      </c>
      <c r="D34" t="s">
        <v>1762</v>
      </c>
      <c r="E34" t="str">
        <f>_xlfn.XLOOKUP(PROPERTIES[[#This Row],[COUNTRY]],COUNTRIES[COUNTRY_DESCRIPTION],COUNTRIES[COUNTRY_LABEL],"")</f>
        <v>CZ</v>
      </c>
      <c r="F34" t="str" cm="1">
        <f t="array" ref="F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4" t="s">
        <v>17</v>
      </c>
      <c r="H34">
        <v>38</v>
      </c>
      <c r="I34">
        <v>5</v>
      </c>
      <c r="J34">
        <v>5</v>
      </c>
      <c r="K34" t="str" cm="1">
        <f t="array" ref="K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f>IF(ISNUMBER(SEARCH("passenger",PROPERTIES[[#This Row],[CARGODEF]])),1,0)</f>
        <v>1</v>
      </c>
      <c r="O34" s="32">
        <v>13</v>
      </c>
      <c r="P34">
        <v>120</v>
      </c>
      <c r="Q34">
        <v>60</v>
      </c>
      <c r="R34" s="29">
        <v>0</v>
      </c>
      <c r="S34" s="28">
        <f>IFERROR(PROPERTIES[[#This Row],[TE_STARTING_KN]]/(PROPERTIES[[#This Row],[WEIGHT]]*9.81),0)</f>
        <v>0</v>
      </c>
      <c r="T34" s="28">
        <v>0.15</v>
      </c>
      <c r="U34" s="25">
        <f>ROUND(IF(IFERROR(PROPERTIES[[#This Row],[TE_COEFFICIENT_CALC]],0)=0,PROPERTIES[[#This Row],[TE_COEFFICIENT_MANUAL]],PROPERTIES[[#This Row],[TE_COEFFICIENT_CALC]]),3)</f>
        <v>0.15</v>
      </c>
      <c r="V34" s="11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36">
        <v>0</v>
      </c>
      <c r="X34" s="9">
        <v>0</v>
      </c>
      <c r="Y34" s="10">
        <v>0</v>
      </c>
      <c r="Z34" t="s">
        <v>875</v>
      </c>
      <c r="AA34" t="s">
        <v>868</v>
      </c>
      <c r="AB34" s="2" t="s">
        <v>886</v>
      </c>
      <c r="AC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4" s="2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H34" s="10" t="b">
        <v>0</v>
      </c>
      <c r="AY34"/>
      <c r="AZ34"/>
      <c r="BA34"/>
    </row>
    <row r="35" spans="1:53">
      <c r="A35" s="2" t="s">
        <v>54</v>
      </c>
      <c r="B35">
        <v>1930</v>
      </c>
      <c r="C35" cm="1">
        <f t="array" ref="C35">_xlfn.IFS(ISNUMBER(SEARCH("wagon",PROPERTIES[[#This Row],[VEHIDCODE]])),0,OR(MID(PROPERTIES[[#This Row],[VEHIDCODE]],2,2)="mu",_xlfn.TEXTBEFORE(PROPERTIES[[#This Row],[VEHIDCODE]],"_")="mtro"),1,1=1,0)</f>
        <v>0</v>
      </c>
      <c r="D35" t="s">
        <v>1763</v>
      </c>
      <c r="E35" t="str">
        <f>_xlfn.XLOOKUP(PROPERTIES[[#This Row],[COUNTRY]],COUNTRIES[COUNTRY_DESCRIPTION],COUNTRIES[COUNTRY_LABEL],"")</f>
        <v>DE</v>
      </c>
      <c r="F35" t="str" cm="1">
        <f t="array" ref="F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5" t="s">
        <v>17</v>
      </c>
      <c r="H35">
        <v>40</v>
      </c>
      <c r="I35">
        <v>8</v>
      </c>
      <c r="J35">
        <v>8</v>
      </c>
      <c r="K35" t="str" cm="1">
        <f t="array" ref="K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35">
        <f>_xlfn.XLOOKUP("LOADINGSPEEDDEF_"&amp;PROPERTIES[[#This Row],[LOADINGSPEED]],LOADINGSPEEDDEF[TYPE],LOADINGSPEEDDEF[SPEED])</f>
        <v>16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f>IF(ISNUMBER(SEARCH("passenger",PROPERTIES[[#This Row],[CARGODEF]])),1,0)</f>
        <v>1</v>
      </c>
      <c r="O35" s="32">
        <v>20</v>
      </c>
      <c r="P35">
        <v>600</v>
      </c>
      <c r="Q35">
        <v>230</v>
      </c>
      <c r="R35" s="29">
        <v>0</v>
      </c>
      <c r="S35" s="28">
        <f>IFERROR(PROPERTIES[[#This Row],[TE_STARTING_KN]]/(PROPERTIES[[#This Row],[WEIGHT]]*9.81),0)</f>
        <v>0</v>
      </c>
      <c r="T35" s="28">
        <v>0.39</v>
      </c>
      <c r="U35" s="25">
        <f>ROUND(IF(IFERROR(PROPERTIES[[#This Row],[TE_COEFFICIENT_CALC]],0)=0,PROPERTIES[[#This Row],[TE_COEFFICIENT_MANUAL]],PROPERTIES[[#This Row],[TE_COEFFICIENT_CALC]]),3)</f>
        <v>0.39</v>
      </c>
      <c r="V35" s="11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36">
        <v>0</v>
      </c>
      <c r="X35" s="9">
        <v>0</v>
      </c>
      <c r="Y35" s="10">
        <v>0</v>
      </c>
      <c r="Z35" t="s">
        <v>869</v>
      </c>
      <c r="AA35" t="s">
        <v>868</v>
      </c>
      <c r="AB35" s="2" t="s">
        <v>886</v>
      </c>
      <c r="AC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5" s="2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H35" s="10" t="b">
        <v>0</v>
      </c>
      <c r="AY35"/>
      <c r="AZ35"/>
      <c r="BA35"/>
    </row>
    <row r="36" spans="1:53">
      <c r="A36" s="2" t="s">
        <v>55</v>
      </c>
      <c r="B36">
        <v>1935</v>
      </c>
      <c r="C36" cm="1">
        <f t="array" ref="C36">_xlfn.IFS(ISNUMBER(SEARCH("wagon",PROPERTIES[[#This Row],[VEHIDCODE]])),0,OR(MID(PROPERTIES[[#This Row],[VEHIDCODE]],2,2)="mu",_xlfn.TEXTBEFORE(PROPERTIES[[#This Row],[VEHIDCODE]],"_")="mtro"),1,1=1,0)</f>
        <v>0</v>
      </c>
      <c r="D36" t="s">
        <v>1765</v>
      </c>
      <c r="E36" t="str">
        <f>_xlfn.XLOOKUP(PROPERTIES[[#This Row],[COUNTRY]],COUNTRIES[COUNTRY_DESCRIPTION],COUNTRIES[COUNTRY_LABEL],"")</f>
        <v>DK</v>
      </c>
      <c r="F36" t="str" cm="1">
        <f t="array" ref="F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6" t="s">
        <v>17</v>
      </c>
      <c r="H36">
        <v>52</v>
      </c>
      <c r="I36">
        <v>8</v>
      </c>
      <c r="J36">
        <v>8</v>
      </c>
      <c r="K36" t="str" cm="1">
        <f t="array" ref="K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f>IF(ISNUMBER(SEARCH("passenger",PROPERTIES[[#This Row],[CARGODEF]])),1,0)</f>
        <v>1</v>
      </c>
      <c r="O36" s="32">
        <v>65</v>
      </c>
      <c r="P36">
        <v>500</v>
      </c>
      <c r="Q36">
        <v>120</v>
      </c>
      <c r="R36" s="29">
        <v>0</v>
      </c>
      <c r="S36" s="28">
        <f>IFERROR(PROPERTIES[[#This Row],[TE_STARTING_KN]]/(PROPERTIES[[#This Row],[WEIGHT]]*9.81),0)</f>
        <v>0</v>
      </c>
      <c r="T36" s="28">
        <v>0.31</v>
      </c>
      <c r="U36" s="25">
        <f>ROUND(IF(IFERROR(PROPERTIES[[#This Row],[TE_COEFFICIENT_CALC]],0)=0,PROPERTIES[[#This Row],[TE_COEFFICIENT_MANUAL]],PROPERTIES[[#This Row],[TE_COEFFICIENT_CALC]]),3)</f>
        <v>0.31</v>
      </c>
      <c r="V36" s="11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36">
        <v>0</v>
      </c>
      <c r="X36" s="9">
        <v>0</v>
      </c>
      <c r="Y36" s="10">
        <v>0</v>
      </c>
      <c r="Z36" t="s">
        <v>873</v>
      </c>
      <c r="AA36" t="s">
        <v>868</v>
      </c>
      <c r="AB36" s="2" t="s">
        <v>886</v>
      </c>
      <c r="AC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6" s="2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H36" s="10" t="b">
        <v>0</v>
      </c>
      <c r="AY36"/>
      <c r="AZ36"/>
      <c r="BA36"/>
    </row>
    <row r="37" spans="1:53">
      <c r="A37" s="2" t="s">
        <v>56</v>
      </c>
      <c r="B37">
        <v>1935</v>
      </c>
      <c r="C37" cm="1">
        <f t="array" ref="C37">_xlfn.IFS(ISNUMBER(SEARCH("wagon",PROPERTIES[[#This Row],[VEHIDCODE]])),0,OR(MID(PROPERTIES[[#This Row],[VEHIDCODE]],2,2)="mu",_xlfn.TEXTBEFORE(PROPERTIES[[#This Row],[VEHIDCODE]],"_")="mtro"),1,1=1,0)</f>
        <v>0</v>
      </c>
      <c r="D37" t="s">
        <v>1872</v>
      </c>
      <c r="E37" t="str">
        <f>_xlfn.XLOOKUP(PROPERTIES[[#This Row],[COUNTRY]],COUNTRIES[COUNTRY_DESCRIPTION],COUNTRIES[COUNTRY_LABEL],"")</f>
        <v>NO</v>
      </c>
      <c r="F37" t="str" cm="1">
        <f t="array" ref="F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7" t="s">
        <v>17</v>
      </c>
      <c r="H37">
        <v>40</v>
      </c>
      <c r="I37">
        <v>6</v>
      </c>
      <c r="J37">
        <v>6</v>
      </c>
      <c r="K37" t="str" cm="1">
        <f t="array" ref="K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f>IF(ISNUMBER(SEARCH("passenger",PROPERTIES[[#This Row],[CARGODEF]])),1,0)</f>
        <v>1</v>
      </c>
      <c r="O37" s="32">
        <v>10</v>
      </c>
      <c r="P37">
        <v>120</v>
      </c>
      <c r="Q37">
        <v>100</v>
      </c>
      <c r="R37" s="29">
        <v>0</v>
      </c>
      <c r="S37" s="28">
        <f>IFERROR(PROPERTIES[[#This Row],[TE_STARTING_KN]]/(PROPERTIES[[#This Row],[WEIGHT]]*9.81),0)</f>
        <v>0</v>
      </c>
      <c r="T37" s="28">
        <v>0.41</v>
      </c>
      <c r="U37" s="25">
        <f>ROUND(IF(IFERROR(PROPERTIES[[#This Row],[TE_COEFFICIENT_CALC]],0)=0,PROPERTIES[[#This Row],[TE_COEFFICIENT_MANUAL]],PROPERTIES[[#This Row],[TE_COEFFICIENT_CALC]]),3)</f>
        <v>0.41</v>
      </c>
      <c r="V37" s="11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36">
        <v>0</v>
      </c>
      <c r="X37" s="9">
        <v>0</v>
      </c>
      <c r="Y37" s="10">
        <v>0</v>
      </c>
      <c r="Z37" t="s">
        <v>873</v>
      </c>
      <c r="AA37" t="s">
        <v>868</v>
      </c>
      <c r="AB37" s="2" t="s">
        <v>886</v>
      </c>
      <c r="AC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7" s="2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H37" s="10" t="b">
        <v>0</v>
      </c>
      <c r="AY37"/>
      <c r="AZ37"/>
      <c r="BA37"/>
    </row>
    <row r="38" spans="1:53">
      <c r="A38" s="2" t="s">
        <v>57</v>
      </c>
      <c r="B38">
        <v>1936</v>
      </c>
      <c r="C38" cm="1">
        <f t="array" ref="C38">_xlfn.IFS(ISNUMBER(SEARCH("wagon",PROPERTIES[[#This Row],[VEHIDCODE]])),0,OR(MID(PROPERTIES[[#This Row],[VEHIDCODE]],2,2)="mu",_xlfn.TEXTBEFORE(PROPERTIES[[#This Row],[VEHIDCODE]],"_")="mtro"),1,1=1,0)</f>
        <v>0</v>
      </c>
      <c r="D38" t="s">
        <v>1762</v>
      </c>
      <c r="E38" t="str">
        <f>_xlfn.XLOOKUP(PROPERTIES[[#This Row],[COUNTRY]],COUNTRIES[COUNTRY_DESCRIPTION],COUNTRIES[COUNTRY_LABEL],"")</f>
        <v>CZ</v>
      </c>
      <c r="F38" t="str" cm="1">
        <f t="array" ref="F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8" t="s">
        <v>17</v>
      </c>
      <c r="H38">
        <v>72</v>
      </c>
      <c r="I38">
        <v>7</v>
      </c>
      <c r="J38">
        <v>7</v>
      </c>
      <c r="K38" t="str" cm="1">
        <f t="array" ref="K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f>IF(ISNUMBER(SEARCH("passenger",PROPERTIES[[#This Row],[CARGODEF]])),1,0)</f>
        <v>1</v>
      </c>
      <c r="O38" s="32">
        <v>36</v>
      </c>
      <c r="P38">
        <v>330</v>
      </c>
      <c r="Q38">
        <v>130</v>
      </c>
      <c r="R38" s="29">
        <v>0</v>
      </c>
      <c r="S38" s="28">
        <f>IFERROR(PROPERTIES[[#This Row],[TE_STARTING_KN]]/(PROPERTIES[[#This Row],[WEIGHT]]*9.81),0)</f>
        <v>0</v>
      </c>
      <c r="T38" s="28">
        <v>0.33</v>
      </c>
      <c r="U38" s="25">
        <f>ROUND(IF(IFERROR(PROPERTIES[[#This Row],[TE_COEFFICIENT_CALC]],0)=0,PROPERTIES[[#This Row],[TE_COEFFICIENT_MANUAL]],PROPERTIES[[#This Row],[TE_COEFFICIENT_CALC]]),3)</f>
        <v>0.33</v>
      </c>
      <c r="V38" s="11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36">
        <v>0</v>
      </c>
      <c r="X38" s="9">
        <v>0</v>
      </c>
      <c r="Y38" s="10">
        <v>0</v>
      </c>
      <c r="Z38" t="s">
        <v>875</v>
      </c>
      <c r="AA38" t="s">
        <v>868</v>
      </c>
      <c r="AB38" s="2" t="s">
        <v>886</v>
      </c>
      <c r="AC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8" s="2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H38" s="10" t="b">
        <v>0</v>
      </c>
      <c r="AY38"/>
      <c r="AZ38"/>
      <c r="BA38"/>
    </row>
    <row r="39" spans="1:53">
      <c r="A39" s="2" t="s">
        <v>58</v>
      </c>
      <c r="B39">
        <v>1937</v>
      </c>
      <c r="C39" cm="1">
        <f t="array" ref="C39">_xlfn.IFS(ISNUMBER(SEARCH("wagon",PROPERTIES[[#This Row],[VEHIDCODE]])),0,OR(MID(PROPERTIES[[#This Row],[VEHIDCODE]],2,2)="mu",_xlfn.TEXTBEFORE(PROPERTIES[[#This Row],[VEHIDCODE]],"_")="mtro"),1,1=1,0)</f>
        <v>0</v>
      </c>
      <c r="D39" t="s">
        <v>1871</v>
      </c>
      <c r="E39" t="str">
        <f>_xlfn.XLOOKUP(PROPERTIES[[#This Row],[COUNTRY]],COUNTRIES[COUNTRY_DESCRIPTION],COUNTRIES[COUNTRY_LABEL],"")</f>
        <v>NL</v>
      </c>
      <c r="F39" t="str" cm="1">
        <f t="array" ref="F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9" t="s">
        <v>17</v>
      </c>
      <c r="H39">
        <f>15+56+8+8</f>
        <v>87</v>
      </c>
      <c r="I39">
        <v>8</v>
      </c>
      <c r="J39">
        <v>8</v>
      </c>
      <c r="K39" t="str" cm="1">
        <f t="array" ref="K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f>IF(ISNUMBER(SEARCH("passenger",PROPERTIES[[#This Row],[CARGODEF]])),1,0)</f>
        <v>1</v>
      </c>
      <c r="O39" s="32">
        <v>53</v>
      </c>
      <c r="P39">
        <v>294</v>
      </c>
      <c r="Q39">
        <v>105</v>
      </c>
      <c r="R39" s="29">
        <v>0</v>
      </c>
      <c r="S39" s="28">
        <f>IFERROR(PROPERTIES[[#This Row],[TE_STARTING_KN]]/(PROPERTIES[[#This Row],[WEIGHT]]*9.81),0)</f>
        <v>0</v>
      </c>
      <c r="T39" s="28">
        <v>0.34</v>
      </c>
      <c r="U39" s="25">
        <f>ROUND(IF(IFERROR(PROPERTIES[[#This Row],[TE_COEFFICIENT_CALC]],0)=0,PROPERTIES[[#This Row],[TE_COEFFICIENT_MANUAL]],PROPERTIES[[#This Row],[TE_COEFFICIENT_CALC]]),3)</f>
        <v>0.34</v>
      </c>
      <c r="V39" s="11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36">
        <v>0</v>
      </c>
      <c r="X39" s="9">
        <v>0</v>
      </c>
      <c r="Y39" s="10">
        <v>0</v>
      </c>
      <c r="Z39" t="s">
        <v>869</v>
      </c>
      <c r="AA39" t="s">
        <v>868</v>
      </c>
      <c r="AB39" s="2" t="s">
        <v>886</v>
      </c>
      <c r="AC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9" s="2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H39" s="10" t="b">
        <v>0</v>
      </c>
      <c r="AY39"/>
      <c r="AZ39"/>
      <c r="BA39"/>
    </row>
    <row r="40" spans="1:53">
      <c r="A40" s="2" t="s">
        <v>59</v>
      </c>
      <c r="B40">
        <v>1938</v>
      </c>
      <c r="C40" cm="1">
        <f t="array" ref="C40">_xlfn.IFS(ISNUMBER(SEARCH("wagon",PROPERTIES[[#This Row],[VEHIDCODE]])),0,OR(MID(PROPERTIES[[#This Row],[VEHIDCODE]],2,2)="mu",_xlfn.TEXTBEFORE(PROPERTIES[[#This Row],[VEHIDCODE]],"_")="mtro"),1,1=1,0)</f>
        <v>0</v>
      </c>
      <c r="D40" t="s">
        <v>1719</v>
      </c>
      <c r="E40" t="str">
        <f>_xlfn.XLOOKUP(PROPERTIES[[#This Row],[COUNTRY]],COUNTRIES[COUNTRY_DESCRIPTION],COUNTRIES[COUNTRY_LABEL],"")</f>
        <v>AU</v>
      </c>
      <c r="F40" t="str" cm="1">
        <f t="array" ref="F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0" t="s">
        <v>17</v>
      </c>
      <c r="H40">
        <v>56</v>
      </c>
      <c r="I40">
        <v>7</v>
      </c>
      <c r="J40">
        <v>7</v>
      </c>
      <c r="K40" t="str" cm="1">
        <f t="array" ref="K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f>IF(ISNUMBER(SEARCH("passenger",PROPERTIES[[#This Row],[CARGODEF]])),1,0)</f>
        <v>1</v>
      </c>
      <c r="O40" s="32">
        <v>48</v>
      </c>
      <c r="P40">
        <v>300</v>
      </c>
      <c r="Q40">
        <v>100</v>
      </c>
      <c r="R40" s="29">
        <v>0</v>
      </c>
      <c r="S40" s="28">
        <f>IFERROR(PROPERTIES[[#This Row],[TE_STARTING_KN]]/(PROPERTIES[[#This Row],[WEIGHT]]*9.81),0)</f>
        <v>0</v>
      </c>
      <c r="T40" s="28">
        <v>0.34</v>
      </c>
      <c r="U40" s="25">
        <f>ROUND(IF(IFERROR(PROPERTIES[[#This Row],[TE_COEFFICIENT_CALC]],0)=0,PROPERTIES[[#This Row],[TE_COEFFICIENT_MANUAL]],PROPERTIES[[#This Row],[TE_COEFFICIENT_CALC]]),3)</f>
        <v>0.34</v>
      </c>
      <c r="V40" s="11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36">
        <v>0</v>
      </c>
      <c r="X40" s="9">
        <v>0</v>
      </c>
      <c r="Y40" s="10">
        <v>0</v>
      </c>
      <c r="Z40" t="s">
        <v>871</v>
      </c>
      <c r="AA40" t="s">
        <v>868</v>
      </c>
      <c r="AB40" s="2" t="s">
        <v>886</v>
      </c>
      <c r="AC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0" s="2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H40" s="10" t="b">
        <v>0</v>
      </c>
      <c r="AY40"/>
      <c r="AZ40"/>
      <c r="BA40"/>
    </row>
    <row r="41" spans="1:53">
      <c r="A41" s="2" t="s">
        <v>60</v>
      </c>
      <c r="B41">
        <v>1941</v>
      </c>
      <c r="C41" cm="1">
        <f t="array" ref="C41">_xlfn.IFS(ISNUMBER(SEARCH("wagon",PROPERTIES[[#This Row],[VEHIDCODE]])),0,OR(MID(PROPERTIES[[#This Row],[VEHIDCODE]],2,2)="mu",_xlfn.TEXTBEFORE(PROPERTIES[[#This Row],[VEHIDCODE]],"_")="mtro"),1,1=1,0)</f>
        <v>0</v>
      </c>
      <c r="D41" t="s">
        <v>1889</v>
      </c>
      <c r="E41" t="str">
        <f>_xlfn.XLOOKUP(PROPERTIES[[#This Row],[COUNTRY]],COUNTRIES[COUNTRY_DESCRIPTION],COUNTRIES[COUNTRY_LABEL],"")</f>
        <v>PT</v>
      </c>
      <c r="F41" t="str" cm="1">
        <f t="array" ref="F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1" t="s">
        <v>17</v>
      </c>
      <c r="H41">
        <v>25</v>
      </c>
      <c r="I41">
        <v>5</v>
      </c>
      <c r="J41">
        <v>5</v>
      </c>
      <c r="K41" t="str" cm="1">
        <f t="array" ref="K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f>IF(ISNUMBER(SEARCH("passenger",PROPERTIES[[#This Row],[CARGODEF]])),1,0)</f>
        <v>1</v>
      </c>
      <c r="O41" s="32">
        <v>8</v>
      </c>
      <c r="P41">
        <v>90</v>
      </c>
      <c r="Q41">
        <v>89</v>
      </c>
      <c r="R41" s="29">
        <v>0</v>
      </c>
      <c r="S41" s="28">
        <f>IFERROR(PROPERTIES[[#This Row],[TE_STARTING_KN]]/(PROPERTIES[[#This Row],[WEIGHT]]*9.81),0)</f>
        <v>0</v>
      </c>
      <c r="T41" s="28">
        <v>0.2</v>
      </c>
      <c r="U41" s="25">
        <f>ROUND(IF(IFERROR(PROPERTIES[[#This Row],[TE_COEFFICIENT_CALC]],0)=0,PROPERTIES[[#This Row],[TE_COEFFICIENT_MANUAL]],PROPERTIES[[#This Row],[TE_COEFFICIENT_CALC]]),3)</f>
        <v>0.2</v>
      </c>
      <c r="V41" s="11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36">
        <v>0</v>
      </c>
      <c r="X41" s="9">
        <v>0</v>
      </c>
      <c r="Y41" s="10">
        <v>0</v>
      </c>
      <c r="Z41" t="s">
        <v>870</v>
      </c>
      <c r="AA41" t="s">
        <v>868</v>
      </c>
      <c r="AB41" s="2" t="s">
        <v>886</v>
      </c>
      <c r="AC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1" s="2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H41" s="10" t="b">
        <v>0</v>
      </c>
      <c r="AY41"/>
      <c r="AZ41"/>
      <c r="BA41"/>
    </row>
    <row r="42" spans="1:53">
      <c r="A42" s="2" t="s">
        <v>61</v>
      </c>
      <c r="B42">
        <v>1954</v>
      </c>
      <c r="C42" cm="1">
        <f t="array" ref="C42">_xlfn.IFS(ISNUMBER(SEARCH("wagon",PROPERTIES[[#This Row],[VEHIDCODE]])),0,OR(MID(PROPERTIES[[#This Row],[VEHIDCODE]],2,2)="mu",_xlfn.TEXTBEFORE(PROPERTIES[[#This Row],[VEHIDCODE]],"_")="mtro"),1,1=1,0)</f>
        <v>0</v>
      </c>
      <c r="D42" t="s">
        <v>1726</v>
      </c>
      <c r="E42" t="str">
        <f>_xlfn.XLOOKUP(PROPERTIES[[#This Row],[COUNTRY]],COUNTRIES[COUNTRY_DESCRIPTION],COUNTRIES[COUNTRY_LABEL],"")</f>
        <v>BE</v>
      </c>
      <c r="F42" t="str" cm="1">
        <f t="array" ref="F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2" t="s">
        <v>17</v>
      </c>
      <c r="H42">
        <v>99</v>
      </c>
      <c r="I42">
        <v>7</v>
      </c>
      <c r="J42">
        <v>7</v>
      </c>
      <c r="K42" t="str" cm="1">
        <f t="array" ref="K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f>IF(ISNUMBER(SEARCH("passenger",PROPERTIES[[#This Row],[CARGODEF]])),1,0)</f>
        <v>1</v>
      </c>
      <c r="O42" s="32">
        <v>54</v>
      </c>
      <c r="P42">
        <v>400</v>
      </c>
      <c r="Q42">
        <v>90</v>
      </c>
      <c r="R42" s="29">
        <v>0</v>
      </c>
      <c r="S42" s="28">
        <f>IFERROR(PROPERTIES[[#This Row],[TE_STARTING_KN]]/(PROPERTIES[[#This Row],[WEIGHT]]*9.81),0)</f>
        <v>0</v>
      </c>
      <c r="T42" s="28">
        <v>0.34</v>
      </c>
      <c r="U42" s="25">
        <f>ROUND(IF(IFERROR(PROPERTIES[[#This Row],[TE_COEFFICIENT_CALC]],0)=0,PROPERTIES[[#This Row],[TE_COEFFICIENT_MANUAL]],PROPERTIES[[#This Row],[TE_COEFFICIENT_CALC]]),3)</f>
        <v>0.34</v>
      </c>
      <c r="V42" s="11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36">
        <v>0</v>
      </c>
      <c r="X42" s="9">
        <v>0</v>
      </c>
      <c r="Y42" s="10">
        <v>0</v>
      </c>
      <c r="Z42" t="s">
        <v>869</v>
      </c>
      <c r="AA42" t="s">
        <v>868</v>
      </c>
      <c r="AB42" s="2" t="s">
        <v>886</v>
      </c>
      <c r="AC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2" s="2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H42" s="10" t="b">
        <v>0</v>
      </c>
      <c r="AY42"/>
      <c r="AZ42"/>
      <c r="BA42"/>
    </row>
    <row r="43" spans="1:53">
      <c r="A43" s="2" t="s">
        <v>62</v>
      </c>
      <c r="B43">
        <v>1960</v>
      </c>
      <c r="C43" cm="1">
        <f t="array" ref="C43">_xlfn.IFS(ISNUMBER(SEARCH("wagon",PROPERTIES[[#This Row],[VEHIDCODE]])),0,OR(MID(PROPERTIES[[#This Row],[VEHIDCODE]],2,2)="mu",_xlfn.TEXTBEFORE(PROPERTIES[[#This Row],[VEHIDCODE]],"_")="mtro"),1,1=1,0)</f>
        <v>0</v>
      </c>
      <c r="D43" t="s">
        <v>1728</v>
      </c>
      <c r="E43" t="str">
        <f>_xlfn.XLOOKUP(PROPERTIES[[#This Row],[COUNTRY]],COUNTRIES[COUNTRY_DESCRIPTION],COUNTRIES[COUNTRY_LABEL],"")</f>
        <v>BG</v>
      </c>
      <c r="F43" t="str" cm="1">
        <f t="array" ref="F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3" t="s">
        <v>17</v>
      </c>
      <c r="H43">
        <v>37</v>
      </c>
      <c r="I43">
        <v>8</v>
      </c>
      <c r="J43">
        <v>8</v>
      </c>
      <c r="K43" t="str" cm="1">
        <f t="array" ref="K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f>IF(ISNUMBER(SEARCH("passenger",PROPERTIES[[#This Row],[CARGODEF]])),1,0)</f>
        <v>1</v>
      </c>
      <c r="O43" s="32">
        <v>53</v>
      </c>
      <c r="P43">
        <f>2*265</f>
        <v>530</v>
      </c>
      <c r="Q43">
        <v>125</v>
      </c>
      <c r="R43" s="29">
        <v>0</v>
      </c>
      <c r="S43" s="28">
        <f>IFERROR(PROPERTIES[[#This Row],[TE_STARTING_KN]]/(PROPERTIES[[#This Row],[WEIGHT]]*9.81),0)</f>
        <v>0</v>
      </c>
      <c r="T43" s="28">
        <v>0.2</v>
      </c>
      <c r="U43" s="25">
        <f>ROUND(IF(IFERROR(PROPERTIES[[#This Row],[TE_COEFFICIENT_CALC]],0)=0,PROPERTIES[[#This Row],[TE_COEFFICIENT_MANUAL]],PROPERTIES[[#This Row],[TE_COEFFICIENT_CALC]]),3)</f>
        <v>0.2</v>
      </c>
      <c r="V43" s="11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36">
        <v>0</v>
      </c>
      <c r="X43" s="9">
        <v>0</v>
      </c>
      <c r="Y43" s="10">
        <v>0</v>
      </c>
      <c r="Z43" t="s">
        <v>875</v>
      </c>
      <c r="AA43" t="s">
        <v>868</v>
      </c>
      <c r="AB43" s="2" t="s">
        <v>886</v>
      </c>
      <c r="AC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3" s="2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H43" s="10" t="b">
        <v>0</v>
      </c>
      <c r="AY43"/>
      <c r="AZ43"/>
      <c r="BA43"/>
    </row>
    <row r="44" spans="1:53">
      <c r="A44" s="2" t="s">
        <v>63</v>
      </c>
      <c r="B44">
        <v>1962</v>
      </c>
      <c r="C44" cm="1">
        <f t="array" ref="C44">_xlfn.IFS(ISNUMBER(SEARCH("wagon",PROPERTIES[[#This Row],[VEHIDCODE]])),0,OR(MID(PROPERTIES[[#This Row],[VEHIDCODE]],2,2)="mu",_xlfn.TEXTBEFORE(PROPERTIES[[#This Row],[VEHIDCODE]],"_")="mtro"),1,1=1,0)</f>
        <v>0</v>
      </c>
      <c r="D44" t="s">
        <v>1794</v>
      </c>
      <c r="E44" t="str">
        <f>_xlfn.XLOOKUP(PROPERTIES[[#This Row],[COUNTRY]],COUNTRIES[COUNTRY_DESCRIPTION],COUNTRIES[COUNTRY_LABEL],"")</f>
        <v>GR</v>
      </c>
      <c r="F44" t="str" cm="1">
        <f t="array" ref="F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4" t="s">
        <v>17</v>
      </c>
      <c r="H44">
        <v>68</v>
      </c>
      <c r="I44">
        <v>8</v>
      </c>
      <c r="J44">
        <v>8</v>
      </c>
      <c r="K44" t="str" cm="1">
        <f t="array" ref="K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f>IF(ISNUMBER(SEARCH("passenger",PROPERTIES[[#This Row],[CARGODEF]])),1,0)</f>
        <v>1</v>
      </c>
      <c r="O44" s="32">
        <v>48</v>
      </c>
      <c r="P44">
        <v>790</v>
      </c>
      <c r="Q44">
        <v>105</v>
      </c>
      <c r="R44" s="29">
        <v>0</v>
      </c>
      <c r="S44" s="28">
        <f>IFERROR(PROPERTIES[[#This Row],[TE_STARTING_KN]]/(PROPERTIES[[#This Row],[WEIGHT]]*9.81),0)</f>
        <v>0</v>
      </c>
      <c r="T44" s="28">
        <v>0.19</v>
      </c>
      <c r="U44" s="25">
        <f>ROUND(IF(IFERROR(PROPERTIES[[#This Row],[TE_COEFFICIENT_CALC]],0)=0,PROPERTIES[[#This Row],[TE_COEFFICIENT_MANUAL]],PROPERTIES[[#This Row],[TE_COEFFICIENT_CALC]]),3)</f>
        <v>0.19</v>
      </c>
      <c r="V44" s="11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36">
        <v>0</v>
      </c>
      <c r="X44" s="9">
        <v>0</v>
      </c>
      <c r="Y44" s="10">
        <v>0</v>
      </c>
      <c r="Z44" t="s">
        <v>870</v>
      </c>
      <c r="AA44" t="s">
        <v>868</v>
      </c>
      <c r="AB44" s="2" t="s">
        <v>886</v>
      </c>
      <c r="AC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4" s="2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H44" s="10" t="b">
        <v>0</v>
      </c>
      <c r="AY44"/>
      <c r="AZ44"/>
      <c r="BA44"/>
    </row>
    <row r="45" spans="1:53">
      <c r="A45" s="2" t="s">
        <v>64</v>
      </c>
      <c r="B45">
        <v>1975</v>
      </c>
      <c r="C45" cm="1">
        <f t="array" ref="C45">_xlfn.IFS(ISNUMBER(SEARCH("wagon",PROPERTIES[[#This Row],[VEHIDCODE]])),0,OR(MID(PROPERTIES[[#This Row],[VEHIDCODE]],2,2)="mu",_xlfn.TEXTBEFORE(PROPERTIES[[#This Row],[VEHIDCODE]],"_")="mtro"),1,1=1,0)</f>
        <v>0</v>
      </c>
      <c r="D45" t="s">
        <v>1928</v>
      </c>
      <c r="E45" t="str">
        <f>_xlfn.XLOOKUP(PROPERTIES[[#This Row],[COUNTRY]],COUNTRIES[COUNTRY_DESCRIPTION],COUNTRIES[COUNTRY_LABEL],"")</f>
        <v>TN</v>
      </c>
      <c r="F45" t="str" cm="1">
        <f t="array" ref="F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" t="s">
        <v>17</v>
      </c>
      <c r="H45">
        <v>54</v>
      </c>
      <c r="I45">
        <v>8</v>
      </c>
      <c r="J45">
        <v>8</v>
      </c>
      <c r="K45" t="str" cm="1">
        <f t="array" ref="K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f>IF(ISNUMBER(SEARCH("passenger",PROPERTIES[[#This Row],[CARGODEF]])),1,0)</f>
        <v>1</v>
      </c>
      <c r="O45" s="32">
        <v>60</v>
      </c>
      <c r="P45">
        <v>1045</v>
      </c>
      <c r="Q45">
        <v>130</v>
      </c>
      <c r="R45" s="29">
        <v>0</v>
      </c>
      <c r="S45" s="28">
        <f>IFERROR(PROPERTIES[[#This Row],[TE_STARTING_KN]]/(PROPERTIES[[#This Row],[WEIGHT]]*9.81),0)</f>
        <v>0</v>
      </c>
      <c r="T45" s="28">
        <v>0.38</v>
      </c>
      <c r="U45" s="25">
        <f>ROUND(IF(IFERROR(PROPERTIES[[#This Row],[TE_COEFFICIENT_CALC]],0)=0,PROPERTIES[[#This Row],[TE_COEFFICIENT_MANUAL]],PROPERTIES[[#This Row],[TE_COEFFICIENT_CALC]]),3)</f>
        <v>0.38</v>
      </c>
      <c r="V45" s="11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36">
        <v>0</v>
      </c>
      <c r="X45" s="9">
        <v>0</v>
      </c>
      <c r="Y45" s="10">
        <v>0</v>
      </c>
      <c r="Z45" t="s">
        <v>872</v>
      </c>
      <c r="AA45" t="s">
        <v>868</v>
      </c>
      <c r="AB45" s="2" t="s">
        <v>886</v>
      </c>
      <c r="AC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5" s="2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H45" s="10" t="b">
        <v>0</v>
      </c>
      <c r="AY45"/>
      <c r="AZ45"/>
      <c r="BA45"/>
    </row>
    <row r="46" spans="1:53">
      <c r="A46" s="2" t="s">
        <v>65</v>
      </c>
      <c r="B46">
        <v>1979</v>
      </c>
      <c r="C46" cm="1">
        <f t="array" ref="C46">_xlfn.IFS(ISNUMBER(SEARCH("wagon",PROPERTIES[[#This Row],[VEHIDCODE]])),0,OR(MID(PROPERTIES[[#This Row],[VEHIDCODE]],2,2)="mu",_xlfn.TEXTBEFORE(PROPERTIES[[#This Row],[VEHIDCODE]],"_")="mtro"),1,1=1,0)</f>
        <v>0</v>
      </c>
      <c r="D46" t="s">
        <v>1937</v>
      </c>
      <c r="E46" t="str">
        <f>_xlfn.XLOOKUP(PROPERTIES[[#This Row],[COUNTRY]],COUNTRIES[COUNTRY_DESCRIPTION],COUNTRIES[COUNTRY_LABEL],"")</f>
        <v>US</v>
      </c>
      <c r="F46" t="str" cm="1">
        <f t="array" ref="F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" t="s">
        <v>17</v>
      </c>
      <c r="H46">
        <v>86</v>
      </c>
      <c r="I46">
        <v>8</v>
      </c>
      <c r="J46">
        <v>8</v>
      </c>
      <c r="K46" t="str" cm="1">
        <f t="array" ref="K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f>IF(ISNUMBER(SEARCH("passenger",PROPERTIES[[#This Row],[CARGODEF]])),1,0)</f>
        <v>1</v>
      </c>
      <c r="O46" s="32">
        <v>58</v>
      </c>
      <c r="P46">
        <v>360</v>
      </c>
      <c r="Q46">
        <v>130</v>
      </c>
      <c r="R46" s="29">
        <v>0</v>
      </c>
      <c r="S46" s="28">
        <f>IFERROR(PROPERTIES[[#This Row],[TE_STARTING_KN]]/(PROPERTIES[[#This Row],[WEIGHT]]*9.81),0)</f>
        <v>0</v>
      </c>
      <c r="T46" s="28">
        <v>0.26</v>
      </c>
      <c r="U46" s="25">
        <f>ROUND(IF(IFERROR(PROPERTIES[[#This Row],[TE_COEFFICIENT_CALC]],0)=0,PROPERTIES[[#This Row],[TE_COEFFICIENT_MANUAL]],PROPERTIES[[#This Row],[TE_COEFFICIENT_CALC]]),3)</f>
        <v>0.26</v>
      </c>
      <c r="V46" s="11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36">
        <v>0</v>
      </c>
      <c r="X46" s="9">
        <v>0</v>
      </c>
      <c r="Y46" s="10">
        <v>0</v>
      </c>
      <c r="Z46" t="s">
        <v>874</v>
      </c>
      <c r="AA46" t="s">
        <v>868</v>
      </c>
      <c r="AB46" s="2" t="s">
        <v>886</v>
      </c>
      <c r="AC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6" s="2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H46" s="10" t="b">
        <v>0</v>
      </c>
      <c r="AY46"/>
      <c r="AZ46"/>
      <c r="BA46"/>
    </row>
    <row r="47" spans="1:53">
      <c r="A47" s="2" t="s">
        <v>66</v>
      </c>
      <c r="B47">
        <v>2005</v>
      </c>
      <c r="C47" cm="1">
        <f t="array" ref="C47">_xlfn.IFS(ISNUMBER(SEARCH("wagon",PROPERTIES[[#This Row],[VEHIDCODE]])),0,OR(MID(PROPERTIES[[#This Row],[VEHIDCODE]],2,2)="mu",_xlfn.TEXTBEFORE(PROPERTIES[[#This Row],[VEHIDCODE]],"_")="mtro"),1,1=1,0)</f>
        <v>0</v>
      </c>
      <c r="D47" t="s">
        <v>1776</v>
      </c>
      <c r="E47" t="str">
        <f>_xlfn.XLOOKUP(PROPERTIES[[#This Row],[COUNTRY]],COUNTRIES[COUNTRY_DESCRIPTION],COUNTRIES[COUNTRY_LABEL],"")</f>
        <v>FI</v>
      </c>
      <c r="F47" t="str" cm="1">
        <f t="array" ref="F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" t="s">
        <v>17</v>
      </c>
      <c r="H47">
        <v>63</v>
      </c>
      <c r="I47">
        <v>8</v>
      </c>
      <c r="J47">
        <v>8</v>
      </c>
      <c r="K47" t="str" cm="1">
        <f t="array" ref="K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f>IF(ISNUMBER(SEARCH("passenger",PROPERTIES[[#This Row],[CARGODEF]])),1,0)</f>
        <v>1</v>
      </c>
      <c r="O47" s="32">
        <v>48</v>
      </c>
      <c r="P47">
        <v>404</v>
      </c>
      <c r="Q47">
        <v>120</v>
      </c>
      <c r="R47" s="29">
        <v>0</v>
      </c>
      <c r="S47" s="28">
        <f>IFERROR(PROPERTIES[[#This Row],[TE_STARTING_KN]]/(PROPERTIES[[#This Row],[WEIGHT]]*9.81),0)</f>
        <v>0</v>
      </c>
      <c r="T47" s="28">
        <v>0.35</v>
      </c>
      <c r="U47" s="25">
        <f>ROUND(IF(IFERROR(PROPERTIES[[#This Row],[TE_COEFFICIENT_CALC]],0)=0,PROPERTIES[[#This Row],[TE_COEFFICIENT_MANUAL]],PROPERTIES[[#This Row],[TE_COEFFICIENT_CALC]]),3)</f>
        <v>0.35</v>
      </c>
      <c r="V47" s="11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36">
        <v>0</v>
      </c>
      <c r="X47" s="9">
        <v>0</v>
      </c>
      <c r="Y47" s="10">
        <v>0</v>
      </c>
      <c r="Z47" t="s">
        <v>873</v>
      </c>
      <c r="AA47" t="s">
        <v>868</v>
      </c>
      <c r="AB47" s="2" t="s">
        <v>886</v>
      </c>
      <c r="AC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7" s="2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H47" s="10" t="b">
        <v>0</v>
      </c>
      <c r="AY47"/>
      <c r="AZ47"/>
      <c r="BA47"/>
    </row>
    <row r="48" spans="1:53">
      <c r="A48" s="2" t="s">
        <v>67</v>
      </c>
      <c r="B48">
        <v>2011</v>
      </c>
      <c r="C48" cm="1">
        <f t="array" ref="C48">_xlfn.IFS(ISNUMBER(SEARCH("wagon",PROPERTIES[[#This Row],[VEHIDCODE]])),0,OR(MID(PROPERTIES[[#This Row],[VEHIDCODE]],2,2)="mu",_xlfn.TEXTBEFORE(PROPERTIES[[#This Row],[VEHIDCODE]],"_")="mtro"),1,1=1,0)</f>
        <v>0</v>
      </c>
      <c r="D48" t="s">
        <v>1762</v>
      </c>
      <c r="E48" t="str">
        <f>_xlfn.XLOOKUP(PROPERTIES[[#This Row],[COUNTRY]],COUNTRIES[COUNTRY_DESCRIPTION],COUNTRIES[COUNTRY_LABEL],"")</f>
        <v>CZ</v>
      </c>
      <c r="F48" t="str" cm="1">
        <f t="array" ref="F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" t="s">
        <v>17</v>
      </c>
      <c r="H48">
        <v>140</v>
      </c>
      <c r="I48">
        <v>8</v>
      </c>
      <c r="J48">
        <v>8</v>
      </c>
      <c r="K48" t="str" cm="1">
        <f t="array" ref="K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f>IF(ISNUMBER(SEARCH("passenger",PROPERTIES[[#This Row],[CARGODEF]])),1,0)</f>
        <v>1</v>
      </c>
      <c r="O48" s="32">
        <v>40</v>
      </c>
      <c r="P48">
        <v>710</v>
      </c>
      <c r="Q48">
        <v>120</v>
      </c>
      <c r="R48" s="29">
        <v>100</v>
      </c>
      <c r="S48" s="28">
        <f>IFERROR(PROPERTIES[[#This Row],[TE_STARTING_KN]]/(PROPERTIES[[#This Row],[WEIGHT]]*9.81),0)</f>
        <v>0.254841997961264</v>
      </c>
      <c r="T48" s="28">
        <v>0.37</v>
      </c>
      <c r="U48" s="25">
        <f>ROUND(IF(IFERROR(PROPERTIES[[#This Row],[TE_COEFFICIENT_CALC]],0)=0,PROPERTIES[[#This Row],[TE_COEFFICIENT_MANUAL]],PROPERTIES[[#This Row],[TE_COEFFICIENT_CALC]]),3)</f>
        <v>0.255</v>
      </c>
      <c r="V48" s="11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36">
        <v>0</v>
      </c>
      <c r="X48" s="9">
        <v>0</v>
      </c>
      <c r="Y48" s="10">
        <v>0</v>
      </c>
      <c r="Z48" t="s">
        <v>875</v>
      </c>
      <c r="AA48" t="s">
        <v>868</v>
      </c>
      <c r="AB48" s="2" t="s">
        <v>886</v>
      </c>
      <c r="AC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8" s="2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H48" s="10" t="b">
        <v>0</v>
      </c>
      <c r="AY48"/>
      <c r="AZ48"/>
      <c r="BA48"/>
    </row>
    <row r="49" spans="1:53">
      <c r="A49" s="2" t="s">
        <v>68</v>
      </c>
      <c r="B49">
        <v>1956</v>
      </c>
      <c r="C49" cm="1">
        <f t="array" ref="C49">_xlfn.IFS(ISNUMBER(SEARCH("wagon",PROPERTIES[[#This Row],[VEHIDCODE]])),0,OR(MID(PROPERTIES[[#This Row],[VEHIDCODE]],2,2)="mu",_xlfn.TEXTBEFORE(PROPERTIES[[#This Row],[VEHIDCODE]],"_")="mtro"),1,1=1,0)</f>
        <v>0</v>
      </c>
      <c r="D49" t="s">
        <v>1815</v>
      </c>
      <c r="E49" t="str">
        <f>_xlfn.XLOOKUP(PROPERTIES[[#This Row],[COUNTRY]],COUNTRIES[COUNTRY_DESCRIPTION],COUNTRIES[COUNTRY_LABEL],"")</f>
        <v>IT</v>
      </c>
      <c r="F49" t="str" cm="1">
        <f t="array" ref="F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" t="s">
        <v>17</v>
      </c>
      <c r="H49">
        <v>68</v>
      </c>
      <c r="I49">
        <v>8</v>
      </c>
      <c r="J49">
        <v>8</v>
      </c>
      <c r="K49" t="str" cm="1">
        <f t="array" ref="K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f>IF(ISNUMBER(SEARCH("passenger",PROPERTIES[[#This Row],[CARGODEF]])),1,0)</f>
        <v>1</v>
      </c>
      <c r="O49" s="32">
        <v>36</v>
      </c>
      <c r="P49">
        <v>335</v>
      </c>
      <c r="Q49">
        <v>130</v>
      </c>
      <c r="R49" s="29">
        <v>0</v>
      </c>
      <c r="S49" s="28">
        <f>IFERROR(PROPERTIES[[#This Row],[TE_STARTING_KN]]/(PROPERTIES[[#This Row],[WEIGHT]]*9.81),0)</f>
        <v>0</v>
      </c>
      <c r="T49" s="28">
        <v>0.23</v>
      </c>
      <c r="U49" s="25">
        <f>ROUND(IF(IFERROR(PROPERTIES[[#This Row],[TE_COEFFICIENT_CALC]],0)=0,PROPERTIES[[#This Row],[TE_COEFFICIENT_MANUAL]],PROPERTIES[[#This Row],[TE_COEFFICIENT_CALC]]),3)</f>
        <v>0.23</v>
      </c>
      <c r="V49" s="11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36">
        <v>0</v>
      </c>
      <c r="X49" s="9">
        <v>0</v>
      </c>
      <c r="Y49" s="10">
        <v>0</v>
      </c>
      <c r="Z49" t="s">
        <v>870</v>
      </c>
      <c r="AA49" t="s">
        <v>868</v>
      </c>
      <c r="AB49" s="2" t="s">
        <v>886</v>
      </c>
      <c r="AC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9" s="2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H49" s="10" t="b">
        <v>0</v>
      </c>
      <c r="AY49"/>
      <c r="AZ49"/>
      <c r="BA49"/>
    </row>
    <row r="50" spans="1:53">
      <c r="A50" s="2" t="s">
        <v>69</v>
      </c>
      <c r="B50">
        <v>1903</v>
      </c>
      <c r="C50" cm="1">
        <f t="array" ref="C50">_xlfn.IFS(ISNUMBER(SEARCH("wagon",PROPERTIES[[#This Row],[VEHIDCODE]])),0,OR(MID(PROPERTIES[[#This Row],[VEHIDCODE]],2,2)="mu",_xlfn.TEXTBEFORE(PROPERTIES[[#This Row],[VEHIDCODE]],"_")="mtro"),1,1=1,0)</f>
        <v>0</v>
      </c>
      <c r="D50" t="s">
        <v>1762</v>
      </c>
      <c r="E50" t="str">
        <f>_xlfn.XLOOKUP(PROPERTIES[[#This Row],[COUNTRY]],COUNTRIES[COUNTRY_DESCRIPTION],COUNTRIES[COUNTRY_LABEL],"")</f>
        <v>CZ</v>
      </c>
      <c r="F50" t="str" cm="1">
        <f t="array" ref="F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" t="s">
        <v>17</v>
      </c>
      <c r="H50">
        <v>40</v>
      </c>
      <c r="I50">
        <v>7</v>
      </c>
      <c r="J50">
        <v>7</v>
      </c>
      <c r="K50" t="str" cm="1">
        <f t="array" ref="K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f>IF(ISNUMBER(SEARCH("passenger",PROPERTIES[[#This Row],[CARGODEF]])),1,0)</f>
        <v>1</v>
      </c>
      <c r="O50" s="32">
        <v>23</v>
      </c>
      <c r="P50">
        <v>150</v>
      </c>
      <c r="Q50">
        <v>35</v>
      </c>
      <c r="R50" s="29">
        <v>0</v>
      </c>
      <c r="S50" s="28">
        <f>IFERROR(PROPERTIES[[#This Row],[TE_STARTING_KN]]/(PROPERTIES[[#This Row],[WEIGHT]]*9.81),0)</f>
        <v>0</v>
      </c>
      <c r="T50" s="28">
        <v>0.33</v>
      </c>
      <c r="U50" s="25">
        <f>ROUND(IF(IFERROR(PROPERTIES[[#This Row],[TE_COEFFICIENT_CALC]],0)=0,PROPERTIES[[#This Row],[TE_COEFFICIENT_MANUAL]],PROPERTIES[[#This Row],[TE_COEFFICIENT_CALC]]),3)</f>
        <v>0.33</v>
      </c>
      <c r="V50" s="11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36">
        <v>0</v>
      </c>
      <c r="X50" s="9">
        <v>0</v>
      </c>
      <c r="Y50" s="10">
        <v>0</v>
      </c>
      <c r="Z50" t="s">
        <v>875</v>
      </c>
      <c r="AA50" t="s">
        <v>868</v>
      </c>
      <c r="AB50" s="2" t="s">
        <v>886</v>
      </c>
      <c r="AC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0" s="2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H50" s="10" t="b">
        <v>0</v>
      </c>
      <c r="AY50"/>
      <c r="AZ50"/>
      <c r="BA50"/>
    </row>
    <row r="51" spans="1:53">
      <c r="A51" s="2" t="s">
        <v>71</v>
      </c>
      <c r="B51">
        <v>1960</v>
      </c>
      <c r="C51" cm="1">
        <f t="array" ref="C51">_xlfn.IFS(ISNUMBER(SEARCH("wagon",PROPERTIES[[#This Row],[VEHIDCODE]])),0,OR(MID(PROPERTIES[[#This Row],[VEHIDCODE]],2,2)="mu",_xlfn.TEXTBEFORE(PROPERTIES[[#This Row],[VEHIDCODE]],"_")="mtro"),1,1=1,0)</f>
        <v>0</v>
      </c>
      <c r="D51" t="s">
        <v>1781</v>
      </c>
      <c r="E51" t="str">
        <f>_xlfn.XLOOKUP(PROPERTIES[[#This Row],[COUNTRY]],COUNTRIES[COUNTRY_DESCRIPTION],COUNTRIES[COUNTRY_LABEL],"")</f>
        <v>FR</v>
      </c>
      <c r="F51" t="str" cm="1">
        <f t="array" ref="F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" t="s">
        <v>17</v>
      </c>
      <c r="H51">
        <v>70</v>
      </c>
      <c r="I51">
        <v>8</v>
      </c>
      <c r="J51">
        <v>8</v>
      </c>
      <c r="K51" t="str" cm="1">
        <f t="array" ref="K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f>IF(ISNUMBER(SEARCH("passenger",PROPERTIES[[#This Row],[CARGODEF]])),1,0)</f>
        <v>1</v>
      </c>
      <c r="O51" s="32">
        <v>55</v>
      </c>
      <c r="P51">
        <v>1260</v>
      </c>
      <c r="Q51">
        <v>130</v>
      </c>
      <c r="R51" s="29">
        <v>0</v>
      </c>
      <c r="S51" s="28">
        <f>IFERROR(PROPERTIES[[#This Row],[TE_STARTING_KN]]/(PROPERTIES[[#This Row],[WEIGHT]]*9.81),0)</f>
        <v>0</v>
      </c>
      <c r="T51" s="28">
        <v>0.21</v>
      </c>
      <c r="U51" s="25">
        <f>ROUND(IF(IFERROR(PROPERTIES[[#This Row],[TE_COEFFICIENT_CALC]],0)=0,PROPERTIES[[#This Row],[TE_COEFFICIENT_MANUAL]],PROPERTIES[[#This Row],[TE_COEFFICIENT_CALC]]),3)</f>
        <v>0.21</v>
      </c>
      <c r="V51" s="11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36">
        <v>0</v>
      </c>
      <c r="X51" s="9">
        <v>0</v>
      </c>
      <c r="Y51" s="10">
        <v>0</v>
      </c>
      <c r="Z51" t="s">
        <v>869</v>
      </c>
      <c r="AA51" t="s">
        <v>868</v>
      </c>
      <c r="AB51" s="2" t="s">
        <v>886</v>
      </c>
      <c r="AC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1" s="2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H51" s="10" t="b">
        <v>0</v>
      </c>
      <c r="AY51"/>
      <c r="AZ51"/>
      <c r="BA51"/>
    </row>
    <row r="52" spans="1:53">
      <c r="A52" s="2" t="s">
        <v>72</v>
      </c>
      <c r="B52">
        <v>1930</v>
      </c>
      <c r="C52" cm="1">
        <f t="array" ref="C52">_xlfn.IFS(ISNUMBER(SEARCH("wagon",PROPERTIES[[#This Row],[VEHIDCODE]])),0,OR(MID(PROPERTIES[[#This Row],[VEHIDCODE]],2,2)="mu",_xlfn.TEXTBEFORE(PROPERTIES[[#This Row],[VEHIDCODE]],"_")="mtro"),1,1=1,0)</f>
        <v>0</v>
      </c>
      <c r="D52" t="s">
        <v>1763</v>
      </c>
      <c r="E52" t="str">
        <f>_xlfn.XLOOKUP(PROPERTIES[[#This Row],[COUNTRY]],COUNTRIES[COUNTRY_DESCRIPTION],COUNTRIES[COUNTRY_LABEL],"")</f>
        <v>DE</v>
      </c>
      <c r="F52" t="str" cm="1">
        <f t="array" ref="F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" t="s">
        <v>17</v>
      </c>
      <c r="H52">
        <v>50</v>
      </c>
      <c r="I52">
        <v>4</v>
      </c>
      <c r="J52">
        <v>4</v>
      </c>
      <c r="K52" t="str" cm="1">
        <f t="array" ref="K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f>IF(ISNUMBER(SEARCH("passenger",PROPERTIES[[#This Row],[CARGODEF]])),1,0)</f>
        <v>1</v>
      </c>
      <c r="O52" s="32">
        <v>23</v>
      </c>
      <c r="P52">
        <v>175</v>
      </c>
      <c r="Q52">
        <v>50</v>
      </c>
      <c r="R52" s="29">
        <v>0</v>
      </c>
      <c r="S52" s="28">
        <f>IFERROR(PROPERTIES[[#This Row],[TE_STARTING_KN]]/(PROPERTIES[[#This Row],[WEIGHT]]*9.81),0)</f>
        <v>0</v>
      </c>
      <c r="T52" s="28">
        <v>0.08</v>
      </c>
      <c r="U52" s="25">
        <f>ROUND(IF(IFERROR(PROPERTIES[[#This Row],[TE_COEFFICIENT_CALC]],0)=0,PROPERTIES[[#This Row],[TE_COEFFICIENT_MANUAL]],PROPERTIES[[#This Row],[TE_COEFFICIENT_CALC]]),3)</f>
        <v>0.08</v>
      </c>
      <c r="V52" s="11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36">
        <v>0</v>
      </c>
      <c r="X52" s="9">
        <v>0</v>
      </c>
      <c r="Y52" s="10">
        <v>0</v>
      </c>
      <c r="Z52" t="s">
        <v>869</v>
      </c>
      <c r="AA52" t="s">
        <v>868</v>
      </c>
      <c r="AB52" s="2" t="s">
        <v>886</v>
      </c>
      <c r="AC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2" s="2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H52" s="10" t="b">
        <v>0</v>
      </c>
      <c r="AY52"/>
      <c r="AZ52"/>
      <c r="BA52"/>
    </row>
    <row r="53" spans="1:53">
      <c r="A53" s="2" t="s">
        <v>73</v>
      </c>
      <c r="B53">
        <v>1982</v>
      </c>
      <c r="C53" cm="1">
        <f t="array" ref="C53">_xlfn.IFS(ISNUMBER(SEARCH("wagon",PROPERTIES[[#This Row],[VEHIDCODE]])),0,OR(MID(PROPERTIES[[#This Row],[VEHIDCODE]],2,2)="mu",_xlfn.TEXTBEFORE(PROPERTIES[[#This Row],[VEHIDCODE]],"_")="mtro"),1,1=1,0)</f>
        <v>0</v>
      </c>
      <c r="D53" t="s">
        <v>1763</v>
      </c>
      <c r="E53" t="str">
        <f>_xlfn.XLOOKUP(PROPERTIES[[#This Row],[COUNTRY]],COUNTRIES[COUNTRY_DESCRIPTION],COUNTRIES[COUNTRY_LABEL],"")</f>
        <v>DE</v>
      </c>
      <c r="F53" t="str" cm="1">
        <f t="array" ref="F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" t="s">
        <v>17</v>
      </c>
      <c r="H53">
        <f>(24+84)/2</f>
        <v>54</v>
      </c>
      <c r="I53">
        <v>5</v>
      </c>
      <c r="J53">
        <v>5</v>
      </c>
      <c r="K53" t="str" cm="1">
        <f t="array" ref="K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f>IF(ISNUMBER(SEARCH("passenger",PROPERTIES[[#This Row],[CARGODEF]])),1,0)</f>
        <v>1</v>
      </c>
      <c r="O53" s="32">
        <v>28</v>
      </c>
      <c r="P53">
        <v>285</v>
      </c>
      <c r="Q53">
        <v>50</v>
      </c>
      <c r="R53" s="29">
        <v>60</v>
      </c>
      <c r="S53" s="28">
        <f>IFERROR(PROPERTIES[[#This Row],[TE_STARTING_KN]]/(PROPERTIES[[#This Row],[WEIGHT]]*9.81),0)</f>
        <v>0.218435998252512</v>
      </c>
      <c r="T53" s="28">
        <v>0.13</v>
      </c>
      <c r="U53" s="25">
        <f>ROUND(IF(IFERROR(PROPERTIES[[#This Row],[TE_COEFFICIENT_CALC]],0)=0,PROPERTIES[[#This Row],[TE_COEFFICIENT_MANUAL]],PROPERTIES[[#This Row],[TE_COEFFICIENT_CALC]]),3)</f>
        <v>0.218</v>
      </c>
      <c r="V53" s="11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36">
        <v>0</v>
      </c>
      <c r="X53" s="9">
        <v>0</v>
      </c>
      <c r="Y53" s="10">
        <v>0</v>
      </c>
      <c r="Z53" t="s">
        <v>869</v>
      </c>
      <c r="AA53" t="s">
        <v>868</v>
      </c>
      <c r="AB53" s="2" t="s">
        <v>886</v>
      </c>
      <c r="AC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3" s="2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H53" s="10" t="b">
        <v>0</v>
      </c>
      <c r="AY53"/>
      <c r="AZ53"/>
      <c r="BA53"/>
    </row>
    <row r="54" spans="1:53">
      <c r="A54" s="2" t="s">
        <v>74</v>
      </c>
      <c r="B54">
        <v>1930</v>
      </c>
      <c r="C54" cm="1">
        <f t="array" ref="C54">_xlfn.IFS(ISNUMBER(SEARCH("wagon",PROPERTIES[[#This Row],[VEHIDCODE]])),0,OR(MID(PROPERTIES[[#This Row],[VEHIDCODE]],2,2)="mu",_xlfn.TEXTBEFORE(PROPERTIES[[#This Row],[VEHIDCODE]],"_")="mtro"),1,1=1,0)</f>
        <v>0</v>
      </c>
      <c r="D54" t="s">
        <v>1907</v>
      </c>
      <c r="E54" t="str">
        <f>_xlfn.XLOOKUP(PROPERTIES[[#This Row],[COUNTRY]],COUNTRIES[COUNTRY_DESCRIPTION],COUNTRIES[COUNTRY_LABEL],"")</f>
        <v>SK</v>
      </c>
      <c r="F54" t="str" cm="1">
        <f t="array" ref="F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" t="s">
        <v>17</v>
      </c>
      <c r="H54">
        <v>48</v>
      </c>
      <c r="I54">
        <v>7</v>
      </c>
      <c r="J54">
        <v>7</v>
      </c>
      <c r="K54" t="str" cm="1">
        <f t="array" ref="K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f>IF(ISNUMBER(SEARCH("passenger",PROPERTIES[[#This Row],[CARGODEF]])),1,0)</f>
        <v>1</v>
      </c>
      <c r="O54" s="32">
        <v>45</v>
      </c>
      <c r="P54">
        <v>240</v>
      </c>
      <c r="Q54">
        <v>40</v>
      </c>
      <c r="R54" s="29">
        <v>0</v>
      </c>
      <c r="S54" s="28">
        <f>IFERROR(PROPERTIES[[#This Row],[TE_STARTING_KN]]/(PROPERTIES[[#This Row],[WEIGHT]]*9.81),0)</f>
        <v>0</v>
      </c>
      <c r="T54" s="28">
        <v>0.2</v>
      </c>
      <c r="U54" s="25">
        <f>ROUND(IF(IFERROR(PROPERTIES[[#This Row],[TE_COEFFICIENT_CALC]],0)=0,PROPERTIES[[#This Row],[TE_COEFFICIENT_MANUAL]],PROPERTIES[[#This Row],[TE_COEFFICIENT_CALC]]),3)</f>
        <v>0.2</v>
      </c>
      <c r="V54" s="11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36">
        <v>0</v>
      </c>
      <c r="X54" s="9">
        <v>0</v>
      </c>
      <c r="Y54" s="10">
        <v>0</v>
      </c>
      <c r="Z54" t="s">
        <v>875</v>
      </c>
      <c r="AA54" t="s">
        <v>868</v>
      </c>
      <c r="AB54" s="2" t="s">
        <v>886</v>
      </c>
      <c r="AC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4" s="2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H54" s="10" t="b">
        <v>0</v>
      </c>
      <c r="AY54"/>
      <c r="AZ54"/>
      <c r="BA54"/>
    </row>
    <row r="55" spans="1:53">
      <c r="A55" s="2" t="s">
        <v>75</v>
      </c>
      <c r="B55">
        <v>1949</v>
      </c>
      <c r="C55" cm="1">
        <f t="array" ref="C55">_xlfn.IFS(ISNUMBER(SEARCH("wagon",PROPERTIES[[#This Row],[VEHIDCODE]])),0,OR(MID(PROPERTIES[[#This Row],[VEHIDCODE]],2,2)="mu",_xlfn.TEXTBEFORE(PROPERTIES[[#This Row],[VEHIDCODE]],"_")="mtro"),1,1=1,0)</f>
        <v>0</v>
      </c>
      <c r="D55" t="s">
        <v>1815</v>
      </c>
      <c r="E55" t="str">
        <f>_xlfn.XLOOKUP(PROPERTIES[[#This Row],[COUNTRY]],COUNTRIES[COUNTRY_DESCRIPTION],COUNTRIES[COUNTRY_LABEL],"")</f>
        <v>IT</v>
      </c>
      <c r="F55" t="str" cm="1">
        <f t="array" ref="F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" t="s">
        <v>17</v>
      </c>
      <c r="H55">
        <v>84</v>
      </c>
      <c r="I55">
        <v>8</v>
      </c>
      <c r="J55">
        <v>8</v>
      </c>
      <c r="K55" t="str" cm="1">
        <f t="array" ref="K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f>IF(ISNUMBER(SEARCH("passenger",PROPERTIES[[#This Row],[CARGODEF]])),1,0)</f>
        <v>1</v>
      </c>
      <c r="O55" s="32">
        <v>58</v>
      </c>
      <c r="P55">
        <v>800</v>
      </c>
      <c r="Q55">
        <v>150</v>
      </c>
      <c r="R55" s="29">
        <v>0</v>
      </c>
      <c r="S55" s="28">
        <f>IFERROR(PROPERTIES[[#This Row],[TE_STARTING_KN]]/(PROPERTIES[[#This Row],[WEIGHT]]*9.81),0)</f>
        <v>0</v>
      </c>
      <c r="T55" s="28">
        <v>0.21</v>
      </c>
      <c r="U55" s="25">
        <f>ROUND(IF(IFERROR(PROPERTIES[[#This Row],[TE_COEFFICIENT_CALC]],0)=0,PROPERTIES[[#This Row],[TE_COEFFICIENT_MANUAL]],PROPERTIES[[#This Row],[TE_COEFFICIENT_CALC]]),3)</f>
        <v>0.21</v>
      </c>
      <c r="V55" s="11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36">
        <v>0</v>
      </c>
      <c r="X55" s="9">
        <v>0</v>
      </c>
      <c r="Y55" s="10">
        <v>0</v>
      </c>
      <c r="Z55" t="s">
        <v>870</v>
      </c>
      <c r="AA55" t="s">
        <v>868</v>
      </c>
      <c r="AB55" s="2" t="s">
        <v>886</v>
      </c>
      <c r="AC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5" s="2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H55" s="10" t="b">
        <v>0</v>
      </c>
      <c r="AY55"/>
      <c r="AZ55"/>
      <c r="BA55"/>
    </row>
    <row r="56" spans="1:53">
      <c r="A56" s="2" t="s">
        <v>76</v>
      </c>
      <c r="B56">
        <v>1981</v>
      </c>
      <c r="C56" cm="1">
        <f t="array" ref="C56">_xlfn.IFS(ISNUMBER(SEARCH("wagon",PROPERTIES[[#This Row],[VEHIDCODE]])),0,OR(MID(PROPERTIES[[#This Row],[VEHIDCODE]],2,2)="mu",_xlfn.TEXTBEFORE(PROPERTIES[[#This Row],[VEHIDCODE]],"_")="mtro"),1,1=1,0)</f>
        <v>0</v>
      </c>
      <c r="D56" t="s">
        <v>1815</v>
      </c>
      <c r="E56" t="str">
        <f>_xlfn.XLOOKUP(PROPERTIES[[#This Row],[COUNTRY]],COUNTRIES[COUNTRY_DESCRIPTION],COUNTRIES[COUNTRY_LABEL],"")</f>
        <v>IT</v>
      </c>
      <c r="F56" t="str" cm="1">
        <f t="array" ref="F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" t="s">
        <v>17</v>
      </c>
      <c r="H56">
        <v>80</v>
      </c>
      <c r="I56">
        <v>7</v>
      </c>
      <c r="J56">
        <v>7</v>
      </c>
      <c r="K56" t="str" cm="1">
        <f t="array" ref="K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f>IF(ISNUMBER(SEARCH("passenger",PROPERTIES[[#This Row],[CARGODEF]])),1,0)</f>
        <v>1</v>
      </c>
      <c r="O56" s="32">
        <v>49</v>
      </c>
      <c r="P56">
        <v>770</v>
      </c>
      <c r="Q56">
        <v>110</v>
      </c>
      <c r="R56" s="29">
        <v>0</v>
      </c>
      <c r="S56" s="28">
        <f>IFERROR(PROPERTIES[[#This Row],[TE_STARTING_KN]]/(PROPERTIES[[#This Row],[WEIGHT]]*9.81),0)</f>
        <v>0</v>
      </c>
      <c r="T56" s="28">
        <v>0.17</v>
      </c>
      <c r="U56" s="25">
        <f>ROUND(IF(IFERROR(PROPERTIES[[#This Row],[TE_COEFFICIENT_CALC]],0)=0,PROPERTIES[[#This Row],[TE_COEFFICIENT_MANUAL]],PROPERTIES[[#This Row],[TE_COEFFICIENT_CALC]]),3)</f>
        <v>0.17</v>
      </c>
      <c r="V56" s="11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36">
        <v>0</v>
      </c>
      <c r="X56" s="9">
        <v>0</v>
      </c>
      <c r="Y56" s="10">
        <v>0</v>
      </c>
      <c r="Z56" t="s">
        <v>870</v>
      </c>
      <c r="AA56" t="s">
        <v>868</v>
      </c>
      <c r="AB56" s="2" t="s">
        <v>886</v>
      </c>
      <c r="AC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6" s="2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H56" s="10" t="b">
        <v>0</v>
      </c>
      <c r="AY56"/>
      <c r="AZ56"/>
      <c r="BA56"/>
    </row>
    <row r="57" spans="1:53">
      <c r="A57" s="2" t="s">
        <v>77</v>
      </c>
      <c r="B57">
        <v>1950</v>
      </c>
      <c r="C57" cm="1">
        <f t="array" ref="C57">_xlfn.IFS(ISNUMBER(SEARCH("wagon",PROPERTIES[[#This Row],[VEHIDCODE]])),0,OR(MID(PROPERTIES[[#This Row],[VEHIDCODE]],2,2)="mu",_xlfn.TEXTBEFORE(PROPERTIES[[#This Row],[VEHIDCODE]],"_")="mtro"),1,1=1,0)</f>
        <v>0</v>
      </c>
      <c r="D57" t="s">
        <v>1815</v>
      </c>
      <c r="E57" t="str">
        <f>_xlfn.XLOOKUP(PROPERTIES[[#This Row],[COUNTRY]],COUNTRIES[COUNTRY_DESCRIPTION],COUNTRIES[COUNTRY_LABEL],"")</f>
        <v>IT</v>
      </c>
      <c r="F57" t="str" cm="1">
        <f t="array" ref="F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7" t="s">
        <v>17</v>
      </c>
      <c r="H57">
        <v>54</v>
      </c>
      <c r="I57">
        <v>8</v>
      </c>
      <c r="J57">
        <v>8</v>
      </c>
      <c r="K57" t="str" cm="1">
        <f t="array" ref="K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f>IF(ISNUMBER(SEARCH("passenger",PROPERTIES[[#This Row],[CARGODEF]])),1,0)</f>
        <v>1</v>
      </c>
      <c r="O57" s="32">
        <v>66</v>
      </c>
      <c r="P57">
        <v>965</v>
      </c>
      <c r="Q57">
        <v>110</v>
      </c>
      <c r="R57" s="29">
        <v>0</v>
      </c>
      <c r="S57" s="28">
        <f>IFERROR(PROPERTIES[[#This Row],[TE_STARTING_KN]]/(PROPERTIES[[#This Row],[WEIGHT]]*9.81),0)</f>
        <v>0</v>
      </c>
      <c r="T57" s="28">
        <v>0.08</v>
      </c>
      <c r="U57" s="25">
        <f>ROUND(IF(IFERROR(PROPERTIES[[#This Row],[TE_COEFFICIENT_CALC]],0)=0,PROPERTIES[[#This Row],[TE_COEFFICIENT_MANUAL]],PROPERTIES[[#This Row],[TE_COEFFICIENT_CALC]]),3)</f>
        <v>0.08</v>
      </c>
      <c r="V57" s="11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36">
        <v>0</v>
      </c>
      <c r="X57" s="9">
        <v>0</v>
      </c>
      <c r="Y57" s="10">
        <v>0</v>
      </c>
      <c r="Z57" t="s">
        <v>870</v>
      </c>
      <c r="AA57" t="s">
        <v>868</v>
      </c>
      <c r="AB57" s="2" t="s">
        <v>886</v>
      </c>
      <c r="AC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7" s="2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H57" s="10" t="b">
        <v>0</v>
      </c>
      <c r="AY57"/>
      <c r="AZ57"/>
      <c r="BA57"/>
    </row>
    <row r="58" spans="1:53">
      <c r="A58" s="2" t="s">
        <v>78</v>
      </c>
      <c r="B58">
        <v>1927</v>
      </c>
      <c r="C58" cm="1">
        <f t="array" ref="C58">_xlfn.IFS(ISNUMBER(SEARCH("wagon",PROPERTIES[[#This Row],[VEHIDCODE]])),0,OR(MID(PROPERTIES[[#This Row],[VEHIDCODE]],2,2)="mu",_xlfn.TEXTBEFORE(PROPERTIES[[#This Row],[VEHIDCODE]],"_")="mtro"),1,1=1,0)</f>
        <v>0</v>
      </c>
      <c r="D58" t="s">
        <v>1842</v>
      </c>
      <c r="E58" t="str">
        <f>_xlfn.XLOOKUP(PROPERTIES[[#This Row],[COUNTRY]],COUNTRIES[COUNTRY_DESCRIPTION],COUNTRIES[COUNTRY_LABEL],"")</f>
        <v>MA</v>
      </c>
      <c r="F58" t="str" cm="1">
        <f t="array" ref="F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8" t="s">
        <v>17</v>
      </c>
      <c r="H58">
        <v>44</v>
      </c>
      <c r="I58">
        <v>8</v>
      </c>
      <c r="J58">
        <v>8</v>
      </c>
      <c r="K58" t="str" cm="1">
        <f t="array" ref="K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f>IF(ISNUMBER(SEARCH("passenger",PROPERTIES[[#This Row],[CARGODEF]])),1,0)</f>
        <v>1</v>
      </c>
      <c r="O58" s="32">
        <v>40</v>
      </c>
      <c r="P58">
        <v>480</v>
      </c>
      <c r="Q58">
        <v>85</v>
      </c>
      <c r="R58" s="29">
        <v>0</v>
      </c>
      <c r="S58" s="28">
        <f>IFERROR(PROPERTIES[[#This Row],[TE_STARTING_KN]]/(PROPERTIES[[#This Row],[WEIGHT]]*9.81),0)</f>
        <v>0</v>
      </c>
      <c r="T58" s="28">
        <v>0.13</v>
      </c>
      <c r="U58" s="25">
        <f>ROUND(IF(IFERROR(PROPERTIES[[#This Row],[TE_COEFFICIENT_CALC]],0)=0,PROPERTIES[[#This Row],[TE_COEFFICIENT_MANUAL]],PROPERTIES[[#This Row],[TE_COEFFICIENT_CALC]]),3)</f>
        <v>0.13</v>
      </c>
      <c r="V58" s="11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36">
        <v>0</v>
      </c>
      <c r="X58" s="9">
        <v>0</v>
      </c>
      <c r="Y58" s="10">
        <v>0</v>
      </c>
      <c r="Z58" t="s">
        <v>872</v>
      </c>
      <c r="AA58" t="s">
        <v>868</v>
      </c>
      <c r="AB58" s="2" t="s">
        <v>886</v>
      </c>
      <c r="AC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8" s="2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H58" s="10" t="b">
        <v>0</v>
      </c>
      <c r="AY58"/>
      <c r="AZ58"/>
      <c r="BA58"/>
    </row>
    <row r="59" spans="1:53">
      <c r="A59" s="2" t="s">
        <v>79</v>
      </c>
      <c r="B59">
        <v>2005</v>
      </c>
      <c r="C59" cm="1">
        <f t="array" ref="C59">_xlfn.IFS(ISNUMBER(SEARCH("wagon",PROPERTIES[[#This Row],[VEHIDCODE]])),0,OR(MID(PROPERTIES[[#This Row],[VEHIDCODE]],2,2)="mu",_xlfn.TEXTBEFORE(PROPERTIES[[#This Row],[VEHIDCODE]],"_")="mtro"),1,1=1,0)</f>
        <v>0</v>
      </c>
      <c r="D59" t="s">
        <v>1884</v>
      </c>
      <c r="E59" t="str">
        <f>_xlfn.XLOOKUP(PROPERTIES[[#This Row],[COUNTRY]],COUNTRIES[COUNTRY_DESCRIPTION],COUNTRIES[COUNTRY_LABEL],"")</f>
        <v>PL</v>
      </c>
      <c r="F59" t="str" cm="1">
        <f t="array" ref="F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" t="s">
        <v>17</v>
      </c>
      <c r="H59">
        <v>140</v>
      </c>
      <c r="I59">
        <v>8</v>
      </c>
      <c r="J59">
        <v>8</v>
      </c>
      <c r="K59" t="str" cm="1">
        <f t="array" ref="K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f>IF(ISNUMBER(SEARCH("passenger",PROPERTIES[[#This Row],[CARGODEF]])),1,0)</f>
        <v>1</v>
      </c>
      <c r="O59" s="32">
        <v>53</v>
      </c>
      <c r="P59">
        <v>750</v>
      </c>
      <c r="Q59">
        <v>120</v>
      </c>
      <c r="R59" s="29">
        <v>0</v>
      </c>
      <c r="S59" s="28">
        <f>IFERROR(PROPERTIES[[#This Row],[TE_STARTING_KN]]/(PROPERTIES[[#This Row],[WEIGHT]]*9.81),0)</f>
        <v>0</v>
      </c>
      <c r="T59" s="28">
        <v>0.08</v>
      </c>
      <c r="U59" s="25">
        <f>ROUND(IF(IFERROR(PROPERTIES[[#This Row],[TE_COEFFICIENT_CALC]],0)=0,PROPERTIES[[#This Row],[TE_COEFFICIENT_MANUAL]],PROPERTIES[[#This Row],[TE_COEFFICIENT_CALC]]),3)</f>
        <v>0.08</v>
      </c>
      <c r="V59" s="11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36">
        <v>0</v>
      </c>
      <c r="X59" s="9">
        <v>0</v>
      </c>
      <c r="Y59" s="10">
        <v>0</v>
      </c>
      <c r="Z59" t="s">
        <v>875</v>
      </c>
      <c r="AA59" t="s">
        <v>868</v>
      </c>
      <c r="AB59" s="2" t="s">
        <v>886</v>
      </c>
      <c r="AC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" s="2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H59" s="10" t="b">
        <v>0</v>
      </c>
      <c r="AY59"/>
      <c r="AZ59"/>
      <c r="BA59"/>
    </row>
    <row r="60" spans="1:53">
      <c r="A60" s="2" t="s">
        <v>80</v>
      </c>
      <c r="B60">
        <v>1989</v>
      </c>
      <c r="C60" cm="1">
        <f t="array" ref="C60">_xlfn.IFS(ISNUMBER(SEARCH("wagon",PROPERTIES[[#This Row],[VEHIDCODE]])),0,OR(MID(PROPERTIES[[#This Row],[VEHIDCODE]],2,2)="mu",_xlfn.TEXTBEFORE(PROPERTIES[[#This Row],[VEHIDCODE]],"_")="mtro"),1,1=1,0)</f>
        <v>0</v>
      </c>
      <c r="D60" t="s">
        <v>1718</v>
      </c>
      <c r="E60" t="str">
        <f>_xlfn.XLOOKUP(PROPERTIES[[#This Row],[COUNTRY]],COUNTRIES[COUNTRY_DESCRIPTION],COUNTRIES[COUNTRY_LABEL],"")</f>
        <v>AT</v>
      </c>
      <c r="F60" t="str" cm="1">
        <f t="array" ref="F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" t="s">
        <v>17</v>
      </c>
      <c r="H60">
        <f>64+62</f>
        <v>126</v>
      </c>
      <c r="I60">
        <v>8</v>
      </c>
      <c r="J60">
        <v>8</v>
      </c>
      <c r="K60" t="str" cm="1">
        <f t="array" ref="K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f>IF(ISNUMBER(SEARCH("passenger",PROPERTIES[[#This Row],[CARGODEF]])),1,0)</f>
        <v>1</v>
      </c>
      <c r="O60" s="32">
        <v>42</v>
      </c>
      <c r="P60">
        <v>643</v>
      </c>
      <c r="Q60">
        <v>120</v>
      </c>
      <c r="R60" s="29">
        <v>0</v>
      </c>
      <c r="S60" s="28">
        <f>IFERROR(PROPERTIES[[#This Row],[TE_STARTING_KN]]/(PROPERTIES[[#This Row],[WEIGHT]]*9.81),0)</f>
        <v>0</v>
      </c>
      <c r="T60" s="28">
        <v>0.21</v>
      </c>
      <c r="U60" s="25">
        <f>ROUND(IF(IFERROR(PROPERTIES[[#This Row],[TE_COEFFICIENT_CALC]],0)=0,PROPERTIES[[#This Row],[TE_COEFFICIENT_MANUAL]],PROPERTIES[[#This Row],[TE_COEFFICIENT_CALC]]),3)</f>
        <v>0.21</v>
      </c>
      <c r="V60" s="11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36">
        <v>0</v>
      </c>
      <c r="X60" s="9">
        <v>0</v>
      </c>
      <c r="Y60" s="10">
        <v>0</v>
      </c>
      <c r="Z60" t="s">
        <v>869</v>
      </c>
      <c r="AA60" t="s">
        <v>868</v>
      </c>
      <c r="AB60" s="2" t="s">
        <v>886</v>
      </c>
      <c r="AC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0" s="2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H60" s="10" t="b">
        <v>0</v>
      </c>
      <c r="AY60"/>
      <c r="AZ60"/>
      <c r="BA60"/>
    </row>
    <row r="61" spans="1:53">
      <c r="A61" s="2" t="s">
        <v>81</v>
      </c>
      <c r="B61">
        <v>2001</v>
      </c>
      <c r="C61" cm="1">
        <f t="array" ref="C61">_xlfn.IFS(ISNUMBER(SEARCH("wagon",PROPERTIES[[#This Row],[VEHIDCODE]])),0,OR(MID(PROPERTIES[[#This Row],[VEHIDCODE]],2,2)="mu",_xlfn.TEXTBEFORE(PROPERTIES[[#This Row],[VEHIDCODE]],"_")="mtro"),1,1=1,0)</f>
        <v>0</v>
      </c>
      <c r="D61" t="s">
        <v>1718</v>
      </c>
      <c r="E61" t="str">
        <f>_xlfn.XLOOKUP(PROPERTIES[[#This Row],[COUNTRY]],COUNTRIES[COUNTRY_DESCRIPTION],COUNTRIES[COUNTRY_LABEL],"")</f>
        <v>AT</v>
      </c>
      <c r="F61" t="str" cm="1">
        <f t="array" ref="F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" t="s">
        <v>17</v>
      </c>
      <c r="H61">
        <v>150</v>
      </c>
      <c r="I61">
        <v>8</v>
      </c>
      <c r="J61">
        <v>8</v>
      </c>
      <c r="K61" t="str" cm="1">
        <f t="array" ref="K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f>IF(ISNUMBER(SEARCH("passenger",PROPERTIES[[#This Row],[CARGODEF]])),1,0)</f>
        <v>1</v>
      </c>
      <c r="O61" s="32">
        <v>52</v>
      </c>
      <c r="P61">
        <v>1475</v>
      </c>
      <c r="Q61">
        <v>90</v>
      </c>
      <c r="R61" s="29">
        <v>0</v>
      </c>
      <c r="S61" s="28">
        <f>IFERROR(PROPERTIES[[#This Row],[TE_STARTING_KN]]/(PROPERTIES[[#This Row],[WEIGHT]]*9.81),0)</f>
        <v>0</v>
      </c>
      <c r="T61" s="28">
        <v>0.28999999999999998</v>
      </c>
      <c r="U61" s="25">
        <f>ROUND(IF(IFERROR(PROPERTIES[[#This Row],[TE_COEFFICIENT_CALC]],0)=0,PROPERTIES[[#This Row],[TE_COEFFICIENT_MANUAL]],PROPERTIES[[#This Row],[TE_COEFFICIENT_CALC]]),3)</f>
        <v>0.28999999999999998</v>
      </c>
      <c r="V61" s="11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36">
        <v>0</v>
      </c>
      <c r="X61" s="9">
        <v>0</v>
      </c>
      <c r="Y61" s="10">
        <v>0</v>
      </c>
      <c r="Z61" t="s">
        <v>869</v>
      </c>
      <c r="AA61" t="s">
        <v>868</v>
      </c>
      <c r="AB61" s="2" t="s">
        <v>886</v>
      </c>
      <c r="AC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1" s="2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H61" s="10" t="b">
        <v>0</v>
      </c>
      <c r="AY61"/>
      <c r="AZ61"/>
      <c r="BA61"/>
    </row>
    <row r="62" spans="1:53">
      <c r="A62" s="2" t="s">
        <v>82</v>
      </c>
      <c r="B62">
        <v>1927</v>
      </c>
      <c r="C62" cm="1">
        <f t="array" ref="C62">_xlfn.IFS(ISNUMBER(SEARCH("wagon",PROPERTIES[[#This Row],[VEHIDCODE]])),0,OR(MID(PROPERTIES[[#This Row],[VEHIDCODE]],2,2)="mu",_xlfn.TEXTBEFORE(PROPERTIES[[#This Row],[VEHIDCODE]],"_")="mtro"),1,1=1,0)</f>
        <v>0</v>
      </c>
      <c r="D62" t="s">
        <v>1763</v>
      </c>
      <c r="E62" t="str">
        <f>_xlfn.XLOOKUP(PROPERTIES[[#This Row],[COUNTRY]],COUNTRIES[COUNTRY_DESCRIPTION],COUNTRIES[COUNTRY_LABEL],"")</f>
        <v>DE</v>
      </c>
      <c r="F62" t="str" cm="1">
        <f t="array" ref="F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" t="s">
        <v>17</v>
      </c>
      <c r="H62">
        <v>75</v>
      </c>
      <c r="I62">
        <v>8</v>
      </c>
      <c r="J62">
        <v>8</v>
      </c>
      <c r="K62" t="str" cm="1">
        <f t="array" ref="K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f>IF(ISNUMBER(SEARCH("passenger",PROPERTIES[[#This Row],[CARGODEF]])),1,0)</f>
        <v>1</v>
      </c>
      <c r="O62" s="32">
        <v>61</v>
      </c>
      <c r="P62">
        <v>740</v>
      </c>
      <c r="Q62">
        <v>75</v>
      </c>
      <c r="R62" s="29">
        <v>0</v>
      </c>
      <c r="S62" s="28">
        <f>IFERROR(PROPERTIES[[#This Row],[TE_STARTING_KN]]/(PROPERTIES[[#This Row],[WEIGHT]]*9.81),0)</f>
        <v>0</v>
      </c>
      <c r="T62" s="28">
        <v>0.16</v>
      </c>
      <c r="U62" s="25">
        <f>ROUND(IF(IFERROR(PROPERTIES[[#This Row],[TE_COEFFICIENT_CALC]],0)=0,PROPERTIES[[#This Row],[TE_COEFFICIENT_MANUAL]],PROPERTIES[[#This Row],[TE_COEFFICIENT_CALC]]),3)</f>
        <v>0.16</v>
      </c>
      <c r="V62" s="11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36">
        <v>0</v>
      </c>
      <c r="X62" s="9">
        <v>0</v>
      </c>
      <c r="Y62" s="10">
        <v>0</v>
      </c>
      <c r="Z62" t="s">
        <v>869</v>
      </c>
      <c r="AA62" t="s">
        <v>868</v>
      </c>
      <c r="AB62" s="2" t="s">
        <v>886</v>
      </c>
      <c r="AC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2" s="2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H62" s="10" t="b">
        <v>0</v>
      </c>
      <c r="AY62"/>
      <c r="AZ62"/>
      <c r="BA62"/>
    </row>
    <row r="63" spans="1:53">
      <c r="A63" s="2" t="s">
        <v>83</v>
      </c>
      <c r="B63">
        <v>1955</v>
      </c>
      <c r="C63" cm="1">
        <f t="array" ref="C63">_xlfn.IFS(ISNUMBER(SEARCH("wagon",PROPERTIES[[#This Row],[VEHIDCODE]])),0,OR(MID(PROPERTIES[[#This Row],[VEHIDCODE]],2,2)="mu",_xlfn.TEXTBEFORE(PROPERTIES[[#This Row],[VEHIDCODE]],"_")="mtro"),1,1=1,0)</f>
        <v>0</v>
      </c>
      <c r="D63" t="s">
        <v>1902</v>
      </c>
      <c r="E63" t="str">
        <f>_xlfn.XLOOKUP(PROPERTIES[[#This Row],[COUNTRY]],COUNTRIES[COUNTRY_DESCRIPTION],COUNTRIES[COUNTRY_LABEL],"")</f>
        <v>SE</v>
      </c>
      <c r="F63" t="str" cm="1">
        <f t="array" ref="F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" t="s">
        <v>17</v>
      </c>
      <c r="H63">
        <v>90</v>
      </c>
      <c r="I63">
        <v>6</v>
      </c>
      <c r="J63">
        <v>6</v>
      </c>
      <c r="K63" t="str" cm="1">
        <f t="array" ref="K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f>IF(ISNUMBER(SEARCH("passenger",PROPERTIES[[#This Row],[CARGODEF]])),1,0)</f>
        <v>1</v>
      </c>
      <c r="O63" s="32">
        <v>21</v>
      </c>
      <c r="P63">
        <v>230</v>
      </c>
      <c r="Q63">
        <v>110</v>
      </c>
      <c r="R63" s="29">
        <v>15</v>
      </c>
      <c r="S63" s="28">
        <f>IFERROR(PROPERTIES[[#This Row],[TE_STARTING_KN]]/(PROPERTIES[[#This Row],[WEIGHT]]*9.81),0)</f>
        <v>7.2811999417503992E-2</v>
      </c>
      <c r="T63" s="28">
        <v>0.34</v>
      </c>
      <c r="U63" s="25">
        <f>ROUND(IF(IFERROR(PROPERTIES[[#This Row],[TE_COEFFICIENT_CALC]],0)=0,PROPERTIES[[#This Row],[TE_COEFFICIENT_MANUAL]],PROPERTIES[[#This Row],[TE_COEFFICIENT_CALC]]),3)</f>
        <v>7.2999999999999995E-2</v>
      </c>
      <c r="V63" s="11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36">
        <v>0</v>
      </c>
      <c r="X63" s="9">
        <v>0</v>
      </c>
      <c r="Y63" s="10">
        <v>0</v>
      </c>
      <c r="Z63" t="s">
        <v>873</v>
      </c>
      <c r="AA63" t="s">
        <v>868</v>
      </c>
      <c r="AB63" s="2" t="s">
        <v>886</v>
      </c>
      <c r="AC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3" s="2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H63" s="10" t="b">
        <v>0</v>
      </c>
      <c r="AY63"/>
      <c r="AZ63"/>
      <c r="BA63"/>
    </row>
    <row r="64" spans="1:53">
      <c r="A64" s="2" t="s">
        <v>84</v>
      </c>
      <c r="B64">
        <v>1963</v>
      </c>
      <c r="C64" cm="1">
        <f t="array" ref="C64">_xlfn.IFS(ISNUMBER(SEARCH("wagon",PROPERTIES[[#This Row],[VEHIDCODE]])),0,OR(MID(PROPERTIES[[#This Row],[VEHIDCODE]],2,2)="mu",_xlfn.TEXTBEFORE(PROPERTIES[[#This Row],[VEHIDCODE]],"_")="mtro"),1,1=1,0)</f>
        <v>0</v>
      </c>
      <c r="D64" t="s">
        <v>1937</v>
      </c>
      <c r="E64" t="str">
        <f>_xlfn.XLOOKUP(PROPERTIES[[#This Row],[COUNTRY]],COUNTRIES[COUNTRY_DESCRIPTION],COUNTRIES[COUNTRY_LABEL],"")</f>
        <v>US</v>
      </c>
      <c r="F64" t="str" cm="1">
        <f t="array" ref="F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" t="s">
        <v>17</v>
      </c>
      <c r="H64">
        <v>124</v>
      </c>
      <c r="I64">
        <v>8</v>
      </c>
      <c r="J64">
        <v>8</v>
      </c>
      <c r="K64" t="str" cm="1">
        <f t="array" ref="K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f>IF(ISNUMBER(SEARCH("passenger",PROPERTIES[[#This Row],[CARGODEF]])),1,0)</f>
        <v>1</v>
      </c>
      <c r="O64" s="32">
        <v>46</v>
      </c>
      <c r="P64">
        <v>550</v>
      </c>
      <c r="Q64">
        <v>137</v>
      </c>
      <c r="R64" s="29">
        <v>0</v>
      </c>
      <c r="S64" s="28">
        <f>IFERROR(PROPERTIES[[#This Row],[TE_STARTING_KN]]/(PROPERTIES[[#This Row],[WEIGHT]]*9.81),0)</f>
        <v>0</v>
      </c>
      <c r="T64" s="28">
        <v>0.18</v>
      </c>
      <c r="U64" s="25">
        <f>ROUND(IF(IFERROR(PROPERTIES[[#This Row],[TE_COEFFICIENT_CALC]],0)=0,PROPERTIES[[#This Row],[TE_COEFFICIENT_MANUAL]],PROPERTIES[[#This Row],[TE_COEFFICIENT_CALC]]),3)</f>
        <v>0.18</v>
      </c>
      <c r="V64" s="11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36">
        <v>0</v>
      </c>
      <c r="X64" s="9">
        <v>0</v>
      </c>
      <c r="Y64" s="10">
        <v>0</v>
      </c>
      <c r="Z64" t="s">
        <v>874</v>
      </c>
      <c r="AA64" t="s">
        <v>868</v>
      </c>
      <c r="AB64" s="2" t="s">
        <v>886</v>
      </c>
      <c r="AC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4" s="2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H64" s="10" t="b">
        <v>0</v>
      </c>
      <c r="AY64"/>
      <c r="AZ64"/>
      <c r="BA64"/>
    </row>
    <row r="65" spans="1:53">
      <c r="A65" s="2" t="s">
        <v>85</v>
      </c>
      <c r="B65">
        <v>2010</v>
      </c>
      <c r="C65" cm="1">
        <f t="array" ref="C65">_xlfn.IFS(ISNUMBER(SEARCH("wagon",PROPERTIES[[#This Row],[VEHIDCODE]])),0,OR(MID(PROPERTIES[[#This Row],[VEHIDCODE]],2,2)="mu",_xlfn.TEXTBEFORE(PROPERTIES[[#This Row],[VEHIDCODE]],"_")="mtro"),1,1=1,0)</f>
        <v>0</v>
      </c>
      <c r="D65" t="s">
        <v>1937</v>
      </c>
      <c r="E65" t="str">
        <f>_xlfn.XLOOKUP(PROPERTIES[[#This Row],[COUNTRY]],COUNTRIES[COUNTRY_DESCRIPTION],COUNTRIES[COUNTRY_LABEL],"")</f>
        <v>US</v>
      </c>
      <c r="F65" t="str" cm="1">
        <f t="array" ref="F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" t="s">
        <v>17</v>
      </c>
      <c r="H65">
        <v>110</v>
      </c>
      <c r="I65">
        <v>8</v>
      </c>
      <c r="J65">
        <v>8</v>
      </c>
      <c r="K65" t="str" cm="1">
        <f t="array" ref="K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5">
        <f>_xlfn.XLOOKUP("LOADINGSPEEDDEF_"&amp;PROPERTIES[[#This Row],[LOADINGSPEED]],LOADINGSPEEDDEF[TYPE],LOADINGSPEEDDEF[SPEED])</f>
        <v>16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f>IF(ISNUMBER(SEARCH("passenger",PROPERTIES[[#This Row],[CARGODEF]])),1,0)</f>
        <v>1</v>
      </c>
      <c r="O65" s="32">
        <v>66</v>
      </c>
      <c r="P65">
        <v>680</v>
      </c>
      <c r="Q65">
        <v>180</v>
      </c>
      <c r="R65" s="29">
        <v>0</v>
      </c>
      <c r="S65" s="28">
        <f>IFERROR(PROPERTIES[[#This Row],[TE_STARTING_KN]]/(PROPERTIES[[#This Row],[WEIGHT]]*9.81),0)</f>
        <v>0</v>
      </c>
      <c r="T65" s="28">
        <v>0.17</v>
      </c>
      <c r="U65" s="25">
        <f>ROUND(IF(IFERROR(PROPERTIES[[#This Row],[TE_COEFFICIENT_CALC]],0)=0,PROPERTIES[[#This Row],[TE_COEFFICIENT_MANUAL]],PROPERTIES[[#This Row],[TE_COEFFICIENT_CALC]]),3)</f>
        <v>0.17</v>
      </c>
      <c r="V65" s="11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36">
        <v>0</v>
      </c>
      <c r="X65" s="9">
        <v>0</v>
      </c>
      <c r="Y65" s="10">
        <v>0</v>
      </c>
      <c r="Z65" t="s">
        <v>874</v>
      </c>
      <c r="AA65" t="s">
        <v>868</v>
      </c>
      <c r="AB65" s="2" t="s">
        <v>886</v>
      </c>
      <c r="AC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5" s="2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H65" s="10" t="b">
        <v>0</v>
      </c>
      <c r="AY65"/>
      <c r="AZ65"/>
      <c r="BA65"/>
    </row>
    <row r="66" spans="1:53">
      <c r="A66" s="2" t="s">
        <v>86</v>
      </c>
      <c r="B66">
        <v>1835</v>
      </c>
      <c r="C66" cm="1">
        <f t="array" ref="C66">_xlfn.IFS(ISNUMBER(SEARCH("wagon",PROPERTIES[[#This Row],[VEHIDCODE]])),0,OR(MID(PROPERTIES[[#This Row],[VEHIDCODE]],2,2)="mu",_xlfn.TEXTBEFORE(PROPERTIES[[#This Row],[VEHIDCODE]],"_")="mtro"),1,1=1,0)</f>
        <v>0</v>
      </c>
      <c r="D66" t="s">
        <v>1726</v>
      </c>
      <c r="E66" t="str">
        <f>_xlfn.XLOOKUP(PROPERTIES[[#This Row],[COUNTRY]],COUNTRIES[COUNTRY_DESCRIPTION],COUNTRIES[COUNTRY_LABEL],"")</f>
        <v>BE</v>
      </c>
      <c r="F66" t="str" cm="1">
        <f t="array" ref="F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6" t="s">
        <v>19</v>
      </c>
      <c r="H66">
        <v>0</v>
      </c>
      <c r="I66">
        <v>7</v>
      </c>
      <c r="J66">
        <v>7</v>
      </c>
      <c r="K66" t="str" cm="1">
        <f t="array" ref="K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">
        <f>_xlfn.XLOOKUP("LOADINGSPEEDDEF_"&amp;PROPERTIES[[#This Row],[LOADINGSPEED]],LOADINGSPEEDDEF[TYPE],LOADINGSPEEDDEF[SPEED])</f>
        <v>20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f>IF(ISNUMBER(SEARCH("passenger",PROPERTIES[[#This Row],[CARGODEF]])),1,0)</f>
        <v>0</v>
      </c>
      <c r="O66" s="32">
        <v>16</v>
      </c>
      <c r="P66">
        <v>50</v>
      </c>
      <c r="Q66">
        <v>35</v>
      </c>
      <c r="R66" s="29">
        <v>0</v>
      </c>
      <c r="S66" s="28">
        <f>IFERROR(PROPERTIES[[#This Row],[TE_STARTING_KN]]/(PROPERTIES[[#This Row],[WEIGHT]]*9.81),0)</f>
        <v>0</v>
      </c>
      <c r="T66" s="28">
        <v>0.09</v>
      </c>
      <c r="U66" s="25">
        <f>ROUND(IF(IFERROR(PROPERTIES[[#This Row],[TE_COEFFICIENT_CALC]],0)=0,PROPERTIES[[#This Row],[TE_COEFFICIENT_MANUAL]],PROPERTIES[[#This Row],[TE_COEFFICIENT_CALC]]),3)</f>
        <v>0.09</v>
      </c>
      <c r="V66" s="11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36">
        <v>0</v>
      </c>
      <c r="X66" s="9">
        <v>0</v>
      </c>
      <c r="Y66" s="10">
        <v>0</v>
      </c>
      <c r="Z66" t="s">
        <v>869</v>
      </c>
      <c r="AA66" t="s">
        <v>868</v>
      </c>
      <c r="AB66" s="2" t="s">
        <v>886</v>
      </c>
      <c r="AC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6" s="2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H66" s="10" t="b">
        <v>0</v>
      </c>
      <c r="AY66"/>
      <c r="AZ66"/>
      <c r="BA66"/>
    </row>
    <row r="67" spans="1:53">
      <c r="A67" s="2" t="s">
        <v>87</v>
      </c>
      <c r="B67">
        <v>1848</v>
      </c>
      <c r="C67" cm="1">
        <f t="array" ref="C67">_xlfn.IFS(ISNUMBER(SEARCH("wagon",PROPERTIES[[#This Row],[VEHIDCODE]])),0,OR(MID(PROPERTIES[[#This Row],[VEHIDCODE]],2,2)="mu",_xlfn.TEXTBEFORE(PROPERTIES[[#This Row],[VEHIDCODE]],"_")="mtro"),1,1=1,0)</f>
        <v>0</v>
      </c>
      <c r="D67" t="s">
        <v>1937</v>
      </c>
      <c r="E67" t="str">
        <f>_xlfn.XLOOKUP(PROPERTIES[[#This Row],[COUNTRY]],COUNTRIES[COUNTRY_DESCRIPTION],COUNTRIES[COUNTRY_LABEL],"")</f>
        <v>US</v>
      </c>
      <c r="F67" t="str" cm="1">
        <f t="array" ref="F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7" t="s">
        <v>19</v>
      </c>
      <c r="H67">
        <v>0</v>
      </c>
      <c r="I67">
        <v>6</v>
      </c>
      <c r="J67">
        <v>10</v>
      </c>
      <c r="K67" t="str" cm="1">
        <f t="array" ref="K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">
        <f>_xlfn.XLOOKUP("LOADINGSPEEDDEF_"&amp;PROPERTIES[[#This Row],[LOADINGSPEED]],LOADINGSPEEDDEF[TYPE],LOADINGSPEEDDEF[SPEED])</f>
        <v>20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f>IF(ISNUMBER(SEARCH("passenger",PROPERTIES[[#This Row],[CARGODEF]])),1,0)</f>
        <v>0</v>
      </c>
      <c r="O67" s="32">
        <v>45</v>
      </c>
      <c r="P67">
        <v>650</v>
      </c>
      <c r="Q67">
        <v>96</v>
      </c>
      <c r="R67" s="29">
        <v>0</v>
      </c>
      <c r="S67" s="28">
        <f>IFERROR(PROPERTIES[[#This Row],[TE_STARTING_KN]]/(PROPERTIES[[#This Row],[WEIGHT]]*9.81),0)</f>
        <v>0</v>
      </c>
      <c r="T67" s="28">
        <v>0.18</v>
      </c>
      <c r="U67" s="25">
        <f>ROUND(IF(IFERROR(PROPERTIES[[#This Row],[TE_COEFFICIENT_CALC]],0)=0,PROPERTIES[[#This Row],[TE_COEFFICIENT_MANUAL]],PROPERTIES[[#This Row],[TE_COEFFICIENT_CALC]]),3)</f>
        <v>0.18</v>
      </c>
      <c r="V67" s="11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36">
        <v>0</v>
      </c>
      <c r="X67" s="9">
        <v>4</v>
      </c>
      <c r="Y67" s="10">
        <v>0</v>
      </c>
      <c r="Z67" t="s">
        <v>874</v>
      </c>
      <c r="AA67" t="s">
        <v>868</v>
      </c>
      <c r="AB67" s="2" t="s">
        <v>886</v>
      </c>
      <c r="AC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7" s="2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H67" s="10" t="b">
        <v>0</v>
      </c>
      <c r="AY67"/>
      <c r="AZ67"/>
      <c r="BA67"/>
    </row>
    <row r="68" spans="1:53">
      <c r="A68" s="2" t="s">
        <v>88</v>
      </c>
      <c r="B68">
        <v>1854</v>
      </c>
      <c r="C68" cm="1">
        <f t="array" ref="C68">_xlfn.IFS(ISNUMBER(SEARCH("wagon",PROPERTIES[[#This Row],[VEHIDCODE]])),0,OR(MID(PROPERTIES[[#This Row],[VEHIDCODE]],2,2)="mu",_xlfn.TEXTBEFORE(PROPERTIES[[#This Row],[VEHIDCODE]],"_")="mtro"),1,1=1,0)</f>
        <v>0</v>
      </c>
      <c r="D68" t="s">
        <v>1749</v>
      </c>
      <c r="E68" t="str">
        <f>_xlfn.XLOOKUP(PROPERTIES[[#This Row],[COUNTRY]],COUNTRIES[COUNTRY_DESCRIPTION],COUNTRIES[COUNTRY_LABEL],"")</f>
        <v>CH</v>
      </c>
      <c r="F68" t="str" cm="1">
        <f t="array" ref="F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8" t="s">
        <v>19</v>
      </c>
      <c r="H68">
        <v>0</v>
      </c>
      <c r="I68">
        <v>5</v>
      </c>
      <c r="J68">
        <v>5</v>
      </c>
      <c r="K68" t="str" cm="1">
        <f t="array" ref="K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">
        <f>_xlfn.XLOOKUP("LOADINGSPEEDDEF_"&amp;PROPERTIES[[#This Row],[LOADINGSPEED]],LOADINGSPEEDDEF[TYPE],LOADINGSPEEDDEF[SPEED])</f>
        <v>20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f>IF(ISNUMBER(SEARCH("passenger",PROPERTIES[[#This Row],[CARGODEF]])),1,0)</f>
        <v>0</v>
      </c>
      <c r="O68" s="32">
        <v>45</v>
      </c>
      <c r="P68">
        <v>400</v>
      </c>
      <c r="Q68">
        <v>60</v>
      </c>
      <c r="R68" s="29">
        <v>0</v>
      </c>
      <c r="S68" s="28">
        <f>IFERROR(PROPERTIES[[#This Row],[TE_STARTING_KN]]/(PROPERTIES[[#This Row],[WEIGHT]]*9.81),0)</f>
        <v>0</v>
      </c>
      <c r="T68" s="28">
        <v>0.2</v>
      </c>
      <c r="U68" s="25">
        <f>ROUND(IF(IFERROR(PROPERTIES[[#This Row],[TE_COEFFICIENT_CALC]],0)=0,PROPERTIES[[#This Row],[TE_COEFFICIENT_MANUAL]],PROPERTIES[[#This Row],[TE_COEFFICIENT_CALC]]),3)</f>
        <v>0.2</v>
      </c>
      <c r="V68" s="11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36">
        <v>0</v>
      </c>
      <c r="X68" s="9">
        <v>0</v>
      </c>
      <c r="Y68" s="10">
        <v>0</v>
      </c>
      <c r="Z68" t="s">
        <v>869</v>
      </c>
      <c r="AA68" t="s">
        <v>868</v>
      </c>
      <c r="AB68" s="2" t="s">
        <v>886</v>
      </c>
      <c r="AC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8" s="2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H68" s="10" t="b">
        <v>0</v>
      </c>
      <c r="AY68"/>
      <c r="AZ68"/>
      <c r="BA68"/>
    </row>
    <row r="69" spans="1:53">
      <c r="A69" s="2" t="s">
        <v>89</v>
      </c>
      <c r="B69">
        <v>1869</v>
      </c>
      <c r="C69" cm="1">
        <f t="array" ref="C69">_xlfn.IFS(ISNUMBER(SEARCH("wagon",PROPERTIES[[#This Row],[VEHIDCODE]])),0,OR(MID(PROPERTIES[[#This Row],[VEHIDCODE]],2,2)="mu",_xlfn.TEXTBEFORE(PROPERTIES[[#This Row],[VEHIDCODE]],"_")="mtro"),1,1=1,0)</f>
        <v>0</v>
      </c>
      <c r="D69" t="s">
        <v>1937</v>
      </c>
      <c r="E69" t="str">
        <f>_xlfn.XLOOKUP(PROPERTIES[[#This Row],[COUNTRY]],COUNTRIES[COUNTRY_DESCRIPTION],COUNTRIES[COUNTRY_LABEL],"")</f>
        <v>US</v>
      </c>
      <c r="F69" t="str" cm="1">
        <f t="array" ref="F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9" t="s">
        <v>19</v>
      </c>
      <c r="H69">
        <v>0</v>
      </c>
      <c r="I69">
        <v>7</v>
      </c>
      <c r="J69">
        <v>11</v>
      </c>
      <c r="K69" t="str" cm="1">
        <f t="array" ref="K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">
        <f>_xlfn.XLOOKUP("LOADINGSPEEDDEF_"&amp;PROPERTIES[[#This Row],[LOADINGSPEED]],LOADINGSPEEDDEF[TYPE],LOADINGSPEEDDEF[SPEED])</f>
        <v>20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f>IF(ISNUMBER(SEARCH("passenger",PROPERTIES[[#This Row],[CARGODEF]])),1,0)</f>
        <v>0</v>
      </c>
      <c r="O69" s="32">
        <v>85</v>
      </c>
      <c r="P69">
        <v>1200</v>
      </c>
      <c r="Q69">
        <v>110</v>
      </c>
      <c r="R69" s="29">
        <v>0</v>
      </c>
      <c r="S69" s="28">
        <f>IFERROR(PROPERTIES[[#This Row],[TE_STARTING_KN]]/(PROPERTIES[[#This Row],[WEIGHT]]*9.81),0)</f>
        <v>0</v>
      </c>
      <c r="T69" s="28">
        <v>0.2</v>
      </c>
      <c r="U69" s="25">
        <f>ROUND(IF(IFERROR(PROPERTIES[[#This Row],[TE_COEFFICIENT_CALC]],0)=0,PROPERTIES[[#This Row],[TE_COEFFICIENT_MANUAL]],PROPERTIES[[#This Row],[TE_COEFFICIENT_CALC]]),3)</f>
        <v>0.2</v>
      </c>
      <c r="V69" s="11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36">
        <v>0</v>
      </c>
      <c r="X69" s="9">
        <v>4</v>
      </c>
      <c r="Y69" s="10">
        <v>0</v>
      </c>
      <c r="Z69" t="s">
        <v>874</v>
      </c>
      <c r="AA69" t="s">
        <v>868</v>
      </c>
      <c r="AB69" s="2" t="s">
        <v>886</v>
      </c>
      <c r="AC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9" s="2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H69" s="10" t="b">
        <v>0</v>
      </c>
      <c r="AY69"/>
      <c r="AZ69"/>
      <c r="BA69"/>
    </row>
    <row r="70" spans="1:53">
      <c r="A70" s="2" t="s">
        <v>90</v>
      </c>
      <c r="B70">
        <v>1875</v>
      </c>
      <c r="C70" cm="1">
        <f t="array" ref="C70">_xlfn.IFS(ISNUMBER(SEARCH("wagon",PROPERTIES[[#This Row],[VEHIDCODE]])),0,OR(MID(PROPERTIES[[#This Row],[VEHIDCODE]],2,2)="mu",_xlfn.TEXTBEFORE(PROPERTIES[[#This Row],[VEHIDCODE]],"_")="mtro"),1,1=1,0)</f>
        <v>0</v>
      </c>
      <c r="D70" t="s">
        <v>1937</v>
      </c>
      <c r="E70" t="str">
        <f>_xlfn.XLOOKUP(PROPERTIES[[#This Row],[COUNTRY]],COUNTRIES[COUNTRY_DESCRIPTION],COUNTRIES[COUNTRY_LABEL],"")</f>
        <v>US</v>
      </c>
      <c r="F70" t="str" cm="1">
        <f t="array" ref="F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0" t="s">
        <v>19</v>
      </c>
      <c r="H70">
        <v>0</v>
      </c>
      <c r="I70">
        <v>8</v>
      </c>
      <c r="J70">
        <v>13</v>
      </c>
      <c r="K70" t="str" cm="1">
        <f t="array" ref="K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">
        <f>_xlfn.XLOOKUP("LOADINGSPEEDDEF_"&amp;PROPERTIES[[#This Row],[LOADINGSPEED]],LOADINGSPEEDDEF[TYPE],LOADINGSPEEDDEF[SPEED])</f>
        <v>20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f>IF(ISNUMBER(SEARCH("passenger",PROPERTIES[[#This Row],[CARGODEF]])),1,0)</f>
        <v>0</v>
      </c>
      <c r="O70" s="32">
        <v>126</v>
      </c>
      <c r="P70">
        <v>1500</v>
      </c>
      <c r="Q70">
        <v>60</v>
      </c>
      <c r="R70" s="29">
        <v>0</v>
      </c>
      <c r="S70" s="28">
        <f>IFERROR(PROPERTIES[[#This Row],[TE_STARTING_KN]]/(PROPERTIES[[#This Row],[WEIGHT]]*9.81),0)</f>
        <v>0</v>
      </c>
      <c r="T70" s="28">
        <v>0.24</v>
      </c>
      <c r="U70" s="25">
        <f>ROUND(IF(IFERROR(PROPERTIES[[#This Row],[TE_COEFFICIENT_CALC]],0)=0,PROPERTIES[[#This Row],[TE_COEFFICIENT_MANUAL]],PROPERTIES[[#This Row],[TE_COEFFICIENT_CALC]]),3)</f>
        <v>0.24</v>
      </c>
      <c r="V70" s="11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36">
        <v>0</v>
      </c>
      <c r="X70" s="9">
        <v>5</v>
      </c>
      <c r="Y70" s="10">
        <v>0</v>
      </c>
      <c r="Z70" t="s">
        <v>874</v>
      </c>
      <c r="AA70" t="s">
        <v>868</v>
      </c>
      <c r="AB70" s="2" t="s">
        <v>886</v>
      </c>
      <c r="AC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0" s="2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H70" s="10" t="b">
        <v>0</v>
      </c>
      <c r="AY70"/>
      <c r="AZ70"/>
      <c r="BA70"/>
    </row>
    <row r="71" spans="1:53">
      <c r="A71" s="2" t="s">
        <v>91</v>
      </c>
      <c r="B71">
        <v>1885</v>
      </c>
      <c r="C71" cm="1">
        <f t="array" ref="C71">_xlfn.IFS(ISNUMBER(SEARCH("wagon",PROPERTIES[[#This Row],[VEHIDCODE]])),0,OR(MID(PROPERTIES[[#This Row],[VEHIDCODE]],2,2)="mu",_xlfn.TEXTBEFORE(PROPERTIES[[#This Row],[VEHIDCODE]],"_")="mtro"),1,1=1,0)</f>
        <v>0</v>
      </c>
      <c r="D71" t="s">
        <v>1805</v>
      </c>
      <c r="E71" t="str">
        <f>_xlfn.XLOOKUP(PROPERTIES[[#This Row],[COUNTRY]],COUNTRIES[COUNTRY_DESCRIPTION],COUNTRIES[COUNTRY_LABEL],"")</f>
        <v>HU</v>
      </c>
      <c r="F71" t="str" cm="1">
        <f t="array" ref="F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1" t="s">
        <v>19</v>
      </c>
      <c r="H71">
        <v>0</v>
      </c>
      <c r="I71">
        <v>6</v>
      </c>
      <c r="J71">
        <v>6</v>
      </c>
      <c r="K71" t="str" cm="1">
        <f t="array" ref="K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">
        <f>_xlfn.XLOOKUP("LOADINGSPEEDDEF_"&amp;PROPERTIES[[#This Row],[LOADINGSPEED]],LOADINGSPEEDDEF[TYPE],LOADINGSPEEDDEF[SPEED])</f>
        <v>20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f>IF(ISNUMBER(SEARCH("passenger",PROPERTIES[[#This Row],[CARGODEF]])),1,0)</f>
        <v>0</v>
      </c>
      <c r="O71" s="32">
        <v>27</v>
      </c>
      <c r="P71">
        <v>170</v>
      </c>
      <c r="Q71">
        <v>45</v>
      </c>
      <c r="R71" s="29">
        <v>31.2</v>
      </c>
      <c r="S71" s="28">
        <f>IFERROR(PROPERTIES[[#This Row],[TE_STARTING_KN]]/(PROPERTIES[[#This Row],[WEIGHT]]*9.81),0)</f>
        <v>0.11779363461320648</v>
      </c>
      <c r="T71" s="28">
        <v>0.21</v>
      </c>
      <c r="U71" s="25">
        <f>ROUND(IF(IFERROR(PROPERTIES[[#This Row],[TE_COEFFICIENT_CALC]],0)=0,PROPERTIES[[#This Row],[TE_COEFFICIENT_MANUAL]],PROPERTIES[[#This Row],[TE_COEFFICIENT_CALC]]),3)</f>
        <v>0.11799999999999999</v>
      </c>
      <c r="V71" s="11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36">
        <v>0</v>
      </c>
      <c r="X71" s="9">
        <v>0</v>
      </c>
      <c r="Y71" s="10">
        <v>0</v>
      </c>
      <c r="Z71" t="s">
        <v>875</v>
      </c>
      <c r="AA71" t="s">
        <v>868</v>
      </c>
      <c r="AB71" s="2" t="s">
        <v>886</v>
      </c>
      <c r="AC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1" s="2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H71" s="10" t="b">
        <v>0</v>
      </c>
      <c r="AY71"/>
      <c r="AZ71"/>
      <c r="BA71"/>
    </row>
    <row r="72" spans="1:53">
      <c r="A72" s="2" t="s">
        <v>92</v>
      </c>
      <c r="B72">
        <v>1897</v>
      </c>
      <c r="C72" cm="1">
        <f t="array" ref="C72">_xlfn.IFS(ISNUMBER(SEARCH("wagon",PROPERTIES[[#This Row],[VEHIDCODE]])),0,OR(MID(PROPERTIES[[#This Row],[VEHIDCODE]],2,2)="mu",_xlfn.TEXTBEFORE(PROPERTIES[[#This Row],[VEHIDCODE]],"_")="mtro"),1,1=1,0)</f>
        <v>0</v>
      </c>
      <c r="D72" t="s">
        <v>1718</v>
      </c>
      <c r="E72" t="str">
        <f>_xlfn.XLOOKUP(PROPERTIES[[#This Row],[COUNTRY]],COUNTRIES[COUNTRY_DESCRIPTION],COUNTRIES[COUNTRY_LABEL],"")</f>
        <v>AT</v>
      </c>
      <c r="F72" t="str" cm="1">
        <f t="array" ref="F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2" t="s">
        <v>19</v>
      </c>
      <c r="H72">
        <v>0</v>
      </c>
      <c r="I72">
        <v>6</v>
      </c>
      <c r="J72">
        <v>6</v>
      </c>
      <c r="K72" t="str" cm="1">
        <f t="array" ref="K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2">
        <f>_xlfn.XLOOKUP("LOADINGSPEEDDEF_"&amp;PROPERTIES[[#This Row],[LOADINGSPEED]],LOADINGSPEEDDEF[TYPE],LOADINGSPEEDDEF[SPEED])</f>
        <v>20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f>IF(ISNUMBER(SEARCH("passenger",PROPERTIES[[#This Row],[CARGODEF]])),1,0)</f>
        <v>0</v>
      </c>
      <c r="O72" s="32">
        <v>39</v>
      </c>
      <c r="P72">
        <v>320</v>
      </c>
      <c r="Q72">
        <v>50</v>
      </c>
      <c r="R72" s="29">
        <v>0</v>
      </c>
      <c r="S72" s="28">
        <f>IFERROR(PROPERTIES[[#This Row],[TE_STARTING_KN]]/(PROPERTIES[[#This Row],[WEIGHT]]*9.81),0)</f>
        <v>0</v>
      </c>
      <c r="T72" s="28">
        <v>0.23</v>
      </c>
      <c r="U72" s="25">
        <f>ROUND(IF(IFERROR(PROPERTIES[[#This Row],[TE_COEFFICIENT_CALC]],0)=0,PROPERTIES[[#This Row],[TE_COEFFICIENT_MANUAL]],PROPERTIES[[#This Row],[TE_COEFFICIENT_CALC]]),3)</f>
        <v>0.23</v>
      </c>
      <c r="V72" s="11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36">
        <v>0</v>
      </c>
      <c r="X72" s="9">
        <v>0</v>
      </c>
      <c r="Y72" s="10">
        <v>0</v>
      </c>
      <c r="Z72" t="s">
        <v>869</v>
      </c>
      <c r="AA72" t="s">
        <v>868</v>
      </c>
      <c r="AB72" s="2" t="s">
        <v>886</v>
      </c>
      <c r="AC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2" s="2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H72" s="10" t="b">
        <v>0</v>
      </c>
      <c r="AY72"/>
      <c r="AZ72"/>
      <c r="BA72"/>
    </row>
    <row r="73" spans="1:53">
      <c r="A73" s="2" t="s">
        <v>93</v>
      </c>
      <c r="B73">
        <v>1900</v>
      </c>
      <c r="C73" cm="1">
        <f t="array" ref="C73">_xlfn.IFS(ISNUMBER(SEARCH("wagon",PROPERTIES[[#This Row],[VEHIDCODE]])),0,OR(MID(PROPERTIES[[#This Row],[VEHIDCODE]],2,2)="mu",_xlfn.TEXTBEFORE(PROPERTIES[[#This Row],[VEHIDCODE]],"_")="mtro"),1,1=1,0)</f>
        <v>0</v>
      </c>
      <c r="D73" t="s">
        <v>1782</v>
      </c>
      <c r="E73" t="str">
        <f>_xlfn.XLOOKUP(PROPERTIES[[#This Row],[COUNTRY]],COUNTRIES[COUNTRY_DESCRIPTION],COUNTRIES[COUNTRY_LABEL],"")</f>
        <v>GB</v>
      </c>
      <c r="F73" t="str" cm="1">
        <f t="array" ref="F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3" t="s">
        <v>19</v>
      </c>
      <c r="H73">
        <v>0</v>
      </c>
      <c r="I73">
        <v>7</v>
      </c>
      <c r="J73">
        <v>7</v>
      </c>
      <c r="K73" t="str" cm="1">
        <f t="array" ref="K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3">
        <f>_xlfn.XLOOKUP("LOADINGSPEEDDEF_"&amp;PROPERTIES[[#This Row],[LOADINGSPEED]],LOADINGSPEEDDEF[TYPE],LOADINGSPEEDDEF[SPEED])</f>
        <v>20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f>IF(ISNUMBER(SEARCH("passenger",PROPERTIES[[#This Row],[CARGODEF]])),1,0)</f>
        <v>0</v>
      </c>
      <c r="O73" s="32">
        <v>53</v>
      </c>
      <c r="P73">
        <v>540</v>
      </c>
      <c r="Q73">
        <v>80</v>
      </c>
      <c r="R73" s="29">
        <v>83.1</v>
      </c>
      <c r="S73" s="28">
        <f>IFERROR(PROPERTIES[[#This Row],[TE_STARTING_KN]]/(PROPERTIES[[#This Row],[WEIGHT]]*9.81),0)</f>
        <v>0.15982920777797008</v>
      </c>
      <c r="T73" s="28">
        <v>0.16</v>
      </c>
      <c r="U73" s="25">
        <f>ROUND(IF(IFERROR(PROPERTIES[[#This Row],[TE_COEFFICIENT_CALC]],0)=0,PROPERTIES[[#This Row],[TE_COEFFICIENT_MANUAL]],PROPERTIES[[#This Row],[TE_COEFFICIENT_CALC]]),3)</f>
        <v>0.16</v>
      </c>
      <c r="V73" s="11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36">
        <v>0</v>
      </c>
      <c r="X73" s="9">
        <v>0</v>
      </c>
      <c r="Y73" s="10">
        <v>0</v>
      </c>
      <c r="Z73" t="s">
        <v>873</v>
      </c>
      <c r="AA73" t="s">
        <v>868</v>
      </c>
      <c r="AB73" s="2" t="s">
        <v>886</v>
      </c>
      <c r="AC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3" s="2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H73" s="10" t="b">
        <v>0</v>
      </c>
      <c r="AY73"/>
      <c r="AZ73"/>
      <c r="BA73"/>
    </row>
    <row r="74" spans="1:53">
      <c r="A74" s="2" t="s">
        <v>94</v>
      </c>
      <c r="B74">
        <v>1902</v>
      </c>
      <c r="C74" cm="1">
        <f t="array" ref="C74">_xlfn.IFS(ISNUMBER(SEARCH("wagon",PROPERTIES[[#This Row],[VEHIDCODE]])),0,OR(MID(PROPERTIES[[#This Row],[VEHIDCODE]],2,2)="mu",_xlfn.TEXTBEFORE(PROPERTIES[[#This Row],[VEHIDCODE]],"_")="mtro"),1,1=1,0)</f>
        <v>0</v>
      </c>
      <c r="D74" t="s">
        <v>1749</v>
      </c>
      <c r="E74" t="str">
        <f>_xlfn.XLOOKUP(PROPERTIES[[#This Row],[COUNTRY]],COUNTRIES[COUNTRY_DESCRIPTION],COUNTRIES[COUNTRY_LABEL],"")</f>
        <v>CH</v>
      </c>
      <c r="F74" t="str" cm="1">
        <f t="array" ref="F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4" t="s">
        <v>19</v>
      </c>
      <c r="H74">
        <v>0</v>
      </c>
      <c r="I74">
        <v>8</v>
      </c>
      <c r="J74">
        <v>12</v>
      </c>
      <c r="K74" t="str" cm="1">
        <f t="array" ref="K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4">
        <f>_xlfn.XLOOKUP("LOADINGSPEEDDEF_"&amp;PROPERTIES[[#This Row],[LOADINGSPEED]],LOADINGSPEEDDEF[TYPE],LOADINGSPEEDDEF[SPEED])</f>
        <v>20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f>IF(ISNUMBER(SEARCH("passenger",PROPERTIES[[#This Row],[CARGODEF]])),1,0)</f>
        <v>0</v>
      </c>
      <c r="O74" s="32">
        <v>106</v>
      </c>
      <c r="P74">
        <v>1340</v>
      </c>
      <c r="Q74">
        <v>100</v>
      </c>
      <c r="R74" s="29">
        <v>0</v>
      </c>
      <c r="S74" s="28">
        <f>IFERROR(PROPERTIES[[#This Row],[TE_STARTING_KN]]/(PROPERTIES[[#This Row],[WEIGHT]]*9.81),0)</f>
        <v>0</v>
      </c>
      <c r="T74" s="28">
        <v>0.16</v>
      </c>
      <c r="U74" s="25">
        <f>ROUND(IF(IFERROR(PROPERTIES[[#This Row],[TE_COEFFICIENT_CALC]],0)=0,PROPERTIES[[#This Row],[TE_COEFFICIENT_MANUAL]],PROPERTIES[[#This Row],[TE_COEFFICIENT_CALC]]),3)</f>
        <v>0.16</v>
      </c>
      <c r="V74" s="11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36">
        <v>0</v>
      </c>
      <c r="X74" s="9">
        <v>4</v>
      </c>
      <c r="Y74" s="10">
        <v>0</v>
      </c>
      <c r="Z74" t="s">
        <v>869</v>
      </c>
      <c r="AA74" t="s">
        <v>868</v>
      </c>
      <c r="AB74" s="2" t="s">
        <v>886</v>
      </c>
      <c r="AC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4" s="2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H74" s="10" t="b">
        <v>0</v>
      </c>
      <c r="AY74"/>
      <c r="AZ74"/>
      <c r="BA74"/>
    </row>
    <row r="75" spans="1:53">
      <c r="A75" s="2" t="s">
        <v>95</v>
      </c>
      <c r="B75">
        <v>1902</v>
      </c>
      <c r="C75" cm="1">
        <f t="array" ref="C75">_xlfn.IFS(ISNUMBER(SEARCH("wagon",PROPERTIES[[#This Row],[VEHIDCODE]])),0,OR(MID(PROPERTIES[[#This Row],[VEHIDCODE]],2,2)="mu",_xlfn.TEXTBEFORE(PROPERTIES[[#This Row],[VEHIDCODE]],"_")="mtro"),1,1=1,0)</f>
        <v>0</v>
      </c>
      <c r="D75" t="s">
        <v>1749</v>
      </c>
      <c r="E75" t="str">
        <f>_xlfn.XLOOKUP(PROPERTIES[[#This Row],[COUNTRY]],COUNTRIES[COUNTRY_DESCRIPTION],COUNTRIES[COUNTRY_LABEL],"")</f>
        <v>CH</v>
      </c>
      <c r="F75" t="str" cm="1">
        <f t="array" ref="F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5" t="s">
        <v>19</v>
      </c>
      <c r="H75">
        <v>0</v>
      </c>
      <c r="I75">
        <v>6</v>
      </c>
      <c r="J75">
        <v>6</v>
      </c>
      <c r="K75" t="str" cm="1">
        <f t="array" ref="K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5">
        <f>_xlfn.XLOOKUP("LOADINGSPEEDDEF_"&amp;PROPERTIES[[#This Row],[LOADINGSPEED]],LOADINGSPEEDDEF[TYPE],LOADINGSPEEDDEF[SPEED])</f>
        <v>20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f>IF(ISNUMBER(SEARCH("passenger",PROPERTIES[[#This Row],[CARGODEF]])),1,0)</f>
        <v>0</v>
      </c>
      <c r="O75" s="32">
        <v>35</v>
      </c>
      <c r="P75">
        <v>493</v>
      </c>
      <c r="Q75">
        <v>45</v>
      </c>
      <c r="R75" s="29">
        <v>0</v>
      </c>
      <c r="S75" s="28">
        <f>IFERROR(PROPERTIES[[#This Row],[TE_STARTING_KN]]/(PROPERTIES[[#This Row],[WEIGHT]]*9.81),0)</f>
        <v>0</v>
      </c>
      <c r="T75" s="28">
        <v>0.25</v>
      </c>
      <c r="U75" s="25">
        <f>ROUND(IF(IFERROR(PROPERTIES[[#This Row],[TE_COEFFICIENT_CALC]],0)=0,PROPERTIES[[#This Row],[TE_COEFFICIENT_MANUAL]],PROPERTIES[[#This Row],[TE_COEFFICIENT_CALC]]),3)</f>
        <v>0.25</v>
      </c>
      <c r="V75" s="11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36">
        <v>0</v>
      </c>
      <c r="X75" s="9">
        <v>0</v>
      </c>
      <c r="Y75" s="10">
        <v>0</v>
      </c>
      <c r="Z75" t="s">
        <v>869</v>
      </c>
      <c r="AA75" t="s">
        <v>868</v>
      </c>
      <c r="AB75" s="2" t="s">
        <v>886</v>
      </c>
      <c r="AC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5" s="2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H75" s="10" t="b">
        <v>0</v>
      </c>
      <c r="AY75"/>
      <c r="AZ75"/>
      <c r="BA75"/>
    </row>
    <row r="76" spans="1:53">
      <c r="A76" s="2" t="s">
        <v>96</v>
      </c>
      <c r="B76">
        <v>1910</v>
      </c>
      <c r="C76" cm="1">
        <f t="array" ref="C76">_xlfn.IFS(ISNUMBER(SEARCH("wagon",PROPERTIES[[#This Row],[VEHIDCODE]])),0,OR(MID(PROPERTIES[[#This Row],[VEHIDCODE]],2,2)="mu",_xlfn.TEXTBEFORE(PROPERTIES[[#This Row],[VEHIDCODE]],"_")="mtro"),1,1=1,0)</f>
        <v>0</v>
      </c>
      <c r="D76" t="s">
        <v>1718</v>
      </c>
      <c r="E76" t="str">
        <f>_xlfn.XLOOKUP(PROPERTIES[[#This Row],[COUNTRY]],COUNTRIES[COUNTRY_DESCRIPTION],COUNTRIES[COUNTRY_LABEL],"")</f>
        <v>AT</v>
      </c>
      <c r="F76" t="str" cm="1">
        <f t="array" ref="F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6" t="s">
        <v>19</v>
      </c>
      <c r="H76">
        <v>0</v>
      </c>
      <c r="I76">
        <v>7</v>
      </c>
      <c r="J76">
        <v>7</v>
      </c>
      <c r="K76" t="str" cm="1">
        <f t="array" ref="K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6">
        <f>_xlfn.XLOOKUP("LOADINGSPEEDDEF_"&amp;PROPERTIES[[#This Row],[LOADINGSPEED]],LOADINGSPEEDDEF[TYPE],LOADINGSPEEDDEF[SPEED])</f>
        <v>20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f>IF(ISNUMBER(SEARCH("passenger",PROPERTIES[[#This Row],[CARGODEF]])),1,0)</f>
        <v>0</v>
      </c>
      <c r="O76" s="32">
        <v>42</v>
      </c>
      <c r="P76">
        <v>480</v>
      </c>
      <c r="Q76">
        <v>60</v>
      </c>
      <c r="R76" s="29">
        <v>0</v>
      </c>
      <c r="S76" s="28">
        <f>IFERROR(PROPERTIES[[#This Row],[TE_STARTING_KN]]/(PROPERTIES[[#This Row],[WEIGHT]]*9.81),0)</f>
        <v>0</v>
      </c>
      <c r="T76" s="28">
        <v>0.26</v>
      </c>
      <c r="U76" s="25">
        <f>ROUND(IF(IFERROR(PROPERTIES[[#This Row],[TE_COEFFICIENT_CALC]],0)=0,PROPERTIES[[#This Row],[TE_COEFFICIENT_MANUAL]],PROPERTIES[[#This Row],[TE_COEFFICIENT_CALC]]),3)</f>
        <v>0.26</v>
      </c>
      <c r="V76" s="11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36">
        <v>0</v>
      </c>
      <c r="X76" s="9">
        <v>0</v>
      </c>
      <c r="Y76" s="10">
        <v>0</v>
      </c>
      <c r="Z76" t="s">
        <v>869</v>
      </c>
      <c r="AA76" t="s">
        <v>868</v>
      </c>
      <c r="AB76" s="2" t="s">
        <v>886</v>
      </c>
      <c r="AC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6" s="2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H76" s="10" t="b">
        <v>0</v>
      </c>
      <c r="AY76"/>
      <c r="AZ76"/>
      <c r="BA76"/>
    </row>
    <row r="77" spans="1:53">
      <c r="A77" s="2" t="s">
        <v>97</v>
      </c>
      <c r="B77">
        <v>1908</v>
      </c>
      <c r="C77" cm="1">
        <f t="array" ref="C77">_xlfn.IFS(ISNUMBER(SEARCH("wagon",PROPERTIES[[#This Row],[VEHIDCODE]])),0,OR(MID(PROPERTIES[[#This Row],[VEHIDCODE]],2,2)="mu",_xlfn.TEXTBEFORE(PROPERTIES[[#This Row],[VEHIDCODE]],"_")="mtro"),1,1=1,0)</f>
        <v>0</v>
      </c>
      <c r="D77" t="s">
        <v>1876</v>
      </c>
      <c r="E77" t="str">
        <f>_xlfn.XLOOKUP(PROPERTIES[[#This Row],[COUNTRY]],COUNTRIES[COUNTRY_DESCRIPTION],COUNTRIES[COUNTRY_LABEL],"")</f>
        <v>NZ</v>
      </c>
      <c r="F77" t="str" cm="1">
        <f t="array" ref="F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7" t="s">
        <v>19</v>
      </c>
      <c r="H77">
        <v>0</v>
      </c>
      <c r="I77">
        <v>8</v>
      </c>
      <c r="J77">
        <v>14</v>
      </c>
      <c r="K77" t="str" cm="1">
        <f t="array" ref="K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7">
        <f>_xlfn.XLOOKUP("LOADINGSPEEDDEF_"&amp;PROPERTIES[[#This Row],[LOADINGSPEED]],LOADINGSPEEDDEF[TYPE],LOADINGSPEEDDEF[SPEED])</f>
        <v>20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f>IF(ISNUMBER(SEARCH("passenger",PROPERTIES[[#This Row],[CARGODEF]])),1,0)</f>
        <v>0</v>
      </c>
      <c r="O77" s="32">
        <v>94</v>
      </c>
      <c r="P77">
        <v>850</v>
      </c>
      <c r="Q77">
        <v>48</v>
      </c>
      <c r="R77" s="29">
        <v>0</v>
      </c>
      <c r="S77" s="28">
        <f>IFERROR(PROPERTIES[[#This Row],[TE_STARTING_KN]]/(PROPERTIES[[#This Row],[WEIGHT]]*9.81),0)</f>
        <v>0</v>
      </c>
      <c r="T77" s="28">
        <v>0.22</v>
      </c>
      <c r="U77" s="25">
        <f>ROUND(IF(IFERROR(PROPERTIES[[#This Row],[TE_COEFFICIENT_CALC]],0)=0,PROPERTIES[[#This Row],[TE_COEFFICIENT_MANUAL]],PROPERTIES[[#This Row],[TE_COEFFICIENT_CALC]]),3)</f>
        <v>0.22</v>
      </c>
      <c r="V77" s="11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36">
        <v>0</v>
      </c>
      <c r="X77" s="9">
        <v>6</v>
      </c>
      <c r="Y77" s="10">
        <v>0</v>
      </c>
      <c r="Z77" t="s">
        <v>871</v>
      </c>
      <c r="AA77" t="s">
        <v>868</v>
      </c>
      <c r="AB77" s="2" t="s">
        <v>886</v>
      </c>
      <c r="AC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7" s="2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H77" s="10" t="b">
        <v>0</v>
      </c>
      <c r="AY77"/>
      <c r="AZ77"/>
      <c r="BA77"/>
    </row>
    <row r="78" spans="1:53">
      <c r="A78" s="2" t="s">
        <v>98</v>
      </c>
      <c r="B78">
        <v>1914</v>
      </c>
      <c r="C78" cm="1">
        <f t="array" ref="C78">_xlfn.IFS(ISNUMBER(SEARCH("wagon",PROPERTIES[[#This Row],[VEHIDCODE]])),0,OR(MID(PROPERTIES[[#This Row],[VEHIDCODE]],2,2)="mu",_xlfn.TEXTBEFORE(PROPERTIES[[#This Row],[VEHIDCODE]],"_")="mtro"),1,1=1,0)</f>
        <v>0</v>
      </c>
      <c r="D78" t="s">
        <v>1803</v>
      </c>
      <c r="E78" t="str">
        <f>_xlfn.XLOOKUP(PROPERTIES[[#This Row],[COUNTRY]],COUNTRIES[COUNTRY_DESCRIPTION],COUNTRIES[COUNTRY_LABEL],"")</f>
        <v>HR</v>
      </c>
      <c r="F78" t="str" cm="1">
        <f t="array" ref="F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8" t="s">
        <v>19</v>
      </c>
      <c r="H78">
        <v>0</v>
      </c>
      <c r="I78">
        <v>6</v>
      </c>
      <c r="J78">
        <v>6</v>
      </c>
      <c r="K78" t="str" cm="1">
        <f t="array" ref="K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8">
        <f>_xlfn.XLOOKUP("LOADINGSPEEDDEF_"&amp;PROPERTIES[[#This Row],[LOADINGSPEED]],LOADINGSPEEDDEF[TYPE],LOADINGSPEEDDEF[SPEED])</f>
        <v>20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f>IF(ISNUMBER(SEARCH("passenger",PROPERTIES[[#This Row],[CARGODEF]])),1,0)</f>
        <v>0</v>
      </c>
      <c r="O78" s="32">
        <v>52</v>
      </c>
      <c r="P78">
        <v>330</v>
      </c>
      <c r="Q78">
        <v>60</v>
      </c>
      <c r="R78" s="29">
        <v>0</v>
      </c>
      <c r="S78" s="28">
        <f>IFERROR(PROPERTIES[[#This Row],[TE_STARTING_KN]]/(PROPERTIES[[#This Row],[WEIGHT]]*9.81),0)</f>
        <v>0</v>
      </c>
      <c r="T78" s="28">
        <v>0.19</v>
      </c>
      <c r="U78" s="25">
        <f>ROUND(IF(IFERROR(PROPERTIES[[#This Row],[TE_COEFFICIENT_CALC]],0)=0,PROPERTIES[[#This Row],[TE_COEFFICIENT_MANUAL]],PROPERTIES[[#This Row],[TE_COEFFICIENT_CALC]]),3)</f>
        <v>0.19</v>
      </c>
      <c r="V78" s="11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36">
        <v>0</v>
      </c>
      <c r="X78" s="9">
        <v>0</v>
      </c>
      <c r="Y78" s="10">
        <v>0</v>
      </c>
      <c r="Z78" t="s">
        <v>875</v>
      </c>
      <c r="AA78" t="s">
        <v>868</v>
      </c>
      <c r="AB78" s="2" t="s">
        <v>886</v>
      </c>
      <c r="AC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8" s="2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H78" s="10" t="b">
        <v>0</v>
      </c>
      <c r="AY78"/>
      <c r="AZ78"/>
      <c r="BA78"/>
    </row>
    <row r="79" spans="1:53">
      <c r="A79" s="2" t="s">
        <v>99</v>
      </c>
      <c r="B79">
        <v>1916</v>
      </c>
      <c r="C79" cm="1">
        <f t="array" ref="C79">_xlfn.IFS(ISNUMBER(SEARCH("wagon",PROPERTIES[[#This Row],[VEHIDCODE]])),0,OR(MID(PROPERTIES[[#This Row],[VEHIDCODE]],2,2)="mu",_xlfn.TEXTBEFORE(PROPERTIES[[#This Row],[VEHIDCODE]],"_")="mtro"),1,1=1,0)</f>
        <v>0</v>
      </c>
      <c r="D79" t="s">
        <v>1815</v>
      </c>
      <c r="E79" t="str">
        <f>_xlfn.XLOOKUP(PROPERTIES[[#This Row],[COUNTRY]],COUNTRIES[COUNTRY_DESCRIPTION],COUNTRIES[COUNTRY_LABEL],"")</f>
        <v>IT</v>
      </c>
      <c r="F79" t="str" cm="1">
        <f t="array" ref="F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" t="s">
        <v>19</v>
      </c>
      <c r="H79">
        <v>0</v>
      </c>
      <c r="I79">
        <v>6</v>
      </c>
      <c r="J79">
        <v>6</v>
      </c>
      <c r="K79" t="str" cm="1">
        <f t="array" ref="K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">
        <f>_xlfn.XLOOKUP("LOADINGSPEEDDEF_"&amp;PROPERTIES[[#This Row],[LOADINGSPEED]],LOADINGSPEEDDEF[TYPE],LOADINGSPEEDDEF[SPEED])</f>
        <v>20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f>IF(ISNUMBER(SEARCH("passenger",PROPERTIES[[#This Row],[CARGODEF]])),1,0)</f>
        <v>0</v>
      </c>
      <c r="O79" s="32">
        <v>92</v>
      </c>
      <c r="P79">
        <v>540</v>
      </c>
      <c r="Q79">
        <v>75</v>
      </c>
      <c r="R79" s="29">
        <v>0</v>
      </c>
      <c r="S79" s="28">
        <f>IFERROR(PROPERTIES[[#This Row],[TE_STARTING_KN]]/(PROPERTIES[[#This Row],[WEIGHT]]*9.81),0)</f>
        <v>0</v>
      </c>
      <c r="T79" s="28">
        <v>0.2</v>
      </c>
      <c r="U79" s="25">
        <f>ROUND(IF(IFERROR(PROPERTIES[[#This Row],[TE_COEFFICIENT_CALC]],0)=0,PROPERTIES[[#This Row],[TE_COEFFICIENT_MANUAL]],PROPERTIES[[#This Row],[TE_COEFFICIENT_CALC]]),3)</f>
        <v>0.2</v>
      </c>
      <c r="V79" s="11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36">
        <v>0</v>
      </c>
      <c r="X79" s="9">
        <v>0</v>
      </c>
      <c r="Y79" s="10">
        <v>0</v>
      </c>
      <c r="Z79" t="s">
        <v>870</v>
      </c>
      <c r="AA79" t="s">
        <v>868</v>
      </c>
      <c r="AB79" s="2" t="s">
        <v>886</v>
      </c>
      <c r="AC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" s="2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H79" s="10" t="b">
        <v>0</v>
      </c>
      <c r="AY79"/>
      <c r="AZ79"/>
      <c r="BA79"/>
    </row>
    <row r="80" spans="1:53">
      <c r="A80" s="2" t="s">
        <v>100</v>
      </c>
      <c r="B80">
        <v>1910</v>
      </c>
      <c r="C80" cm="1">
        <f t="array" ref="C80">_xlfn.IFS(ISNUMBER(SEARCH("wagon",PROPERTIES[[#This Row],[VEHIDCODE]])),0,OR(MID(PROPERTIES[[#This Row],[VEHIDCODE]],2,2)="mu",_xlfn.TEXTBEFORE(PROPERTIES[[#This Row],[VEHIDCODE]],"_")="mtro"),1,1=1,0)</f>
        <v>0</v>
      </c>
      <c r="D80" t="s">
        <v>1716</v>
      </c>
      <c r="E80" t="str">
        <f>_xlfn.XLOOKUP(PROPERTIES[[#This Row],[COUNTRY]],COUNTRIES[COUNTRY_DESCRIPTION],COUNTRIES[COUNTRY_LABEL],"")</f>
        <v>AR</v>
      </c>
      <c r="F80" t="str" cm="1">
        <f t="array" ref="F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0" t="s">
        <v>19</v>
      </c>
      <c r="H80">
        <v>0</v>
      </c>
      <c r="I80">
        <v>7</v>
      </c>
      <c r="J80">
        <v>11</v>
      </c>
      <c r="K80" t="str" cm="1">
        <f t="array" ref="K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">
        <f>_xlfn.XLOOKUP("LOADINGSPEEDDEF_"&amp;PROPERTIES[[#This Row],[LOADINGSPEED]],LOADINGSPEEDDEF[TYPE],LOADINGSPEEDDEF[SPEED])</f>
        <v>20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f>IF(ISNUMBER(SEARCH("passenger",PROPERTIES[[#This Row],[CARGODEF]])),1,0)</f>
        <v>0</v>
      </c>
      <c r="O80" s="32">
        <v>92</v>
      </c>
      <c r="P80">
        <v>850</v>
      </c>
      <c r="Q80">
        <v>64</v>
      </c>
      <c r="R80" s="29">
        <v>0</v>
      </c>
      <c r="S80" s="28">
        <f>IFERROR(PROPERTIES[[#This Row],[TE_STARTING_KN]]/(PROPERTIES[[#This Row],[WEIGHT]]*9.81),0)</f>
        <v>0</v>
      </c>
      <c r="T80" s="28">
        <v>0.22</v>
      </c>
      <c r="U80" s="25">
        <f>ROUND(IF(IFERROR(PROPERTIES[[#This Row],[TE_COEFFICIENT_CALC]],0)=0,PROPERTIES[[#This Row],[TE_COEFFICIENT_MANUAL]],PROPERTIES[[#This Row],[TE_COEFFICIENT_CALC]]),3)</f>
        <v>0.22</v>
      </c>
      <c r="V80" s="11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36">
        <v>0</v>
      </c>
      <c r="X80" s="9">
        <v>4</v>
      </c>
      <c r="Y80" s="10">
        <v>0</v>
      </c>
      <c r="Z80" t="s">
        <v>876</v>
      </c>
      <c r="AA80" t="s">
        <v>868</v>
      </c>
      <c r="AB80" s="2" t="s">
        <v>886</v>
      </c>
      <c r="AC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0" s="2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H80" s="10" t="b">
        <v>0</v>
      </c>
      <c r="AY80"/>
      <c r="AZ80"/>
      <c r="BA80"/>
    </row>
    <row r="81" spans="1:53">
      <c r="A81" s="2" t="s">
        <v>101</v>
      </c>
      <c r="B81">
        <v>1913</v>
      </c>
      <c r="C81" cm="1">
        <f t="array" ref="C81">_xlfn.IFS(ISNUMBER(SEARCH("wagon",PROPERTIES[[#This Row],[VEHIDCODE]])),0,OR(MID(PROPERTIES[[#This Row],[VEHIDCODE]],2,2)="mu",_xlfn.TEXTBEFORE(PROPERTIES[[#This Row],[VEHIDCODE]],"_")="mtro"),1,1=1,0)</f>
        <v>0</v>
      </c>
      <c r="D81" t="s">
        <v>1781</v>
      </c>
      <c r="E81" t="str">
        <f>_xlfn.XLOOKUP(PROPERTIES[[#This Row],[COUNTRY]],COUNTRIES[COUNTRY_DESCRIPTION],COUNTRIES[COUNTRY_LABEL],"")</f>
        <v>FR</v>
      </c>
      <c r="F81" t="str" cm="1">
        <f t="array" ref="F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1" t="s">
        <v>19</v>
      </c>
      <c r="H81">
        <v>0</v>
      </c>
      <c r="I81">
        <v>7</v>
      </c>
      <c r="J81">
        <v>11</v>
      </c>
      <c r="K81" t="str" cm="1">
        <f t="array" ref="K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">
        <f>_xlfn.XLOOKUP("LOADINGSPEEDDEF_"&amp;PROPERTIES[[#This Row],[LOADINGSPEED]],LOADINGSPEEDDEF[TYPE],LOADINGSPEEDDEF[SPEED])</f>
        <v>20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f>IF(ISNUMBER(SEARCH("passenger",PROPERTIES[[#This Row],[CARGODEF]])),1,0)</f>
        <v>0</v>
      </c>
      <c r="O81" s="32">
        <v>118</v>
      </c>
      <c r="P81">
        <v>1500</v>
      </c>
      <c r="Q81">
        <v>80</v>
      </c>
      <c r="R81" s="29">
        <v>0</v>
      </c>
      <c r="S81" s="28">
        <f>IFERROR(PROPERTIES[[#This Row],[TE_STARTING_KN]]/(PROPERTIES[[#This Row],[WEIGHT]]*9.81),0)</f>
        <v>0</v>
      </c>
      <c r="T81" s="28">
        <v>0.16</v>
      </c>
      <c r="U81" s="25">
        <f>ROUND(IF(IFERROR(PROPERTIES[[#This Row],[TE_COEFFICIENT_CALC]],0)=0,PROPERTIES[[#This Row],[TE_COEFFICIENT_MANUAL]],PROPERTIES[[#This Row],[TE_COEFFICIENT_CALC]]),3)</f>
        <v>0.16</v>
      </c>
      <c r="V81" s="11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36">
        <v>0</v>
      </c>
      <c r="X81" s="9">
        <v>4</v>
      </c>
      <c r="Y81" s="10">
        <v>0</v>
      </c>
      <c r="Z81" t="s">
        <v>869</v>
      </c>
      <c r="AA81" t="s">
        <v>868</v>
      </c>
      <c r="AB81" s="2" t="s">
        <v>886</v>
      </c>
      <c r="AC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1" s="2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H81" s="10" t="b">
        <v>0</v>
      </c>
      <c r="AY81"/>
      <c r="AZ81"/>
      <c r="BA81"/>
    </row>
    <row r="82" spans="1:53">
      <c r="A82" s="2" t="s">
        <v>102</v>
      </c>
      <c r="B82">
        <v>1911</v>
      </c>
      <c r="C82" cm="1">
        <f t="array" ref="C82">_xlfn.IFS(ISNUMBER(SEARCH("wagon",PROPERTIES[[#This Row],[VEHIDCODE]])),0,OR(MID(PROPERTIES[[#This Row],[VEHIDCODE]],2,2)="mu",_xlfn.TEXTBEFORE(PROPERTIES[[#This Row],[VEHIDCODE]],"_")="mtro"),1,1=1,0)</f>
        <v>0</v>
      </c>
      <c r="D82" t="s">
        <v>1781</v>
      </c>
      <c r="E82" t="str">
        <f>_xlfn.XLOOKUP(PROPERTIES[[#This Row],[COUNTRY]],COUNTRIES[COUNTRY_DESCRIPTION],COUNTRIES[COUNTRY_LABEL],"")</f>
        <v>FR</v>
      </c>
      <c r="F82" t="str" cm="1">
        <f t="array" ref="F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" t="s">
        <v>19</v>
      </c>
      <c r="H82">
        <v>0</v>
      </c>
      <c r="I82">
        <v>7</v>
      </c>
      <c r="J82">
        <v>7</v>
      </c>
      <c r="K82" t="str" cm="1">
        <f t="array" ref="K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">
        <f>_xlfn.XLOOKUP("LOADINGSPEEDDEF_"&amp;PROPERTIES[[#This Row],[LOADINGSPEED]],LOADINGSPEEDDEF[TYPE],LOADINGSPEEDDEF[SPEED])</f>
        <v>20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f>IF(ISNUMBER(SEARCH("passenger",PROPERTIES[[#This Row],[CARGODEF]])),1,0)</f>
        <v>0</v>
      </c>
      <c r="O82" s="32">
        <v>94</v>
      </c>
      <c r="P82">
        <v>1360</v>
      </c>
      <c r="Q82">
        <v>70</v>
      </c>
      <c r="R82" s="29">
        <v>0</v>
      </c>
      <c r="S82" s="28">
        <f>IFERROR(PROPERTIES[[#This Row],[TE_STARTING_KN]]/(PROPERTIES[[#This Row],[WEIGHT]]*9.81),0)</f>
        <v>0</v>
      </c>
      <c r="T82" s="28">
        <v>0.18</v>
      </c>
      <c r="U82" s="25">
        <f>ROUND(IF(IFERROR(PROPERTIES[[#This Row],[TE_COEFFICIENT_CALC]],0)=0,PROPERTIES[[#This Row],[TE_COEFFICIENT_MANUAL]],PROPERTIES[[#This Row],[TE_COEFFICIENT_CALC]]),3)</f>
        <v>0.18</v>
      </c>
      <c r="V82" s="11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36">
        <v>0</v>
      </c>
      <c r="X82" s="9">
        <v>0</v>
      </c>
      <c r="Y82" s="10">
        <v>0</v>
      </c>
      <c r="Z82" t="s">
        <v>869</v>
      </c>
      <c r="AA82" t="s">
        <v>868</v>
      </c>
      <c r="AB82" s="2" t="s">
        <v>886</v>
      </c>
      <c r="AC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" s="2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H82" s="10" t="b">
        <v>0</v>
      </c>
      <c r="AY82"/>
      <c r="AZ82"/>
      <c r="BA82"/>
    </row>
    <row r="83" spans="1:53">
      <c r="A83" s="2" t="s">
        <v>103</v>
      </c>
      <c r="B83">
        <v>1928</v>
      </c>
      <c r="C83" cm="1">
        <f t="array" ref="C83">_xlfn.IFS(ISNUMBER(SEARCH("wagon",PROPERTIES[[#This Row],[VEHIDCODE]])),0,OR(MID(PROPERTIES[[#This Row],[VEHIDCODE]],2,2)="mu",_xlfn.TEXTBEFORE(PROPERTIES[[#This Row],[VEHIDCODE]],"_")="mtro"),1,1=1,0)</f>
        <v>0</v>
      </c>
      <c r="D83" t="s">
        <v>1782</v>
      </c>
      <c r="E83" t="str">
        <f>_xlfn.XLOOKUP(PROPERTIES[[#This Row],[COUNTRY]],COUNTRIES[COUNTRY_DESCRIPTION],COUNTRIES[COUNTRY_LABEL],"")</f>
        <v>GB</v>
      </c>
      <c r="F83" t="str" cm="1">
        <f t="array" ref="F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" t="s">
        <v>19</v>
      </c>
      <c r="H83">
        <v>0</v>
      </c>
      <c r="I83">
        <v>8</v>
      </c>
      <c r="J83">
        <f>8+7</f>
        <v>15</v>
      </c>
      <c r="K83" t="str" cm="1">
        <f t="array" ref="K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">
        <f>_xlfn.XLOOKUP("LOADINGSPEEDDEF_"&amp;PROPERTIES[[#This Row],[LOADINGSPEED]],LOADINGSPEEDDEF[TYPE],LOADINGSPEEDDEF[SPEED])</f>
        <v>20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f>IF(ISNUMBER(SEARCH("passenger",PROPERTIES[[#This Row],[CARGODEF]])),1,0)</f>
        <v>0</v>
      </c>
      <c r="O83" s="32">
        <v>122</v>
      </c>
      <c r="P83">
        <v>1450</v>
      </c>
      <c r="Q83">
        <v>130</v>
      </c>
      <c r="R83" s="29">
        <v>0</v>
      </c>
      <c r="S83" s="28">
        <f>IFERROR(PROPERTIES[[#This Row],[TE_STARTING_KN]]/(PROPERTIES[[#This Row],[WEIGHT]]*9.81),0)</f>
        <v>0</v>
      </c>
      <c r="T83" s="28">
        <v>0.11</v>
      </c>
      <c r="U83" s="25">
        <f>ROUND(IF(IFERROR(PROPERTIES[[#This Row],[TE_COEFFICIENT_CALC]],0)=0,PROPERTIES[[#This Row],[TE_COEFFICIENT_MANUAL]],PROPERTIES[[#This Row],[TE_COEFFICIENT_CALC]]),3)</f>
        <v>0.11</v>
      </c>
      <c r="V83" s="11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36">
        <v>0</v>
      </c>
      <c r="X83" s="9">
        <v>6</v>
      </c>
      <c r="Y83" s="10">
        <v>0</v>
      </c>
      <c r="Z83" t="s">
        <v>873</v>
      </c>
      <c r="AA83" t="s">
        <v>868</v>
      </c>
      <c r="AB83" s="2" t="s">
        <v>886</v>
      </c>
      <c r="AC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" s="2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H83" s="10" t="b">
        <v>0</v>
      </c>
      <c r="AY83"/>
      <c r="AZ83"/>
      <c r="BA83"/>
    </row>
    <row r="84" spans="1:53">
      <c r="A84" s="2" t="s">
        <v>104</v>
      </c>
      <c r="B84">
        <v>1929</v>
      </c>
      <c r="C84" cm="1">
        <f t="array" ref="C84">_xlfn.IFS(ISNUMBER(SEARCH("wagon",PROPERTIES[[#This Row],[VEHIDCODE]])),0,OR(MID(PROPERTIES[[#This Row],[VEHIDCODE]],2,2)="mu",_xlfn.TEXTBEFORE(PROPERTIES[[#This Row],[VEHIDCODE]],"_")="mtro"),1,1=1,0)</f>
        <v>0</v>
      </c>
      <c r="D84" t="s">
        <v>1782</v>
      </c>
      <c r="E84" t="str">
        <f>_xlfn.XLOOKUP(PROPERTIES[[#This Row],[COUNTRY]],COUNTRIES[COUNTRY_DESCRIPTION],COUNTRIES[COUNTRY_LABEL],"")</f>
        <v>GB</v>
      </c>
      <c r="F84" t="str" cm="1">
        <f t="array" ref="F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" t="s">
        <v>19</v>
      </c>
      <c r="H84">
        <v>0</v>
      </c>
      <c r="I84">
        <v>6</v>
      </c>
      <c r="J84">
        <v>6</v>
      </c>
      <c r="K84" t="str" cm="1">
        <f t="array" ref="K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">
        <f>_xlfn.XLOOKUP("LOADINGSPEEDDEF_"&amp;PROPERTIES[[#This Row],[LOADINGSPEED]],LOADINGSPEEDDEF[TYPE],LOADINGSPEEDDEF[SPEED])</f>
        <v>20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f>IF(ISNUMBER(SEARCH("passenger",PROPERTIES[[#This Row],[CARGODEF]])),1,0)</f>
        <v>0</v>
      </c>
      <c r="O84" s="32">
        <v>48</v>
      </c>
      <c r="P84">
        <v>700</v>
      </c>
      <c r="Q84">
        <v>72</v>
      </c>
      <c r="R84" s="29">
        <v>0</v>
      </c>
      <c r="S84" s="28">
        <f>IFERROR(PROPERTIES[[#This Row],[TE_STARTING_KN]]/(PROPERTIES[[#This Row],[WEIGHT]]*9.81),0)</f>
        <v>0</v>
      </c>
      <c r="T84" s="28">
        <v>0.21</v>
      </c>
      <c r="U84" s="25">
        <f>ROUND(IF(IFERROR(PROPERTIES[[#This Row],[TE_COEFFICIENT_CALC]],0)=0,PROPERTIES[[#This Row],[TE_COEFFICIENT_MANUAL]],PROPERTIES[[#This Row],[TE_COEFFICIENT_CALC]]),3)</f>
        <v>0.21</v>
      </c>
      <c r="V84" s="11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36">
        <v>0</v>
      </c>
      <c r="X84" s="9">
        <v>0</v>
      </c>
      <c r="Y84" s="10">
        <v>0</v>
      </c>
      <c r="Z84" t="s">
        <v>873</v>
      </c>
      <c r="AA84" t="s">
        <v>868</v>
      </c>
      <c r="AB84" s="2" t="s">
        <v>886</v>
      </c>
      <c r="AC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" s="2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H84" s="10" t="b">
        <v>0</v>
      </c>
      <c r="AY84"/>
      <c r="AZ84"/>
      <c r="BA84"/>
    </row>
    <row r="85" spans="1:53">
      <c r="A85" s="2" t="s">
        <v>105</v>
      </c>
      <c r="B85">
        <v>1930</v>
      </c>
      <c r="C85" cm="1">
        <f t="array" ref="C85">_xlfn.IFS(ISNUMBER(SEARCH("wagon",PROPERTIES[[#This Row],[VEHIDCODE]])),0,OR(MID(PROPERTIES[[#This Row],[VEHIDCODE]],2,2)="mu",_xlfn.TEXTBEFORE(PROPERTIES[[#This Row],[VEHIDCODE]],"_")="mtro"),1,1=1,0)</f>
        <v>0</v>
      </c>
      <c r="D85" t="s">
        <v>1871</v>
      </c>
      <c r="E85" t="str">
        <f>_xlfn.XLOOKUP(PROPERTIES[[#This Row],[COUNTRY]],COUNTRIES[COUNTRY_DESCRIPTION],COUNTRIES[COUNTRY_LABEL],"")</f>
        <v>NL</v>
      </c>
      <c r="F85" t="str" cm="1">
        <f t="array" ref="F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5" t="s">
        <v>19</v>
      </c>
      <c r="H85">
        <v>0</v>
      </c>
      <c r="I85">
        <v>8</v>
      </c>
      <c r="J85">
        <v>8</v>
      </c>
      <c r="K85" t="str" cm="1">
        <f t="array" ref="K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">
        <f>_xlfn.XLOOKUP("LOADINGSPEEDDEF_"&amp;PROPERTIES[[#This Row],[LOADINGSPEED]],LOADINGSPEEDDEF[TYPE],LOADINGSPEEDDEF[SPEED])</f>
        <v>20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f>IF(ISNUMBER(SEARCH("passenger",PROPERTIES[[#This Row],[CARGODEF]])),1,0)</f>
        <v>0</v>
      </c>
      <c r="O85" s="32">
        <v>127</v>
      </c>
      <c r="P85">
        <v>1609</v>
      </c>
      <c r="Q85">
        <v>90</v>
      </c>
      <c r="R85" s="29">
        <v>0</v>
      </c>
      <c r="S85" s="28">
        <f>IFERROR(PROPERTIES[[#This Row],[TE_STARTING_KN]]/(PROPERTIES[[#This Row],[WEIGHT]]*9.81),0)</f>
        <v>0</v>
      </c>
      <c r="T85" s="28">
        <v>0.12</v>
      </c>
      <c r="U85" s="25">
        <f>ROUND(IF(IFERROR(PROPERTIES[[#This Row],[TE_COEFFICIENT_CALC]],0)=0,PROPERTIES[[#This Row],[TE_COEFFICIENT_MANUAL]],PROPERTIES[[#This Row],[TE_COEFFICIENT_CALC]]),3)</f>
        <v>0.12</v>
      </c>
      <c r="V85" s="11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36">
        <v>0</v>
      </c>
      <c r="X85" s="9">
        <v>0</v>
      </c>
      <c r="Y85" s="10">
        <v>0</v>
      </c>
      <c r="Z85" t="s">
        <v>869</v>
      </c>
      <c r="AA85" t="s">
        <v>868</v>
      </c>
      <c r="AB85" s="2" t="s">
        <v>886</v>
      </c>
      <c r="AC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5" s="2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H85" s="10" t="b">
        <v>0</v>
      </c>
      <c r="AY85"/>
      <c r="AZ85"/>
      <c r="BA85"/>
    </row>
    <row r="86" spans="1:53">
      <c r="A86" s="2" t="s">
        <v>106</v>
      </c>
      <c r="B86">
        <v>1930</v>
      </c>
      <c r="C86" cm="1">
        <f t="array" ref="C86">_xlfn.IFS(ISNUMBER(SEARCH("wagon",PROPERTIES[[#This Row],[VEHIDCODE]])),0,OR(MID(PROPERTIES[[#This Row],[VEHIDCODE]],2,2)="mu",_xlfn.TEXTBEFORE(PROPERTIES[[#This Row],[VEHIDCODE]],"_")="mtro"),1,1=1,0)</f>
        <v>0</v>
      </c>
      <c r="D86" t="s">
        <v>1937</v>
      </c>
      <c r="E86" t="str">
        <f>_xlfn.XLOOKUP(PROPERTIES[[#This Row],[COUNTRY]],COUNTRIES[COUNTRY_DESCRIPTION],COUNTRIES[COUNTRY_LABEL],"")</f>
        <v>US</v>
      </c>
      <c r="F86" t="str" cm="1">
        <f t="array" ref="F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6" t="s">
        <v>19</v>
      </c>
      <c r="H86">
        <v>0</v>
      </c>
      <c r="I86">
        <v>8</v>
      </c>
      <c r="J86">
        <f>8+6</f>
        <v>14</v>
      </c>
      <c r="K86" t="str" cm="1">
        <f t="array" ref="K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">
        <f>_xlfn.XLOOKUP("LOADINGSPEEDDEF_"&amp;PROPERTIES[[#This Row],[LOADINGSPEED]],LOADINGSPEEDDEF[TYPE],LOADINGSPEEDDEF[SPEED])</f>
        <v>20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f>IF(ISNUMBER(SEARCH("passenger",PROPERTIES[[#This Row],[CARGODEF]])),1,0)</f>
        <v>0</v>
      </c>
      <c r="O86" s="32">
        <v>415</v>
      </c>
      <c r="P86">
        <v>5000</v>
      </c>
      <c r="Q86">
        <v>110</v>
      </c>
      <c r="R86" s="29">
        <v>0</v>
      </c>
      <c r="S86" s="28">
        <f>IFERROR(PROPERTIES[[#This Row],[TE_STARTING_KN]]/(PROPERTIES[[#This Row],[WEIGHT]]*9.81),0)</f>
        <v>0</v>
      </c>
      <c r="T86" s="28">
        <v>0.11</v>
      </c>
      <c r="U86" s="25">
        <f>ROUND(IF(IFERROR(PROPERTIES[[#This Row],[TE_COEFFICIENT_CALC]],0)=0,PROPERTIES[[#This Row],[TE_COEFFICIENT_MANUAL]],PROPERTIES[[#This Row],[TE_COEFFICIENT_CALC]]),3)</f>
        <v>0.11</v>
      </c>
      <c r="V86" s="11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36">
        <v>0</v>
      </c>
      <c r="X86" s="9">
        <v>6</v>
      </c>
      <c r="Y86" s="10">
        <v>0</v>
      </c>
      <c r="Z86" t="s">
        <v>874</v>
      </c>
      <c r="AA86" t="s">
        <v>868</v>
      </c>
      <c r="AB86" s="2" t="s">
        <v>886</v>
      </c>
      <c r="AC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6" s="2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H86" s="10" t="b">
        <v>0</v>
      </c>
      <c r="AY86"/>
      <c r="AZ86"/>
      <c r="BA86"/>
    </row>
    <row r="87" spans="1:53">
      <c r="A87" s="2" t="s">
        <v>107</v>
      </c>
      <c r="B87">
        <v>1910</v>
      </c>
      <c r="C87" cm="1">
        <f t="array" ref="C87">_xlfn.IFS(ISNUMBER(SEARCH("wagon",PROPERTIES[[#This Row],[VEHIDCODE]])),0,OR(MID(PROPERTIES[[#This Row],[VEHIDCODE]],2,2)="mu",_xlfn.TEXTBEFORE(PROPERTIES[[#This Row],[VEHIDCODE]],"_")="mtro"),1,1=1,0)</f>
        <v>0</v>
      </c>
      <c r="D87" t="s">
        <v>1763</v>
      </c>
      <c r="E87" t="str">
        <f>_xlfn.XLOOKUP(PROPERTIES[[#This Row],[COUNTRY]],COUNTRIES[COUNTRY_DESCRIPTION],COUNTRIES[COUNTRY_LABEL],"")</f>
        <v>DE</v>
      </c>
      <c r="F87" t="str" cm="1">
        <f t="array" ref="F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7" t="s">
        <v>19</v>
      </c>
      <c r="H87">
        <v>0</v>
      </c>
      <c r="I87">
        <v>8</v>
      </c>
      <c r="J87">
        <v>12</v>
      </c>
      <c r="K87" t="str" cm="1">
        <f t="array" ref="K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">
        <f>_xlfn.XLOOKUP("LOADINGSPEEDDEF_"&amp;PROPERTIES[[#This Row],[LOADINGSPEED]],LOADINGSPEEDDEF[TYPE],LOADINGSPEEDDEF[SPEED])</f>
        <v>20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f>IF(ISNUMBER(SEARCH("passenger",PROPERTIES[[#This Row],[CARGODEF]])),1,0)</f>
        <v>0</v>
      </c>
      <c r="O87" s="32">
        <v>140</v>
      </c>
      <c r="P87">
        <v>1500</v>
      </c>
      <c r="Q87">
        <v>110</v>
      </c>
      <c r="R87" s="29">
        <v>0</v>
      </c>
      <c r="S87" s="28">
        <f>IFERROR(PROPERTIES[[#This Row],[TE_STARTING_KN]]/(PROPERTIES[[#This Row],[WEIGHT]]*9.81),0)</f>
        <v>0</v>
      </c>
      <c r="T87" s="28">
        <v>0.1</v>
      </c>
      <c r="U87" s="25">
        <f>ROUND(IF(IFERROR(PROPERTIES[[#This Row],[TE_COEFFICIENT_CALC]],0)=0,PROPERTIES[[#This Row],[TE_COEFFICIENT_MANUAL]],PROPERTIES[[#This Row],[TE_COEFFICIENT_CALC]]),3)</f>
        <v>0.1</v>
      </c>
      <c r="V87" s="11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36">
        <v>0</v>
      </c>
      <c r="X87" s="9">
        <v>4</v>
      </c>
      <c r="Y87" s="10">
        <v>0</v>
      </c>
      <c r="Z87" t="s">
        <v>869</v>
      </c>
      <c r="AA87" t="s">
        <v>868</v>
      </c>
      <c r="AB87" s="2" t="s">
        <v>886</v>
      </c>
      <c r="AC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7" s="2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H87" s="10" t="b">
        <v>0</v>
      </c>
      <c r="AY87"/>
      <c r="AZ87"/>
      <c r="BA87"/>
    </row>
    <row r="88" spans="1:53">
      <c r="A88" s="2" t="s">
        <v>108</v>
      </c>
      <c r="B88">
        <v>1934</v>
      </c>
      <c r="C88" cm="1">
        <f t="array" ref="C88">_xlfn.IFS(ISNUMBER(SEARCH("wagon",PROPERTIES[[#This Row],[VEHIDCODE]])),0,OR(MID(PROPERTIES[[#This Row],[VEHIDCODE]],2,2)="mu",_xlfn.TEXTBEFORE(PROPERTIES[[#This Row],[VEHIDCODE]],"_")="mtro"),1,1=1,0)</f>
        <v>0</v>
      </c>
      <c r="D88" t="s">
        <v>1782</v>
      </c>
      <c r="E88" t="str">
        <f>_xlfn.XLOOKUP(PROPERTIES[[#This Row],[COUNTRY]],COUNTRIES[COUNTRY_DESCRIPTION],COUNTRIES[COUNTRY_LABEL],"")</f>
        <v>GB</v>
      </c>
      <c r="F88" t="str" cm="1">
        <f t="array" ref="F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" t="s">
        <v>19</v>
      </c>
      <c r="H88">
        <v>0</v>
      </c>
      <c r="I88">
        <v>8</v>
      </c>
      <c r="J88">
        <v>13</v>
      </c>
      <c r="K88" t="str" cm="1">
        <f t="array" ref="K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">
        <f>_xlfn.XLOOKUP("LOADINGSPEEDDEF_"&amp;PROPERTIES[[#This Row],[LOADINGSPEED]],LOADINGSPEEDDEF[TYPE],LOADINGSPEEDDEF[SPEED])</f>
        <v>20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f>IF(ISNUMBER(SEARCH("passenger",PROPERTIES[[#This Row],[CARGODEF]])),1,0)</f>
        <v>0</v>
      </c>
      <c r="O88" s="32">
        <v>125</v>
      </c>
      <c r="P88">
        <v>1600</v>
      </c>
      <c r="Q88">
        <v>145</v>
      </c>
      <c r="R88" s="29">
        <v>0</v>
      </c>
      <c r="S88" s="28">
        <f>IFERROR(PROPERTIES[[#This Row],[TE_STARTING_KN]]/(PROPERTIES[[#This Row],[WEIGHT]]*9.81),0)</f>
        <v>0</v>
      </c>
      <c r="T88" s="28">
        <v>0.11</v>
      </c>
      <c r="U88" s="25">
        <f>ROUND(IF(IFERROR(PROPERTIES[[#This Row],[TE_COEFFICIENT_CALC]],0)=0,PROPERTIES[[#This Row],[TE_COEFFICIENT_MANUAL]],PROPERTIES[[#This Row],[TE_COEFFICIENT_CALC]]),3)</f>
        <v>0.11</v>
      </c>
      <c r="V88" s="11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36">
        <v>0</v>
      </c>
      <c r="X88" s="9">
        <v>5</v>
      </c>
      <c r="Y88" s="10">
        <v>0</v>
      </c>
      <c r="Z88" t="s">
        <v>873</v>
      </c>
      <c r="AA88" t="s">
        <v>868</v>
      </c>
      <c r="AB88" s="2" t="s">
        <v>886</v>
      </c>
      <c r="AC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" s="2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H88" s="10" t="b">
        <v>0</v>
      </c>
      <c r="AY88"/>
      <c r="AZ88"/>
      <c r="BA88"/>
    </row>
    <row r="89" spans="1:53">
      <c r="A89" s="2" t="s">
        <v>109</v>
      </c>
      <c r="B89">
        <v>1935</v>
      </c>
      <c r="C89" cm="1">
        <f t="array" ref="C89">_xlfn.IFS(ISNUMBER(SEARCH("wagon",PROPERTIES[[#This Row],[VEHIDCODE]])),0,OR(MID(PROPERTIES[[#This Row],[VEHIDCODE]],2,2)="mu",_xlfn.TEXTBEFORE(PROPERTIES[[#This Row],[VEHIDCODE]],"_")="mtro"),1,1=1,0)</f>
        <v>0</v>
      </c>
      <c r="D89" t="s">
        <v>1896</v>
      </c>
      <c r="E89" t="str">
        <f>_xlfn.XLOOKUP(PROPERTIES[[#This Row],[COUNTRY]],COUNTRIES[COUNTRY_DESCRIPTION],COUNTRIES[COUNTRY_LABEL],"")</f>
        <v>RU</v>
      </c>
      <c r="F89" t="str" cm="1">
        <f t="array" ref="F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" t="s">
        <v>19</v>
      </c>
      <c r="H89">
        <v>0</v>
      </c>
      <c r="I89">
        <v>6</v>
      </c>
      <c r="J89">
        <v>6</v>
      </c>
      <c r="K89" t="str" cm="1">
        <f t="array" ref="K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">
        <f>_xlfn.XLOOKUP("LOADINGSPEEDDEF_"&amp;PROPERTIES[[#This Row],[LOADINGSPEED]],LOADINGSPEEDDEF[TYPE],LOADINGSPEEDDEF[SPEED])</f>
        <v>20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f>IF(ISNUMBER(SEARCH("passenger",PROPERTIES[[#This Row],[CARGODEF]])),1,0)</f>
        <v>0</v>
      </c>
      <c r="O89" s="32">
        <v>55</v>
      </c>
      <c r="P89">
        <v>450</v>
      </c>
      <c r="Q89">
        <v>35</v>
      </c>
      <c r="R89" s="29">
        <v>0</v>
      </c>
      <c r="S89" s="28">
        <f>IFERROR(PROPERTIES[[#This Row],[TE_STARTING_KN]]/(PROPERTIES[[#This Row],[WEIGHT]]*9.81),0)</f>
        <v>0</v>
      </c>
      <c r="T89" s="28">
        <v>0.18</v>
      </c>
      <c r="U89" s="25">
        <f>ROUND(IF(IFERROR(PROPERTIES[[#This Row],[TE_COEFFICIENT_CALC]],0)=0,PROPERTIES[[#This Row],[TE_COEFFICIENT_MANUAL]],PROPERTIES[[#This Row],[TE_COEFFICIENT_CALC]]),3)</f>
        <v>0.18</v>
      </c>
      <c r="V89" s="11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36">
        <v>0</v>
      </c>
      <c r="X89" s="9">
        <v>0</v>
      </c>
      <c r="Y89" s="10">
        <v>0</v>
      </c>
      <c r="Z89" t="s">
        <v>877</v>
      </c>
      <c r="AA89" t="s">
        <v>868</v>
      </c>
      <c r="AB89" s="2" t="s">
        <v>886</v>
      </c>
      <c r="AC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" s="2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H89" s="10" t="b">
        <v>0</v>
      </c>
      <c r="AY89"/>
      <c r="AZ89"/>
      <c r="BA89"/>
    </row>
    <row r="90" spans="1:53">
      <c r="A90" s="2" t="s">
        <v>110</v>
      </c>
      <c r="B90">
        <v>1935</v>
      </c>
      <c r="C90" cm="1">
        <f t="array" ref="C90">_xlfn.IFS(ISNUMBER(SEARCH("wagon",PROPERTIES[[#This Row],[VEHIDCODE]])),0,OR(MID(PROPERTIES[[#This Row],[VEHIDCODE]],2,2)="mu",_xlfn.TEXTBEFORE(PROPERTIES[[#This Row],[VEHIDCODE]],"_")="mtro"),1,1=1,0)</f>
        <v>0</v>
      </c>
      <c r="D90" t="s">
        <v>1782</v>
      </c>
      <c r="E90" t="str">
        <f>_xlfn.XLOOKUP(PROPERTIES[[#This Row],[COUNTRY]],COUNTRIES[COUNTRY_DESCRIPTION],COUNTRIES[COUNTRY_LABEL],"")</f>
        <v>GB</v>
      </c>
      <c r="F90" t="str" cm="1">
        <f t="array" ref="F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0" t="s">
        <v>19</v>
      </c>
      <c r="H90">
        <v>0</v>
      </c>
      <c r="I90">
        <v>8</v>
      </c>
      <c r="J90">
        <f>8+6</f>
        <v>14</v>
      </c>
      <c r="K90" t="str" cm="1">
        <f t="array" ref="K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0">
        <f>_xlfn.XLOOKUP("LOADINGSPEEDDEF_"&amp;PROPERTIES[[#This Row],[LOADINGSPEED]],LOADINGSPEEDDEF[TYPE],LOADINGSPEEDDEF[SPEED])</f>
        <v>20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f>IF(ISNUMBER(SEARCH("passenger",PROPERTIES[[#This Row],[CARGODEF]])),1,0)</f>
        <v>0</v>
      </c>
      <c r="O90" s="32">
        <v>170</v>
      </c>
      <c r="P90">
        <v>2200</v>
      </c>
      <c r="Q90">
        <v>140</v>
      </c>
      <c r="R90" s="29">
        <v>0</v>
      </c>
      <c r="S90" s="28">
        <f>IFERROR(PROPERTIES[[#This Row],[TE_STARTING_KN]]/(PROPERTIES[[#This Row],[WEIGHT]]*9.81),0)</f>
        <v>0</v>
      </c>
      <c r="T90" s="28">
        <v>0.09</v>
      </c>
      <c r="U90" s="25">
        <f>ROUND(IF(IFERROR(PROPERTIES[[#This Row],[TE_COEFFICIENT_CALC]],0)=0,PROPERTIES[[#This Row],[TE_COEFFICIENT_MANUAL]],PROPERTIES[[#This Row],[TE_COEFFICIENT_CALC]]),3)</f>
        <v>0.09</v>
      </c>
      <c r="V90" s="11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36">
        <v>0</v>
      </c>
      <c r="X90" s="9">
        <v>6</v>
      </c>
      <c r="Y90" s="10">
        <v>0</v>
      </c>
      <c r="Z90" t="s">
        <v>873</v>
      </c>
      <c r="AA90" t="s">
        <v>868</v>
      </c>
      <c r="AB90" s="2" t="s">
        <v>886</v>
      </c>
      <c r="AC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0" s="2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H90" s="10" t="b">
        <v>0</v>
      </c>
      <c r="AY90"/>
      <c r="AZ90"/>
      <c r="BA90"/>
    </row>
    <row r="91" spans="1:53">
      <c r="A91" s="2" t="s">
        <v>111</v>
      </c>
      <c r="B91">
        <v>1937</v>
      </c>
      <c r="C91" cm="1">
        <f t="array" ref="C91">_xlfn.IFS(ISNUMBER(SEARCH("wagon",PROPERTIES[[#This Row],[VEHIDCODE]])),0,OR(MID(PROPERTIES[[#This Row],[VEHIDCODE]],2,2)="mu",_xlfn.TEXTBEFORE(PROPERTIES[[#This Row],[VEHIDCODE]],"_")="mtro"),1,1=1,0)</f>
        <v>0</v>
      </c>
      <c r="D91" t="s">
        <v>1744</v>
      </c>
      <c r="E91" t="str">
        <f>_xlfn.XLOOKUP(PROPERTIES[[#This Row],[COUNTRY]],COUNTRIES[COUNTRY_DESCRIPTION],COUNTRIES[COUNTRY_LABEL],"")</f>
        <v>CA</v>
      </c>
      <c r="F91" t="str" cm="1">
        <f t="array" ref="F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1" t="s">
        <v>19</v>
      </c>
      <c r="H91">
        <v>0</v>
      </c>
      <c r="I91">
        <v>8</v>
      </c>
      <c r="J91">
        <v>14</v>
      </c>
      <c r="K91" t="str" cm="1">
        <f t="array" ref="K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1">
        <f>_xlfn.XLOOKUP("LOADINGSPEEDDEF_"&amp;PROPERTIES[[#This Row],[LOADINGSPEED]],LOADINGSPEEDDEF[TYPE],LOADINGSPEEDDEF[SPEED])</f>
        <v>20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f>IF(ISNUMBER(SEARCH("passenger",PROPERTIES[[#This Row],[CARGODEF]])),1,0)</f>
        <v>0</v>
      </c>
      <c r="O91" s="32">
        <v>286</v>
      </c>
      <c r="P91">
        <v>3100</v>
      </c>
      <c r="Q91">
        <v>144</v>
      </c>
      <c r="R91" s="29">
        <v>0</v>
      </c>
      <c r="S91" s="28">
        <f>IFERROR(PROPERTIES[[#This Row],[TE_STARTING_KN]]/(PROPERTIES[[#This Row],[WEIGHT]]*9.81),0)</f>
        <v>0</v>
      </c>
      <c r="T91" s="28">
        <v>7.0000000000000007E-2</v>
      </c>
      <c r="U91" s="25">
        <f>ROUND(IF(IFERROR(PROPERTIES[[#This Row],[TE_COEFFICIENT_CALC]],0)=0,PROPERTIES[[#This Row],[TE_COEFFICIENT_MANUAL]],PROPERTIES[[#This Row],[TE_COEFFICIENT_CALC]]),3)</f>
        <v>7.0000000000000007E-2</v>
      </c>
      <c r="V91" s="11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36">
        <v>0</v>
      </c>
      <c r="X91" s="9">
        <v>6</v>
      </c>
      <c r="Y91" s="10">
        <v>0</v>
      </c>
      <c r="Z91" t="s">
        <v>874</v>
      </c>
      <c r="AA91" t="s">
        <v>868</v>
      </c>
      <c r="AB91" s="2" t="s">
        <v>886</v>
      </c>
      <c r="AC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1" s="2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H91" s="10" t="b">
        <v>0</v>
      </c>
      <c r="AY91"/>
      <c r="AZ91"/>
      <c r="BA91"/>
    </row>
    <row r="92" spans="1:53">
      <c r="A92" s="2" t="s">
        <v>112</v>
      </c>
      <c r="B92">
        <v>1937</v>
      </c>
      <c r="C92" cm="1">
        <f t="array" ref="C92">_xlfn.IFS(ISNUMBER(SEARCH("wagon",PROPERTIES[[#This Row],[VEHIDCODE]])),0,OR(MID(PROPERTIES[[#This Row],[VEHIDCODE]],2,2)="mu",_xlfn.TEXTBEFORE(PROPERTIES[[#This Row],[VEHIDCODE]],"_")="mtro"),1,1=1,0)</f>
        <v>0</v>
      </c>
      <c r="D92" t="s">
        <v>1765</v>
      </c>
      <c r="E92" t="str">
        <f>_xlfn.XLOOKUP(PROPERTIES[[#This Row],[COUNTRY]],COUNTRIES[COUNTRY_DESCRIPTION],COUNTRIES[COUNTRY_LABEL],"")</f>
        <v>DK</v>
      </c>
      <c r="F92" t="str" cm="1">
        <f t="array" ref="F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2" t="s">
        <v>19</v>
      </c>
      <c r="H92">
        <v>0</v>
      </c>
      <c r="I92">
        <v>8</v>
      </c>
      <c r="J92">
        <v>4</v>
      </c>
      <c r="K92" t="str" cm="1">
        <f t="array" ref="K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2">
        <f>_xlfn.XLOOKUP("LOADINGSPEEDDEF_"&amp;PROPERTIES[[#This Row],[LOADINGSPEED]],LOADINGSPEEDDEF[TYPE],LOADINGSPEEDDEF[SPEED])</f>
        <v>20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f>IF(ISNUMBER(SEARCH("passenger",PROPERTIES[[#This Row],[CARGODEF]])),1,0)</f>
        <v>0</v>
      </c>
      <c r="O92" s="32">
        <v>132</v>
      </c>
      <c r="P92">
        <v>1600</v>
      </c>
      <c r="Q92">
        <v>110</v>
      </c>
      <c r="R92" s="29">
        <v>0</v>
      </c>
      <c r="S92" s="28">
        <f>IFERROR(PROPERTIES[[#This Row],[TE_STARTING_KN]]/(PROPERTIES[[#This Row],[WEIGHT]]*9.81),0)</f>
        <v>0</v>
      </c>
      <c r="T92" s="28">
        <v>0.09</v>
      </c>
      <c r="U92" s="25">
        <f>ROUND(IF(IFERROR(PROPERTIES[[#This Row],[TE_COEFFICIENT_CALC]],0)=0,PROPERTIES[[#This Row],[TE_COEFFICIENT_MANUAL]],PROPERTIES[[#This Row],[TE_COEFFICIENT_CALC]]),3)</f>
        <v>0.09</v>
      </c>
      <c r="V92" s="11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36">
        <v>0</v>
      </c>
      <c r="X92" s="9">
        <v>4</v>
      </c>
      <c r="Y92" s="10">
        <v>0</v>
      </c>
      <c r="Z92" t="s">
        <v>873</v>
      </c>
      <c r="AA92" t="s">
        <v>868</v>
      </c>
      <c r="AB92" s="2" t="s">
        <v>886</v>
      </c>
      <c r="AC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2" s="2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H92" s="10" t="b">
        <v>0</v>
      </c>
      <c r="AY92"/>
      <c r="AZ92"/>
      <c r="BA92"/>
    </row>
    <row r="93" spans="1:53">
      <c r="A93" s="2" t="s">
        <v>113</v>
      </c>
      <c r="B93">
        <v>1937</v>
      </c>
      <c r="C93" cm="1">
        <f t="array" ref="C93">_xlfn.IFS(ISNUMBER(SEARCH("wagon",PROPERTIES[[#This Row],[VEHIDCODE]])),0,OR(MID(PROPERTIES[[#This Row],[VEHIDCODE]],2,2)="mu",_xlfn.TEXTBEFORE(PROPERTIES[[#This Row],[VEHIDCODE]],"_")="mtro"),1,1=1,0)</f>
        <v>0</v>
      </c>
      <c r="D93" t="s">
        <v>1763</v>
      </c>
      <c r="E93" t="str">
        <f>_xlfn.XLOOKUP(PROPERTIES[[#This Row],[COUNTRY]],COUNTRIES[COUNTRY_DESCRIPTION],COUNTRIES[COUNTRY_LABEL],"")</f>
        <v>DE</v>
      </c>
      <c r="F93" t="str" cm="1">
        <f t="array" ref="F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3" t="s">
        <v>19</v>
      </c>
      <c r="H93">
        <v>0</v>
      </c>
      <c r="I93">
        <v>8</v>
      </c>
      <c r="J93">
        <f>8+6</f>
        <v>14</v>
      </c>
      <c r="K93" t="str" cm="1">
        <f t="array" ref="K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">
        <f>_xlfn.XLOOKUP("LOADINGSPEEDDEF_"&amp;PROPERTIES[[#This Row],[LOADINGSPEED]],LOADINGSPEEDDEF[TYPE],LOADINGSPEEDDEF[SPEED])</f>
        <v>20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f>IF(ISNUMBER(SEARCH("passenger",PROPERTIES[[#This Row],[CARGODEF]])),1,0)</f>
        <v>0</v>
      </c>
      <c r="O93" s="32">
        <v>150</v>
      </c>
      <c r="P93">
        <v>1600</v>
      </c>
      <c r="Q93">
        <v>80</v>
      </c>
      <c r="R93" s="29">
        <v>0</v>
      </c>
      <c r="S93" s="28">
        <f>IFERROR(PROPERTIES[[#This Row],[TE_STARTING_KN]]/(PROPERTIES[[#This Row],[WEIGHT]]*9.81),0)</f>
        <v>0</v>
      </c>
      <c r="T93" s="28">
        <v>0.12</v>
      </c>
      <c r="U93" s="25">
        <f>ROUND(IF(IFERROR(PROPERTIES[[#This Row],[TE_COEFFICIENT_CALC]],0)=0,PROPERTIES[[#This Row],[TE_COEFFICIENT_MANUAL]],PROPERTIES[[#This Row],[TE_COEFFICIENT_CALC]]),3)</f>
        <v>0.12</v>
      </c>
      <c r="V93" s="11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36">
        <v>0</v>
      </c>
      <c r="X93" s="9">
        <v>6</v>
      </c>
      <c r="Y93" s="10">
        <v>0</v>
      </c>
      <c r="Z93" t="s">
        <v>869</v>
      </c>
      <c r="AA93" t="s">
        <v>868</v>
      </c>
      <c r="AB93" s="2" t="s">
        <v>886</v>
      </c>
      <c r="AC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3" s="2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H93" s="10" t="b">
        <v>0</v>
      </c>
      <c r="AY93"/>
      <c r="AZ93"/>
      <c r="BA93"/>
    </row>
    <row r="94" spans="1:53">
      <c r="A94" s="2" t="s">
        <v>114</v>
      </c>
      <c r="B94">
        <v>1948</v>
      </c>
      <c r="C94" cm="1">
        <f t="array" ref="C94">_xlfn.IFS(ISNUMBER(SEARCH("wagon",PROPERTIES[[#This Row],[VEHIDCODE]])),0,OR(MID(PROPERTIES[[#This Row],[VEHIDCODE]],2,2)="mu",_xlfn.TEXTBEFORE(PROPERTIES[[#This Row],[VEHIDCODE]],"_")="mtro"),1,1=1,0)</f>
        <v>0</v>
      </c>
      <c r="D94" t="s">
        <v>1782</v>
      </c>
      <c r="E94" t="str">
        <f>_xlfn.XLOOKUP(PROPERTIES[[#This Row],[COUNTRY]],COUNTRIES[COUNTRY_DESCRIPTION],COUNTRIES[COUNTRY_LABEL],"")</f>
        <v>GB</v>
      </c>
      <c r="F94" t="str" cm="1">
        <f t="array" ref="F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" t="s">
        <v>19</v>
      </c>
      <c r="H94">
        <v>0</v>
      </c>
      <c r="I94">
        <v>8</v>
      </c>
      <c r="J94">
        <f>8+5</f>
        <v>13</v>
      </c>
      <c r="K94" t="str" cm="1">
        <f t="array" ref="K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">
        <f>_xlfn.XLOOKUP("LOADINGSPEEDDEF_"&amp;PROPERTIES[[#This Row],[LOADINGSPEED]],LOADINGSPEEDDEF[TYPE],LOADINGSPEEDDEF[SPEED])</f>
        <v>20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f>IF(ISNUMBER(SEARCH("passenger",PROPERTIES[[#This Row],[CARGODEF]])),1,0)</f>
        <v>0</v>
      </c>
      <c r="O94" s="32">
        <v>162</v>
      </c>
      <c r="P94">
        <v>2400</v>
      </c>
      <c r="Q94">
        <v>160</v>
      </c>
      <c r="R94" s="29">
        <v>0</v>
      </c>
      <c r="S94" s="28">
        <f>IFERROR(PROPERTIES[[#This Row],[TE_STARTING_KN]]/(PROPERTIES[[#This Row],[WEIGHT]]*9.81),0)</f>
        <v>0</v>
      </c>
      <c r="T94" s="28">
        <v>0.11</v>
      </c>
      <c r="U94" s="25">
        <f>ROUND(IF(IFERROR(PROPERTIES[[#This Row],[TE_COEFFICIENT_CALC]],0)=0,PROPERTIES[[#This Row],[TE_COEFFICIENT_MANUAL]],PROPERTIES[[#This Row],[TE_COEFFICIENT_CALC]]),3)</f>
        <v>0.11</v>
      </c>
      <c r="V94" s="11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36">
        <v>0</v>
      </c>
      <c r="X94" s="9">
        <v>5</v>
      </c>
      <c r="Y94" s="10">
        <v>0</v>
      </c>
      <c r="Z94" t="s">
        <v>873</v>
      </c>
      <c r="AA94" t="s">
        <v>868</v>
      </c>
      <c r="AB94" s="2" t="s">
        <v>886</v>
      </c>
      <c r="AC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" s="2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H94" s="10" t="b">
        <v>0</v>
      </c>
      <c r="AY94"/>
      <c r="AZ94"/>
      <c r="BA94"/>
    </row>
    <row r="95" spans="1:53">
      <c r="A95" s="2" t="s">
        <v>115</v>
      </c>
      <c r="B95">
        <v>1953</v>
      </c>
      <c r="C95" cm="1">
        <f t="array" ref="C95">_xlfn.IFS(ISNUMBER(SEARCH("wagon",PROPERTIES[[#This Row],[VEHIDCODE]])),0,OR(MID(PROPERTIES[[#This Row],[VEHIDCODE]],2,2)="mu",_xlfn.TEXTBEFORE(PROPERTIES[[#This Row],[VEHIDCODE]],"_")="mtro"),1,1=1,0)</f>
        <v>0</v>
      </c>
      <c r="D95" t="s">
        <v>1951</v>
      </c>
      <c r="E95" t="str">
        <f>_xlfn.XLOOKUP(PROPERTIES[[#This Row],[COUNTRY]],COUNTRIES[COUNTRY_DESCRIPTION],COUNTRIES[COUNTRY_LABEL],"")</f>
        <v>ZA</v>
      </c>
      <c r="F95" t="str" cm="1">
        <f t="array" ref="F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" t="s">
        <v>19</v>
      </c>
      <c r="H95">
        <v>0</v>
      </c>
      <c r="I95">
        <v>8</v>
      </c>
      <c r="J95">
        <f>8+5</f>
        <v>13</v>
      </c>
      <c r="K95" t="str" cm="1">
        <f t="array" ref="K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">
        <f>_xlfn.XLOOKUP("LOADINGSPEEDDEF_"&amp;PROPERTIES[[#This Row],[LOADINGSPEED]],LOADINGSPEEDDEF[TYPE],LOADINGSPEEDDEF[SPEED])</f>
        <v>20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f>IF(ISNUMBER(SEARCH("passenger",PROPERTIES[[#This Row],[CARGODEF]])),1,0)</f>
        <v>0</v>
      </c>
      <c r="O95" s="32">
        <v>231</v>
      </c>
      <c r="P95">
        <v>3000</v>
      </c>
      <c r="Q95">
        <v>100</v>
      </c>
      <c r="R95" s="29">
        <v>201</v>
      </c>
      <c r="S95" s="28">
        <f>IFERROR(PROPERTIES[[#This Row],[TE_STARTING_KN]]/(PROPERTIES[[#This Row],[WEIGHT]]*9.81),0)</f>
        <v>8.8698253835868504E-2</v>
      </c>
      <c r="T95" s="28">
        <v>0.08</v>
      </c>
      <c r="U95" s="25">
        <f>ROUND(IF(IFERROR(PROPERTIES[[#This Row],[TE_COEFFICIENT_CALC]],0)=0,PROPERTIES[[#This Row],[TE_COEFFICIENT_MANUAL]],PROPERTIES[[#This Row],[TE_COEFFICIENT_CALC]]),3)</f>
        <v>8.8999999999999996E-2</v>
      </c>
      <c r="V95" s="11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36">
        <v>0</v>
      </c>
      <c r="X95" s="9">
        <v>5</v>
      </c>
      <c r="Y95" s="10">
        <v>0</v>
      </c>
      <c r="Z95" t="s">
        <v>872</v>
      </c>
      <c r="AA95" t="s">
        <v>868</v>
      </c>
      <c r="AB95" s="2" t="s">
        <v>886</v>
      </c>
      <c r="AC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" s="2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H95" s="10" t="b">
        <v>0</v>
      </c>
      <c r="AY95"/>
      <c r="AZ95"/>
      <c r="BA95"/>
    </row>
    <row r="96" spans="1:53">
      <c r="A96" s="2" t="s">
        <v>116</v>
      </c>
      <c r="B96">
        <v>1954</v>
      </c>
      <c r="C96" cm="1">
        <f t="array" ref="C96">_xlfn.IFS(ISNUMBER(SEARCH("wagon",PROPERTIES[[#This Row],[VEHIDCODE]])),0,OR(MID(PROPERTIES[[#This Row],[VEHIDCODE]],2,2)="mu",_xlfn.TEXTBEFORE(PROPERTIES[[#This Row],[VEHIDCODE]],"_")="mtro"),1,1=1,0)</f>
        <v>0</v>
      </c>
      <c r="D96" t="s">
        <v>1896</v>
      </c>
      <c r="E96" t="str">
        <f>_xlfn.XLOOKUP(PROPERTIES[[#This Row],[COUNTRY]],COUNTRIES[COUNTRY_DESCRIPTION],COUNTRIES[COUNTRY_LABEL],"")</f>
        <v>RU</v>
      </c>
      <c r="F96" t="str" cm="1">
        <f t="array" ref="F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" t="s">
        <v>19</v>
      </c>
      <c r="H96">
        <v>0</v>
      </c>
      <c r="I96">
        <v>8</v>
      </c>
      <c r="J96">
        <v>14</v>
      </c>
      <c r="K96" t="str" cm="1">
        <f t="array" ref="K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">
        <f>_xlfn.XLOOKUP("LOADINGSPEEDDEF_"&amp;PROPERTIES[[#This Row],[LOADINGSPEED]],LOADINGSPEEDDEF[TYPE],LOADINGSPEEDDEF[SPEED])</f>
        <v>20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f>IF(ISNUMBER(SEARCH("passenger",PROPERTIES[[#This Row],[CARGODEF]])),1,0)</f>
        <v>0</v>
      </c>
      <c r="O96" s="32">
        <v>254</v>
      </c>
      <c r="P96">
        <v>3000</v>
      </c>
      <c r="Q96">
        <v>125</v>
      </c>
      <c r="R96" s="29">
        <v>176</v>
      </c>
      <c r="S96" s="28">
        <f>IFERROR(PROPERTIES[[#This Row],[TE_STARTING_KN]]/(PROPERTIES[[#This Row],[WEIGHT]]*9.81),0)</f>
        <v>7.0633372663279473E-2</v>
      </c>
      <c r="T96" s="28">
        <v>0.06</v>
      </c>
      <c r="U96" s="25">
        <f>ROUND(IF(IFERROR(PROPERTIES[[#This Row],[TE_COEFFICIENT_CALC]],0)=0,PROPERTIES[[#This Row],[TE_COEFFICIENT_MANUAL]],PROPERTIES[[#This Row],[TE_COEFFICIENT_CALC]]),3)</f>
        <v>7.0999999999999994E-2</v>
      </c>
      <c r="V96" s="11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36">
        <v>0</v>
      </c>
      <c r="X96" s="9">
        <v>6</v>
      </c>
      <c r="Y96" s="10">
        <v>0</v>
      </c>
      <c r="Z96" t="s">
        <v>877</v>
      </c>
      <c r="AA96" t="s">
        <v>868</v>
      </c>
      <c r="AB96" s="2" t="s">
        <v>886</v>
      </c>
      <c r="AC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" s="2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H96" s="10" t="b">
        <v>0</v>
      </c>
      <c r="AY96"/>
      <c r="AZ96"/>
      <c r="BA96"/>
    </row>
    <row r="97" spans="1:53">
      <c r="A97" s="2" t="s">
        <v>117</v>
      </c>
      <c r="B97">
        <v>1934</v>
      </c>
      <c r="C97" cm="1">
        <f t="array" ref="C97">_xlfn.IFS(ISNUMBER(SEARCH("wagon",PROPERTIES[[#This Row],[VEHIDCODE]])),0,OR(MID(PROPERTIES[[#This Row],[VEHIDCODE]],2,2)="mu",_xlfn.TEXTBEFORE(PROPERTIES[[#This Row],[VEHIDCODE]],"_")="mtro"),1,1=1,0)</f>
        <v>0</v>
      </c>
      <c r="D97" t="s">
        <v>1781</v>
      </c>
      <c r="E97" t="str">
        <f>_xlfn.XLOOKUP(PROPERTIES[[#This Row],[COUNTRY]],COUNTRIES[COUNTRY_DESCRIPTION],COUNTRIES[COUNTRY_LABEL],"")</f>
        <v>FR</v>
      </c>
      <c r="F97" t="str" cm="1">
        <f t="array" ref="F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7" t="s">
        <v>19</v>
      </c>
      <c r="H97">
        <v>0</v>
      </c>
      <c r="I97">
        <v>8</v>
      </c>
      <c r="J97">
        <f>8+5</f>
        <v>13</v>
      </c>
      <c r="K97" t="str" cm="1">
        <f t="array" ref="K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">
        <f>_xlfn.XLOOKUP("LOADINGSPEEDDEF_"&amp;PROPERTIES[[#This Row],[LOADINGSPEED]],LOADINGSPEEDDEF[TYPE],LOADINGSPEEDDEF[SPEED])</f>
        <v>20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f>IF(ISNUMBER(SEARCH("passenger",PROPERTIES[[#This Row],[CARGODEF]])),1,0)</f>
        <v>0</v>
      </c>
      <c r="O97" s="32">
        <v>119</v>
      </c>
      <c r="P97">
        <v>1500</v>
      </c>
      <c r="Q97">
        <v>105</v>
      </c>
      <c r="R97" s="29">
        <v>253</v>
      </c>
      <c r="S97" s="28">
        <f>IFERROR(PROPERTIES[[#This Row],[TE_STARTING_KN]]/(PROPERTIES[[#This Row],[WEIGHT]]*9.81),0)</f>
        <v>0.21672277473680601</v>
      </c>
      <c r="T97" s="28">
        <v>0.22</v>
      </c>
      <c r="U97" s="25">
        <f>ROUND(IF(IFERROR(PROPERTIES[[#This Row],[TE_COEFFICIENT_CALC]],0)=0,PROPERTIES[[#This Row],[TE_COEFFICIENT_MANUAL]],PROPERTIES[[#This Row],[TE_COEFFICIENT_CALC]]),3)</f>
        <v>0.217</v>
      </c>
      <c r="V97" s="11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36">
        <v>0</v>
      </c>
      <c r="X97" s="9">
        <v>5</v>
      </c>
      <c r="Y97" s="10">
        <v>0</v>
      </c>
      <c r="Z97" t="s">
        <v>869</v>
      </c>
      <c r="AA97" t="s">
        <v>868</v>
      </c>
      <c r="AB97" s="2" t="s">
        <v>886</v>
      </c>
      <c r="AC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" s="2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H97" s="10" t="b">
        <v>0</v>
      </c>
      <c r="AY97"/>
      <c r="AZ97"/>
      <c r="BA97"/>
    </row>
    <row r="98" spans="1:53">
      <c r="A98" s="2" t="s">
        <v>118</v>
      </c>
      <c r="B98">
        <v>1908</v>
      </c>
      <c r="C98" cm="1">
        <f t="array" ref="C98">_xlfn.IFS(ISNUMBER(SEARCH("wagon",PROPERTIES[[#This Row],[VEHIDCODE]])),0,OR(MID(PROPERTIES[[#This Row],[VEHIDCODE]],2,2)="mu",_xlfn.TEXTBEFORE(PROPERTIES[[#This Row],[VEHIDCODE]],"_")="mtro"),1,1=1,0)</f>
        <v>0</v>
      </c>
      <c r="D98" t="s">
        <v>1815</v>
      </c>
      <c r="E98" t="str">
        <f>_xlfn.XLOOKUP(PROPERTIES[[#This Row],[COUNTRY]],COUNTRIES[COUNTRY_DESCRIPTION],COUNTRIES[COUNTRY_LABEL],"")</f>
        <v>IT</v>
      </c>
      <c r="F98" t="str" cm="1">
        <f t="array" ref="F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8" t="s">
        <v>19</v>
      </c>
      <c r="H98">
        <v>0</v>
      </c>
      <c r="I98">
        <v>5</v>
      </c>
      <c r="J98">
        <v>5</v>
      </c>
      <c r="K98" t="str" cm="1">
        <f t="array" ref="K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8">
        <f>_xlfn.XLOOKUP("LOADINGSPEEDDEF_"&amp;PROPERTIES[[#This Row],[LOADINGSPEED]],LOADINGSPEEDDEF[TYPE],LOADINGSPEEDDEF[SPEED])</f>
        <v>20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f>IF(ISNUMBER(SEARCH("passenger",PROPERTIES[[#This Row],[CARGODEF]])),1,0)</f>
        <v>0</v>
      </c>
      <c r="O98" s="32">
        <v>55</v>
      </c>
      <c r="P98">
        <v>500</v>
      </c>
      <c r="Q98">
        <v>40</v>
      </c>
      <c r="R98" s="29">
        <v>0</v>
      </c>
      <c r="S98" s="28">
        <f>IFERROR(PROPERTIES[[#This Row],[TE_STARTING_KN]]/(PROPERTIES[[#This Row],[WEIGHT]]*9.81),0)</f>
        <v>0</v>
      </c>
      <c r="T98" s="28">
        <v>0.21</v>
      </c>
      <c r="U98" s="25">
        <f>ROUND(IF(IFERROR(PROPERTIES[[#This Row],[TE_COEFFICIENT_CALC]],0)=0,PROPERTIES[[#This Row],[TE_COEFFICIENT_MANUAL]],PROPERTIES[[#This Row],[TE_COEFFICIENT_CALC]]),3)</f>
        <v>0.21</v>
      </c>
      <c r="V98" s="11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36">
        <v>0</v>
      </c>
      <c r="X98" s="9">
        <v>0</v>
      </c>
      <c r="Y98" s="10">
        <v>0</v>
      </c>
      <c r="Z98" t="s">
        <v>870</v>
      </c>
      <c r="AA98" t="s">
        <v>868</v>
      </c>
      <c r="AB98" s="2" t="s">
        <v>886</v>
      </c>
      <c r="AC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8" s="2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H98" s="10" t="b">
        <v>0</v>
      </c>
      <c r="AY98"/>
      <c r="AZ98"/>
      <c r="BA98"/>
    </row>
    <row r="99" spans="1:53">
      <c r="A99" s="2" t="s">
        <v>119</v>
      </c>
      <c r="B99">
        <v>1934</v>
      </c>
      <c r="C99" cm="1">
        <f t="array" ref="C99">_xlfn.IFS(ISNUMBER(SEARCH("wagon",PROPERTIES[[#This Row],[VEHIDCODE]])),0,OR(MID(PROPERTIES[[#This Row],[VEHIDCODE]],2,2)="mu",_xlfn.TEXTBEFORE(PROPERTIES[[#This Row],[VEHIDCODE]],"_")="mtro"),1,1=1,0)</f>
        <v>0</v>
      </c>
      <c r="D99" t="s">
        <v>1884</v>
      </c>
      <c r="E99" t="str">
        <f>_xlfn.XLOOKUP(PROPERTIES[[#This Row],[COUNTRY]],COUNTRIES[COUNTRY_DESCRIPTION],COUNTRIES[COUNTRY_LABEL],"")</f>
        <v>PL</v>
      </c>
      <c r="F99" t="str" cm="1">
        <f t="array" ref="F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9" t="s">
        <v>19</v>
      </c>
      <c r="H99">
        <v>0</v>
      </c>
      <c r="I99">
        <v>7</v>
      </c>
      <c r="J99">
        <v>7</v>
      </c>
      <c r="K99" t="str" cm="1">
        <f t="array" ref="K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9">
        <f>_xlfn.XLOOKUP("LOADINGSPEEDDEF_"&amp;PROPERTIES[[#This Row],[LOADINGSPEED]],LOADINGSPEEDDEF[TYPE],LOADINGSPEEDDEF[SPEED])</f>
        <v>20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f>IF(ISNUMBER(SEARCH("passenger",PROPERTIES[[#This Row],[CARGODEF]])),1,0)</f>
        <v>0</v>
      </c>
      <c r="O99" s="32">
        <v>118</v>
      </c>
      <c r="P99">
        <v>1868</v>
      </c>
      <c r="Q99">
        <v>75</v>
      </c>
      <c r="R99" s="29">
        <v>0</v>
      </c>
      <c r="S99" s="28">
        <f>IFERROR(PROPERTIES[[#This Row],[TE_STARTING_KN]]/(PROPERTIES[[#This Row],[WEIGHT]]*9.81),0)</f>
        <v>0</v>
      </c>
      <c r="T99" s="28">
        <v>0.11</v>
      </c>
      <c r="U99" s="25">
        <f>ROUND(IF(IFERROR(PROPERTIES[[#This Row],[TE_COEFFICIENT_CALC]],0)=0,PROPERTIES[[#This Row],[TE_COEFFICIENT_MANUAL]],PROPERTIES[[#This Row],[TE_COEFFICIENT_CALC]]),3)</f>
        <v>0.11</v>
      </c>
      <c r="V99" s="11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36">
        <v>0</v>
      </c>
      <c r="X99" s="9">
        <v>0</v>
      </c>
      <c r="Y99" s="10">
        <v>0</v>
      </c>
      <c r="Z99" t="s">
        <v>875</v>
      </c>
      <c r="AA99" t="s">
        <v>868</v>
      </c>
      <c r="AB99" s="2" t="s">
        <v>886</v>
      </c>
      <c r="AC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9" s="2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H99" s="10" t="b">
        <v>0</v>
      </c>
      <c r="AY99"/>
      <c r="AZ99"/>
      <c r="BA99"/>
    </row>
    <row r="100" spans="1:53">
      <c r="A100" s="2" t="s">
        <v>120</v>
      </c>
      <c r="B100">
        <v>1913</v>
      </c>
      <c r="C100" cm="1">
        <f t="array" ref="C100">_xlfn.IFS(ISNUMBER(SEARCH("wagon",PROPERTIES[[#This Row],[VEHIDCODE]])),0,OR(MID(PROPERTIES[[#This Row],[VEHIDCODE]],2,2)="mu",_xlfn.TEXTBEFORE(PROPERTIES[[#This Row],[VEHIDCODE]],"_")="mtro"),1,1=1,0)</f>
        <v>0</v>
      </c>
      <c r="D100" t="s">
        <v>1749</v>
      </c>
      <c r="E100" t="str">
        <f>_xlfn.XLOOKUP(PROPERTIES[[#This Row],[COUNTRY]],COUNTRIES[COUNTRY_DESCRIPTION],COUNTRIES[COUNTRY_LABEL],"")</f>
        <v>CH</v>
      </c>
      <c r="F100" t="str" cm="1">
        <f t="array" ref="F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0" t="s">
        <v>19</v>
      </c>
      <c r="H100">
        <v>0</v>
      </c>
      <c r="I100">
        <v>8</v>
      </c>
      <c r="J100">
        <v>12</v>
      </c>
      <c r="K100" t="str" cm="1">
        <f t="array" ref="K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0">
        <f>_xlfn.XLOOKUP("LOADINGSPEEDDEF_"&amp;PROPERTIES[[#This Row],[LOADINGSPEED]],LOADINGSPEEDDEF[TYPE],LOADINGSPEEDDEF[SPEED])</f>
        <v>20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f>IF(ISNUMBER(SEARCH("passenger",PROPERTIES[[#This Row],[CARGODEF]])),1,0)</f>
        <v>0</v>
      </c>
      <c r="O100" s="32">
        <v>151</v>
      </c>
      <c r="P100">
        <v>1620</v>
      </c>
      <c r="Q100">
        <v>65</v>
      </c>
      <c r="R100" s="29">
        <v>0</v>
      </c>
      <c r="S100" s="28">
        <f>IFERROR(PROPERTIES[[#This Row],[TE_STARTING_KN]]/(PROPERTIES[[#This Row],[WEIGHT]]*9.81),0)</f>
        <v>0</v>
      </c>
      <c r="T100" s="28">
        <v>0.12</v>
      </c>
      <c r="U100" s="25">
        <f>ROUND(IF(IFERROR(PROPERTIES[[#This Row],[TE_COEFFICIENT_CALC]],0)=0,PROPERTIES[[#This Row],[TE_COEFFICIENT_MANUAL]],PROPERTIES[[#This Row],[TE_COEFFICIENT_CALC]]),3)</f>
        <v>0.12</v>
      </c>
      <c r="V100" s="11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36">
        <v>0</v>
      </c>
      <c r="X100" s="9">
        <v>4</v>
      </c>
      <c r="Y100" s="10">
        <v>0</v>
      </c>
      <c r="Z100" t="s">
        <v>869</v>
      </c>
      <c r="AA100" t="s">
        <v>868</v>
      </c>
      <c r="AB100" s="2" t="s">
        <v>886</v>
      </c>
      <c r="AC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0" s="2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H100" s="10" t="b">
        <v>0</v>
      </c>
      <c r="AY100"/>
      <c r="AZ100"/>
      <c r="BA100"/>
    </row>
    <row r="101" spans="1:53">
      <c r="A101" s="2" t="s">
        <v>121</v>
      </c>
      <c r="B101">
        <v>1941</v>
      </c>
      <c r="C101" cm="1">
        <f t="array" ref="C101">_xlfn.IFS(ISNUMBER(SEARCH("wagon",PROPERTIES[[#This Row],[VEHIDCODE]])),0,OR(MID(PROPERTIES[[#This Row],[VEHIDCODE]],2,2)="mu",_xlfn.TEXTBEFORE(PROPERTIES[[#This Row],[VEHIDCODE]],"_")="mtro"),1,1=1,0)</f>
        <v>0</v>
      </c>
      <c r="D101" t="s">
        <v>1937</v>
      </c>
      <c r="E101" t="str">
        <f>_xlfn.XLOOKUP(PROPERTIES[[#This Row],[COUNTRY]],COUNTRIES[COUNTRY_DESCRIPTION],COUNTRIES[COUNTRY_LABEL],"")</f>
        <v>US</v>
      </c>
      <c r="F101" t="str" cm="1">
        <f t="array" ref="F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1" t="s">
        <v>19</v>
      </c>
      <c r="H101">
        <v>0</v>
      </c>
      <c r="I101">
        <v>8</v>
      </c>
      <c r="J101">
        <f>8+7</f>
        <v>15</v>
      </c>
      <c r="K101" t="str" cm="1">
        <f t="array" ref="K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1">
        <f>_xlfn.XLOOKUP("LOADINGSPEEDDEF_"&amp;PROPERTIES[[#This Row],[LOADINGSPEED]],LOADINGSPEEDDEF[TYPE],LOADINGSPEEDDEF[SPEED])</f>
        <v>20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f>IF(ISNUMBER(SEARCH("passenger",PROPERTIES[[#This Row],[CARGODEF]])),1,0)</f>
        <v>0</v>
      </c>
      <c r="O101" s="32">
        <v>603</v>
      </c>
      <c r="P101">
        <v>6290</v>
      </c>
      <c r="Q101">
        <v>128</v>
      </c>
      <c r="R101" s="29">
        <v>0</v>
      </c>
      <c r="S101" s="28">
        <f>IFERROR(PROPERTIES[[#This Row],[TE_STARTING_KN]]/(PROPERTIES[[#This Row],[WEIGHT]]*9.81),0)</f>
        <v>0</v>
      </c>
      <c r="T101" s="28">
        <v>0.1</v>
      </c>
      <c r="U101" s="25">
        <f>ROUND(IF(IFERROR(PROPERTIES[[#This Row],[TE_COEFFICIENT_CALC]],0)=0,PROPERTIES[[#This Row],[TE_COEFFICIENT_MANUAL]],PROPERTIES[[#This Row],[TE_COEFFICIENT_CALC]]),3)</f>
        <v>0.1</v>
      </c>
      <c r="V101" s="11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36">
        <v>0</v>
      </c>
      <c r="X101" s="9">
        <v>7</v>
      </c>
      <c r="Y101" s="10">
        <v>0</v>
      </c>
      <c r="Z101" t="s">
        <v>874</v>
      </c>
      <c r="AA101" t="s">
        <v>868</v>
      </c>
      <c r="AB101" s="2" t="s">
        <v>886</v>
      </c>
      <c r="AC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1" s="2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H101" s="10" t="b">
        <v>0</v>
      </c>
      <c r="AY101"/>
      <c r="AZ101"/>
      <c r="BA101"/>
    </row>
    <row r="102" spans="1:53">
      <c r="A102" s="2" t="s">
        <v>122</v>
      </c>
      <c r="B102">
        <v>1844</v>
      </c>
      <c r="C102" cm="1">
        <f t="array" ref="C102">_xlfn.IFS(ISNUMBER(SEARCH("wagon",PROPERTIES[[#This Row],[VEHIDCODE]])),0,OR(MID(PROPERTIES[[#This Row],[VEHIDCODE]],2,2)="mu",_xlfn.TEXTBEFORE(PROPERTIES[[#This Row],[VEHIDCODE]],"_")="mtro"),1,1=1,0)</f>
        <v>0</v>
      </c>
      <c r="D102" t="s">
        <v>1871</v>
      </c>
      <c r="E102" t="str">
        <f>_xlfn.XLOOKUP(PROPERTIES[[#This Row],[COUNTRY]],COUNTRIES[COUNTRY_DESCRIPTION],COUNTRIES[COUNTRY_LABEL],"")</f>
        <v>NL</v>
      </c>
      <c r="F102" t="str" cm="1">
        <f t="array" ref="F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2" t="s">
        <v>19</v>
      </c>
      <c r="H102">
        <v>0</v>
      </c>
      <c r="I102">
        <v>4</v>
      </c>
      <c r="J102">
        <v>7</v>
      </c>
      <c r="K102" t="str" cm="1">
        <f t="array" ref="K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2">
        <f>_xlfn.XLOOKUP("LOADINGSPEEDDEF_"&amp;PROPERTIES[[#This Row],[LOADINGSPEED]],LOADINGSPEEDDEF[TYPE],LOADINGSPEEDDEF[SPEED])</f>
        <v>20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f>IF(ISNUMBER(SEARCH("passenger",PROPERTIES[[#This Row],[CARGODEF]])),1,0)</f>
        <v>0</v>
      </c>
      <c r="O102" s="32">
        <f>48+32</f>
        <v>80</v>
      </c>
      <c r="P102">
        <v>600</v>
      </c>
      <c r="Q102">
        <v>90</v>
      </c>
      <c r="R102" s="29">
        <v>0</v>
      </c>
      <c r="S102" s="28">
        <f>IFERROR(PROPERTIES[[#This Row],[TE_STARTING_KN]]/(PROPERTIES[[#This Row],[WEIGHT]]*9.81),0)</f>
        <v>0</v>
      </c>
      <c r="T102" s="28">
        <v>0.08</v>
      </c>
      <c r="U102" s="25">
        <f>ROUND(IF(IFERROR(PROPERTIES[[#This Row],[TE_COEFFICIENT_CALC]],0)=0,PROPERTIES[[#This Row],[TE_COEFFICIENT_MANUAL]],PROPERTIES[[#This Row],[TE_COEFFICIENT_CALC]]),3)</f>
        <v>0.08</v>
      </c>
      <c r="V102" s="11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36">
        <v>0</v>
      </c>
      <c r="X102" s="9">
        <v>3</v>
      </c>
      <c r="Y102" s="10">
        <v>0</v>
      </c>
      <c r="Z102" t="s">
        <v>869</v>
      </c>
      <c r="AA102" t="s">
        <v>868</v>
      </c>
      <c r="AB102" s="2" t="s">
        <v>886</v>
      </c>
      <c r="AC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2" s="2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H102" s="10" t="b">
        <v>0</v>
      </c>
      <c r="AY102"/>
      <c r="AZ102"/>
      <c r="BA102"/>
    </row>
    <row r="103" spans="1:53">
      <c r="A103" s="2" t="s">
        <v>123</v>
      </c>
      <c r="B103">
        <v>1846</v>
      </c>
      <c r="C103" cm="1">
        <f t="array" ref="C103">_xlfn.IFS(ISNUMBER(SEARCH("wagon",PROPERTIES[[#This Row],[VEHIDCODE]])),0,OR(MID(PROPERTIES[[#This Row],[VEHIDCODE]],2,2)="mu",_xlfn.TEXTBEFORE(PROPERTIES[[#This Row],[VEHIDCODE]],"_")="mtro"),1,1=1,0)</f>
        <v>0</v>
      </c>
      <c r="D103" t="s">
        <v>1782</v>
      </c>
      <c r="E103" t="str">
        <f>_xlfn.XLOOKUP(PROPERTIES[[#This Row],[COUNTRY]],COUNTRIES[COUNTRY_DESCRIPTION],COUNTRIES[COUNTRY_LABEL],"")</f>
        <v>GB</v>
      </c>
      <c r="F103" t="str" cm="1">
        <f t="array" ref="F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3" t="s">
        <v>19</v>
      </c>
      <c r="H103">
        <v>0</v>
      </c>
      <c r="I103">
        <v>8</v>
      </c>
      <c r="J103">
        <v>12</v>
      </c>
      <c r="K103" t="str" cm="1">
        <f t="array" ref="K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3">
        <f>_xlfn.XLOOKUP("LOADINGSPEEDDEF_"&amp;PROPERTIES[[#This Row],[LOADINGSPEED]],LOADINGSPEEDDEF[TYPE],LOADINGSPEEDDEF[SPEED])</f>
        <v>20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f>IF(ISNUMBER(SEARCH("passenger",PROPERTIES[[#This Row],[CARGODEF]])),1,0)</f>
        <v>0</v>
      </c>
      <c r="O103" s="32">
        <v>65</v>
      </c>
      <c r="P103">
        <v>450</v>
      </c>
      <c r="Q103">
        <v>128</v>
      </c>
      <c r="R103" s="29">
        <v>0</v>
      </c>
      <c r="S103" s="28">
        <f>IFERROR(PROPERTIES[[#This Row],[TE_STARTING_KN]]/(PROPERTIES[[#This Row],[WEIGHT]]*9.81),0)</f>
        <v>0</v>
      </c>
      <c r="T103" s="28">
        <v>0.06</v>
      </c>
      <c r="U103" s="25">
        <f>ROUND(IF(IFERROR(PROPERTIES[[#This Row],[TE_COEFFICIENT_CALC]],0)=0,PROPERTIES[[#This Row],[TE_COEFFICIENT_MANUAL]],PROPERTIES[[#This Row],[TE_COEFFICIENT_CALC]]),3)</f>
        <v>0.06</v>
      </c>
      <c r="V103" s="11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36">
        <v>0</v>
      </c>
      <c r="X103" s="9">
        <v>4</v>
      </c>
      <c r="Y103" s="10">
        <v>0</v>
      </c>
      <c r="Z103" t="s">
        <v>873</v>
      </c>
      <c r="AA103" t="s">
        <v>868</v>
      </c>
      <c r="AB103" s="2" t="s">
        <v>886</v>
      </c>
      <c r="AC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3" s="2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H103" s="10" t="b">
        <v>0</v>
      </c>
      <c r="AY103"/>
      <c r="AZ103"/>
      <c r="BA103"/>
    </row>
    <row r="104" spans="1:53">
      <c r="A104" s="2" t="s">
        <v>124</v>
      </c>
      <c r="B104">
        <v>1855</v>
      </c>
      <c r="C104" cm="1">
        <f t="array" ref="C104">_xlfn.IFS(ISNUMBER(SEARCH("wagon",PROPERTIES[[#This Row],[VEHIDCODE]])),0,OR(MID(PROPERTIES[[#This Row],[VEHIDCODE]],2,2)="mu",_xlfn.TEXTBEFORE(PROPERTIES[[#This Row],[VEHIDCODE]],"_")="mtro"),1,1=1,0)</f>
        <v>0</v>
      </c>
      <c r="D104" t="s">
        <v>1719</v>
      </c>
      <c r="E104" t="str">
        <f>_xlfn.XLOOKUP(PROPERTIES[[#This Row],[COUNTRY]],COUNTRIES[COUNTRY_DESCRIPTION],COUNTRIES[COUNTRY_LABEL],"")</f>
        <v>AU</v>
      </c>
      <c r="F104" t="str" cm="1">
        <f t="array" ref="F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4" t="s">
        <v>19</v>
      </c>
      <c r="H104">
        <v>0</v>
      </c>
      <c r="I104">
        <v>5</v>
      </c>
      <c r="J104">
        <v>9</v>
      </c>
      <c r="K104" t="str" cm="1">
        <f t="array" ref="K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4">
        <f>_xlfn.XLOOKUP("LOADINGSPEEDDEF_"&amp;PROPERTIES[[#This Row],[LOADINGSPEED]],LOADINGSPEEDDEF[TYPE],LOADINGSPEEDDEF[SPEED])</f>
        <v>20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f>IF(ISNUMBER(SEARCH("passenger",PROPERTIES[[#This Row],[CARGODEF]])),1,0)</f>
        <v>0</v>
      </c>
      <c r="O104" s="32">
        <v>45</v>
      </c>
      <c r="P104">
        <v>160</v>
      </c>
      <c r="Q104">
        <v>55</v>
      </c>
      <c r="R104" s="29">
        <v>40</v>
      </c>
      <c r="S104" s="28">
        <f>IFERROR(PROPERTIES[[#This Row],[TE_STARTING_KN]]/(PROPERTIES[[#This Row],[WEIGHT]]*9.81),0)</f>
        <v>9.0610488164004979E-2</v>
      </c>
      <c r="T104" s="28">
        <v>0.08</v>
      </c>
      <c r="U104" s="25">
        <f>ROUND(IF(IFERROR(PROPERTIES[[#This Row],[TE_COEFFICIENT_CALC]],0)=0,PROPERTIES[[#This Row],[TE_COEFFICIENT_MANUAL]],PROPERTIES[[#This Row],[TE_COEFFICIENT_CALC]]),3)</f>
        <v>9.0999999999999998E-2</v>
      </c>
      <c r="V104" s="11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36">
        <v>0</v>
      </c>
      <c r="X104" s="9">
        <v>4</v>
      </c>
      <c r="Y104" s="10">
        <v>0</v>
      </c>
      <c r="Z104" t="s">
        <v>871</v>
      </c>
      <c r="AA104" t="s">
        <v>868</v>
      </c>
      <c r="AB104" s="2" t="s">
        <v>886</v>
      </c>
      <c r="AC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4" s="2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H104" s="10" t="b">
        <v>0</v>
      </c>
      <c r="AY104"/>
      <c r="AZ104"/>
      <c r="BA104"/>
    </row>
    <row r="105" spans="1:53">
      <c r="A105" s="2" t="s">
        <v>125</v>
      </c>
      <c r="B105">
        <v>1863</v>
      </c>
      <c r="C105" cm="1">
        <f t="array" ref="C105">_xlfn.IFS(ISNUMBER(SEARCH("wagon",PROPERTIES[[#This Row],[VEHIDCODE]])),0,OR(MID(PROPERTIES[[#This Row],[VEHIDCODE]],2,2)="mu",_xlfn.TEXTBEFORE(PROPERTIES[[#This Row],[VEHIDCODE]],"_")="mtro"),1,1=1,0)</f>
        <v>0</v>
      </c>
      <c r="D105" t="s">
        <v>1937</v>
      </c>
      <c r="E105" t="str">
        <f>_xlfn.XLOOKUP(PROPERTIES[[#This Row],[COUNTRY]],COUNTRIES[COUNTRY_DESCRIPTION],COUNTRIES[COUNTRY_LABEL],"")</f>
        <v>US</v>
      </c>
      <c r="F105" t="str" cm="1">
        <f t="array" ref="F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5" t="s">
        <v>19</v>
      </c>
      <c r="H105">
        <v>0</v>
      </c>
      <c r="I105">
        <v>5</v>
      </c>
      <c r="J105">
        <v>8</v>
      </c>
      <c r="K105" t="str" cm="1">
        <f t="array" ref="K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5">
        <f>_xlfn.XLOOKUP("LOADINGSPEEDDEF_"&amp;PROPERTIES[[#This Row],[LOADINGSPEED]],LOADINGSPEEDDEF[TYPE],LOADINGSPEEDDEF[SPEED])</f>
        <v>20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f>IF(ISNUMBER(SEARCH("passenger",PROPERTIES[[#This Row],[CARGODEF]])),1,0)</f>
        <v>0</v>
      </c>
      <c r="O105" s="32">
        <v>45</v>
      </c>
      <c r="P105">
        <v>126</v>
      </c>
      <c r="Q105">
        <v>65</v>
      </c>
      <c r="R105" s="29">
        <v>34.6</v>
      </c>
      <c r="S105" s="28">
        <f>IFERROR(PROPERTIES[[#This Row],[TE_STARTING_KN]]/(PROPERTIES[[#This Row],[WEIGHT]]*9.81),0)</f>
        <v>7.8378072261864301E-2</v>
      </c>
      <c r="T105" s="28">
        <v>0.14000000000000001</v>
      </c>
      <c r="U105" s="25">
        <f>ROUND(IF(IFERROR(PROPERTIES[[#This Row],[TE_COEFFICIENT_CALC]],0)=0,PROPERTIES[[#This Row],[TE_COEFFICIENT_MANUAL]],PROPERTIES[[#This Row],[TE_COEFFICIENT_CALC]]),3)</f>
        <v>7.8E-2</v>
      </c>
      <c r="V105" s="11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36">
        <v>0</v>
      </c>
      <c r="X105" s="9">
        <v>3</v>
      </c>
      <c r="Y105" s="10">
        <v>0</v>
      </c>
      <c r="Z105" t="s">
        <v>874</v>
      </c>
      <c r="AA105" t="s">
        <v>868</v>
      </c>
      <c r="AB105" s="2" t="s">
        <v>886</v>
      </c>
      <c r="AC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5" s="2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H105" s="10" t="b">
        <v>0</v>
      </c>
      <c r="AY105"/>
      <c r="AZ105"/>
      <c r="BA105"/>
    </row>
    <row r="106" spans="1:53">
      <c r="A106" s="2" t="s">
        <v>126</v>
      </c>
      <c r="B106">
        <v>1865</v>
      </c>
      <c r="C106" cm="1">
        <f t="array" ref="C106">_xlfn.IFS(ISNUMBER(SEARCH("wagon",PROPERTIES[[#This Row],[VEHIDCODE]])),0,OR(MID(PROPERTIES[[#This Row],[VEHIDCODE]],2,2)="mu",_xlfn.TEXTBEFORE(PROPERTIES[[#This Row],[VEHIDCODE]],"_")="mtro"),1,1=1,0)</f>
        <v>0</v>
      </c>
      <c r="D106" t="s">
        <v>1871</v>
      </c>
      <c r="E106" t="str">
        <f>_xlfn.XLOOKUP(PROPERTIES[[#This Row],[COUNTRY]],COUNTRIES[COUNTRY_DESCRIPTION],COUNTRIES[COUNTRY_LABEL],"")</f>
        <v>NL</v>
      </c>
      <c r="F106" t="str" cm="1">
        <f t="array" ref="F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6" t="s">
        <v>19</v>
      </c>
      <c r="H106">
        <v>0</v>
      </c>
      <c r="I106">
        <v>6</v>
      </c>
      <c r="J106">
        <v>9</v>
      </c>
      <c r="K106" t="str" cm="1">
        <f t="array" ref="K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6">
        <f>_xlfn.XLOOKUP("LOADINGSPEEDDEF_"&amp;PROPERTIES[[#This Row],[LOADINGSPEED]],LOADINGSPEEDDEF[TYPE],LOADINGSPEEDDEF[SPEED])</f>
        <v>20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f>IF(ISNUMBER(SEARCH("passenger",PROPERTIES[[#This Row],[CARGODEF]])),1,0)</f>
        <v>0</v>
      </c>
      <c r="O106" s="32">
        <v>49</v>
      </c>
      <c r="P106">
        <v>320</v>
      </c>
      <c r="Q106">
        <v>90</v>
      </c>
      <c r="R106" s="29">
        <v>0</v>
      </c>
      <c r="S106" s="28">
        <f>IFERROR(PROPERTIES[[#This Row],[TE_STARTING_KN]]/(PROPERTIES[[#This Row],[WEIGHT]]*9.81),0)</f>
        <v>0</v>
      </c>
      <c r="T106" s="28">
        <v>7.0000000000000007E-2</v>
      </c>
      <c r="U106" s="25">
        <f>ROUND(IF(IFERROR(PROPERTIES[[#This Row],[TE_COEFFICIENT_CALC]],0)=0,PROPERTIES[[#This Row],[TE_COEFFICIENT_MANUAL]],PROPERTIES[[#This Row],[TE_COEFFICIENT_CALC]]),3)</f>
        <v>7.0000000000000007E-2</v>
      </c>
      <c r="V106" s="11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36">
        <v>0</v>
      </c>
      <c r="X106" s="9">
        <v>3</v>
      </c>
      <c r="Y106" s="10">
        <v>0</v>
      </c>
      <c r="Z106" t="s">
        <v>869</v>
      </c>
      <c r="AA106" t="s">
        <v>868</v>
      </c>
      <c r="AB106" s="2" t="s">
        <v>886</v>
      </c>
      <c r="AC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6" s="2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H106" s="10" t="b">
        <v>0</v>
      </c>
      <c r="AY106"/>
      <c r="AZ106"/>
      <c r="BA106"/>
    </row>
    <row r="107" spans="1:53">
      <c r="A107" s="2" t="s">
        <v>127</v>
      </c>
      <c r="B107">
        <v>1876</v>
      </c>
      <c r="C107" cm="1">
        <f t="array" ref="C107">_xlfn.IFS(ISNUMBER(SEARCH("wagon",PROPERTIES[[#This Row],[VEHIDCODE]])),0,OR(MID(PROPERTIES[[#This Row],[VEHIDCODE]],2,2)="mu",_xlfn.TEXTBEFORE(PROPERTIES[[#This Row],[VEHIDCODE]],"_")="mtro"),1,1=1,0)</f>
        <v>0</v>
      </c>
      <c r="D107" t="s">
        <v>1951</v>
      </c>
      <c r="E107" t="str">
        <f>_xlfn.XLOOKUP(PROPERTIES[[#This Row],[COUNTRY]],COUNTRIES[COUNTRY_DESCRIPTION],COUNTRIES[COUNTRY_LABEL],"")</f>
        <v>ZA</v>
      </c>
      <c r="F107" t="str" cm="1">
        <f t="array" ref="F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7" t="s">
        <v>19</v>
      </c>
      <c r="H107">
        <v>0</v>
      </c>
      <c r="I107">
        <v>5</v>
      </c>
      <c r="J107">
        <v>5</v>
      </c>
      <c r="K107" t="str" cm="1">
        <f t="array" ref="K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7">
        <f>_xlfn.XLOOKUP("LOADINGSPEEDDEF_"&amp;PROPERTIES[[#This Row],[LOADINGSPEED]],LOADINGSPEEDDEF[TYPE],LOADINGSPEEDDEF[SPEED])</f>
        <v>20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f>IF(ISNUMBER(SEARCH("passenger",PROPERTIES[[#This Row],[CARGODEF]])),1,0)</f>
        <v>0</v>
      </c>
      <c r="O107" s="32">
        <v>30</v>
      </c>
      <c r="P107">
        <v>240</v>
      </c>
      <c r="Q107">
        <v>55</v>
      </c>
      <c r="R107" s="29">
        <v>44</v>
      </c>
      <c r="S107" s="28">
        <f>IFERROR(PROPERTIES[[#This Row],[TE_STARTING_KN]]/(PROPERTIES[[#This Row],[WEIGHT]]*9.81),0)</f>
        <v>0.14950730547060823</v>
      </c>
      <c r="T107" s="28">
        <v>0.17</v>
      </c>
      <c r="U107" s="25">
        <f>ROUND(IF(IFERROR(PROPERTIES[[#This Row],[TE_COEFFICIENT_CALC]],0)=0,PROPERTIES[[#This Row],[TE_COEFFICIENT_MANUAL]],PROPERTIES[[#This Row],[TE_COEFFICIENT_CALC]]),3)</f>
        <v>0.15</v>
      </c>
      <c r="V107" s="11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36">
        <v>0</v>
      </c>
      <c r="X107" s="9">
        <v>0</v>
      </c>
      <c r="Y107" s="10">
        <v>0</v>
      </c>
      <c r="Z107" t="s">
        <v>872</v>
      </c>
      <c r="AA107" t="s">
        <v>868</v>
      </c>
      <c r="AB107" s="2" t="s">
        <v>886</v>
      </c>
      <c r="AC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7" s="2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H107" s="10" t="b">
        <v>0</v>
      </c>
      <c r="AY107"/>
      <c r="AZ107"/>
      <c r="BA107"/>
    </row>
    <row r="108" spans="1:53">
      <c r="A108" s="2" t="s">
        <v>128</v>
      </c>
      <c r="B108">
        <v>1881</v>
      </c>
      <c r="C108" cm="1">
        <f t="array" ref="C108">_xlfn.IFS(ISNUMBER(SEARCH("wagon",PROPERTIES[[#This Row],[VEHIDCODE]])),0,OR(MID(PROPERTIES[[#This Row],[VEHIDCODE]],2,2)="mu",_xlfn.TEXTBEFORE(PROPERTIES[[#This Row],[VEHIDCODE]],"_")="mtro"),1,1=1,0)</f>
        <v>0</v>
      </c>
      <c r="D108" t="s">
        <v>1719</v>
      </c>
      <c r="E108" t="str">
        <f>_xlfn.XLOOKUP(PROPERTIES[[#This Row],[COUNTRY]],COUNTRIES[COUNTRY_DESCRIPTION],COUNTRIES[COUNTRY_LABEL],"")</f>
        <v>AU</v>
      </c>
      <c r="F108" t="str" cm="1">
        <f t="array" ref="F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8" t="s">
        <v>19</v>
      </c>
      <c r="H108">
        <v>0</v>
      </c>
      <c r="I108">
        <v>7</v>
      </c>
      <c r="J108">
        <v>11</v>
      </c>
      <c r="K108" t="str" cm="1">
        <f t="array" ref="K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8">
        <f>_xlfn.XLOOKUP("LOADINGSPEEDDEF_"&amp;PROPERTIES[[#This Row],[LOADINGSPEED]],LOADINGSPEEDDEF[TYPE],LOADINGSPEEDDEF[SPEED])</f>
        <v>20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f>IF(ISNUMBER(SEARCH("passenger",PROPERTIES[[#This Row],[CARGODEF]])),1,0)</f>
        <v>0</v>
      </c>
      <c r="O108" s="32">
        <v>75</v>
      </c>
      <c r="P108">
        <v>650</v>
      </c>
      <c r="Q108">
        <v>80</v>
      </c>
      <c r="R108" s="29">
        <v>98.1</v>
      </c>
      <c r="S108" s="28">
        <f>IFERROR(PROPERTIES[[#This Row],[TE_STARTING_KN]]/(PROPERTIES[[#This Row],[WEIGHT]]*9.81),0)</f>
        <v>0.13333333333333333</v>
      </c>
      <c r="T108" s="28">
        <v>0.14000000000000001</v>
      </c>
      <c r="U108" s="25">
        <f>ROUND(IF(IFERROR(PROPERTIES[[#This Row],[TE_COEFFICIENT_CALC]],0)=0,PROPERTIES[[#This Row],[TE_COEFFICIENT_MANUAL]],PROPERTIES[[#This Row],[TE_COEFFICIENT_CALC]]),3)</f>
        <v>0.13300000000000001</v>
      </c>
      <c r="V108" s="11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36">
        <v>0</v>
      </c>
      <c r="X108" s="9">
        <v>4</v>
      </c>
      <c r="Y108" s="10">
        <v>0</v>
      </c>
      <c r="Z108" t="s">
        <v>871</v>
      </c>
      <c r="AA108" t="s">
        <v>868</v>
      </c>
      <c r="AB108" s="2" t="s">
        <v>886</v>
      </c>
      <c r="AC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8" s="2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H108" s="10" t="b">
        <v>0</v>
      </c>
      <c r="AY108"/>
      <c r="AZ108"/>
      <c r="BA108"/>
    </row>
    <row r="109" spans="1:53">
      <c r="A109" s="2" t="s">
        <v>129</v>
      </c>
      <c r="B109">
        <v>1886</v>
      </c>
      <c r="C109" cm="1">
        <f t="array" ref="C109">_xlfn.IFS(ISNUMBER(SEARCH("wagon",PROPERTIES[[#This Row],[VEHIDCODE]])),0,OR(MID(PROPERTIES[[#This Row],[VEHIDCODE]],2,2)="mu",_xlfn.TEXTBEFORE(PROPERTIES[[#This Row],[VEHIDCODE]],"_")="mtro"),1,1=1,0)</f>
        <v>0</v>
      </c>
      <c r="D109" t="s">
        <v>1744</v>
      </c>
      <c r="E109" t="str">
        <f>_xlfn.XLOOKUP(PROPERTIES[[#This Row],[COUNTRY]],COUNTRIES[COUNTRY_DESCRIPTION],COUNTRIES[COUNTRY_LABEL],"")</f>
        <v>CA</v>
      </c>
      <c r="F109" t="str" cm="1">
        <f t="array" ref="F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9" t="s">
        <v>19</v>
      </c>
      <c r="H109">
        <v>0</v>
      </c>
      <c r="I109">
        <v>6</v>
      </c>
      <c r="J109">
        <v>10</v>
      </c>
      <c r="K109" t="str" cm="1">
        <f t="array" ref="K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9">
        <f>_xlfn.XLOOKUP("LOADINGSPEEDDEF_"&amp;PROPERTIES[[#This Row],[LOADINGSPEED]],LOADINGSPEEDDEF[TYPE],LOADINGSPEEDDEF[SPEED])</f>
        <v>20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f>IF(ISNUMBER(SEARCH("passenger",PROPERTIES[[#This Row],[CARGODEF]])),1,0)</f>
        <v>0</v>
      </c>
      <c r="O109" s="32">
        <v>82</v>
      </c>
      <c r="P109">
        <v>380</v>
      </c>
      <c r="Q109">
        <v>80</v>
      </c>
      <c r="R109" s="29">
        <v>67</v>
      </c>
      <c r="S109" s="28">
        <f>IFERROR(PROPERTIES[[#This Row],[TE_STARTING_KN]]/(PROPERTIES[[#This Row],[WEIGHT]]*9.81),0)</f>
        <v>8.3289823723925308E-2</v>
      </c>
      <c r="T109" s="28">
        <v>0.13</v>
      </c>
      <c r="U109" s="25">
        <f>ROUND(IF(IFERROR(PROPERTIES[[#This Row],[TE_COEFFICIENT_CALC]],0)=0,PROPERTIES[[#This Row],[TE_COEFFICIENT_MANUAL]],PROPERTIES[[#This Row],[TE_COEFFICIENT_CALC]]),3)</f>
        <v>8.3000000000000004E-2</v>
      </c>
      <c r="V109" s="11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36">
        <v>0</v>
      </c>
      <c r="X109" s="9">
        <v>4</v>
      </c>
      <c r="Y109" s="10">
        <v>0</v>
      </c>
      <c r="Z109" t="s">
        <v>874</v>
      </c>
      <c r="AA109" t="s">
        <v>868</v>
      </c>
      <c r="AB109" s="2" t="s">
        <v>886</v>
      </c>
      <c r="AC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9" s="2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H109" s="10" t="b">
        <v>0</v>
      </c>
      <c r="AY109"/>
      <c r="AZ109"/>
      <c r="BA109"/>
    </row>
    <row r="110" spans="1:53">
      <c r="A110" s="2" t="s">
        <v>130</v>
      </c>
      <c r="B110">
        <v>1887</v>
      </c>
      <c r="C110" cm="1">
        <f t="array" ref="C110">_xlfn.IFS(ISNUMBER(SEARCH("wagon",PROPERTIES[[#This Row],[VEHIDCODE]])),0,OR(MID(PROPERTIES[[#This Row],[VEHIDCODE]],2,2)="mu",_xlfn.TEXTBEFORE(PROPERTIES[[#This Row],[VEHIDCODE]],"_")="mtro"),1,1=1,0)</f>
        <v>0</v>
      </c>
      <c r="D110" t="s">
        <v>1951</v>
      </c>
      <c r="E110" t="str">
        <f>_xlfn.XLOOKUP(PROPERTIES[[#This Row],[COUNTRY]],COUNTRIES[COUNTRY_DESCRIPTION],COUNTRIES[COUNTRY_LABEL],"")</f>
        <v>ZA</v>
      </c>
      <c r="F110" t="str" cm="1">
        <f t="array" ref="F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0" t="s">
        <v>19</v>
      </c>
      <c r="H110">
        <v>0</v>
      </c>
      <c r="I110">
        <v>5</v>
      </c>
      <c r="J110">
        <v>5</v>
      </c>
      <c r="K110" t="str" cm="1">
        <f t="array" ref="K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0">
        <f>_xlfn.XLOOKUP("LOADINGSPEEDDEF_"&amp;PROPERTIES[[#This Row],[LOADINGSPEED]],LOADINGSPEEDDEF[TYPE],LOADINGSPEEDDEF[SPEED])</f>
        <v>20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f>IF(ISNUMBER(SEARCH("passenger",PROPERTIES[[#This Row],[CARGODEF]])),1,0)</f>
        <v>0</v>
      </c>
      <c r="O110" s="32">
        <v>36</v>
      </c>
      <c r="P110">
        <v>220</v>
      </c>
      <c r="Q110">
        <v>60</v>
      </c>
      <c r="R110" s="29">
        <v>41.6</v>
      </c>
      <c r="S110" s="28">
        <f>IFERROR(PROPERTIES[[#This Row],[TE_STARTING_KN]]/(PROPERTIES[[#This Row],[WEIGHT]]*9.81),0)</f>
        <v>0.11779363461320648</v>
      </c>
      <c r="T110" s="28">
        <v>0.12</v>
      </c>
      <c r="U110" s="25">
        <f>ROUND(IF(IFERROR(PROPERTIES[[#This Row],[TE_COEFFICIENT_CALC]],0)=0,PROPERTIES[[#This Row],[TE_COEFFICIENT_MANUAL]],PROPERTIES[[#This Row],[TE_COEFFICIENT_CALC]]),3)</f>
        <v>0.11799999999999999</v>
      </c>
      <c r="V110" s="11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36">
        <v>0</v>
      </c>
      <c r="X110" s="9">
        <v>0</v>
      </c>
      <c r="Y110" s="10">
        <v>0</v>
      </c>
      <c r="Z110" t="s">
        <v>872</v>
      </c>
      <c r="AA110" t="s">
        <v>868</v>
      </c>
      <c r="AB110" s="2" t="s">
        <v>886</v>
      </c>
      <c r="AC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0" s="2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H110" s="10" t="b">
        <v>0</v>
      </c>
      <c r="AY110"/>
      <c r="AZ110"/>
      <c r="BA110"/>
    </row>
    <row r="111" spans="1:53">
      <c r="A111" s="2" t="s">
        <v>131</v>
      </c>
      <c r="B111">
        <v>1891</v>
      </c>
      <c r="C111" cm="1">
        <f t="array" ref="C111">_xlfn.IFS(ISNUMBER(SEARCH("wagon",PROPERTIES[[#This Row],[VEHIDCODE]])),0,OR(MID(PROPERTIES[[#This Row],[VEHIDCODE]],2,2)="mu",_xlfn.TEXTBEFORE(PROPERTIES[[#This Row],[VEHIDCODE]],"_")="mtro"),1,1=1,0)</f>
        <v>0</v>
      </c>
      <c r="D111" t="s">
        <v>1774</v>
      </c>
      <c r="E111" t="str">
        <f>_xlfn.XLOOKUP(PROPERTIES[[#This Row],[COUNTRY]],COUNTRIES[COUNTRY_DESCRIPTION],COUNTRIES[COUNTRY_LABEL],"")</f>
        <v>ES</v>
      </c>
      <c r="F111" t="str" cm="1">
        <f t="array" ref="F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1" t="s">
        <v>19</v>
      </c>
      <c r="H111">
        <v>0</v>
      </c>
      <c r="I111">
        <v>6</v>
      </c>
      <c r="J111">
        <v>9</v>
      </c>
      <c r="K111" t="str" cm="1">
        <f t="array" ref="K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1">
        <f>_xlfn.XLOOKUP("LOADINGSPEEDDEF_"&amp;PROPERTIES[[#This Row],[LOADINGSPEED]],LOADINGSPEEDDEF[TYPE],LOADINGSPEEDDEF[SPEED])</f>
        <v>20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f>IF(ISNUMBER(SEARCH("passenger",PROPERTIES[[#This Row],[CARGODEF]])),1,0)</f>
        <v>0</v>
      </c>
      <c r="O111" s="32">
        <v>88.5</v>
      </c>
      <c r="P111">
        <v>750</v>
      </c>
      <c r="Q111">
        <v>55</v>
      </c>
      <c r="R111" s="29">
        <v>118</v>
      </c>
      <c r="S111" s="28">
        <f>IFERROR(PROPERTIES[[#This Row],[TE_STARTING_KN]]/(PROPERTIES[[#This Row],[WEIGHT]]*9.81),0)</f>
        <v>0.13591573224600748</v>
      </c>
      <c r="T111" s="28">
        <v>0.1</v>
      </c>
      <c r="U111" s="25">
        <f>ROUND(IF(IFERROR(PROPERTIES[[#This Row],[TE_COEFFICIENT_CALC]],0)=0,PROPERTIES[[#This Row],[TE_COEFFICIENT_MANUAL]],PROPERTIES[[#This Row],[TE_COEFFICIENT_CALC]]),3)</f>
        <v>0.13600000000000001</v>
      </c>
      <c r="V111" s="11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36">
        <v>0</v>
      </c>
      <c r="X111" s="9">
        <v>3</v>
      </c>
      <c r="Y111" s="10">
        <v>0</v>
      </c>
      <c r="Z111" t="s">
        <v>870</v>
      </c>
      <c r="AA111" t="s">
        <v>868</v>
      </c>
      <c r="AB111" s="2" t="s">
        <v>886</v>
      </c>
      <c r="AC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1" s="2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H111" s="10" t="b">
        <v>0</v>
      </c>
      <c r="AY111"/>
      <c r="AZ111"/>
      <c r="BA111"/>
    </row>
    <row r="112" spans="1:53">
      <c r="A112" s="2" t="s">
        <v>132</v>
      </c>
      <c r="B112">
        <v>1892</v>
      </c>
      <c r="C112" cm="1">
        <f t="array" ref="C112">_xlfn.IFS(ISNUMBER(SEARCH("wagon",PROPERTIES[[#This Row],[VEHIDCODE]])),0,OR(MID(PROPERTIES[[#This Row],[VEHIDCODE]],2,2)="mu",_xlfn.TEXTBEFORE(PROPERTIES[[#This Row],[VEHIDCODE]],"_")="mtro"),1,1=1,0)</f>
        <v>0</v>
      </c>
      <c r="D112" t="s">
        <v>1763</v>
      </c>
      <c r="E112" t="str">
        <f>_xlfn.XLOOKUP(PROPERTIES[[#This Row],[COUNTRY]],COUNTRIES[COUNTRY_DESCRIPTION],COUNTRIES[COUNTRY_LABEL],"")</f>
        <v>DE</v>
      </c>
      <c r="F112" t="str" cm="1">
        <f t="array" ref="F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2" t="s">
        <v>19</v>
      </c>
      <c r="H112">
        <v>0</v>
      </c>
      <c r="I112">
        <v>6</v>
      </c>
      <c r="J112">
        <v>6</v>
      </c>
      <c r="K112" t="str" cm="1">
        <f t="array" ref="K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2">
        <f>_xlfn.XLOOKUP("LOADINGSPEEDDEF_"&amp;PROPERTIES[[#This Row],[LOADINGSPEED]],LOADINGSPEEDDEF[TYPE],LOADINGSPEEDDEF[SPEED])</f>
        <v>20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f>IF(ISNUMBER(SEARCH("passenger",PROPERTIES[[#This Row],[CARGODEF]])),1,0)</f>
        <v>0</v>
      </c>
      <c r="O112" s="32">
        <v>27</v>
      </c>
      <c r="P112">
        <v>206</v>
      </c>
      <c r="Q112">
        <v>30</v>
      </c>
      <c r="R112" s="29">
        <v>42.17</v>
      </c>
      <c r="S112" s="28">
        <f>IFERROR(PROPERTIES[[#This Row],[TE_STARTING_KN]]/(PROPERTIES[[#This Row],[WEIGHT]]*9.81),0)</f>
        <v>0.15921017857817044</v>
      </c>
      <c r="T112" s="28">
        <v>0.14000000000000001</v>
      </c>
      <c r="U112" s="25">
        <f>ROUND(IF(IFERROR(PROPERTIES[[#This Row],[TE_COEFFICIENT_CALC]],0)=0,PROPERTIES[[#This Row],[TE_COEFFICIENT_MANUAL]],PROPERTIES[[#This Row],[TE_COEFFICIENT_CALC]]),3)</f>
        <v>0.159</v>
      </c>
      <c r="V112" s="11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36">
        <v>0</v>
      </c>
      <c r="X112" s="9">
        <v>0</v>
      </c>
      <c r="Y112" s="10">
        <v>0</v>
      </c>
      <c r="Z112" t="s">
        <v>869</v>
      </c>
      <c r="AA112" t="s">
        <v>868</v>
      </c>
      <c r="AB112" s="2" t="s">
        <v>886</v>
      </c>
      <c r="AC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2" s="2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H112" s="10" t="b">
        <v>0</v>
      </c>
      <c r="AY112"/>
      <c r="AZ112"/>
      <c r="BA112"/>
    </row>
    <row r="113" spans="1:53">
      <c r="A113" s="2" t="s">
        <v>133</v>
      </c>
      <c r="B113">
        <v>1893</v>
      </c>
      <c r="C113" cm="1">
        <f t="array" ref="C113">_xlfn.IFS(ISNUMBER(SEARCH("wagon",PROPERTIES[[#This Row],[VEHIDCODE]])),0,OR(MID(PROPERTIES[[#This Row],[VEHIDCODE]],2,2)="mu",_xlfn.TEXTBEFORE(PROPERTIES[[#This Row],[VEHIDCODE]],"_")="mtro"),1,1=1,0)</f>
        <v>0</v>
      </c>
      <c r="D113" t="s">
        <v>1763</v>
      </c>
      <c r="E113" t="str">
        <f>_xlfn.XLOOKUP(PROPERTIES[[#This Row],[COUNTRY]],COUNTRIES[COUNTRY_DESCRIPTION],COUNTRIES[COUNTRY_LABEL],"")</f>
        <v>DE</v>
      </c>
      <c r="F113" t="str" cm="1">
        <f t="array" ref="F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3" t="s">
        <v>19</v>
      </c>
      <c r="H113">
        <v>0</v>
      </c>
      <c r="I113">
        <v>7</v>
      </c>
      <c r="J113">
        <v>11</v>
      </c>
      <c r="K113" t="str" cm="1">
        <f t="array" ref="K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3">
        <f>_xlfn.XLOOKUP("LOADINGSPEEDDEF_"&amp;PROPERTIES[[#This Row],[LOADINGSPEED]],LOADINGSPEEDDEF[TYPE],LOADINGSPEEDDEF[SPEED])</f>
        <v>20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f>IF(ISNUMBER(SEARCH("passenger",PROPERTIES[[#This Row],[CARGODEF]])),1,0)</f>
        <v>0</v>
      </c>
      <c r="O113" s="32">
        <v>50.5</v>
      </c>
      <c r="P113">
        <v>580</v>
      </c>
      <c r="Q113">
        <v>100</v>
      </c>
      <c r="R113" s="29">
        <v>64</v>
      </c>
      <c r="S113" s="28">
        <f>IFERROR(PROPERTIES[[#This Row],[TE_STARTING_KN]]/(PROPERTIES[[#This Row],[WEIGHT]]*9.81),0)</f>
        <v>0.12918723064967047</v>
      </c>
      <c r="T113" s="28">
        <v>0.13</v>
      </c>
      <c r="U113" s="25">
        <f>ROUND(IF(IFERROR(PROPERTIES[[#This Row],[TE_COEFFICIENT_CALC]],0)=0,PROPERTIES[[#This Row],[TE_COEFFICIENT_MANUAL]],PROPERTIES[[#This Row],[TE_COEFFICIENT_CALC]]),3)</f>
        <v>0.129</v>
      </c>
      <c r="V113" s="11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36">
        <v>0</v>
      </c>
      <c r="X113" s="9">
        <v>4</v>
      </c>
      <c r="Y113" s="10">
        <v>0</v>
      </c>
      <c r="Z113" t="s">
        <v>869</v>
      </c>
      <c r="AA113" t="s">
        <v>868</v>
      </c>
      <c r="AB113" s="2" t="s">
        <v>886</v>
      </c>
      <c r="AC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3" s="2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H113" s="10" t="b">
        <v>0</v>
      </c>
      <c r="AY113"/>
      <c r="AZ113"/>
      <c r="BA113"/>
    </row>
    <row r="114" spans="1:53">
      <c r="A114" s="2" t="s">
        <v>134</v>
      </c>
      <c r="B114">
        <v>1894</v>
      </c>
      <c r="C114" cm="1">
        <f t="array" ref="C114">_xlfn.IFS(ISNUMBER(SEARCH("wagon",PROPERTIES[[#This Row],[VEHIDCODE]])),0,OR(MID(PROPERTIES[[#This Row],[VEHIDCODE]],2,2)="mu",_xlfn.TEXTBEFORE(PROPERTIES[[#This Row],[VEHIDCODE]],"_")="mtro"),1,1=1,0)</f>
        <v>0</v>
      </c>
      <c r="D114" t="s">
        <v>1872</v>
      </c>
      <c r="E114" t="str">
        <f>_xlfn.XLOOKUP(PROPERTIES[[#This Row],[COUNTRY]],COUNTRIES[COUNTRY_DESCRIPTION],COUNTRIES[COUNTRY_LABEL],"")</f>
        <v>NO</v>
      </c>
      <c r="F114" t="str" cm="1">
        <f t="array" ref="F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4" t="s">
        <v>19</v>
      </c>
      <c r="H114">
        <v>0</v>
      </c>
      <c r="I114">
        <v>7</v>
      </c>
      <c r="J114">
        <v>7</v>
      </c>
      <c r="K114" t="str" cm="1">
        <f t="array" ref="K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4">
        <f>_xlfn.XLOOKUP("LOADINGSPEEDDEF_"&amp;PROPERTIES[[#This Row],[LOADINGSPEED]],LOADINGSPEEDDEF[TYPE],LOADINGSPEEDDEF[SPEED])</f>
        <v>20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f>IF(ISNUMBER(SEARCH("passenger",PROPERTIES[[#This Row],[CARGODEF]])),1,0)</f>
        <v>0</v>
      </c>
      <c r="O114" s="32">
        <v>77.599999999999994</v>
      </c>
      <c r="P114">
        <v>700</v>
      </c>
      <c r="Q114">
        <v>60</v>
      </c>
      <c r="R114" s="29">
        <v>82.56</v>
      </c>
      <c r="S114" s="28">
        <f>IFERROR(PROPERTIES[[#This Row],[TE_STARTING_KN]]/(PROPERTIES[[#This Row],[WEIGHT]]*9.81),0)</f>
        <v>0.10845234717361835</v>
      </c>
      <c r="T114" s="28">
        <v>0.17</v>
      </c>
      <c r="U114" s="25">
        <f>ROUND(IF(IFERROR(PROPERTIES[[#This Row],[TE_COEFFICIENT_CALC]],0)=0,PROPERTIES[[#This Row],[TE_COEFFICIENT_MANUAL]],PROPERTIES[[#This Row],[TE_COEFFICIENT_CALC]]),3)</f>
        <v>0.108</v>
      </c>
      <c r="V114" s="11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36">
        <v>0</v>
      </c>
      <c r="X114" s="9">
        <v>0</v>
      </c>
      <c r="Y114" s="10">
        <v>0</v>
      </c>
      <c r="Z114" t="s">
        <v>873</v>
      </c>
      <c r="AA114" t="s">
        <v>868</v>
      </c>
      <c r="AB114" s="2" t="s">
        <v>886</v>
      </c>
      <c r="AC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4" s="2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H114" s="10" t="b">
        <v>0</v>
      </c>
      <c r="AY114"/>
      <c r="AZ114"/>
      <c r="BA114"/>
    </row>
    <row r="115" spans="1:53">
      <c r="A115" s="2" t="s">
        <v>135</v>
      </c>
      <c r="B115">
        <v>1895</v>
      </c>
      <c r="C115" cm="1">
        <f t="array" ref="C115">_xlfn.IFS(ISNUMBER(SEARCH("wagon",PROPERTIES[[#This Row],[VEHIDCODE]])),0,OR(MID(PROPERTIES[[#This Row],[VEHIDCODE]],2,2)="mu",_xlfn.TEXTBEFORE(PROPERTIES[[#This Row],[VEHIDCODE]],"_")="mtro"),1,1=1,0)</f>
        <v>0</v>
      </c>
      <c r="D115" t="s">
        <v>1937</v>
      </c>
      <c r="E115" t="str">
        <f>_xlfn.XLOOKUP(PROPERTIES[[#This Row],[COUNTRY]],COUNTRIES[COUNTRY_DESCRIPTION],COUNTRIES[COUNTRY_LABEL],"")</f>
        <v>US</v>
      </c>
      <c r="F115" t="str" cm="1">
        <f t="array" ref="F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5" t="s">
        <v>19</v>
      </c>
      <c r="H115">
        <v>0</v>
      </c>
      <c r="I115">
        <v>7</v>
      </c>
      <c r="J115">
        <v>11</v>
      </c>
      <c r="K115" t="str" cm="1">
        <f t="array" ref="K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5">
        <f>_xlfn.XLOOKUP("LOADINGSPEEDDEF_"&amp;PROPERTIES[[#This Row],[LOADINGSPEED]],LOADINGSPEEDDEF[TYPE],LOADINGSPEEDDEF[SPEED])</f>
        <v>20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f>IF(ISNUMBER(SEARCH("passenger",PROPERTIES[[#This Row],[CARGODEF]])),1,0)</f>
        <v>0</v>
      </c>
      <c r="O115" s="32">
        <v>106.5</v>
      </c>
      <c r="P115">
        <v>850</v>
      </c>
      <c r="Q115">
        <v>128</v>
      </c>
      <c r="R115" s="29">
        <v>77.84</v>
      </c>
      <c r="S115" s="28">
        <f>IFERROR(PROPERTIES[[#This Row],[TE_STARTING_KN]]/(PROPERTIES[[#This Row],[WEIGHT]]*9.81),0)</f>
        <v>7.4504792943867762E-2</v>
      </c>
      <c r="T115" s="28">
        <v>0.17</v>
      </c>
      <c r="U115" s="25">
        <f>ROUND(IF(IFERROR(PROPERTIES[[#This Row],[TE_COEFFICIENT_CALC]],0)=0,PROPERTIES[[#This Row],[TE_COEFFICIENT_MANUAL]],PROPERTIES[[#This Row],[TE_COEFFICIENT_CALC]]),3)</f>
        <v>7.4999999999999997E-2</v>
      </c>
      <c r="V115" s="11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36">
        <v>0</v>
      </c>
      <c r="X115" s="9">
        <v>4</v>
      </c>
      <c r="Y115" s="10">
        <v>0</v>
      </c>
      <c r="Z115" t="s">
        <v>874</v>
      </c>
      <c r="AA115" t="s">
        <v>868</v>
      </c>
      <c r="AB115" s="2" t="s">
        <v>886</v>
      </c>
      <c r="AC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5" s="2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H115" s="10" t="b">
        <v>0</v>
      </c>
      <c r="AY115"/>
      <c r="AZ115"/>
      <c r="BA115"/>
    </row>
    <row r="116" spans="1:53">
      <c r="A116" s="2" t="s">
        <v>136</v>
      </c>
      <c r="B116">
        <v>1901</v>
      </c>
      <c r="C116" cm="1">
        <f t="array" ref="C116">_xlfn.IFS(ISNUMBER(SEARCH("wagon",PROPERTIES[[#This Row],[VEHIDCODE]])),0,OR(MID(PROPERTIES[[#This Row],[VEHIDCODE]],2,2)="mu",_xlfn.TEXTBEFORE(PROPERTIES[[#This Row],[VEHIDCODE]],"_")="mtro"),1,1=1,0)</f>
        <v>0</v>
      </c>
      <c r="D116" t="s">
        <v>1871</v>
      </c>
      <c r="E116" t="str">
        <f>_xlfn.XLOOKUP(PROPERTIES[[#This Row],[COUNTRY]],COUNTRIES[COUNTRY_DESCRIPTION],COUNTRIES[COUNTRY_LABEL],"")</f>
        <v>NL</v>
      </c>
      <c r="F116" t="str" cm="1">
        <f t="array" ref="F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6" t="s">
        <v>19</v>
      </c>
      <c r="H116">
        <v>0</v>
      </c>
      <c r="I116">
        <v>4</v>
      </c>
      <c r="J116">
        <v>4</v>
      </c>
      <c r="K116" t="str" cm="1">
        <f t="array" ref="K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6">
        <f>_xlfn.XLOOKUP("LOADINGSPEEDDEF_"&amp;PROPERTIES[[#This Row],[LOADINGSPEED]],LOADINGSPEEDDEF[TYPE],LOADINGSPEEDDEF[SPEED])</f>
        <v>20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f>IF(ISNUMBER(SEARCH("passenger",PROPERTIES[[#This Row],[CARGODEF]])),1,0)</f>
        <v>0</v>
      </c>
      <c r="O116" s="32">
        <v>35</v>
      </c>
      <c r="P116">
        <v>290</v>
      </c>
      <c r="Q116">
        <v>45</v>
      </c>
      <c r="R116" s="29">
        <v>68</v>
      </c>
      <c r="S116" s="28">
        <f>IFERROR(PROPERTIES[[#This Row],[TE_STARTING_KN]]/(PROPERTIES[[#This Row],[WEIGHT]]*9.81),0)</f>
        <v>0.19804863841561088</v>
      </c>
      <c r="T116" s="28">
        <v>0.14000000000000001</v>
      </c>
      <c r="U116" s="25">
        <f>ROUND(IF(IFERROR(PROPERTIES[[#This Row],[TE_COEFFICIENT_CALC]],0)=0,PROPERTIES[[#This Row],[TE_COEFFICIENT_MANUAL]],PROPERTIES[[#This Row],[TE_COEFFICIENT_CALC]]),3)</f>
        <v>0.19800000000000001</v>
      </c>
      <c r="V116" s="11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36">
        <v>0</v>
      </c>
      <c r="X116" s="9">
        <v>0</v>
      </c>
      <c r="Y116" s="10">
        <v>0</v>
      </c>
      <c r="Z116" t="s">
        <v>869</v>
      </c>
      <c r="AA116" t="s">
        <v>868</v>
      </c>
      <c r="AB116" s="2" t="s">
        <v>886</v>
      </c>
      <c r="AC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6" s="2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H116" s="10" t="b">
        <v>0</v>
      </c>
      <c r="AY116"/>
      <c r="AZ116"/>
      <c r="BA116"/>
    </row>
    <row r="117" spans="1:53">
      <c r="A117" s="2" t="s">
        <v>137</v>
      </c>
      <c r="B117">
        <v>1910</v>
      </c>
      <c r="C117" cm="1">
        <f t="array" ref="C117">_xlfn.IFS(ISNUMBER(SEARCH("wagon",PROPERTIES[[#This Row],[VEHIDCODE]])),0,OR(MID(PROPERTIES[[#This Row],[VEHIDCODE]],2,2)="mu",_xlfn.TEXTBEFORE(PROPERTIES[[#This Row],[VEHIDCODE]],"_")="mtro"),1,1=1,0)</f>
        <v>0</v>
      </c>
      <c r="D117" t="s">
        <v>1951</v>
      </c>
      <c r="E117" t="str">
        <f>_xlfn.XLOOKUP(PROPERTIES[[#This Row],[COUNTRY]],COUNTRIES[COUNTRY_DESCRIPTION],COUNTRIES[COUNTRY_LABEL],"")</f>
        <v>ZA</v>
      </c>
      <c r="F117" t="str" cm="1">
        <f t="array" ref="F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7" t="s">
        <v>19</v>
      </c>
      <c r="H117">
        <v>0</v>
      </c>
      <c r="I117">
        <v>8</v>
      </c>
      <c r="J117">
        <v>13</v>
      </c>
      <c r="K117" t="str" cm="1">
        <f t="array" ref="K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7">
        <f>_xlfn.XLOOKUP("LOADINGSPEEDDEF_"&amp;PROPERTIES[[#This Row],[LOADINGSPEED]],LOADINGSPEEDDEF[TYPE],LOADINGSPEEDDEF[SPEED])</f>
        <v>20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f>IF(ISNUMBER(SEARCH("passenger",PROPERTIES[[#This Row],[CARGODEF]])),1,0)</f>
        <v>0</v>
      </c>
      <c r="O117" s="32">
        <v>159.9</v>
      </c>
      <c r="P117">
        <v>1200</v>
      </c>
      <c r="Q117">
        <v>50</v>
      </c>
      <c r="R117" s="29">
        <v>204</v>
      </c>
      <c r="S117" s="28">
        <f>IFERROR(PROPERTIES[[#This Row],[TE_STARTING_KN]]/(PROPERTIES[[#This Row],[WEIGHT]]*9.81),0)</f>
        <v>0.13005070064814972</v>
      </c>
      <c r="T117" s="28">
        <v>0.2</v>
      </c>
      <c r="U117" s="25">
        <f>ROUND(IF(IFERROR(PROPERTIES[[#This Row],[TE_COEFFICIENT_CALC]],0)=0,PROPERTIES[[#This Row],[TE_COEFFICIENT_MANUAL]],PROPERTIES[[#This Row],[TE_COEFFICIENT_CALC]]),3)</f>
        <v>0.13</v>
      </c>
      <c r="V117" s="11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36">
        <v>0</v>
      </c>
      <c r="X117" s="9">
        <v>5</v>
      </c>
      <c r="Y117" s="10">
        <v>0</v>
      </c>
      <c r="Z117" t="s">
        <v>872</v>
      </c>
      <c r="AA117" t="s">
        <v>868</v>
      </c>
      <c r="AB117" s="2" t="s">
        <v>886</v>
      </c>
      <c r="AC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7" s="2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H117" s="10" t="b">
        <v>0</v>
      </c>
      <c r="AY117"/>
      <c r="AZ117"/>
      <c r="BA117"/>
    </row>
    <row r="118" spans="1:53">
      <c r="A118" s="2" t="s">
        <v>138</v>
      </c>
      <c r="B118">
        <v>1911</v>
      </c>
      <c r="C118" cm="1">
        <f t="array" ref="C118">_xlfn.IFS(ISNUMBER(SEARCH("wagon",PROPERTIES[[#This Row],[VEHIDCODE]])),0,OR(MID(PROPERTIES[[#This Row],[VEHIDCODE]],2,2)="mu",_xlfn.TEXTBEFORE(PROPERTIES[[#This Row],[VEHIDCODE]],"_")="mtro"),1,1=1,0)</f>
        <v>0</v>
      </c>
      <c r="D118" t="s">
        <v>1865</v>
      </c>
      <c r="E118" t="str">
        <f>_xlfn.XLOOKUP(PROPERTIES[[#This Row],[COUNTRY]],COUNTRIES[COUNTRY_DESCRIPTION],COUNTRIES[COUNTRY_LABEL],"")</f>
        <v>NA</v>
      </c>
      <c r="F118" t="str" cm="1">
        <f t="array" ref="F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8" t="s">
        <v>19</v>
      </c>
      <c r="H118">
        <v>0</v>
      </c>
      <c r="I118">
        <v>6</v>
      </c>
      <c r="J118">
        <v>10</v>
      </c>
      <c r="K118" t="str" cm="1">
        <f t="array" ref="K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8">
        <f>_xlfn.XLOOKUP("LOADINGSPEEDDEF_"&amp;PROPERTIES[[#This Row],[LOADINGSPEED]],LOADINGSPEEDDEF[TYPE],LOADINGSPEEDDEF[SPEED])</f>
        <v>20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f>IF(ISNUMBER(SEARCH("passenger",PROPERTIES[[#This Row],[CARGODEF]])),1,0)</f>
        <v>0</v>
      </c>
      <c r="O118" s="32">
        <v>67.099999999999994</v>
      </c>
      <c r="P118">
        <v>750</v>
      </c>
      <c r="Q118">
        <v>60</v>
      </c>
      <c r="R118" s="29">
        <v>60.4</v>
      </c>
      <c r="S118" s="28">
        <f>IFERROR(PROPERTIES[[#This Row],[TE_STARTING_KN]]/(PROPERTIES[[#This Row],[WEIGHT]]*9.81),0)</f>
        <v>9.1758311039405946E-2</v>
      </c>
      <c r="T118" s="28">
        <v>0.09</v>
      </c>
      <c r="U118" s="25">
        <f>ROUND(IF(IFERROR(PROPERTIES[[#This Row],[TE_COEFFICIENT_CALC]],0)=0,PROPERTIES[[#This Row],[TE_COEFFICIENT_MANUAL]],PROPERTIES[[#This Row],[TE_COEFFICIENT_CALC]]),3)</f>
        <v>9.1999999999999998E-2</v>
      </c>
      <c r="V118" s="11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36">
        <v>0</v>
      </c>
      <c r="X118" s="9">
        <v>4</v>
      </c>
      <c r="Y118" s="10">
        <v>0</v>
      </c>
      <c r="Z118" t="s">
        <v>872</v>
      </c>
      <c r="AA118" t="s">
        <v>868</v>
      </c>
      <c r="AB118" s="2" t="s">
        <v>886</v>
      </c>
      <c r="AC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8" s="2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H118" s="10" t="b">
        <v>0</v>
      </c>
      <c r="AY118"/>
      <c r="AZ118"/>
      <c r="BA118"/>
    </row>
    <row r="119" spans="1:53">
      <c r="A119" s="2" t="s">
        <v>139</v>
      </c>
      <c r="B119">
        <v>1915</v>
      </c>
      <c r="C119" cm="1">
        <f t="array" ref="C119">_xlfn.IFS(ISNUMBER(SEARCH("wagon",PROPERTIES[[#This Row],[VEHIDCODE]])),0,OR(MID(PROPERTIES[[#This Row],[VEHIDCODE]],2,2)="mu",_xlfn.TEXTBEFORE(PROPERTIES[[#This Row],[VEHIDCODE]],"_")="mtro"),1,1=1,0)</f>
        <v>0</v>
      </c>
      <c r="D119" t="s">
        <v>1782</v>
      </c>
      <c r="E119" t="str">
        <f>_xlfn.XLOOKUP(PROPERTIES[[#This Row],[COUNTRY]],COUNTRIES[COUNTRY_DESCRIPTION],COUNTRIES[COUNTRY_LABEL],"")</f>
        <v>GB</v>
      </c>
      <c r="F119" t="str" cm="1">
        <f t="array" ref="F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9" t="s">
        <v>19</v>
      </c>
      <c r="H119">
        <v>0</v>
      </c>
      <c r="I119">
        <v>6</v>
      </c>
      <c r="J119">
        <v>6</v>
      </c>
      <c r="K119" t="str" cm="1">
        <f t="array" ref="K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9">
        <f>_xlfn.XLOOKUP("LOADINGSPEEDDEF_"&amp;PROPERTIES[[#This Row],[LOADINGSPEED]],LOADINGSPEEDDEF[TYPE],LOADINGSPEEDDEF[SPEED])</f>
        <v>20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f>IF(ISNUMBER(SEARCH("passenger",PROPERTIES[[#This Row],[CARGODEF]])),1,0)</f>
        <v>0</v>
      </c>
      <c r="O119" s="32">
        <v>63</v>
      </c>
      <c r="P119">
        <v>850</v>
      </c>
      <c r="Q119">
        <v>75</v>
      </c>
      <c r="R119" s="29">
        <v>91.24</v>
      </c>
      <c r="S119" s="28">
        <f>IFERROR(PROPERTIES[[#This Row],[TE_STARTING_KN]]/(PROPERTIES[[#This Row],[WEIGHT]]*9.81),0)</f>
        <v>0.14763037393006809</v>
      </c>
      <c r="T119" s="28">
        <v>0.14000000000000001</v>
      </c>
      <c r="U119" s="25">
        <f>ROUND(IF(IFERROR(PROPERTIES[[#This Row],[TE_COEFFICIENT_CALC]],0)=0,PROPERTIES[[#This Row],[TE_COEFFICIENT_MANUAL]],PROPERTIES[[#This Row],[TE_COEFFICIENT_CALC]]),3)</f>
        <v>0.14799999999999999</v>
      </c>
      <c r="V119" s="11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36">
        <v>0</v>
      </c>
      <c r="X119" s="9">
        <v>0</v>
      </c>
      <c r="Y119" s="10">
        <v>0</v>
      </c>
      <c r="Z119" t="s">
        <v>873</v>
      </c>
      <c r="AA119" t="s">
        <v>868</v>
      </c>
      <c r="AB119" s="2" t="s">
        <v>886</v>
      </c>
      <c r="AC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9" s="2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H119" s="10" t="b">
        <v>0</v>
      </c>
      <c r="AY119"/>
      <c r="AZ119"/>
      <c r="BA119"/>
    </row>
    <row r="120" spans="1:53">
      <c r="A120" s="2" t="s">
        <v>140</v>
      </c>
      <c r="B120">
        <v>1918</v>
      </c>
      <c r="C120" cm="1">
        <f t="array" ref="C120">_xlfn.IFS(ISNUMBER(SEARCH("wagon",PROPERTIES[[#This Row],[VEHIDCODE]])),0,OR(MID(PROPERTIES[[#This Row],[VEHIDCODE]],2,2)="mu",_xlfn.TEXTBEFORE(PROPERTIES[[#This Row],[VEHIDCODE]],"_")="mtro"),1,1=1,0)</f>
        <v>0</v>
      </c>
      <c r="D120" t="s">
        <v>1763</v>
      </c>
      <c r="E120" t="str">
        <f>_xlfn.XLOOKUP(PROPERTIES[[#This Row],[COUNTRY]],COUNTRIES[COUNTRY_DESCRIPTION],COUNTRIES[COUNTRY_LABEL],"")</f>
        <v>DE</v>
      </c>
      <c r="F120" t="str" cm="1">
        <f t="array" ref="F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0" t="s">
        <v>19</v>
      </c>
      <c r="H120">
        <v>0</v>
      </c>
      <c r="I120">
        <v>8</v>
      </c>
      <c r="J120">
        <v>14</v>
      </c>
      <c r="K120" t="str" cm="1">
        <f t="array" ref="K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0">
        <f>_xlfn.XLOOKUP("LOADINGSPEEDDEF_"&amp;PROPERTIES[[#This Row],[LOADINGSPEED]],LOADINGSPEEDDEF[TYPE],LOADINGSPEEDDEF[SPEED])</f>
        <v>20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f>IF(ISNUMBER(SEARCH("passenger",PROPERTIES[[#This Row],[CARGODEF]])),1,0)</f>
        <v>0</v>
      </c>
      <c r="O120" s="32">
        <v>162.69999999999999</v>
      </c>
      <c r="P120">
        <v>1780</v>
      </c>
      <c r="Q120">
        <v>115</v>
      </c>
      <c r="R120" s="29">
        <v>112</v>
      </c>
      <c r="S120" s="28">
        <f>IFERROR(PROPERTIES[[#This Row],[TE_STARTING_KN]]/(PROPERTIES[[#This Row],[WEIGHT]]*9.81),0)</f>
        <v>7.0171613452148909E-2</v>
      </c>
      <c r="T120" s="28">
        <v>0.23</v>
      </c>
      <c r="U120" s="25">
        <f>ROUND(IF(IFERROR(PROPERTIES[[#This Row],[TE_COEFFICIENT_CALC]],0)=0,PROPERTIES[[#This Row],[TE_COEFFICIENT_MANUAL]],PROPERTIES[[#This Row],[TE_COEFFICIENT_CALC]]),3)</f>
        <v>7.0000000000000007E-2</v>
      </c>
      <c r="V120" s="11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36">
        <v>0</v>
      </c>
      <c r="X120" s="9">
        <v>6</v>
      </c>
      <c r="Y120" s="10">
        <v>0</v>
      </c>
      <c r="Z120" t="s">
        <v>869</v>
      </c>
      <c r="AA120" t="s">
        <v>868</v>
      </c>
      <c r="AB120" s="2" t="s">
        <v>886</v>
      </c>
      <c r="AC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0" s="2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H120" s="10" t="b">
        <v>0</v>
      </c>
      <c r="AY120"/>
      <c r="AZ120"/>
      <c r="BA120"/>
    </row>
    <row r="121" spans="1:53">
      <c r="A121" s="2" t="s">
        <v>141</v>
      </c>
      <c r="B121">
        <v>1921</v>
      </c>
      <c r="C121" cm="1">
        <f t="array" ref="C121">_xlfn.IFS(ISNUMBER(SEARCH("wagon",PROPERTIES[[#This Row],[VEHIDCODE]])),0,OR(MID(PROPERTIES[[#This Row],[VEHIDCODE]],2,2)="mu",_xlfn.TEXTBEFORE(PROPERTIES[[#This Row],[VEHIDCODE]],"_")="mtro"),1,1=1,0)</f>
        <v>0</v>
      </c>
      <c r="D121" t="s">
        <v>1726</v>
      </c>
      <c r="E121" t="str">
        <f>_xlfn.XLOOKUP(PROPERTIES[[#This Row],[COUNTRY]],COUNTRIES[COUNTRY_DESCRIPTION],COUNTRIES[COUNTRY_LABEL],"")</f>
        <v>BE</v>
      </c>
      <c r="F121" t="str" cm="1">
        <f t="array" ref="F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1" t="s">
        <v>19</v>
      </c>
      <c r="H121">
        <v>0</v>
      </c>
      <c r="I121">
        <v>8</v>
      </c>
      <c r="J121">
        <v>12</v>
      </c>
      <c r="K121" t="str" cm="1">
        <f t="array" ref="K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1">
        <f>_xlfn.XLOOKUP("LOADINGSPEEDDEF_"&amp;PROPERTIES[[#This Row],[LOADINGSPEED]],LOADINGSPEEDDEF[TYPE],LOADINGSPEEDDEF[SPEED])</f>
        <v>20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f>IF(ISNUMBER(SEARCH("passenger",PROPERTIES[[#This Row],[CARGODEF]])),1,0)</f>
        <v>0</v>
      </c>
      <c r="O121" s="32">
        <v>133</v>
      </c>
      <c r="P121">
        <v>1600</v>
      </c>
      <c r="Q121">
        <v>110</v>
      </c>
      <c r="R121" s="29">
        <v>102</v>
      </c>
      <c r="S121" s="28">
        <f>IFERROR(PROPERTIES[[#This Row],[TE_STARTING_KN]]/(PROPERTIES[[#This Row],[WEIGHT]]*9.81),0)</f>
        <v>7.8177094111425358E-2</v>
      </c>
      <c r="T121" s="28">
        <v>0.12</v>
      </c>
      <c r="U121" s="25">
        <f>ROUND(IF(IFERROR(PROPERTIES[[#This Row],[TE_COEFFICIENT_CALC]],0)=0,PROPERTIES[[#This Row],[TE_COEFFICIENT_MANUAL]],PROPERTIES[[#This Row],[TE_COEFFICIENT_CALC]]),3)</f>
        <v>7.8E-2</v>
      </c>
      <c r="V121" s="11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36">
        <v>0</v>
      </c>
      <c r="X121" s="9">
        <v>4</v>
      </c>
      <c r="Y121" s="10">
        <v>0</v>
      </c>
      <c r="Z121" t="s">
        <v>869</v>
      </c>
      <c r="AA121" t="s">
        <v>868</v>
      </c>
      <c r="AB121" s="2" t="s">
        <v>886</v>
      </c>
      <c r="AC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1" s="2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H121" s="10" t="b">
        <v>0</v>
      </c>
      <c r="AY121"/>
      <c r="AZ121"/>
      <c r="BA121"/>
    </row>
    <row r="122" spans="1:53">
      <c r="A122" s="2" t="s">
        <v>142</v>
      </c>
      <c r="B122">
        <v>1922</v>
      </c>
      <c r="C122" cm="1">
        <f t="array" ref="C122">_xlfn.IFS(ISNUMBER(SEARCH("wagon",PROPERTIES[[#This Row],[VEHIDCODE]])),0,OR(MID(PROPERTIES[[#This Row],[VEHIDCODE]],2,2)="mu",_xlfn.TEXTBEFORE(PROPERTIES[[#This Row],[VEHIDCODE]],"_")="mtro"),1,1=1,0)</f>
        <v>0</v>
      </c>
      <c r="D122" t="s">
        <v>1807</v>
      </c>
      <c r="E122" t="str">
        <f>_xlfn.XLOOKUP(PROPERTIES[[#This Row],[COUNTRY]],COUNTRIES[COUNTRY_DESCRIPTION],COUNTRIES[COUNTRY_LABEL],"")</f>
        <v>IE</v>
      </c>
      <c r="F122" t="str" cm="1">
        <f t="array" ref="F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2" t="s">
        <v>19</v>
      </c>
      <c r="H122">
        <v>0</v>
      </c>
      <c r="I122">
        <v>7</v>
      </c>
      <c r="J122">
        <v>11</v>
      </c>
      <c r="K122" t="str" cm="1">
        <f t="array" ref="K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2">
        <f>_xlfn.XLOOKUP("LOADINGSPEEDDEF_"&amp;PROPERTIES[[#This Row],[LOADINGSPEED]],LOADINGSPEEDDEF[TYPE],LOADINGSPEEDDEF[SPEED])</f>
        <v>20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f>IF(ISNUMBER(SEARCH("passenger",PROPERTIES[[#This Row],[CARGODEF]])),1,0)</f>
        <v>0</v>
      </c>
      <c r="O122" s="32">
        <v>84</v>
      </c>
      <c r="P122">
        <v>550</v>
      </c>
      <c r="Q122">
        <v>120</v>
      </c>
      <c r="R122" s="29">
        <v>101.8</v>
      </c>
      <c r="S122" s="28">
        <f>IFERROR(PROPERTIES[[#This Row],[TE_STARTING_KN]]/(PROPERTIES[[#This Row],[WEIGHT]]*9.81),0)</f>
        <v>0.12353769234503179</v>
      </c>
      <c r="T122" s="28">
        <v>0.12</v>
      </c>
      <c r="U122" s="25">
        <f>ROUND(IF(IFERROR(PROPERTIES[[#This Row],[TE_COEFFICIENT_CALC]],0)=0,PROPERTIES[[#This Row],[TE_COEFFICIENT_MANUAL]],PROPERTIES[[#This Row],[TE_COEFFICIENT_CALC]]),3)</f>
        <v>0.124</v>
      </c>
      <c r="V122" s="11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36">
        <v>0</v>
      </c>
      <c r="X122" s="9">
        <v>4</v>
      </c>
      <c r="Y122" s="10">
        <v>0</v>
      </c>
      <c r="Z122" t="s">
        <v>873</v>
      </c>
      <c r="AA122" t="s">
        <v>868</v>
      </c>
      <c r="AB122" s="2" t="s">
        <v>886</v>
      </c>
      <c r="AC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2" s="2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H122" s="10" t="b">
        <v>0</v>
      </c>
      <c r="AY122"/>
      <c r="AZ122"/>
      <c r="BA122"/>
    </row>
    <row r="123" spans="1:53">
      <c r="A123" s="2" t="s">
        <v>143</v>
      </c>
      <c r="B123">
        <v>1922</v>
      </c>
      <c r="C123" cm="1">
        <f t="array" ref="C123">_xlfn.IFS(ISNUMBER(SEARCH("wagon",PROPERTIES[[#This Row],[VEHIDCODE]])),0,OR(MID(PROPERTIES[[#This Row],[VEHIDCODE]],2,2)="mu",_xlfn.TEXTBEFORE(PROPERTIES[[#This Row],[VEHIDCODE]],"_")="mtro"),1,1=1,0)</f>
        <v>0</v>
      </c>
      <c r="D123" t="s">
        <v>1937</v>
      </c>
      <c r="E123" t="str">
        <f>_xlfn.XLOOKUP(PROPERTIES[[#This Row],[COUNTRY]],COUNTRIES[COUNTRY_DESCRIPTION],COUNTRIES[COUNTRY_LABEL],"")</f>
        <v>US</v>
      </c>
      <c r="F123" t="str" cm="1">
        <f t="array" ref="F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3" t="s">
        <v>19</v>
      </c>
      <c r="H123">
        <v>0</v>
      </c>
      <c r="I123">
        <v>6</v>
      </c>
      <c r="J123">
        <v>10</v>
      </c>
      <c r="K123" t="str" cm="1">
        <f t="array" ref="K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3">
        <f>_xlfn.XLOOKUP("LOADINGSPEEDDEF_"&amp;PROPERTIES[[#This Row],[LOADINGSPEED]],LOADINGSPEEDDEF[TYPE],LOADINGSPEEDDEF[SPEED])</f>
        <v>20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f>IF(ISNUMBER(SEARCH("passenger",PROPERTIES[[#This Row],[CARGODEF]])),1,0)</f>
        <v>0</v>
      </c>
      <c r="O123" s="32">
        <v>105</v>
      </c>
      <c r="P123">
        <v>850</v>
      </c>
      <c r="Q123">
        <v>65</v>
      </c>
      <c r="R123" s="29">
        <v>136.80000000000001</v>
      </c>
      <c r="S123" s="28">
        <f>IFERROR(PROPERTIES[[#This Row],[TE_STARTING_KN]]/(PROPERTIES[[#This Row],[WEIGHT]]*9.81),0)</f>
        <v>0.13280908693752733</v>
      </c>
      <c r="T123" s="28">
        <v>0.21</v>
      </c>
      <c r="U123" s="25">
        <f>ROUND(IF(IFERROR(PROPERTIES[[#This Row],[TE_COEFFICIENT_CALC]],0)=0,PROPERTIES[[#This Row],[TE_COEFFICIENT_MANUAL]],PROPERTIES[[#This Row],[TE_COEFFICIENT_CALC]]),3)</f>
        <v>0.13300000000000001</v>
      </c>
      <c r="V123" s="11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36">
        <v>0</v>
      </c>
      <c r="X123" s="9">
        <v>4</v>
      </c>
      <c r="Y123" s="10">
        <v>0</v>
      </c>
      <c r="Z123" t="s">
        <v>874</v>
      </c>
      <c r="AA123" t="s">
        <v>868</v>
      </c>
      <c r="AB123" s="2" t="s">
        <v>886</v>
      </c>
      <c r="AC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3" s="2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H123" s="10" t="b">
        <v>0</v>
      </c>
      <c r="AY123"/>
      <c r="AZ123"/>
      <c r="BA123"/>
    </row>
    <row r="124" spans="1:53">
      <c r="A124" s="2" t="s">
        <v>144</v>
      </c>
      <c r="B124">
        <v>1923</v>
      </c>
      <c r="C124" cm="1">
        <f t="array" ref="C124">_xlfn.IFS(ISNUMBER(SEARCH("wagon",PROPERTIES[[#This Row],[VEHIDCODE]])),0,OR(MID(PROPERTIES[[#This Row],[VEHIDCODE]],2,2)="mu",_xlfn.TEXTBEFORE(PROPERTIES[[#This Row],[VEHIDCODE]],"_")="mtro"),1,1=1,0)</f>
        <v>0</v>
      </c>
      <c r="D124" t="s">
        <v>1744</v>
      </c>
      <c r="E124" t="str">
        <f>_xlfn.XLOOKUP(PROPERTIES[[#This Row],[COUNTRY]],COUNTRIES[COUNTRY_DESCRIPTION],COUNTRIES[COUNTRY_LABEL],"")</f>
        <v>CA</v>
      </c>
      <c r="F124" t="str" cm="1">
        <f t="array" ref="F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4" t="s">
        <v>19</v>
      </c>
      <c r="H124">
        <v>0</v>
      </c>
      <c r="I124">
        <v>8</v>
      </c>
      <c r="J124">
        <v>14</v>
      </c>
      <c r="K124" t="str" cm="1">
        <f t="array" ref="K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4">
        <f>_xlfn.XLOOKUP("LOADINGSPEEDDEF_"&amp;PROPERTIES[[#This Row],[LOADINGSPEED]],LOADINGSPEEDDEF[TYPE],LOADINGSPEEDDEF[SPEED])</f>
        <v>20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f>IF(ISNUMBER(SEARCH("passenger",PROPERTIES[[#This Row],[CARGODEF]])),1,0)</f>
        <v>0</v>
      </c>
      <c r="O124" s="32">
        <v>273</v>
      </c>
      <c r="P124">
        <v>3200</v>
      </c>
      <c r="Q124">
        <v>130</v>
      </c>
      <c r="R124" s="29">
        <v>220.6</v>
      </c>
      <c r="S124" s="28">
        <f>IFERROR(PROPERTIES[[#This Row],[TE_STARTING_KN]]/(PROPERTIES[[#This Row],[WEIGHT]]*9.81),0)</f>
        <v>8.2370908058981451E-2</v>
      </c>
      <c r="T124" s="28">
        <v>0.08</v>
      </c>
      <c r="U124" s="25">
        <f>ROUND(IF(IFERROR(PROPERTIES[[#This Row],[TE_COEFFICIENT_CALC]],0)=0,PROPERTIES[[#This Row],[TE_COEFFICIENT_MANUAL]],PROPERTIES[[#This Row],[TE_COEFFICIENT_CALC]]),3)</f>
        <v>8.2000000000000003E-2</v>
      </c>
      <c r="V124" s="11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36">
        <v>0</v>
      </c>
      <c r="X124" s="9">
        <v>6</v>
      </c>
      <c r="Y124" s="10">
        <v>0</v>
      </c>
      <c r="Z124" t="s">
        <v>874</v>
      </c>
      <c r="AA124" t="s">
        <v>868</v>
      </c>
      <c r="AB124" s="2" t="s">
        <v>886</v>
      </c>
      <c r="AC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4" s="2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H124" s="10" t="b">
        <v>0</v>
      </c>
      <c r="AY124"/>
      <c r="AZ124"/>
      <c r="BA124"/>
    </row>
    <row r="125" spans="1:53">
      <c r="A125" s="2" t="s">
        <v>145</v>
      </c>
      <c r="B125">
        <v>1927</v>
      </c>
      <c r="C125" cm="1">
        <f t="array" ref="C125">_xlfn.IFS(ISNUMBER(SEARCH("wagon",PROPERTIES[[#This Row],[VEHIDCODE]])),0,OR(MID(PROPERTIES[[#This Row],[VEHIDCODE]],2,2)="mu",_xlfn.TEXTBEFORE(PROPERTIES[[#This Row],[VEHIDCODE]],"_")="mtro"),1,1=1,0)</f>
        <v>0</v>
      </c>
      <c r="D125" t="s">
        <v>1810</v>
      </c>
      <c r="E125" t="str">
        <f>_xlfn.XLOOKUP(PROPERTIES[[#This Row],[COUNTRY]],COUNTRIES[COUNTRY_DESCRIPTION],COUNTRIES[COUNTRY_LABEL],"")</f>
        <v>IN</v>
      </c>
      <c r="F125" t="str" cm="1">
        <f t="array" ref="F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5" t="s">
        <v>19</v>
      </c>
      <c r="H125">
        <v>0</v>
      </c>
      <c r="I125">
        <v>8</v>
      </c>
      <c r="J125">
        <v>15</v>
      </c>
      <c r="K125" t="str" cm="1">
        <f t="array" ref="K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5">
        <f>_xlfn.XLOOKUP("LOADINGSPEEDDEF_"&amp;PROPERTIES[[#This Row],[LOADINGSPEED]],LOADINGSPEEDDEF[TYPE],LOADINGSPEEDDEF[SPEED])</f>
        <v>20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f>IF(ISNUMBER(SEARCH("passenger",PROPERTIES[[#This Row],[CARGODEF]])),1,0)</f>
        <v>0</v>
      </c>
      <c r="O125" s="32">
        <v>162.5</v>
      </c>
      <c r="P125">
        <v>2150</v>
      </c>
      <c r="Q125">
        <v>110</v>
      </c>
      <c r="R125" s="29">
        <v>119.03</v>
      </c>
      <c r="S125" s="28">
        <f>IFERROR(PROPERTIES[[#This Row],[TE_STARTING_KN]]/(PROPERTIES[[#This Row],[WEIGHT]]*9.81),0)</f>
        <v>7.4667921273425863E-2</v>
      </c>
      <c r="T125" s="28">
        <v>0.08</v>
      </c>
      <c r="U125" s="25">
        <f>ROUND(IF(IFERROR(PROPERTIES[[#This Row],[TE_COEFFICIENT_CALC]],0)=0,PROPERTIES[[#This Row],[TE_COEFFICIENT_MANUAL]],PROPERTIES[[#This Row],[TE_COEFFICIENT_CALC]]),3)</f>
        <v>7.4999999999999997E-2</v>
      </c>
      <c r="V125" s="11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36">
        <v>0</v>
      </c>
      <c r="X125" s="9">
        <v>7</v>
      </c>
      <c r="Y125" s="10">
        <v>0</v>
      </c>
      <c r="Z125" t="s">
        <v>877</v>
      </c>
      <c r="AA125" t="s">
        <v>868</v>
      </c>
      <c r="AB125" s="2" t="s">
        <v>886</v>
      </c>
      <c r="AC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5" s="2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H125" s="10" t="b">
        <v>0</v>
      </c>
      <c r="AY125"/>
      <c r="AZ125"/>
      <c r="BA125"/>
    </row>
    <row r="126" spans="1:53">
      <c r="A126" s="2" t="s">
        <v>146</v>
      </c>
      <c r="B126">
        <v>1940</v>
      </c>
      <c r="C126" cm="1">
        <f t="array" ref="C126">_xlfn.IFS(ISNUMBER(SEARCH("wagon",PROPERTIES[[#This Row],[VEHIDCODE]])),0,OR(MID(PROPERTIES[[#This Row],[VEHIDCODE]],2,2)="mu",_xlfn.TEXTBEFORE(PROPERTIES[[#This Row],[VEHIDCODE]],"_")="mtro"),1,1=1,0)</f>
        <v>0</v>
      </c>
      <c r="D126" t="s">
        <v>1812</v>
      </c>
      <c r="E126" t="str">
        <f>_xlfn.XLOOKUP(PROPERTIES[[#This Row],[COUNTRY]],COUNTRIES[COUNTRY_DESCRIPTION],COUNTRIES[COUNTRY_LABEL],"")</f>
        <v>IQ</v>
      </c>
      <c r="F126" t="str" cm="1">
        <f t="array" ref="F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6" t="s">
        <v>19</v>
      </c>
      <c r="H126">
        <v>0</v>
      </c>
      <c r="I126">
        <v>8</v>
      </c>
      <c r="J126">
        <v>14</v>
      </c>
      <c r="K126" t="str" cm="1">
        <f t="array" ref="K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6">
        <f>_xlfn.XLOOKUP("LOADINGSPEEDDEF_"&amp;PROPERTIES[[#This Row],[LOADINGSPEED]],LOADINGSPEEDDEF[TYPE],LOADINGSPEEDDEF[SPEED])</f>
        <v>20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f>IF(ISNUMBER(SEARCH("passenger",PROPERTIES[[#This Row],[CARGODEF]])),1,0)</f>
        <v>0</v>
      </c>
      <c r="O126" s="32">
        <v>162</v>
      </c>
      <c r="P126">
        <v>1640</v>
      </c>
      <c r="Q126">
        <v>110</v>
      </c>
      <c r="R126" s="29">
        <v>0</v>
      </c>
      <c r="S126" s="28">
        <f>IFERROR(PROPERTIES[[#This Row],[TE_STARTING_KN]]/(PROPERTIES[[#This Row],[WEIGHT]]*9.81),0)</f>
        <v>0</v>
      </c>
      <c r="T126" s="28">
        <v>0.08</v>
      </c>
      <c r="U126" s="25">
        <f>ROUND(IF(IFERROR(PROPERTIES[[#This Row],[TE_COEFFICIENT_CALC]],0)=0,PROPERTIES[[#This Row],[TE_COEFFICIENT_MANUAL]],PROPERTIES[[#This Row],[TE_COEFFICIENT_CALC]]),3)</f>
        <v>0.08</v>
      </c>
      <c r="V126" s="11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36">
        <v>0</v>
      </c>
      <c r="X126" s="9">
        <v>6</v>
      </c>
      <c r="Y126" s="10">
        <v>0</v>
      </c>
      <c r="Z126" t="s">
        <v>877</v>
      </c>
      <c r="AA126" t="s">
        <v>868</v>
      </c>
      <c r="AB126" s="2" t="s">
        <v>886</v>
      </c>
      <c r="AC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6" s="2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H126" s="10" t="b">
        <v>0</v>
      </c>
      <c r="AY126"/>
      <c r="AZ126"/>
      <c r="BA126"/>
    </row>
    <row r="127" spans="1:53">
      <c r="A127" s="2" t="s">
        <v>147</v>
      </c>
      <c r="B127">
        <v>1942</v>
      </c>
      <c r="C127" cm="1">
        <f t="array" ref="C127">_xlfn.IFS(ISNUMBER(SEARCH("wagon",PROPERTIES[[#This Row],[VEHIDCODE]])),0,OR(MID(PROPERTIES[[#This Row],[VEHIDCODE]],2,2)="mu",_xlfn.TEXTBEFORE(PROPERTIES[[#This Row],[VEHIDCODE]],"_")="mtro"),1,1=1,0)</f>
        <v>0</v>
      </c>
      <c r="D127" t="s">
        <v>1771</v>
      </c>
      <c r="E127" t="str">
        <f>_xlfn.XLOOKUP(PROPERTIES[[#This Row],[COUNTRY]],COUNTRIES[COUNTRY_DESCRIPTION],COUNTRIES[COUNTRY_LABEL],"")</f>
        <v>EG</v>
      </c>
      <c r="F127" t="str" cm="1">
        <f t="array" ref="F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7" t="s">
        <v>19</v>
      </c>
      <c r="H127">
        <v>0</v>
      </c>
      <c r="I127">
        <v>6</v>
      </c>
      <c r="J127">
        <v>6</v>
      </c>
      <c r="K127" t="str" cm="1">
        <f t="array" ref="K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7">
        <f>_xlfn.XLOOKUP("LOADINGSPEEDDEF_"&amp;PROPERTIES[[#This Row],[LOADINGSPEED]],LOADINGSPEEDDEF[TYPE],LOADINGSPEEDDEF[SPEED])</f>
        <v>20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f>IF(ISNUMBER(SEARCH("passenger",PROPERTIES[[#This Row],[CARGODEF]])),1,0)</f>
        <v>0</v>
      </c>
      <c r="O127" s="32">
        <v>46</v>
      </c>
      <c r="P127">
        <v>560</v>
      </c>
      <c r="Q127">
        <v>65</v>
      </c>
      <c r="R127" s="29">
        <v>92.68</v>
      </c>
      <c r="S127" s="28">
        <f>IFERROR(PROPERTIES[[#This Row],[TE_STARTING_KN]]/(PROPERTIES[[#This Row],[WEIGHT]]*9.81),0)</f>
        <v>0.20538049018304302</v>
      </c>
      <c r="T127" s="28">
        <v>0.22</v>
      </c>
      <c r="U127" s="25">
        <f>ROUND(IF(IFERROR(PROPERTIES[[#This Row],[TE_COEFFICIENT_CALC]],0)=0,PROPERTIES[[#This Row],[TE_COEFFICIENT_MANUAL]],PROPERTIES[[#This Row],[TE_COEFFICIENT_CALC]]),3)</f>
        <v>0.20499999999999999</v>
      </c>
      <c r="V127" s="11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36">
        <v>0</v>
      </c>
      <c r="X127" s="9">
        <v>0</v>
      </c>
      <c r="Y127" s="10">
        <v>0</v>
      </c>
      <c r="Z127" t="s">
        <v>872</v>
      </c>
      <c r="AA127" t="s">
        <v>868</v>
      </c>
      <c r="AB127" s="2" t="s">
        <v>886</v>
      </c>
      <c r="AC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7" s="2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H127" s="10" t="b">
        <v>0</v>
      </c>
      <c r="AY127"/>
      <c r="AZ127"/>
      <c r="BA127"/>
    </row>
    <row r="128" spans="1:53">
      <c r="A128" s="2" t="s">
        <v>148</v>
      </c>
      <c r="B128">
        <v>1949</v>
      </c>
      <c r="C128" cm="1">
        <f t="array" ref="C128">_xlfn.IFS(ISNUMBER(SEARCH("wagon",PROPERTIES[[#This Row],[VEHIDCODE]])),0,OR(MID(PROPERTIES[[#This Row],[VEHIDCODE]],2,2)="mu",_xlfn.TEXTBEFORE(PROPERTIES[[#This Row],[VEHIDCODE]],"_")="mtro"),1,1=1,0)</f>
        <v>0</v>
      </c>
      <c r="D128" t="s">
        <v>1782</v>
      </c>
      <c r="E128" t="str">
        <f>_xlfn.XLOOKUP(PROPERTIES[[#This Row],[COUNTRY]],COUNTRIES[COUNTRY_DESCRIPTION],COUNTRIES[COUNTRY_LABEL],"")</f>
        <v>GB</v>
      </c>
      <c r="F128" t="str" cm="1">
        <f t="array" ref="F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8" t="s">
        <v>19</v>
      </c>
      <c r="H128">
        <v>0</v>
      </c>
      <c r="I128">
        <v>6</v>
      </c>
      <c r="J128">
        <v>6</v>
      </c>
      <c r="K128" t="str" cm="1">
        <f t="array" ref="K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8">
        <f>_xlfn.XLOOKUP("LOADINGSPEEDDEF_"&amp;PROPERTIES[[#This Row],[LOADINGSPEED]],LOADINGSPEEDDEF[TYPE],LOADINGSPEEDDEF[SPEED])</f>
        <v>20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f>IF(ISNUMBER(SEARCH("passenger",PROPERTIES[[#This Row],[CARGODEF]])),1,0)</f>
        <v>0</v>
      </c>
      <c r="O128" s="32">
        <v>41.6</v>
      </c>
      <c r="P128">
        <v>500</v>
      </c>
      <c r="Q128">
        <v>65</v>
      </c>
      <c r="R128" s="29">
        <v>82.36</v>
      </c>
      <c r="S128" s="28">
        <f>IFERROR(PROPERTIES[[#This Row],[TE_STARTING_KN]]/(PROPERTIES[[#This Row],[WEIGHT]]*9.81),0)</f>
        <v>0.20181525915470866</v>
      </c>
      <c r="T128" s="28">
        <v>0.2</v>
      </c>
      <c r="U128" s="25">
        <f>ROUND(IF(IFERROR(PROPERTIES[[#This Row],[TE_COEFFICIENT_CALC]],0)=0,PROPERTIES[[#This Row],[TE_COEFFICIENT_MANUAL]],PROPERTIES[[#This Row],[TE_COEFFICIENT_CALC]]),3)</f>
        <v>0.20200000000000001</v>
      </c>
      <c r="V128" s="11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36">
        <v>0</v>
      </c>
      <c r="X128" s="9">
        <v>0</v>
      </c>
      <c r="Y128" s="10">
        <v>0</v>
      </c>
      <c r="Z128" t="s">
        <v>873</v>
      </c>
      <c r="AA128" t="s">
        <v>868</v>
      </c>
      <c r="AB128" s="2" t="s">
        <v>886</v>
      </c>
      <c r="AC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8" s="2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H128" s="10" t="b">
        <v>0</v>
      </c>
      <c r="AY128"/>
      <c r="AZ128"/>
      <c r="BA128"/>
    </row>
    <row r="129" spans="1:53">
      <c r="A129" s="2" t="s">
        <v>149</v>
      </c>
      <c r="B129">
        <v>1951</v>
      </c>
      <c r="C129" cm="1">
        <f t="array" ref="C129">_xlfn.IFS(ISNUMBER(SEARCH("wagon",PROPERTIES[[#This Row],[VEHIDCODE]])),0,OR(MID(PROPERTIES[[#This Row],[VEHIDCODE]],2,2)="mu",_xlfn.TEXTBEFORE(PROPERTIES[[#This Row],[VEHIDCODE]],"_")="mtro"),1,1=1,0)</f>
        <v>0</v>
      </c>
      <c r="D129" t="s">
        <v>1719</v>
      </c>
      <c r="E129" t="str">
        <f>_xlfn.XLOOKUP(PROPERTIES[[#This Row],[COUNTRY]],COUNTRIES[COUNTRY_DESCRIPTION],COUNTRIES[COUNTRY_LABEL],"")</f>
        <v>AU</v>
      </c>
      <c r="F129" t="str" cm="1">
        <f t="array" ref="F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9" t="s">
        <v>19</v>
      </c>
      <c r="H129">
        <v>0</v>
      </c>
      <c r="I129">
        <v>8</v>
      </c>
      <c r="J129">
        <v>13</v>
      </c>
      <c r="K129" t="str" cm="1">
        <f t="array" ref="K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9">
        <f>_xlfn.XLOOKUP("LOADINGSPEEDDEF_"&amp;PROPERTIES[[#This Row],[LOADINGSPEED]],LOADINGSPEEDDEF[TYPE],LOADINGSPEEDDEF[SPEED])</f>
        <v>20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f>IF(ISNUMBER(SEARCH("passenger",PROPERTIES[[#This Row],[CARGODEF]])),1,0)</f>
        <v>0</v>
      </c>
      <c r="O129" s="32">
        <v>188.3</v>
      </c>
      <c r="P129">
        <v>2400</v>
      </c>
      <c r="Q129">
        <v>130</v>
      </c>
      <c r="R129" s="29">
        <v>142.69999999999999</v>
      </c>
      <c r="S129" s="28">
        <f>IFERROR(PROPERTIES[[#This Row],[TE_STARTING_KN]]/(PROPERTIES[[#This Row],[WEIGHT]]*9.81),0)</f>
        <v>7.7251095292771896E-2</v>
      </c>
      <c r="T129" s="28">
        <v>7.0000000000000007E-2</v>
      </c>
      <c r="U129" s="25">
        <f>ROUND(IF(IFERROR(PROPERTIES[[#This Row],[TE_COEFFICIENT_CALC]],0)=0,PROPERTIES[[#This Row],[TE_COEFFICIENT_MANUAL]],PROPERTIES[[#This Row],[TE_COEFFICIENT_CALC]]),3)</f>
        <v>7.6999999999999999E-2</v>
      </c>
      <c r="V129" s="11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36">
        <v>0</v>
      </c>
      <c r="X129" s="9">
        <v>5</v>
      </c>
      <c r="Y129" s="10">
        <v>0</v>
      </c>
      <c r="Z129" t="s">
        <v>871</v>
      </c>
      <c r="AA129" t="s">
        <v>868</v>
      </c>
      <c r="AB129" s="2" t="s">
        <v>886</v>
      </c>
      <c r="AC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9" s="2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H129" s="10" t="b">
        <v>0</v>
      </c>
      <c r="AY129"/>
      <c r="AZ129"/>
      <c r="BA129"/>
    </row>
    <row r="130" spans="1:53">
      <c r="A130" s="2" t="s">
        <v>150</v>
      </c>
      <c r="B130">
        <v>1952</v>
      </c>
      <c r="C130" cm="1">
        <f t="array" ref="C130">_xlfn.IFS(ISNUMBER(SEARCH("wagon",PROPERTIES[[#This Row],[VEHIDCODE]])),0,OR(MID(PROPERTIES[[#This Row],[VEHIDCODE]],2,2)="mu",_xlfn.TEXTBEFORE(PROPERTIES[[#This Row],[VEHIDCODE]],"_")="mtro"),1,1=1,0)</f>
        <v>0</v>
      </c>
      <c r="D130" t="s">
        <v>1763</v>
      </c>
      <c r="E130" t="str">
        <f>_xlfn.XLOOKUP(PROPERTIES[[#This Row],[COUNTRY]],COUNTRIES[COUNTRY_DESCRIPTION],COUNTRIES[COUNTRY_LABEL],"")</f>
        <v>DE</v>
      </c>
      <c r="F130" t="str" cm="1">
        <f t="array" ref="F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0" t="s">
        <v>19</v>
      </c>
      <c r="H130">
        <v>0</v>
      </c>
      <c r="I130">
        <v>7</v>
      </c>
      <c r="J130">
        <v>7</v>
      </c>
      <c r="K130" t="str" cm="1">
        <f t="array" ref="K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0">
        <f>_xlfn.XLOOKUP("LOADINGSPEEDDEF_"&amp;PROPERTIES[[#This Row],[LOADINGSPEED]],LOADINGSPEEDDEF[TYPE],LOADINGSPEEDDEF[SPEED])</f>
        <v>20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f>IF(ISNUMBER(SEARCH("passenger",PROPERTIES[[#This Row],[CARGODEF]])),1,0)</f>
        <v>0</v>
      </c>
      <c r="O130" s="32">
        <v>55</v>
      </c>
      <c r="P130">
        <v>592</v>
      </c>
      <c r="Q130">
        <v>30</v>
      </c>
      <c r="R130" s="29">
        <v>83.35</v>
      </c>
      <c r="S130" s="28">
        <f>IFERROR(PROPERTIES[[#This Row],[TE_STARTING_KN]]/(PROPERTIES[[#This Row],[WEIGHT]]*9.81),0)</f>
        <v>0.15448058567324618</v>
      </c>
      <c r="T130" s="28">
        <v>0.2</v>
      </c>
      <c r="U130" s="25">
        <f>ROUND(IF(IFERROR(PROPERTIES[[#This Row],[TE_COEFFICIENT_CALC]],0)=0,PROPERTIES[[#This Row],[TE_COEFFICIENT_MANUAL]],PROPERTIES[[#This Row],[TE_COEFFICIENT_CALC]]),3)</f>
        <v>0.154</v>
      </c>
      <c r="V130" s="11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36">
        <v>0</v>
      </c>
      <c r="X130" s="9">
        <v>0</v>
      </c>
      <c r="Y130" s="10">
        <v>0</v>
      </c>
      <c r="Z130" t="s">
        <v>869</v>
      </c>
      <c r="AA130" t="s">
        <v>868</v>
      </c>
      <c r="AB130" s="2" t="s">
        <v>886</v>
      </c>
      <c r="AC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0" s="2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H130" s="10" t="b">
        <v>0</v>
      </c>
      <c r="AY130"/>
      <c r="AZ130"/>
      <c r="BA130"/>
    </row>
    <row r="131" spans="1:53">
      <c r="A131" s="2" t="s">
        <v>151</v>
      </c>
      <c r="B131">
        <v>1961</v>
      </c>
      <c r="C131" cm="1">
        <f t="array" ref="C131">_xlfn.IFS(ISNUMBER(SEARCH("wagon",PROPERTIES[[#This Row],[VEHIDCODE]])),0,OR(MID(PROPERTIES[[#This Row],[VEHIDCODE]],2,2)="mu",_xlfn.TEXTBEFORE(PROPERTIES[[#This Row],[VEHIDCODE]],"_")="mtro"),1,1=1,0)</f>
        <v>0</v>
      </c>
      <c r="D131" t="s">
        <v>1763</v>
      </c>
      <c r="E131" t="str">
        <f>_xlfn.XLOOKUP(PROPERTIES[[#This Row],[COUNTRY]],COUNTRIES[COUNTRY_DESCRIPTION],COUNTRIES[COUNTRY_LABEL],"")</f>
        <v>DE</v>
      </c>
      <c r="F131" t="str" cm="1">
        <f t="array" ref="F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1" t="s">
        <v>19</v>
      </c>
      <c r="H131">
        <v>0</v>
      </c>
      <c r="I131">
        <v>8</v>
      </c>
      <c r="J131">
        <v>14</v>
      </c>
      <c r="K131" t="str" cm="1">
        <f t="array" ref="K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1">
        <f>_xlfn.XLOOKUP("LOADINGSPEEDDEF_"&amp;PROPERTIES[[#This Row],[LOADINGSPEED]],LOADINGSPEEDDEF[TYPE],LOADINGSPEEDDEF[SPEED])</f>
        <v>20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f>IF(ISNUMBER(SEARCH("passenger",PROPERTIES[[#This Row],[CARGODEF]])),1,0)</f>
        <v>0</v>
      </c>
      <c r="O131" s="32">
        <v>172</v>
      </c>
      <c r="P131">
        <v>2120</v>
      </c>
      <c r="Q131">
        <v>182</v>
      </c>
      <c r="R131" s="29">
        <v>0</v>
      </c>
      <c r="S131" s="28">
        <f>IFERROR(PROPERTIES[[#This Row],[TE_STARTING_KN]]/(PROPERTIES[[#This Row],[WEIGHT]]*9.81),0)</f>
        <v>0</v>
      </c>
      <c r="T131" s="28">
        <v>0.06</v>
      </c>
      <c r="U131" s="25">
        <f>ROUND(IF(IFERROR(PROPERTIES[[#This Row],[TE_COEFFICIENT_CALC]],0)=0,PROPERTIES[[#This Row],[TE_COEFFICIENT_MANUAL]],PROPERTIES[[#This Row],[TE_COEFFICIENT_CALC]]),3)</f>
        <v>0.06</v>
      </c>
      <c r="V131" s="11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36">
        <v>0</v>
      </c>
      <c r="X131" s="9">
        <v>6</v>
      </c>
      <c r="Y131" s="10">
        <v>0</v>
      </c>
      <c r="Z131" t="s">
        <v>869</v>
      </c>
      <c r="AA131" t="s">
        <v>868</v>
      </c>
      <c r="AB131" s="2" t="s">
        <v>886</v>
      </c>
      <c r="AC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1" s="2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H131" s="10" t="b">
        <v>0</v>
      </c>
      <c r="AY131"/>
      <c r="AZ131"/>
      <c r="BA131"/>
    </row>
    <row r="132" spans="1:53">
      <c r="A132" s="2" t="s">
        <v>152</v>
      </c>
      <c r="B132">
        <v>1923</v>
      </c>
      <c r="C132" cm="1">
        <f t="array" ref="C132">_xlfn.IFS(ISNUMBER(SEARCH("wagon",PROPERTIES[[#This Row],[VEHIDCODE]])),0,OR(MID(PROPERTIES[[#This Row],[VEHIDCODE]],2,2)="mu",_xlfn.TEXTBEFORE(PROPERTIES[[#This Row],[VEHIDCODE]],"_")="mtro"),1,1=1,0)</f>
        <v>0</v>
      </c>
      <c r="D132" t="s">
        <v>1876</v>
      </c>
      <c r="E132" t="str">
        <f>_xlfn.XLOOKUP(PROPERTIES[[#This Row],[COUNTRY]],COUNTRIES[COUNTRY_DESCRIPTION],COUNTRIES[COUNTRY_LABEL],"")</f>
        <v>NZ</v>
      </c>
      <c r="F132" t="str" cm="1">
        <f t="array" ref="F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2" t="s">
        <v>19</v>
      </c>
      <c r="H132">
        <v>0</v>
      </c>
      <c r="I132">
        <v>6</v>
      </c>
      <c r="J132">
        <v>6</v>
      </c>
      <c r="K132" t="str" cm="1">
        <f t="array" ref="K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2">
        <f>_xlfn.XLOOKUP("LOADINGSPEEDDEF_"&amp;PROPERTIES[[#This Row],[LOADINGSPEED]],LOADINGSPEEDDEF[TYPE],LOADINGSPEEDDEF[SPEED])</f>
        <v>20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f>IF(ISNUMBER(SEARCH("passenger",PROPERTIES[[#This Row],[CARGODEF]])),1,0)</f>
        <v>0</v>
      </c>
      <c r="O132" s="32">
        <v>74</v>
      </c>
      <c r="P132">
        <v>1000</v>
      </c>
      <c r="Q132">
        <v>97</v>
      </c>
      <c r="R132" s="29">
        <v>99</v>
      </c>
      <c r="S132" s="28">
        <f>IFERROR(PROPERTIES[[#This Row],[TE_STARTING_KN]]/(PROPERTIES[[#This Row],[WEIGHT]]*9.81),0)</f>
        <v>0.13637490701710883</v>
      </c>
      <c r="T132" s="28">
        <v>0.14000000000000001</v>
      </c>
      <c r="U132" s="25">
        <f>ROUND(IF(IFERROR(PROPERTIES[[#This Row],[TE_COEFFICIENT_CALC]],0)=0,PROPERTIES[[#This Row],[TE_COEFFICIENT_MANUAL]],PROPERTIES[[#This Row],[TE_COEFFICIENT_CALC]]),3)</f>
        <v>0.13600000000000001</v>
      </c>
      <c r="V132" s="11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36">
        <v>0</v>
      </c>
      <c r="X132" s="9">
        <v>0</v>
      </c>
      <c r="Y132" s="10">
        <v>0</v>
      </c>
      <c r="Z132" t="s">
        <v>871</v>
      </c>
      <c r="AA132" t="s">
        <v>868</v>
      </c>
      <c r="AB132" s="2" t="s">
        <v>886</v>
      </c>
      <c r="AC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2" s="2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2" s="2" t="b">
        <v>0</v>
      </c>
      <c r="AH132" s="10" t="b">
        <v>0</v>
      </c>
      <c r="AY132"/>
      <c r="AZ132"/>
      <c r="BA132"/>
    </row>
    <row r="133" spans="1:53">
      <c r="A133" s="2" t="s">
        <v>153</v>
      </c>
      <c r="B133">
        <v>1929</v>
      </c>
      <c r="C133" cm="1">
        <f t="array" ref="C133">_xlfn.IFS(ISNUMBER(SEARCH("wagon",PROPERTIES[[#This Row],[VEHIDCODE]])),0,OR(MID(PROPERTIES[[#This Row],[VEHIDCODE]],2,2)="mu",_xlfn.TEXTBEFORE(PROPERTIES[[#This Row],[VEHIDCODE]],"_")="mtro"),1,1=1,0)</f>
        <v>0</v>
      </c>
      <c r="D133" t="s">
        <v>1719</v>
      </c>
      <c r="E133" t="str">
        <f>_xlfn.XLOOKUP(PROPERTIES[[#This Row],[COUNTRY]],COUNTRIES[COUNTRY_DESCRIPTION],COUNTRIES[COUNTRY_LABEL],"")</f>
        <v>AU</v>
      </c>
      <c r="F133" t="str" cm="1">
        <f t="array" ref="F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3" t="s">
        <v>19</v>
      </c>
      <c r="H133">
        <v>0</v>
      </c>
      <c r="I133">
        <v>8</v>
      </c>
      <c r="J133">
        <v>13</v>
      </c>
      <c r="K133" t="str" cm="1">
        <f t="array" ref="K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3">
        <f>_xlfn.XLOOKUP("LOADINGSPEEDDEF_"&amp;PROPERTIES[[#This Row],[LOADINGSPEED]],LOADINGSPEEDDEF[TYPE],LOADINGSPEEDDEF[SPEED])</f>
        <v>20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f>IF(ISNUMBER(SEARCH("passenger",PROPERTIES[[#This Row],[CARGODEF]])),1,0)</f>
        <v>0</v>
      </c>
      <c r="O133" s="32">
        <v>231</v>
      </c>
      <c r="P133">
        <v>2800</v>
      </c>
      <c r="Q133">
        <v>80</v>
      </c>
      <c r="R133" s="29">
        <v>289.10000000000002</v>
      </c>
      <c r="S133" s="28">
        <f>IFERROR(PROPERTIES[[#This Row],[TE_STARTING_KN]]/(PROPERTIES[[#This Row],[WEIGHT]]*9.81),0)</f>
        <v>0.12757544867636611</v>
      </c>
      <c r="T133" s="28">
        <v>0.12</v>
      </c>
      <c r="U133" s="25">
        <f>ROUND(IF(IFERROR(PROPERTIES[[#This Row],[TE_COEFFICIENT_CALC]],0)=0,PROPERTIES[[#This Row],[TE_COEFFICIENT_MANUAL]],PROPERTIES[[#This Row],[TE_COEFFICIENT_CALC]]),3)</f>
        <v>0.128</v>
      </c>
      <c r="V133" s="11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36">
        <v>0</v>
      </c>
      <c r="X133" s="9">
        <v>5</v>
      </c>
      <c r="Y133" s="10">
        <v>0</v>
      </c>
      <c r="Z133" t="s">
        <v>871</v>
      </c>
      <c r="AA133" t="s">
        <v>868</v>
      </c>
      <c r="AB133" s="2" t="s">
        <v>886</v>
      </c>
      <c r="AC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3" s="2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H133" s="10" t="b">
        <v>0</v>
      </c>
      <c r="AY133"/>
      <c r="AZ133"/>
      <c r="BA133"/>
    </row>
    <row r="134" spans="1:53">
      <c r="A134" s="2" t="s">
        <v>154</v>
      </c>
      <c r="B134">
        <v>1943</v>
      </c>
      <c r="C134" cm="1">
        <f t="array" ref="C134">_xlfn.IFS(ISNUMBER(SEARCH("wagon",PROPERTIES[[#This Row],[VEHIDCODE]])),0,OR(MID(PROPERTIES[[#This Row],[VEHIDCODE]],2,2)="mu",_xlfn.TEXTBEFORE(PROPERTIES[[#This Row],[VEHIDCODE]],"_")="mtro"),1,1=1,0)</f>
        <v>0</v>
      </c>
      <c r="D134" t="s">
        <v>1719</v>
      </c>
      <c r="E134" t="str">
        <f>_xlfn.XLOOKUP(PROPERTIES[[#This Row],[COUNTRY]],COUNTRIES[COUNTRY_DESCRIPTION],COUNTRIES[COUNTRY_LABEL],"")</f>
        <v>AU</v>
      </c>
      <c r="F134" t="str" cm="1">
        <f t="array" ref="F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4" t="s">
        <v>19</v>
      </c>
      <c r="H134">
        <v>0</v>
      </c>
      <c r="I134">
        <v>8</v>
      </c>
      <c r="J134">
        <v>13</v>
      </c>
      <c r="K134" t="str" cm="1">
        <f t="array" ref="K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4">
        <f>_xlfn.XLOOKUP("LOADINGSPEEDDEF_"&amp;PROPERTIES[[#This Row],[LOADINGSPEED]],LOADINGSPEEDDEF[TYPE],LOADINGSPEEDDEF[SPEED])</f>
        <v>20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f>IF(ISNUMBER(SEARCH("passenger",PROPERTIES[[#This Row],[CARGODEF]])),1,0)</f>
        <v>0</v>
      </c>
      <c r="O134" s="32">
        <v>200</v>
      </c>
      <c r="P134">
        <v>2600</v>
      </c>
      <c r="Q134">
        <v>112</v>
      </c>
      <c r="R134" s="29">
        <v>145</v>
      </c>
      <c r="S134" s="28">
        <f>IFERROR(PROPERTIES[[#This Row],[TE_STARTING_KN]]/(PROPERTIES[[#This Row],[WEIGHT]]*9.81),0)</f>
        <v>7.3904179408766563E-2</v>
      </c>
      <c r="T134" s="28">
        <v>7.0000000000000007E-2</v>
      </c>
      <c r="U134" s="25">
        <f>ROUND(IF(IFERROR(PROPERTIES[[#This Row],[TE_COEFFICIENT_CALC]],0)=0,PROPERTIES[[#This Row],[TE_COEFFICIENT_MANUAL]],PROPERTIES[[#This Row],[TE_COEFFICIENT_CALC]]),3)</f>
        <v>7.3999999999999996E-2</v>
      </c>
      <c r="V134" s="11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36">
        <v>0</v>
      </c>
      <c r="X134" s="9">
        <v>5</v>
      </c>
      <c r="Y134" s="10">
        <v>0</v>
      </c>
      <c r="Z134" t="s">
        <v>871</v>
      </c>
      <c r="AA134" t="s">
        <v>868</v>
      </c>
      <c r="AB134" s="2" t="s">
        <v>886</v>
      </c>
      <c r="AC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4" s="2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H134" s="10" t="b">
        <v>0</v>
      </c>
      <c r="AY134"/>
      <c r="AZ134"/>
      <c r="BA134"/>
    </row>
    <row r="135" spans="1:53">
      <c r="A135" s="2" t="s">
        <v>155</v>
      </c>
      <c r="B135">
        <v>1952</v>
      </c>
      <c r="C135" cm="1">
        <f t="array" ref="C135">_xlfn.IFS(ISNUMBER(SEARCH("wagon",PROPERTIES[[#This Row],[VEHIDCODE]])),0,OR(MID(PROPERTIES[[#This Row],[VEHIDCODE]],2,2)="mu",_xlfn.TEXTBEFORE(PROPERTIES[[#This Row],[VEHIDCODE]],"_")="mtro"),1,1=1,0)</f>
        <v>0</v>
      </c>
      <c r="D135" t="s">
        <v>1719</v>
      </c>
      <c r="E135" t="str">
        <f>_xlfn.XLOOKUP(PROPERTIES[[#This Row],[COUNTRY]],COUNTRIES[COUNTRY_DESCRIPTION],COUNTRIES[COUNTRY_LABEL],"")</f>
        <v>AU</v>
      </c>
      <c r="F135" t="str" cm="1">
        <f t="array" ref="F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5" t="s">
        <v>19</v>
      </c>
      <c r="H135">
        <v>0</v>
      </c>
      <c r="I135">
        <v>4</v>
      </c>
      <c r="J135">
        <v>12</v>
      </c>
      <c r="K135" t="str" cm="1">
        <f t="array" ref="K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5">
        <f>_xlfn.XLOOKUP("LOADINGSPEEDDEF_"&amp;PROPERTIES[[#This Row],[LOADINGSPEED]],LOADINGSPEEDDEF[TYPE],LOADINGSPEEDDEF[SPEED])</f>
        <v>20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f>IF(ISNUMBER(SEARCH("passenger",PROPERTIES[[#This Row],[CARGODEF]])),1,0)</f>
        <v>0</v>
      </c>
      <c r="O135" s="32">
        <v>259</v>
      </c>
      <c r="P135">
        <v>3500</v>
      </c>
      <c r="Q135">
        <v>95</v>
      </c>
      <c r="R135" s="29">
        <f>264.9*2</f>
        <v>529.79999999999995</v>
      </c>
      <c r="S135" s="28">
        <f>IFERROR(PROPERTIES[[#This Row],[TE_STARTING_KN]]/(PROPERTIES[[#This Row],[WEIGHT]]*9.81),0)</f>
        <v>0.20851782319672227</v>
      </c>
      <c r="T135" s="28">
        <v>0.11</v>
      </c>
      <c r="U135" s="25">
        <f>ROUND(IF(IFERROR(PROPERTIES[[#This Row],[TE_COEFFICIENT_CALC]],0)=0,PROPERTIES[[#This Row],[TE_COEFFICIENT_MANUAL]],PROPERTIES[[#This Row],[TE_COEFFICIENT_CALC]]),3)</f>
        <v>0.20899999999999999</v>
      </c>
      <c r="V135" s="11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36">
        <v>0</v>
      </c>
      <c r="X135" s="9">
        <v>0</v>
      </c>
      <c r="Y135" s="10">
        <v>0</v>
      </c>
      <c r="Z135" t="s">
        <v>871</v>
      </c>
      <c r="AA135" t="s">
        <v>868</v>
      </c>
      <c r="AB135" s="2" t="s">
        <v>886</v>
      </c>
      <c r="AC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5" s="2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H135" s="10" t="b">
        <v>0</v>
      </c>
      <c r="AY135"/>
      <c r="AZ135"/>
      <c r="BA135"/>
    </row>
    <row r="136" spans="1:53">
      <c r="A136" s="2" t="s">
        <v>156</v>
      </c>
      <c r="B136">
        <v>1910</v>
      </c>
      <c r="C136" cm="1">
        <f t="array" ref="C136">_xlfn.IFS(ISNUMBER(SEARCH("wagon",PROPERTIES[[#This Row],[VEHIDCODE]])),0,OR(MID(PROPERTIES[[#This Row],[VEHIDCODE]],2,2)="mu",_xlfn.TEXTBEFORE(PROPERTIES[[#This Row],[VEHIDCODE]],"_")="mtro"),1,1=1,0)</f>
        <v>0</v>
      </c>
      <c r="D136" t="s">
        <v>1938</v>
      </c>
      <c r="E136" t="str">
        <f>_xlfn.XLOOKUP(PROPERTIES[[#This Row],[COUNTRY]],COUNTRIES[COUNTRY_DESCRIPTION],COUNTRIES[COUNTRY_LABEL],"")</f>
        <v>UY</v>
      </c>
      <c r="F136" t="str" cm="1">
        <f t="array" ref="F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6" t="s">
        <v>19</v>
      </c>
      <c r="H136">
        <v>0</v>
      </c>
      <c r="I136">
        <v>5</v>
      </c>
      <c r="J136">
        <v>8</v>
      </c>
      <c r="K136" t="str" cm="1">
        <f t="array" ref="K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6">
        <f>_xlfn.XLOOKUP("LOADINGSPEEDDEF_"&amp;PROPERTIES[[#This Row],[LOADINGSPEED]],LOADINGSPEEDDEF[TYPE],LOADINGSPEEDDEF[SPEED])</f>
        <v>20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f>IF(ISNUMBER(SEARCH("passenger",PROPERTIES[[#This Row],[CARGODEF]])),1,0)</f>
        <v>0</v>
      </c>
      <c r="O136" s="32">
        <v>84.5</v>
      </c>
      <c r="P136">
        <v>650</v>
      </c>
      <c r="Q136">
        <v>75</v>
      </c>
      <c r="R136" s="29">
        <v>0</v>
      </c>
      <c r="S136" s="28">
        <f>IFERROR(PROPERTIES[[#This Row],[TE_STARTING_KN]]/(PROPERTIES[[#This Row],[WEIGHT]]*9.81),0)</f>
        <v>0</v>
      </c>
      <c r="T136" s="28">
        <v>0.1</v>
      </c>
      <c r="U136" s="25">
        <f>ROUND(IF(IFERROR(PROPERTIES[[#This Row],[TE_COEFFICIENT_CALC]],0)=0,PROPERTIES[[#This Row],[TE_COEFFICIENT_MANUAL]],PROPERTIES[[#This Row],[TE_COEFFICIENT_CALC]]),3)</f>
        <v>0.1</v>
      </c>
      <c r="V136" s="11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36">
        <v>0</v>
      </c>
      <c r="X136" s="9">
        <v>3</v>
      </c>
      <c r="Y136" s="10">
        <v>0</v>
      </c>
      <c r="Z136" t="s">
        <v>876</v>
      </c>
      <c r="AA136" t="s">
        <v>868</v>
      </c>
      <c r="AB136" s="2" t="s">
        <v>886</v>
      </c>
      <c r="AC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6" s="2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6" s="2" t="b">
        <v>0</v>
      </c>
      <c r="AH136" s="10" t="b">
        <v>0</v>
      </c>
      <c r="AY136"/>
      <c r="AZ136"/>
      <c r="BA136"/>
    </row>
    <row r="137" spans="1:53">
      <c r="A137" s="2" t="s">
        <v>157</v>
      </c>
      <c r="B137">
        <v>1930</v>
      </c>
      <c r="C137" cm="1">
        <f t="array" ref="C137">_xlfn.IFS(ISNUMBER(SEARCH("wagon",PROPERTIES[[#This Row],[VEHIDCODE]])),0,OR(MID(PROPERTIES[[#This Row],[VEHIDCODE]],2,2)="mu",_xlfn.TEXTBEFORE(PROPERTIES[[#This Row],[VEHIDCODE]],"_")="mtro"),1,1=1,0)</f>
        <v>0</v>
      </c>
      <c r="D137" t="s">
        <v>1716</v>
      </c>
      <c r="E137" t="str">
        <f>_xlfn.XLOOKUP(PROPERTIES[[#This Row],[COUNTRY]],COUNTRIES[COUNTRY_DESCRIPTION],COUNTRIES[COUNTRY_LABEL],"")</f>
        <v>AR</v>
      </c>
      <c r="F137" t="str" cm="1">
        <f t="array" ref="F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7" t="s">
        <v>19</v>
      </c>
      <c r="H137">
        <v>0</v>
      </c>
      <c r="I137">
        <v>8</v>
      </c>
      <c r="J137">
        <v>13</v>
      </c>
      <c r="K137" t="str" cm="1">
        <f t="array" ref="K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7">
        <f>_xlfn.XLOOKUP("LOADINGSPEEDDEF_"&amp;PROPERTIES[[#This Row],[LOADINGSPEED]],LOADINGSPEEDDEF[TYPE],LOADINGSPEEDDEF[SPEED])</f>
        <v>20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f>IF(ISNUMBER(SEARCH("passenger",PROPERTIES[[#This Row],[CARGODEF]])),1,0)</f>
        <v>0</v>
      </c>
      <c r="O137" s="32">
        <v>203</v>
      </c>
      <c r="P137">
        <v>1500</v>
      </c>
      <c r="Q137">
        <v>160</v>
      </c>
      <c r="R137" s="29">
        <v>0</v>
      </c>
      <c r="S137" s="28">
        <f>IFERROR(PROPERTIES[[#This Row],[TE_STARTING_KN]]/(PROPERTIES[[#This Row],[WEIGHT]]*9.81),0)</f>
        <v>0</v>
      </c>
      <c r="T137" s="28">
        <v>0.08</v>
      </c>
      <c r="U137" s="25">
        <f>ROUND(IF(IFERROR(PROPERTIES[[#This Row],[TE_COEFFICIENT_CALC]],0)=0,PROPERTIES[[#This Row],[TE_COEFFICIENT_MANUAL]],PROPERTIES[[#This Row],[TE_COEFFICIENT_CALC]]),3)</f>
        <v>0.08</v>
      </c>
      <c r="V137" s="11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36">
        <v>0</v>
      </c>
      <c r="X137" s="9">
        <v>5</v>
      </c>
      <c r="Y137" s="10">
        <v>0</v>
      </c>
      <c r="Z137" t="s">
        <v>876</v>
      </c>
      <c r="AA137" t="s">
        <v>868</v>
      </c>
      <c r="AB137" s="2" t="s">
        <v>886</v>
      </c>
      <c r="AC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7" s="2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H137" s="10" t="b">
        <v>0</v>
      </c>
      <c r="AY137"/>
      <c r="AZ137"/>
      <c r="BA137"/>
    </row>
    <row r="138" spans="1:53">
      <c r="A138" s="2" t="s">
        <v>158</v>
      </c>
      <c r="B138">
        <v>1873</v>
      </c>
      <c r="C138" cm="1">
        <f t="array" ref="C138">_xlfn.IFS(ISNUMBER(SEARCH("wagon",PROPERTIES[[#This Row],[VEHIDCODE]])),0,OR(MID(PROPERTIES[[#This Row],[VEHIDCODE]],2,2)="mu",_xlfn.TEXTBEFORE(PROPERTIES[[#This Row],[VEHIDCODE]],"_")="mtro"),1,1=1,0)</f>
        <v>0</v>
      </c>
      <c r="D138" t="s">
        <v>1951</v>
      </c>
      <c r="E138" t="str">
        <f>_xlfn.XLOOKUP(PROPERTIES[[#This Row],[COUNTRY]],COUNTRIES[COUNTRY_DESCRIPTION],COUNTRIES[COUNTRY_LABEL],"")</f>
        <v>ZA</v>
      </c>
      <c r="F138" t="str" cm="1">
        <f t="array" ref="F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8" t="s">
        <v>19</v>
      </c>
      <c r="H138">
        <v>0</v>
      </c>
      <c r="I138">
        <v>3</v>
      </c>
      <c r="J138">
        <v>3</v>
      </c>
      <c r="K138" t="str" cm="1">
        <f t="array" ref="K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8">
        <f>_xlfn.XLOOKUP("LOADINGSPEEDDEF_"&amp;PROPERTIES[[#This Row],[LOADINGSPEED]],LOADINGSPEEDDEF[TYPE],LOADINGSPEEDDEF[SPEED])</f>
        <v>20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f>IF(ISNUMBER(SEARCH("passenger",PROPERTIES[[#This Row],[CARGODEF]])),1,0)</f>
        <v>0</v>
      </c>
      <c r="O138" s="32">
        <v>8</v>
      </c>
      <c r="P138">
        <v>40</v>
      </c>
      <c r="Q138">
        <v>16</v>
      </c>
      <c r="R138" s="29">
        <v>14.6</v>
      </c>
      <c r="S138" s="28">
        <f>IFERROR(PROPERTIES[[#This Row],[TE_STARTING_KN]]/(PROPERTIES[[#This Row],[WEIGHT]]*9.81),0)</f>
        <v>0.18603465851172271</v>
      </c>
      <c r="T138" s="28">
        <v>0.06</v>
      </c>
      <c r="U138" s="25">
        <f>ROUND(IF(IFERROR(PROPERTIES[[#This Row],[TE_COEFFICIENT_CALC]],0)=0,PROPERTIES[[#This Row],[TE_COEFFICIENT_MANUAL]],PROPERTIES[[#This Row],[TE_COEFFICIENT_CALC]]),3)</f>
        <v>0.186</v>
      </c>
      <c r="V138" s="11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36">
        <v>0</v>
      </c>
      <c r="X138" s="9">
        <v>0</v>
      </c>
      <c r="Y138" s="10">
        <v>0</v>
      </c>
      <c r="Z138" t="s">
        <v>872</v>
      </c>
      <c r="AA138" t="s">
        <v>868</v>
      </c>
      <c r="AB138" s="2" t="s">
        <v>886</v>
      </c>
      <c r="AC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8" s="2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H138" s="10" t="b">
        <v>0</v>
      </c>
      <c r="AY138"/>
      <c r="AZ138"/>
      <c r="BA138"/>
    </row>
    <row r="139" spans="1:53">
      <c r="A139" s="2" t="s">
        <v>159</v>
      </c>
      <c r="B139">
        <v>1895</v>
      </c>
      <c r="C139" cm="1">
        <f t="array" ref="C139">_xlfn.IFS(ISNUMBER(SEARCH("wagon",PROPERTIES[[#This Row],[VEHIDCODE]])),0,OR(MID(PROPERTIES[[#This Row],[VEHIDCODE]],2,2)="mu",_xlfn.TEXTBEFORE(PROPERTIES[[#This Row],[VEHIDCODE]],"_")="mtro"),1,1=1,0)</f>
        <v>0</v>
      </c>
      <c r="D139" t="s">
        <v>1864</v>
      </c>
      <c r="E139" t="str">
        <f>_xlfn.XLOOKUP(PROPERTIES[[#This Row],[COUNTRY]],COUNTRIES[COUNTRY_DESCRIPTION],COUNTRIES[COUNTRY_LABEL],"")</f>
        <v>MZ</v>
      </c>
      <c r="F139" t="str" cm="1">
        <f t="array" ref="F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9" t="s">
        <v>19</v>
      </c>
      <c r="H139">
        <v>0</v>
      </c>
      <c r="I139">
        <v>4</v>
      </c>
      <c r="J139">
        <v>7</v>
      </c>
      <c r="K139" t="str" cm="1">
        <f t="array" ref="K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9">
        <f>_xlfn.XLOOKUP("LOADINGSPEEDDEF_"&amp;PROPERTIES[[#This Row],[LOADINGSPEED]],LOADINGSPEEDDEF[TYPE],LOADINGSPEEDDEF[SPEED])</f>
        <v>20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f>IF(ISNUMBER(SEARCH("passenger",PROPERTIES[[#This Row],[CARGODEF]])),1,0)</f>
        <v>0</v>
      </c>
      <c r="O139" s="32">
        <v>20</v>
      </c>
      <c r="P139">
        <v>120</v>
      </c>
      <c r="Q139">
        <v>30</v>
      </c>
      <c r="R139" s="29">
        <v>13</v>
      </c>
      <c r="S139" s="28">
        <f>IFERROR(PROPERTIES[[#This Row],[TE_STARTING_KN]]/(PROPERTIES[[#This Row],[WEIGHT]]*9.81),0)</f>
        <v>6.6258919469928637E-2</v>
      </c>
      <c r="T139" s="28">
        <v>0.08</v>
      </c>
      <c r="U139" s="25">
        <f>ROUND(IF(IFERROR(PROPERTIES[[#This Row],[TE_COEFFICIENT_CALC]],0)=0,PROPERTIES[[#This Row],[TE_COEFFICIENT_MANUAL]],PROPERTIES[[#This Row],[TE_COEFFICIENT_CALC]]),3)</f>
        <v>6.6000000000000003E-2</v>
      </c>
      <c r="V139" s="11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36">
        <v>0</v>
      </c>
      <c r="X139" s="9">
        <v>3</v>
      </c>
      <c r="Y139" s="10">
        <v>0</v>
      </c>
      <c r="Z139" t="s">
        <v>872</v>
      </c>
      <c r="AA139" t="s">
        <v>868</v>
      </c>
      <c r="AB139" s="2" t="s">
        <v>886</v>
      </c>
      <c r="AC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9" s="2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H139" s="10" t="b">
        <v>0</v>
      </c>
      <c r="AY139"/>
      <c r="AZ139"/>
      <c r="BA139"/>
    </row>
    <row r="140" spans="1:53">
      <c r="A140" s="2" t="s">
        <v>160</v>
      </c>
      <c r="B140">
        <v>1911</v>
      </c>
      <c r="C140" cm="1">
        <f t="array" ref="C140">_xlfn.IFS(ISNUMBER(SEARCH("wagon",PROPERTIES[[#This Row],[VEHIDCODE]])),0,OR(MID(PROPERTIES[[#This Row],[VEHIDCODE]],2,2)="mu",_xlfn.TEXTBEFORE(PROPERTIES[[#This Row],[VEHIDCODE]],"_")="mtro"),1,1=1,0)</f>
        <v>0</v>
      </c>
      <c r="D140" t="s">
        <v>1773</v>
      </c>
      <c r="E140" t="str">
        <f>_xlfn.XLOOKUP(PROPERTIES[[#This Row],[COUNTRY]],COUNTRIES[COUNTRY_DESCRIPTION],COUNTRIES[COUNTRY_LABEL],"")</f>
        <v>ER</v>
      </c>
      <c r="F140" t="str" cm="1">
        <f t="array" ref="F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0" t="s">
        <v>19</v>
      </c>
      <c r="H140">
        <v>0</v>
      </c>
      <c r="I140">
        <v>5</v>
      </c>
      <c r="J140">
        <v>5</v>
      </c>
      <c r="K140" t="str" cm="1">
        <f t="array" ref="K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0">
        <f>_xlfn.XLOOKUP("LOADINGSPEEDDEF_"&amp;PROPERTIES[[#This Row],[LOADINGSPEED]],LOADINGSPEEDDEF[TYPE],LOADINGSPEEDDEF[SPEED])</f>
        <v>20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f>IF(ISNUMBER(SEARCH("passenger",PROPERTIES[[#This Row],[CARGODEF]])),1,0)</f>
        <v>0</v>
      </c>
      <c r="O140" s="32">
        <v>35</v>
      </c>
      <c r="P140">
        <v>250</v>
      </c>
      <c r="Q140">
        <v>40</v>
      </c>
      <c r="R140" s="29">
        <v>48</v>
      </c>
      <c r="S140" s="28">
        <f>IFERROR(PROPERTIES[[#This Row],[TE_STARTING_KN]]/(PROPERTIES[[#This Row],[WEIGHT]]*9.81),0)</f>
        <v>0.13979903888160769</v>
      </c>
      <c r="T140" s="28">
        <v>0.14000000000000001</v>
      </c>
      <c r="U140" s="25">
        <f>ROUND(IF(IFERROR(PROPERTIES[[#This Row],[TE_COEFFICIENT_CALC]],0)=0,PROPERTIES[[#This Row],[TE_COEFFICIENT_MANUAL]],PROPERTIES[[#This Row],[TE_COEFFICIENT_CALC]]),3)</f>
        <v>0.14000000000000001</v>
      </c>
      <c r="V140" s="11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36">
        <v>0</v>
      </c>
      <c r="X140" s="9">
        <v>0</v>
      </c>
      <c r="Y140" s="10">
        <v>0</v>
      </c>
      <c r="Z140" t="s">
        <v>872</v>
      </c>
      <c r="AA140" t="s">
        <v>868</v>
      </c>
      <c r="AB140" s="2" t="s">
        <v>886</v>
      </c>
      <c r="AC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0" s="2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H140" s="10" t="b">
        <v>0</v>
      </c>
      <c r="AY140"/>
      <c r="AZ140"/>
      <c r="BA140"/>
    </row>
    <row r="141" spans="1:53">
      <c r="A141" s="2" t="s">
        <v>161</v>
      </c>
      <c r="B141">
        <v>1923</v>
      </c>
      <c r="C141" cm="1">
        <f t="array" ref="C141">_xlfn.IFS(ISNUMBER(SEARCH("wagon",PROPERTIES[[#This Row],[VEHIDCODE]])),0,OR(MID(PROPERTIES[[#This Row],[VEHIDCODE]],2,2)="mu",_xlfn.TEXTBEFORE(PROPERTIES[[#This Row],[VEHIDCODE]],"_")="mtro"),1,1=1,0)</f>
        <v>0</v>
      </c>
      <c r="D141" t="s">
        <v>1820</v>
      </c>
      <c r="E141" t="str">
        <f>_xlfn.XLOOKUP(PROPERTIES[[#This Row],[COUNTRY]],COUNTRIES[COUNTRY_DESCRIPTION],COUNTRIES[COUNTRY_LABEL],"")</f>
        <v>KE</v>
      </c>
      <c r="F141" t="str" cm="1">
        <f t="array" ref="F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1" t="s">
        <v>19</v>
      </c>
      <c r="H141">
        <v>0</v>
      </c>
      <c r="I141">
        <v>5</v>
      </c>
      <c r="J141">
        <v>8</v>
      </c>
      <c r="K141" t="str" cm="1">
        <f t="array" ref="K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1">
        <f>_xlfn.XLOOKUP("LOADINGSPEEDDEF_"&amp;PROPERTIES[[#This Row],[LOADINGSPEED]],LOADINGSPEEDDEF[TYPE],LOADINGSPEEDDEF[SPEED])</f>
        <v>20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f>IF(ISNUMBER(SEARCH("passenger",PROPERTIES[[#This Row],[CARGODEF]])),1,0)</f>
        <v>0</v>
      </c>
      <c r="O141" s="32">
        <v>108</v>
      </c>
      <c r="P141">
        <v>1100</v>
      </c>
      <c r="Q141">
        <v>75</v>
      </c>
      <c r="R141" s="29">
        <v>108.49</v>
      </c>
      <c r="S141" s="28">
        <f>IFERROR(PROPERTIES[[#This Row],[TE_STARTING_KN]]/(PROPERTIES[[#This Row],[WEIGHT]]*9.81),0)</f>
        <v>0.10239929021784271</v>
      </c>
      <c r="T141" s="28">
        <v>0.14000000000000001</v>
      </c>
      <c r="U141" s="25">
        <f>ROUND(IF(IFERROR(PROPERTIES[[#This Row],[TE_COEFFICIENT_CALC]],0)=0,PROPERTIES[[#This Row],[TE_COEFFICIENT_MANUAL]],PROPERTIES[[#This Row],[TE_COEFFICIENT_CALC]]),3)</f>
        <v>0.10199999999999999</v>
      </c>
      <c r="V141" s="11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36">
        <v>0</v>
      </c>
      <c r="X141" s="9">
        <v>3</v>
      </c>
      <c r="Y141" s="10">
        <v>0</v>
      </c>
      <c r="Z141" t="s">
        <v>872</v>
      </c>
      <c r="AA141" t="s">
        <v>868</v>
      </c>
      <c r="AB141" s="2" t="s">
        <v>886</v>
      </c>
      <c r="AC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1" s="2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1" s="2" t="b">
        <v>0</v>
      </c>
      <c r="AH141" s="10" t="b">
        <v>0</v>
      </c>
      <c r="AY141"/>
      <c r="AZ141"/>
      <c r="BA141"/>
    </row>
    <row r="142" spans="1:53">
      <c r="A142" s="2" t="s">
        <v>162</v>
      </c>
      <c r="B142">
        <v>1928</v>
      </c>
      <c r="C142" cm="1">
        <f t="array" ref="C142">_xlfn.IFS(ISNUMBER(SEARCH("wagon",PROPERTIES[[#This Row],[VEHIDCODE]])),0,OR(MID(PROPERTIES[[#This Row],[VEHIDCODE]],2,2)="mu",_xlfn.TEXTBEFORE(PROPERTIES[[#This Row],[VEHIDCODE]],"_")="mtro"),1,1=1,0)</f>
        <v>0</v>
      </c>
      <c r="D142" t="s">
        <v>1820</v>
      </c>
      <c r="E142" t="str">
        <f>_xlfn.XLOOKUP(PROPERTIES[[#This Row],[COUNTRY]],COUNTRIES[COUNTRY_DESCRIPTION],COUNTRIES[COUNTRY_LABEL],"")</f>
        <v>KE</v>
      </c>
      <c r="F142" t="str" cm="1">
        <f t="array" ref="F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2" t="s">
        <v>19</v>
      </c>
      <c r="H142">
        <v>0</v>
      </c>
      <c r="I142">
        <v>6</v>
      </c>
      <c r="J142">
        <v>9</v>
      </c>
      <c r="K142" t="str" cm="1">
        <f t="array" ref="K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2">
        <f>_xlfn.XLOOKUP("LOADINGSPEEDDEF_"&amp;PROPERTIES[[#This Row],[LOADINGSPEED]],LOADINGSPEEDDEF[TYPE],LOADINGSPEEDDEF[SPEED])</f>
        <v>20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f>IF(ISNUMBER(SEARCH("passenger",PROPERTIES[[#This Row],[CARGODEF]])),1,0)</f>
        <v>0</v>
      </c>
      <c r="O142" s="32">
        <v>94.2</v>
      </c>
      <c r="P142">
        <v>900</v>
      </c>
      <c r="Q142">
        <v>65</v>
      </c>
      <c r="R142" s="29">
        <v>108.09</v>
      </c>
      <c r="S142" s="28">
        <f>IFERROR(PROPERTIES[[#This Row],[TE_STARTING_KN]]/(PROPERTIES[[#This Row],[WEIGHT]]*9.81),0)</f>
        <v>0.11696760747190245</v>
      </c>
      <c r="T142" s="28">
        <v>0.13</v>
      </c>
      <c r="U142" s="25">
        <f>ROUND(IF(IFERROR(PROPERTIES[[#This Row],[TE_COEFFICIENT_CALC]],0)=0,PROPERTIES[[#This Row],[TE_COEFFICIENT_MANUAL]],PROPERTIES[[#This Row],[TE_COEFFICIENT_CALC]]),3)</f>
        <v>0.11700000000000001</v>
      </c>
      <c r="V142" s="11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36">
        <v>0</v>
      </c>
      <c r="X142" s="9">
        <v>3</v>
      </c>
      <c r="Y142" s="10">
        <v>0</v>
      </c>
      <c r="Z142" t="s">
        <v>872</v>
      </c>
      <c r="AA142" t="s">
        <v>868</v>
      </c>
      <c r="AB142" s="2" t="s">
        <v>886</v>
      </c>
      <c r="AC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2" s="2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2" s="2" t="b">
        <v>0</v>
      </c>
      <c r="AH142" s="10" t="b">
        <v>0</v>
      </c>
      <c r="AY142"/>
      <c r="AZ142"/>
      <c r="BA142"/>
    </row>
    <row r="143" spans="1:53">
      <c r="A143" s="2" t="s">
        <v>163</v>
      </c>
      <c r="B143">
        <v>1940</v>
      </c>
      <c r="C143" cm="1">
        <f t="array" ref="C143">_xlfn.IFS(ISNUMBER(SEARCH("wagon",PROPERTIES[[#This Row],[VEHIDCODE]])),0,OR(MID(PROPERTIES[[#This Row],[VEHIDCODE]],2,2)="mu",_xlfn.TEXTBEFORE(PROPERTIES[[#This Row],[VEHIDCODE]],"_")="mtro"),1,1=1,0)</f>
        <v>0</v>
      </c>
      <c r="D143" t="s">
        <v>1953</v>
      </c>
      <c r="E143" t="str">
        <f>_xlfn.XLOOKUP(PROPERTIES[[#This Row],[COUNTRY]],COUNTRIES[COUNTRY_DESCRIPTION],COUNTRIES[COUNTRY_LABEL],"")</f>
        <v>ZW</v>
      </c>
      <c r="F143" t="str" cm="1">
        <f t="array" ref="F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3" t="s">
        <v>19</v>
      </c>
      <c r="H143">
        <v>0</v>
      </c>
      <c r="I143">
        <v>4</v>
      </c>
      <c r="J143">
        <v>12</v>
      </c>
      <c r="K143" t="str" cm="1">
        <f t="array" ref="K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3">
        <f>_xlfn.XLOOKUP("LOADINGSPEEDDEF_"&amp;PROPERTIES[[#This Row],[LOADINGSPEED]],LOADINGSPEEDDEF[TYPE],LOADINGSPEEDDEF[SPEED])</f>
        <v>20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f>IF(ISNUMBER(SEARCH("passenger",PROPERTIES[[#This Row],[CARGODEF]])),1,0)</f>
        <v>0</v>
      </c>
      <c r="O143" s="32">
        <v>179.5</v>
      </c>
      <c r="P143">
        <v>1600</v>
      </c>
      <c r="Q143">
        <v>100</v>
      </c>
      <c r="R143" s="29">
        <v>190.1</v>
      </c>
      <c r="S143" s="28">
        <f>IFERROR(PROPERTIES[[#This Row],[TE_STARTING_KN]]/(PROPERTIES[[#This Row],[WEIGHT]]*9.81),0)</f>
        <v>0.10795646532019229</v>
      </c>
      <c r="T143" s="28">
        <v>0.1</v>
      </c>
      <c r="U143" s="25">
        <f>ROUND(IF(IFERROR(PROPERTIES[[#This Row],[TE_COEFFICIENT_CALC]],0)=0,PROPERTIES[[#This Row],[TE_COEFFICIENT_MANUAL]],PROPERTIES[[#This Row],[TE_COEFFICIENT_CALC]]),3)</f>
        <v>0.108</v>
      </c>
      <c r="V143" s="11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36">
        <v>0</v>
      </c>
      <c r="X143" s="9">
        <v>0</v>
      </c>
      <c r="Y143" s="10">
        <v>0</v>
      </c>
      <c r="Z143" t="s">
        <v>872</v>
      </c>
      <c r="AA143" t="s">
        <v>868</v>
      </c>
      <c r="AB143" s="2" t="s">
        <v>886</v>
      </c>
      <c r="AC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3" s="2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H143" s="10" t="b">
        <v>0</v>
      </c>
      <c r="AY143"/>
      <c r="AZ143"/>
      <c r="BA143"/>
    </row>
    <row r="144" spans="1:53">
      <c r="A144" s="2" t="s">
        <v>164</v>
      </c>
      <c r="B144">
        <v>1953</v>
      </c>
      <c r="C144" cm="1">
        <f t="array" ref="C144">_xlfn.IFS(ISNUMBER(SEARCH("wagon",PROPERTIES[[#This Row],[VEHIDCODE]])),0,OR(MID(PROPERTIES[[#This Row],[VEHIDCODE]],2,2)="mu",_xlfn.TEXTBEFORE(PROPERTIES[[#This Row],[VEHIDCODE]],"_")="mtro"),1,1=1,0)</f>
        <v>0</v>
      </c>
      <c r="D144" t="s">
        <v>1951</v>
      </c>
      <c r="E144" t="str">
        <f>_xlfn.XLOOKUP(PROPERTIES[[#This Row],[COUNTRY]],COUNTRIES[COUNTRY_DESCRIPTION],COUNTRIES[COUNTRY_LABEL],"")</f>
        <v>ZA</v>
      </c>
      <c r="F144" t="str" cm="1">
        <f t="array" ref="F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4" t="s">
        <v>19</v>
      </c>
      <c r="H144">
        <v>0</v>
      </c>
      <c r="I144">
        <v>7</v>
      </c>
      <c r="J144">
        <v>12</v>
      </c>
      <c r="K144" t="str" cm="1">
        <f t="array" ref="K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4">
        <f>_xlfn.XLOOKUP("LOADINGSPEEDDEF_"&amp;PROPERTIES[[#This Row],[LOADINGSPEED]],LOADINGSPEEDDEF[TYPE],LOADINGSPEEDDEF[SPEED])</f>
        <v>20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f>IF(ISNUMBER(SEARCH("passenger",PROPERTIES[[#This Row],[CARGODEF]])),1,0)</f>
        <v>0</v>
      </c>
      <c r="O144" s="32">
        <v>241.3</v>
      </c>
      <c r="P144">
        <v>2500</v>
      </c>
      <c r="Q144">
        <v>85</v>
      </c>
      <c r="R144" s="29">
        <v>430</v>
      </c>
      <c r="S144" s="28">
        <f>IFERROR(PROPERTIES[[#This Row],[TE_STARTING_KN]]/(PROPERTIES[[#This Row],[WEIGHT]]*9.81),0)</f>
        <v>0.1816528124713527</v>
      </c>
      <c r="T144" s="28">
        <v>0.13</v>
      </c>
      <c r="U144" s="25">
        <f>ROUND(IF(IFERROR(PROPERTIES[[#This Row],[TE_COEFFICIENT_CALC]],0)=0,PROPERTIES[[#This Row],[TE_COEFFICIENT_MANUAL]],PROPERTIES[[#This Row],[TE_COEFFICIENT_CALC]]),3)</f>
        <v>0.182</v>
      </c>
      <c r="V144" s="11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36">
        <v>0</v>
      </c>
      <c r="X144" s="9">
        <v>0</v>
      </c>
      <c r="Y144" s="10">
        <v>0</v>
      </c>
      <c r="Z144" t="s">
        <v>872</v>
      </c>
      <c r="AA144" t="s">
        <v>868</v>
      </c>
      <c r="AB144" s="2" t="s">
        <v>886</v>
      </c>
      <c r="AC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4" s="2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H144" s="10" t="b">
        <v>0</v>
      </c>
      <c r="AY144"/>
      <c r="AZ144"/>
      <c r="BA144"/>
    </row>
    <row r="145" spans="1:53">
      <c r="A145" s="2" t="s">
        <v>165</v>
      </c>
      <c r="B145">
        <v>1955</v>
      </c>
      <c r="C145" cm="1">
        <f t="array" ref="C145">_xlfn.IFS(ISNUMBER(SEARCH("wagon",PROPERTIES[[#This Row],[VEHIDCODE]])),0,OR(MID(PROPERTIES[[#This Row],[VEHIDCODE]],2,2)="mu",_xlfn.TEXTBEFORE(PROPERTIES[[#This Row],[VEHIDCODE]],"_")="mtro"),1,1=1,0)</f>
        <v>0</v>
      </c>
      <c r="D145" t="s">
        <v>1820</v>
      </c>
      <c r="E145" t="str">
        <f>_xlfn.XLOOKUP(PROPERTIES[[#This Row],[COUNTRY]],COUNTRIES[COUNTRY_DESCRIPTION],COUNTRIES[COUNTRY_LABEL],"")</f>
        <v>KE</v>
      </c>
      <c r="F145" t="str" cm="1">
        <f t="array" ref="F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5" t="s">
        <v>19</v>
      </c>
      <c r="H145">
        <v>0</v>
      </c>
      <c r="I145">
        <v>7</v>
      </c>
      <c r="J145">
        <v>11</v>
      </c>
      <c r="K145" t="str" cm="1">
        <f t="array" ref="K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5">
        <f>_xlfn.XLOOKUP("LOADINGSPEEDDEF_"&amp;PROPERTIES[[#This Row],[LOADINGSPEED]],LOADINGSPEEDDEF[TYPE],LOADINGSPEEDDEF[SPEED])</f>
        <v>20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f>IF(ISNUMBER(SEARCH("passenger",PROPERTIES[[#This Row],[CARGODEF]])),1,0)</f>
        <v>0</v>
      </c>
      <c r="O145" s="32">
        <v>135.19999999999999</v>
      </c>
      <c r="P145">
        <v>1650</v>
      </c>
      <c r="Q145">
        <v>95</v>
      </c>
      <c r="R145" s="29">
        <v>118.32</v>
      </c>
      <c r="S145" s="28">
        <f>IFERROR(PROPERTIES[[#This Row],[TE_STARTING_KN]]/(PROPERTIES[[#This Row],[WEIGHT]]*9.81),0)</f>
        <v>8.9209778694605793E-2</v>
      </c>
      <c r="T145" s="28">
        <v>0.1</v>
      </c>
      <c r="U145" s="25">
        <f>ROUND(IF(IFERROR(PROPERTIES[[#This Row],[TE_COEFFICIENT_CALC]],0)=0,PROPERTIES[[#This Row],[TE_COEFFICIENT_MANUAL]],PROPERTIES[[#This Row],[TE_COEFFICIENT_CALC]]),3)</f>
        <v>8.8999999999999996E-2</v>
      </c>
      <c r="V145" s="11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36">
        <v>0</v>
      </c>
      <c r="X145" s="9">
        <v>4</v>
      </c>
      <c r="Y145" s="10">
        <v>0</v>
      </c>
      <c r="Z145" t="s">
        <v>872</v>
      </c>
      <c r="AA145" t="s">
        <v>868</v>
      </c>
      <c r="AB145" s="2" t="s">
        <v>886</v>
      </c>
      <c r="AC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5" s="2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5" s="2" t="b">
        <v>0</v>
      </c>
      <c r="AH145" s="10" t="b">
        <v>0</v>
      </c>
      <c r="AY145"/>
      <c r="AZ145"/>
      <c r="BA145"/>
    </row>
    <row r="146" spans="1:53">
      <c r="A146" s="2" t="s">
        <v>166</v>
      </c>
      <c r="B146">
        <v>1855</v>
      </c>
      <c r="C146" cm="1">
        <f t="array" ref="C146">_xlfn.IFS(ISNUMBER(SEARCH("wagon",PROPERTIES[[#This Row],[VEHIDCODE]])),0,OR(MID(PROPERTIES[[#This Row],[VEHIDCODE]],2,2)="mu",_xlfn.TEXTBEFORE(PROPERTIES[[#This Row],[VEHIDCODE]],"_")="mtro"),1,1=1,0)</f>
        <v>0</v>
      </c>
      <c r="D146" t="s">
        <v>1810</v>
      </c>
      <c r="E146" t="str">
        <f>_xlfn.XLOOKUP(PROPERTIES[[#This Row],[COUNTRY]],COUNTRIES[COUNTRY_DESCRIPTION],COUNTRIES[COUNTRY_LABEL],"")</f>
        <v>IN</v>
      </c>
      <c r="F146" t="str" cm="1">
        <f t="array" ref="F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6" t="s">
        <v>19</v>
      </c>
      <c r="H146">
        <v>0</v>
      </c>
      <c r="I146">
        <v>5</v>
      </c>
      <c r="J146">
        <v>5</v>
      </c>
      <c r="K146" t="str" cm="1">
        <f t="array" ref="K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6">
        <f>_xlfn.XLOOKUP("LOADINGSPEEDDEF_"&amp;PROPERTIES[[#This Row],[LOADINGSPEED]],LOADINGSPEEDDEF[TYPE],LOADINGSPEEDDEF[SPEED])</f>
        <v>20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f>IF(ISNUMBER(SEARCH("passenger",PROPERTIES[[#This Row],[CARGODEF]])),1,0)</f>
        <v>0</v>
      </c>
      <c r="O146" s="32">
        <v>28</v>
      </c>
      <c r="P146">
        <v>130</v>
      </c>
      <c r="Q146">
        <v>40</v>
      </c>
      <c r="R146" s="29">
        <v>20</v>
      </c>
      <c r="S146" s="28">
        <f>IFERROR(PROPERTIES[[#This Row],[TE_STARTING_KN]]/(PROPERTIES[[#This Row],[WEIGHT]]*9.81),0)</f>
        <v>7.2811999417504006E-2</v>
      </c>
      <c r="T146" s="28">
        <v>0.16</v>
      </c>
      <c r="U146" s="25">
        <f>ROUND(IF(IFERROR(PROPERTIES[[#This Row],[TE_COEFFICIENT_CALC]],0)=0,PROPERTIES[[#This Row],[TE_COEFFICIENT_MANUAL]],PROPERTIES[[#This Row],[TE_COEFFICIENT_CALC]]),3)</f>
        <v>7.2999999999999995E-2</v>
      </c>
      <c r="V146" s="11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36">
        <v>0</v>
      </c>
      <c r="X146" s="9">
        <v>0</v>
      </c>
      <c r="Y146" s="10">
        <v>0</v>
      </c>
      <c r="Z146" t="s">
        <v>877</v>
      </c>
      <c r="AA146" t="s">
        <v>868</v>
      </c>
      <c r="AB146" s="2" t="s">
        <v>886</v>
      </c>
      <c r="AC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6" s="2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H146" s="10" t="b">
        <v>0</v>
      </c>
      <c r="AY146"/>
      <c r="AZ146"/>
      <c r="BA146"/>
    </row>
    <row r="147" spans="1:53">
      <c r="A147" s="2" t="s">
        <v>167</v>
      </c>
      <c r="B147">
        <v>1889</v>
      </c>
      <c r="C147" cm="1">
        <f t="array" ref="C147">_xlfn.IFS(ISNUMBER(SEARCH("wagon",PROPERTIES[[#This Row],[VEHIDCODE]])),0,OR(MID(PROPERTIES[[#This Row],[VEHIDCODE]],2,2)="mu",_xlfn.TEXTBEFORE(PROPERTIES[[#This Row],[VEHIDCODE]],"_")="mtro"),1,1=1,0)</f>
        <v>0</v>
      </c>
      <c r="D147" t="s">
        <v>1810</v>
      </c>
      <c r="E147" t="str">
        <f>_xlfn.XLOOKUP(PROPERTIES[[#This Row],[COUNTRY]],COUNTRIES[COUNTRY_DESCRIPTION],COUNTRIES[COUNTRY_LABEL],"")</f>
        <v>IN</v>
      </c>
      <c r="F147" t="str" cm="1">
        <f t="array" ref="F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7" t="s">
        <v>19</v>
      </c>
      <c r="H147">
        <v>0</v>
      </c>
      <c r="I147">
        <v>5</v>
      </c>
      <c r="J147">
        <v>7</v>
      </c>
      <c r="K147" t="str" cm="1">
        <f t="array" ref="K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7">
        <f>_xlfn.XLOOKUP("LOADINGSPEEDDEF_"&amp;PROPERTIES[[#This Row],[LOADINGSPEED]],LOADINGSPEEDDEF[TYPE],LOADINGSPEEDDEF[SPEED])</f>
        <v>20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f>IF(ISNUMBER(SEARCH("passenger",PROPERTIES[[#This Row],[CARGODEF]])),1,0)</f>
        <v>0</v>
      </c>
      <c r="O147" s="32">
        <v>14.2</v>
      </c>
      <c r="P147">
        <v>100</v>
      </c>
      <c r="Q147">
        <v>25</v>
      </c>
      <c r="R147" s="29">
        <v>34.47</v>
      </c>
      <c r="S147" s="28">
        <f>IFERROR(PROPERTIES[[#This Row],[TE_STARTING_KN]]/(PROPERTIES[[#This Row],[WEIGHT]]*9.81),0)</f>
        <v>0.24744799069647241</v>
      </c>
      <c r="T147" s="28">
        <v>0.18</v>
      </c>
      <c r="U147" s="25">
        <f>ROUND(IF(IFERROR(PROPERTIES[[#This Row],[TE_COEFFICIENT_CALC]],0)=0,PROPERTIES[[#This Row],[TE_COEFFICIENT_MANUAL]],PROPERTIES[[#This Row],[TE_COEFFICIENT_CALC]]),3)</f>
        <v>0.247</v>
      </c>
      <c r="V147" s="11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36">
        <v>0</v>
      </c>
      <c r="X147" s="9">
        <v>2</v>
      </c>
      <c r="Y147" s="10">
        <v>0</v>
      </c>
      <c r="Z147" t="s">
        <v>877</v>
      </c>
      <c r="AA147" t="s">
        <v>868</v>
      </c>
      <c r="AB147" s="2" t="s">
        <v>886</v>
      </c>
      <c r="AC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7" s="2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H147" s="10" t="b">
        <v>0</v>
      </c>
      <c r="AY147"/>
      <c r="AZ147"/>
      <c r="BA147"/>
    </row>
    <row r="148" spans="1:53">
      <c r="A148" s="2" t="s">
        <v>168</v>
      </c>
      <c r="B148">
        <v>1895</v>
      </c>
      <c r="C148" cm="1">
        <f t="array" ref="C148">_xlfn.IFS(ISNUMBER(SEARCH("wagon",PROPERTIES[[#This Row],[VEHIDCODE]])),0,OR(MID(PROPERTIES[[#This Row],[VEHIDCODE]],2,2)="mu",_xlfn.TEXTBEFORE(PROPERTIES[[#This Row],[VEHIDCODE]],"_")="mtro"),1,1=1,0)</f>
        <v>0</v>
      </c>
      <c r="D148" t="s">
        <v>1754</v>
      </c>
      <c r="E148" t="str">
        <f>_xlfn.XLOOKUP(PROPERTIES[[#This Row],[COUNTRY]],COUNTRIES[COUNTRY_DESCRIPTION],COUNTRIES[COUNTRY_LABEL],"")</f>
        <v>CN</v>
      </c>
      <c r="F148" t="str" cm="1">
        <f t="array" ref="F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8" t="s">
        <v>19</v>
      </c>
      <c r="H148">
        <v>0</v>
      </c>
      <c r="I148">
        <v>5</v>
      </c>
      <c r="J148">
        <v>8</v>
      </c>
      <c r="K148" t="str" cm="1">
        <f t="array" ref="K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8">
        <f>_xlfn.XLOOKUP("LOADINGSPEEDDEF_"&amp;PROPERTIES[[#This Row],[LOADINGSPEED]],LOADINGSPEEDDEF[TYPE],LOADINGSPEEDDEF[SPEED])</f>
        <v>20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f>IF(ISNUMBER(SEARCH("passenger",PROPERTIES[[#This Row],[CARGODEF]])),1,0)</f>
        <v>0</v>
      </c>
      <c r="O148" s="32">
        <v>102.5</v>
      </c>
      <c r="P148">
        <v>850</v>
      </c>
      <c r="Q148">
        <v>70</v>
      </c>
      <c r="R148" s="29">
        <v>130</v>
      </c>
      <c r="S148" s="28">
        <f>IFERROR(PROPERTIES[[#This Row],[TE_STARTING_KN]]/(PROPERTIES[[#This Row],[WEIGHT]]*9.81),0)</f>
        <v>0.12928569652669003</v>
      </c>
      <c r="T148" s="28">
        <v>0.16</v>
      </c>
      <c r="U148" s="25">
        <f>ROUND(IF(IFERROR(PROPERTIES[[#This Row],[TE_COEFFICIENT_CALC]],0)=0,PROPERTIES[[#This Row],[TE_COEFFICIENT_MANUAL]],PROPERTIES[[#This Row],[TE_COEFFICIENT_CALC]]),3)</f>
        <v>0.129</v>
      </c>
      <c r="V148" s="11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36">
        <v>0</v>
      </c>
      <c r="X148" s="9">
        <v>3</v>
      </c>
      <c r="Y148" s="10">
        <v>0</v>
      </c>
      <c r="Z148" t="s">
        <v>877</v>
      </c>
      <c r="AA148" t="s">
        <v>868</v>
      </c>
      <c r="AB148" s="2" t="s">
        <v>886</v>
      </c>
      <c r="AC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8" s="2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8" s="2" t="b">
        <v>0</v>
      </c>
      <c r="AH148" s="10" t="b">
        <v>0</v>
      </c>
      <c r="AY148"/>
      <c r="AZ148"/>
      <c r="BA148"/>
    </row>
    <row r="149" spans="1:53">
      <c r="A149" s="2" t="s">
        <v>169</v>
      </c>
      <c r="B149">
        <v>1906</v>
      </c>
      <c r="C149" cm="1">
        <f t="array" ref="C149">_xlfn.IFS(ISNUMBER(SEARCH("wagon",PROPERTIES[[#This Row],[VEHIDCODE]])),0,OR(MID(PROPERTIES[[#This Row],[VEHIDCODE]],2,2)="mu",_xlfn.TEXTBEFORE(PROPERTIES[[#This Row],[VEHIDCODE]],"_")="mtro"),1,1=1,0)</f>
        <v>0</v>
      </c>
      <c r="D149" t="s">
        <v>1896</v>
      </c>
      <c r="E149" t="str">
        <f>_xlfn.XLOOKUP(PROPERTIES[[#This Row],[COUNTRY]],COUNTRIES[COUNTRY_DESCRIPTION],COUNTRIES[COUNTRY_LABEL],"")</f>
        <v>RU</v>
      </c>
      <c r="F149" t="str" cm="1">
        <f t="array" ref="F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9" t="s">
        <v>19</v>
      </c>
      <c r="H149">
        <v>0</v>
      </c>
      <c r="I149">
        <v>5</v>
      </c>
      <c r="J149">
        <v>8</v>
      </c>
      <c r="K149" t="str" cm="1">
        <f t="array" ref="K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9">
        <f>_xlfn.XLOOKUP("LOADINGSPEEDDEF_"&amp;PROPERTIES[[#This Row],[LOADINGSPEED]],LOADINGSPEEDDEF[TYPE],LOADINGSPEEDDEF[SPEED])</f>
        <v>20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f>IF(ISNUMBER(SEARCH("passenger",PROPERTIES[[#This Row],[CARGODEF]])),1,0)</f>
        <v>0</v>
      </c>
      <c r="O149" s="32">
        <v>126.5</v>
      </c>
      <c r="P149">
        <v>1200</v>
      </c>
      <c r="Q149">
        <v>115</v>
      </c>
      <c r="R149" s="29">
        <v>87</v>
      </c>
      <c r="S149" s="28">
        <f>IFERROR(PROPERTIES[[#This Row],[TE_STARTING_KN]]/(PROPERTIES[[#This Row],[WEIGHT]]*9.81),0)</f>
        <v>7.0106731454956411E-2</v>
      </c>
      <c r="T149" s="28">
        <v>0.13</v>
      </c>
      <c r="U149" s="25">
        <f>ROUND(IF(IFERROR(PROPERTIES[[#This Row],[TE_COEFFICIENT_CALC]],0)=0,PROPERTIES[[#This Row],[TE_COEFFICIENT_MANUAL]],PROPERTIES[[#This Row],[TE_COEFFICIENT_CALC]]),3)</f>
        <v>7.0000000000000007E-2</v>
      </c>
      <c r="V149" s="11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36">
        <v>0</v>
      </c>
      <c r="X149" s="9">
        <v>3</v>
      </c>
      <c r="Y149" s="10">
        <v>0</v>
      </c>
      <c r="Z149" t="s">
        <v>877</v>
      </c>
      <c r="AA149" t="s">
        <v>868</v>
      </c>
      <c r="AB149" s="2" t="s">
        <v>886</v>
      </c>
      <c r="AC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9" s="2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9" s="2" t="b">
        <v>0</v>
      </c>
      <c r="AH149" s="10" t="b">
        <v>0</v>
      </c>
      <c r="AY149"/>
      <c r="AZ149"/>
      <c r="BA149"/>
    </row>
    <row r="150" spans="1:53">
      <c r="A150" s="2" t="s">
        <v>170</v>
      </c>
      <c r="B150">
        <v>1915</v>
      </c>
      <c r="C150" cm="1">
        <f t="array" ref="C150">_xlfn.IFS(ISNUMBER(SEARCH("wagon",PROPERTIES[[#This Row],[VEHIDCODE]])),0,OR(MID(PROPERTIES[[#This Row],[VEHIDCODE]],2,2)="mu",_xlfn.TEXTBEFORE(PROPERTIES[[#This Row],[VEHIDCODE]],"_")="mtro"),1,1=1,0)</f>
        <v>0</v>
      </c>
      <c r="D150" t="s">
        <v>1896</v>
      </c>
      <c r="E150" t="str">
        <f>_xlfn.XLOOKUP(PROPERTIES[[#This Row],[COUNTRY]],COUNTRIES[COUNTRY_DESCRIPTION],COUNTRIES[COUNTRY_LABEL],"")</f>
        <v>RU</v>
      </c>
      <c r="F150" t="str" cm="1">
        <f t="array" ref="F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0" t="s">
        <v>19</v>
      </c>
      <c r="H150">
        <v>0</v>
      </c>
      <c r="I150">
        <v>5</v>
      </c>
      <c r="J150">
        <v>8</v>
      </c>
      <c r="K150" t="str" cm="1">
        <f t="array" ref="K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0">
        <f>_xlfn.XLOOKUP("LOADINGSPEEDDEF_"&amp;PROPERTIES[[#This Row],[LOADINGSPEED]],LOADINGSPEEDDEF[TYPE],LOADINGSPEEDDEF[SPEED])</f>
        <v>20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f>IF(ISNUMBER(SEARCH("passenger",PROPERTIES[[#This Row],[CARGODEF]])),1,0)</f>
        <v>0</v>
      </c>
      <c r="O150" s="32">
        <v>155</v>
      </c>
      <c r="P150">
        <v>1600</v>
      </c>
      <c r="Q150">
        <v>89</v>
      </c>
      <c r="R150" s="29">
        <v>229.08</v>
      </c>
      <c r="S150" s="28">
        <f>IFERROR(PROPERTIES[[#This Row],[TE_STARTING_KN]]/(PROPERTIES[[#This Row],[WEIGHT]]*9.81),0)</f>
        <v>0.15065601262700995</v>
      </c>
      <c r="T150" s="28">
        <v>0.22</v>
      </c>
      <c r="U150" s="25">
        <f>ROUND(IF(IFERROR(PROPERTIES[[#This Row],[TE_COEFFICIENT_CALC]],0)=0,PROPERTIES[[#This Row],[TE_COEFFICIENT_MANUAL]],PROPERTIES[[#This Row],[TE_COEFFICIENT_CALC]]),3)</f>
        <v>0.151</v>
      </c>
      <c r="V150" s="11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36">
        <v>0</v>
      </c>
      <c r="X150" s="9">
        <v>3</v>
      </c>
      <c r="Y150" s="10">
        <v>0</v>
      </c>
      <c r="Z150" t="s">
        <v>877</v>
      </c>
      <c r="AA150" t="s">
        <v>868</v>
      </c>
      <c r="AB150" s="2" t="s">
        <v>886</v>
      </c>
      <c r="AC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0" s="2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H150" s="10" t="b">
        <v>0</v>
      </c>
      <c r="AY150"/>
      <c r="AZ150"/>
      <c r="BA150"/>
    </row>
    <row r="151" spans="1:53">
      <c r="A151" s="2" t="s">
        <v>171</v>
      </c>
      <c r="B151">
        <v>1918</v>
      </c>
      <c r="C151" cm="1">
        <f t="array" ref="C151">_xlfn.IFS(ISNUMBER(SEARCH("wagon",PROPERTIES[[#This Row],[VEHIDCODE]])),0,OR(MID(PROPERTIES[[#This Row],[VEHIDCODE]],2,2)="mu",_xlfn.TEXTBEFORE(PROPERTIES[[#This Row],[VEHIDCODE]],"_")="mtro"),1,1=1,0)</f>
        <v>0</v>
      </c>
      <c r="D151" t="s">
        <v>1808</v>
      </c>
      <c r="E151" t="str">
        <f>_xlfn.XLOOKUP(PROPERTIES[[#This Row],[COUNTRY]],COUNTRIES[COUNTRY_DESCRIPTION],COUNTRIES[COUNTRY_LABEL],"")</f>
        <v>IL</v>
      </c>
      <c r="F151" t="str" cm="1">
        <f t="array" ref="F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1" t="s">
        <v>19</v>
      </c>
      <c r="H151">
        <v>0</v>
      </c>
      <c r="I151">
        <v>5</v>
      </c>
      <c r="J151">
        <v>8</v>
      </c>
      <c r="K151" t="str" cm="1">
        <f t="array" ref="K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1">
        <f>_xlfn.XLOOKUP("LOADINGSPEEDDEF_"&amp;PROPERTIES[[#This Row],[LOADINGSPEED]],LOADINGSPEEDDEF[TYPE],LOADINGSPEEDDEF[SPEED])</f>
        <v>20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f>IF(ISNUMBER(SEARCH("passenger",PROPERTIES[[#This Row],[CARGODEF]])),1,0)</f>
        <v>0</v>
      </c>
      <c r="O151" s="32">
        <v>119</v>
      </c>
      <c r="P151">
        <v>1050</v>
      </c>
      <c r="Q151">
        <v>85</v>
      </c>
      <c r="R151" s="29">
        <v>108.9</v>
      </c>
      <c r="S151" s="28">
        <f>IFERROR(PROPERTIES[[#This Row],[TE_STARTING_KN]]/(PROPERTIES[[#This Row],[WEIGHT]]*9.81),0)</f>
        <v>9.3285020430190421E-2</v>
      </c>
      <c r="T151" s="28">
        <v>0.09</v>
      </c>
      <c r="U151" s="25">
        <f>ROUND(IF(IFERROR(PROPERTIES[[#This Row],[TE_COEFFICIENT_CALC]],0)=0,PROPERTIES[[#This Row],[TE_COEFFICIENT_MANUAL]],PROPERTIES[[#This Row],[TE_COEFFICIENT_CALC]]),3)</f>
        <v>9.2999999999999999E-2</v>
      </c>
      <c r="V151" s="11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36">
        <v>0</v>
      </c>
      <c r="X151" s="9">
        <v>3</v>
      </c>
      <c r="Y151" s="10">
        <v>0</v>
      </c>
      <c r="Z151" t="s">
        <v>877</v>
      </c>
      <c r="AA151" t="s">
        <v>868</v>
      </c>
      <c r="AB151" s="2" t="s">
        <v>886</v>
      </c>
      <c r="AC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1" s="2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1" s="2" t="b">
        <v>0</v>
      </c>
      <c r="AH151" s="10" t="b">
        <v>0</v>
      </c>
      <c r="AY151"/>
      <c r="AZ151"/>
      <c r="BA151"/>
    </row>
    <row r="152" spans="1:53">
      <c r="A152" s="2" t="s">
        <v>172</v>
      </c>
      <c r="B152">
        <v>1923</v>
      </c>
      <c r="C152" cm="1">
        <f t="array" ref="C152">_xlfn.IFS(ISNUMBER(SEARCH("wagon",PROPERTIES[[#This Row],[VEHIDCODE]])),0,OR(MID(PROPERTIES[[#This Row],[VEHIDCODE]],2,2)="mu",_xlfn.TEXTBEFORE(PROPERTIES[[#This Row],[VEHIDCODE]],"_")="mtro"),1,1=1,0)</f>
        <v>0</v>
      </c>
      <c r="D152" t="s">
        <v>1815</v>
      </c>
      <c r="E152" t="str">
        <f>_xlfn.XLOOKUP(PROPERTIES[[#This Row],[COUNTRY]],COUNTRIES[COUNTRY_DESCRIPTION],COUNTRIES[COUNTRY_LABEL],"")</f>
        <v>IT</v>
      </c>
      <c r="F152" t="str" cm="1">
        <f t="array" ref="F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2" t="s">
        <v>19</v>
      </c>
      <c r="H152">
        <v>0</v>
      </c>
      <c r="I152">
        <v>6</v>
      </c>
      <c r="J152">
        <v>10</v>
      </c>
      <c r="K152" t="str" cm="1">
        <f t="array" ref="K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2">
        <f>_xlfn.XLOOKUP("LOADINGSPEEDDEF_"&amp;PROPERTIES[[#This Row],[LOADINGSPEED]],LOADINGSPEEDDEF[TYPE],LOADINGSPEEDDEF[SPEED])</f>
        <v>20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f>IF(ISNUMBER(SEARCH("passenger",PROPERTIES[[#This Row],[CARGODEF]])),1,0)</f>
        <v>0</v>
      </c>
      <c r="O152" s="32">
        <v>128.80000000000001</v>
      </c>
      <c r="P152">
        <v>1500</v>
      </c>
      <c r="Q152">
        <v>70</v>
      </c>
      <c r="R152" s="29">
        <v>177.4</v>
      </c>
      <c r="S152" s="28">
        <f>IFERROR(PROPERTIES[[#This Row],[TE_STARTING_KN]]/(PROPERTIES[[#This Row],[WEIGHT]]*9.81),0)</f>
        <v>0.14040052931157834</v>
      </c>
      <c r="T152" s="28">
        <v>0.13</v>
      </c>
      <c r="U152" s="25">
        <f>ROUND(IF(IFERROR(PROPERTIES[[#This Row],[TE_COEFFICIENT_CALC]],0)=0,PROPERTIES[[#This Row],[TE_COEFFICIENT_MANUAL]],PROPERTIES[[#This Row],[TE_COEFFICIENT_CALC]]),3)</f>
        <v>0.14000000000000001</v>
      </c>
      <c r="V152" s="11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36">
        <v>0</v>
      </c>
      <c r="X152" s="9">
        <v>4</v>
      </c>
      <c r="Y152" s="10">
        <v>0</v>
      </c>
      <c r="Z152" t="s">
        <v>870</v>
      </c>
      <c r="AA152" t="s">
        <v>868</v>
      </c>
      <c r="AB152" s="2" t="s">
        <v>886</v>
      </c>
      <c r="AC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2" s="2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2" s="2" t="b">
        <v>0</v>
      </c>
      <c r="AH152" s="10" t="b">
        <v>0</v>
      </c>
      <c r="AY152"/>
      <c r="AZ152"/>
      <c r="BA152"/>
    </row>
    <row r="153" spans="1:53">
      <c r="A153" s="2" t="s">
        <v>173</v>
      </c>
      <c r="B153">
        <v>1928</v>
      </c>
      <c r="C153" cm="1">
        <f t="array" ref="C153">_xlfn.IFS(ISNUMBER(SEARCH("wagon",PROPERTIES[[#This Row],[VEHIDCODE]])),0,OR(MID(PROPERTIES[[#This Row],[VEHIDCODE]],2,2)="mu",_xlfn.TEXTBEFORE(PROPERTIES[[#This Row],[VEHIDCODE]],"_")="mtro"),1,1=1,0)</f>
        <v>0</v>
      </c>
      <c r="D153" t="s">
        <v>1815</v>
      </c>
      <c r="E153" t="str">
        <f>_xlfn.XLOOKUP(PROPERTIES[[#This Row],[COUNTRY]],COUNTRIES[COUNTRY_DESCRIPTION],COUNTRIES[COUNTRY_LABEL],"")</f>
        <v>IT</v>
      </c>
      <c r="F153" t="str" cm="1">
        <f t="array" ref="F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3" t="s">
        <v>19</v>
      </c>
      <c r="H153">
        <v>0</v>
      </c>
      <c r="I153">
        <v>6</v>
      </c>
      <c r="J153">
        <v>10</v>
      </c>
      <c r="K153" t="str" cm="1">
        <f t="array" ref="K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3">
        <f>_xlfn.XLOOKUP("LOADINGSPEEDDEF_"&amp;PROPERTIES[[#This Row],[LOADINGSPEED]],LOADINGSPEEDDEF[TYPE],LOADINGSPEEDDEF[SPEED])</f>
        <v>20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f>IF(ISNUMBER(SEARCH("passenger",PROPERTIES[[#This Row],[CARGODEF]])),1,0)</f>
        <v>0</v>
      </c>
      <c r="O153" s="32">
        <v>144</v>
      </c>
      <c r="P153">
        <v>1750</v>
      </c>
      <c r="Q153">
        <v>130</v>
      </c>
      <c r="R153" s="29">
        <v>145</v>
      </c>
      <c r="S153" s="28">
        <f>IFERROR(PROPERTIES[[#This Row],[TE_STARTING_KN]]/(PROPERTIES[[#This Row],[WEIGHT]]*9.81),0)</f>
        <v>0.10264469362328689</v>
      </c>
      <c r="T153" s="28">
        <v>0.1</v>
      </c>
      <c r="U153" s="25">
        <f>ROUND(IF(IFERROR(PROPERTIES[[#This Row],[TE_COEFFICIENT_CALC]],0)=0,PROPERTIES[[#This Row],[TE_COEFFICIENT_MANUAL]],PROPERTIES[[#This Row],[TE_COEFFICIENT_CALC]]),3)</f>
        <v>0.10299999999999999</v>
      </c>
      <c r="V153" s="11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36">
        <v>0</v>
      </c>
      <c r="X153" s="9">
        <v>4</v>
      </c>
      <c r="Y153" s="10">
        <v>0</v>
      </c>
      <c r="Z153" t="s">
        <v>870</v>
      </c>
      <c r="AA153" t="s">
        <v>868</v>
      </c>
      <c r="AB153" s="2" t="s">
        <v>886</v>
      </c>
      <c r="AC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3" s="2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H153" s="10" t="b">
        <v>0</v>
      </c>
      <c r="AY153"/>
      <c r="AZ153"/>
      <c r="BA153"/>
    </row>
    <row r="154" spans="1:53">
      <c r="A154" s="2" t="s">
        <v>174</v>
      </c>
      <c r="B154">
        <v>1943</v>
      </c>
      <c r="C154" cm="1">
        <f t="array" ref="C154">_xlfn.IFS(ISNUMBER(SEARCH("wagon",PROPERTIES[[#This Row],[VEHIDCODE]])),0,OR(MID(PROPERTIES[[#This Row],[VEHIDCODE]],2,2)="mu",_xlfn.TEXTBEFORE(PROPERTIES[[#This Row],[VEHIDCODE]],"_")="mtro"),1,1=1,0)</f>
        <v>0</v>
      </c>
      <c r="D154" t="s">
        <v>1794</v>
      </c>
      <c r="E154" t="str">
        <f>_xlfn.XLOOKUP(PROPERTIES[[#This Row],[COUNTRY]],COUNTRIES[COUNTRY_DESCRIPTION],COUNTRIES[COUNTRY_LABEL],"")</f>
        <v>GR</v>
      </c>
      <c r="F154" t="str" cm="1">
        <f t="array" ref="F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4" t="s">
        <v>19</v>
      </c>
      <c r="H154">
        <v>0</v>
      </c>
      <c r="I154">
        <v>7</v>
      </c>
      <c r="J154">
        <v>11</v>
      </c>
      <c r="K154" t="str" cm="1">
        <f t="array" ref="K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4">
        <f>_xlfn.XLOOKUP("LOADINGSPEEDDEF_"&amp;PROPERTIES[[#This Row],[LOADINGSPEED]],LOADINGSPEEDDEF[TYPE],LOADINGSPEEDDEF[SPEED])</f>
        <v>20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f>IF(ISNUMBER(SEARCH("passenger",PROPERTIES[[#This Row],[CARGODEF]])),1,0)</f>
        <v>0</v>
      </c>
      <c r="O154" s="32">
        <v>138.5</v>
      </c>
      <c r="P154">
        <v>1600</v>
      </c>
      <c r="Q154">
        <v>75</v>
      </c>
      <c r="R154" s="29">
        <v>152.19999999999999</v>
      </c>
      <c r="S154" s="28">
        <f>IFERROR(PROPERTIES[[#This Row],[TE_STARTING_KN]]/(PROPERTIES[[#This Row],[WEIGHT]]*9.81),0)</f>
        <v>0.11202007823741336</v>
      </c>
      <c r="T154" s="28">
        <v>0.11</v>
      </c>
      <c r="U154" s="25">
        <f>ROUND(IF(IFERROR(PROPERTIES[[#This Row],[TE_COEFFICIENT_CALC]],0)=0,PROPERTIES[[#This Row],[TE_COEFFICIENT_MANUAL]],PROPERTIES[[#This Row],[TE_COEFFICIENT_CALC]]),3)</f>
        <v>0.112</v>
      </c>
      <c r="V154" s="11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36">
        <v>0</v>
      </c>
      <c r="X154" s="9">
        <v>4</v>
      </c>
      <c r="Y154" s="10">
        <v>0</v>
      </c>
      <c r="Z154" t="s">
        <v>870</v>
      </c>
      <c r="AA154" t="s">
        <v>868</v>
      </c>
      <c r="AB154" s="2" t="s">
        <v>886</v>
      </c>
      <c r="AC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4" s="2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4" s="2" t="b">
        <v>0</v>
      </c>
      <c r="AH154" s="10" t="b">
        <v>0</v>
      </c>
      <c r="AY154"/>
      <c r="AZ154"/>
      <c r="BA154"/>
    </row>
    <row r="155" spans="1:53">
      <c r="A155" s="2" t="s">
        <v>175</v>
      </c>
      <c r="B155">
        <v>1951</v>
      </c>
      <c r="C155" cm="1">
        <f t="array" ref="C155">_xlfn.IFS(ISNUMBER(SEARCH("wagon",PROPERTIES[[#This Row],[VEHIDCODE]])),0,OR(MID(PROPERTIES[[#This Row],[VEHIDCODE]],2,2)="mu",_xlfn.TEXTBEFORE(PROPERTIES[[#This Row],[VEHIDCODE]],"_")="mtro"),1,1=1,0)</f>
        <v>0</v>
      </c>
      <c r="D155" t="s">
        <v>1712</v>
      </c>
      <c r="E155" t="str">
        <f>_xlfn.XLOOKUP(PROPERTIES[[#This Row],[COUNTRY]],COUNTRIES[COUNTRY_DESCRIPTION],COUNTRIES[COUNTRY_LABEL],"")</f>
        <v>AL</v>
      </c>
      <c r="F155" t="str" cm="1">
        <f t="array" ref="F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5" t="s">
        <v>19</v>
      </c>
      <c r="H155">
        <v>0</v>
      </c>
      <c r="I155">
        <v>5</v>
      </c>
      <c r="J155">
        <v>5</v>
      </c>
      <c r="K155" t="str" cm="1">
        <f t="array" ref="K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5">
        <f>_xlfn.XLOOKUP("LOADINGSPEEDDEF_"&amp;PROPERTIES[[#This Row],[LOADINGSPEED]],LOADINGSPEEDDEF[TYPE],LOADINGSPEEDDEF[SPEED])</f>
        <v>20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f>IF(ISNUMBER(SEARCH("passenger",PROPERTIES[[#This Row],[CARGODEF]])),1,0)</f>
        <v>0</v>
      </c>
      <c r="O155" s="32">
        <v>123.5</v>
      </c>
      <c r="P155">
        <v>1200</v>
      </c>
      <c r="Q155">
        <v>80</v>
      </c>
      <c r="R155" s="29">
        <v>138</v>
      </c>
      <c r="S155" s="28">
        <f>IFERROR(PROPERTIES[[#This Row],[TE_STARTING_KN]]/(PROPERTIES[[#This Row],[WEIGHT]]*9.81),0)</f>
        <v>0.11390508734786861</v>
      </c>
      <c r="T155" s="28">
        <v>0.14000000000000001</v>
      </c>
      <c r="U155" s="25">
        <f>ROUND(IF(IFERROR(PROPERTIES[[#This Row],[TE_COEFFICIENT_CALC]],0)=0,PROPERTIES[[#This Row],[TE_COEFFICIENT_MANUAL]],PROPERTIES[[#This Row],[TE_COEFFICIENT_CALC]]),3)</f>
        <v>0.114</v>
      </c>
      <c r="V155" s="11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36">
        <v>0</v>
      </c>
      <c r="X155" s="9">
        <v>0</v>
      </c>
      <c r="Y155" s="10">
        <v>0</v>
      </c>
      <c r="Z155" t="s">
        <v>870</v>
      </c>
      <c r="AA155" t="s">
        <v>868</v>
      </c>
      <c r="AB155" s="2" t="s">
        <v>886</v>
      </c>
      <c r="AC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5" s="2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5" s="2" t="b">
        <v>0</v>
      </c>
      <c r="AH155" s="10" t="b">
        <v>0</v>
      </c>
      <c r="AY155"/>
      <c r="AZ155"/>
      <c r="BA155"/>
    </row>
    <row r="156" spans="1:53">
      <c r="A156" s="2" t="s">
        <v>176</v>
      </c>
      <c r="B156">
        <v>1955</v>
      </c>
      <c r="C156" cm="1">
        <f t="array" ref="C156">_xlfn.IFS(ISNUMBER(SEARCH("wagon",PROPERTIES[[#This Row],[VEHIDCODE]])),0,OR(MID(PROPERTIES[[#This Row],[VEHIDCODE]],2,2)="mu",_xlfn.TEXTBEFORE(PROPERTIES[[#This Row],[VEHIDCODE]],"_")="mtro"),1,1=1,0)</f>
        <v>0</v>
      </c>
      <c r="D156" t="s">
        <v>1774</v>
      </c>
      <c r="E156" t="str">
        <f>_xlfn.XLOOKUP(PROPERTIES[[#This Row],[COUNTRY]],COUNTRIES[COUNTRY_DESCRIPTION],COUNTRIES[COUNTRY_LABEL],"")</f>
        <v>ES</v>
      </c>
      <c r="F156" t="str" cm="1">
        <f t="array" ref="F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6" t="s">
        <v>19</v>
      </c>
      <c r="H156">
        <v>0</v>
      </c>
      <c r="I156">
        <v>8</v>
      </c>
      <c r="J156">
        <v>13</v>
      </c>
      <c r="K156" t="str" cm="1">
        <f t="array" ref="K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6">
        <f>_xlfn.XLOOKUP("LOADINGSPEEDDEF_"&amp;PROPERTIES[[#This Row],[LOADINGSPEED]],LOADINGSPEEDDEF[TYPE],LOADINGSPEEDDEF[SPEED])</f>
        <v>20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f>IF(ISNUMBER(SEARCH("passenger",PROPERTIES[[#This Row],[CARGODEF]])),1,0)</f>
        <v>0</v>
      </c>
      <c r="O156" s="32">
        <v>213.5</v>
      </c>
      <c r="P156">
        <v>3500</v>
      </c>
      <c r="Q156">
        <f>ROUND(1.62*75,0)</f>
        <v>122</v>
      </c>
      <c r="R156" s="29">
        <v>0</v>
      </c>
      <c r="S156" s="28">
        <f>IFERROR(PROPERTIES[[#This Row],[TE_STARTING_KN]]/(PROPERTIES[[#This Row],[WEIGHT]]*9.81),0)</f>
        <v>0</v>
      </c>
      <c r="T156" s="28">
        <v>0.11</v>
      </c>
      <c r="U156" s="25">
        <f>ROUND(IF(IFERROR(PROPERTIES[[#This Row],[TE_COEFFICIENT_CALC]],0)=0,PROPERTIES[[#This Row],[TE_COEFFICIENT_MANUAL]],PROPERTIES[[#This Row],[TE_COEFFICIENT_CALC]]),3)</f>
        <v>0.11</v>
      </c>
      <c r="V156" s="11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36">
        <v>0</v>
      </c>
      <c r="X156" s="9">
        <v>5</v>
      </c>
      <c r="Y156" s="10">
        <v>0</v>
      </c>
      <c r="Z156" t="s">
        <v>870</v>
      </c>
      <c r="AA156" t="s">
        <v>868</v>
      </c>
      <c r="AB156" s="2" t="s">
        <v>886</v>
      </c>
      <c r="AC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6" s="2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H156" s="10" t="b">
        <v>0</v>
      </c>
      <c r="AY156"/>
      <c r="AZ156"/>
      <c r="BA156"/>
    </row>
    <row r="157" spans="1:53">
      <c r="A157" s="2" t="s">
        <v>177</v>
      </c>
      <c r="B157">
        <v>1910</v>
      </c>
      <c r="C157" cm="1">
        <f t="array" ref="C157">_xlfn.IFS(ISNUMBER(SEARCH("wagon",PROPERTIES[[#This Row],[VEHIDCODE]])),0,OR(MID(PROPERTIES[[#This Row],[VEHIDCODE]],2,2)="mu",_xlfn.TEXTBEFORE(PROPERTIES[[#This Row],[VEHIDCODE]],"_")="mtro"),1,1=1,0)</f>
        <v>0</v>
      </c>
      <c r="D157" t="s">
        <v>1762</v>
      </c>
      <c r="E157" t="str">
        <f>_xlfn.XLOOKUP(PROPERTIES[[#This Row],[COUNTRY]],COUNTRIES[COUNTRY_DESCRIPTION],COUNTRIES[COUNTRY_LABEL],"")</f>
        <v>CZ</v>
      </c>
      <c r="F157" t="str" cm="1">
        <f t="array" ref="F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7" t="s">
        <v>19</v>
      </c>
      <c r="H157">
        <v>0</v>
      </c>
      <c r="I157">
        <v>7</v>
      </c>
      <c r="J157">
        <v>10</v>
      </c>
      <c r="K157" t="str" cm="1">
        <f t="array" ref="K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7">
        <f>_xlfn.XLOOKUP("LOADINGSPEEDDEF_"&amp;PROPERTIES[[#This Row],[LOADINGSPEED]],LOADINGSPEEDDEF[TYPE],LOADINGSPEEDDEF[SPEED])</f>
        <v>20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f>IF(ISNUMBER(SEARCH("passenger",PROPERTIES[[#This Row],[CARGODEF]])),1,0)</f>
        <v>0</v>
      </c>
      <c r="O157" s="32">
        <v>132</v>
      </c>
      <c r="P157">
        <v>1400</v>
      </c>
      <c r="Q157">
        <v>60</v>
      </c>
      <c r="R157" s="29">
        <v>195</v>
      </c>
      <c r="S157" s="28">
        <f>IFERROR(PROPERTIES[[#This Row],[TE_STARTING_KN]]/(PROPERTIES[[#This Row],[WEIGHT]]*9.81),0)</f>
        <v>0.15058845334074691</v>
      </c>
      <c r="T157" s="28">
        <v>0.31</v>
      </c>
      <c r="U157" s="25">
        <f>ROUND(IF(IFERROR(PROPERTIES[[#This Row],[TE_COEFFICIENT_CALC]],0)=0,PROPERTIES[[#This Row],[TE_COEFFICIENT_MANUAL]],PROPERTIES[[#This Row],[TE_COEFFICIENT_CALC]]),3)</f>
        <v>0.151</v>
      </c>
      <c r="V157" s="11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36">
        <v>0</v>
      </c>
      <c r="X157" s="9">
        <v>3</v>
      </c>
      <c r="Y157" s="10">
        <v>0</v>
      </c>
      <c r="Z157" t="s">
        <v>875</v>
      </c>
      <c r="AA157" t="s">
        <v>868</v>
      </c>
      <c r="AB157" s="2" t="s">
        <v>886</v>
      </c>
      <c r="AC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7" s="2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7" s="2" t="b">
        <v>0</v>
      </c>
      <c r="AH157" s="10" t="b">
        <v>0</v>
      </c>
      <c r="AY157"/>
      <c r="AZ157"/>
      <c r="BA157"/>
    </row>
    <row r="158" spans="1:53">
      <c r="A158" s="2" t="s">
        <v>178</v>
      </c>
      <c r="B158">
        <v>1923</v>
      </c>
      <c r="C158" cm="1">
        <f t="array" ref="C158">_xlfn.IFS(ISNUMBER(SEARCH("wagon",PROPERTIES[[#This Row],[VEHIDCODE]])),0,OR(MID(PROPERTIES[[#This Row],[VEHIDCODE]],2,2)="mu",_xlfn.TEXTBEFORE(PROPERTIES[[#This Row],[VEHIDCODE]],"_")="mtro"),1,1=1,0)</f>
        <v>0</v>
      </c>
      <c r="D158" t="s">
        <v>1884</v>
      </c>
      <c r="E158" t="str">
        <f>_xlfn.XLOOKUP(PROPERTIES[[#This Row],[COUNTRY]],COUNTRIES[COUNTRY_DESCRIPTION],COUNTRIES[COUNTRY_LABEL],"")</f>
        <v>PL</v>
      </c>
      <c r="F158" t="str" cm="1">
        <f t="array" ref="F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8" t="s">
        <v>19</v>
      </c>
      <c r="H158">
        <v>0</v>
      </c>
      <c r="I158">
        <v>6</v>
      </c>
      <c r="J158">
        <v>9</v>
      </c>
      <c r="K158" t="str" cm="1">
        <f t="array" ref="K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8">
        <f>_xlfn.XLOOKUP("LOADINGSPEEDDEF_"&amp;PROPERTIES[[#This Row],[LOADINGSPEED]],LOADINGSPEEDDEF[TYPE],LOADINGSPEEDDEF[SPEED])</f>
        <v>20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f>IF(ISNUMBER(SEARCH("passenger",PROPERTIES[[#This Row],[CARGODEF]])),1,0)</f>
        <v>0</v>
      </c>
      <c r="O158" s="32">
        <v>133</v>
      </c>
      <c r="P158">
        <v>980</v>
      </c>
      <c r="Q158">
        <v>100</v>
      </c>
      <c r="R158" s="29">
        <v>123</v>
      </c>
      <c r="S158" s="28">
        <f>IFERROR(PROPERTIES[[#This Row],[TE_STARTING_KN]]/(PROPERTIES[[#This Row],[WEIGHT]]*9.81),0)</f>
        <v>9.4272378193189399E-2</v>
      </c>
      <c r="T158" s="28">
        <v>0.06</v>
      </c>
      <c r="U158" s="25">
        <f>ROUND(IF(IFERROR(PROPERTIES[[#This Row],[TE_COEFFICIENT_CALC]],0)=0,PROPERTIES[[#This Row],[TE_COEFFICIENT_MANUAL]],PROPERTIES[[#This Row],[TE_COEFFICIENT_CALC]]),3)</f>
        <v>9.4E-2</v>
      </c>
      <c r="V158" s="11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36">
        <v>0</v>
      </c>
      <c r="X158" s="9">
        <v>3</v>
      </c>
      <c r="Y158" s="10">
        <v>0</v>
      </c>
      <c r="Z158" t="s">
        <v>875</v>
      </c>
      <c r="AA158" t="s">
        <v>868</v>
      </c>
      <c r="AB158" s="2" t="s">
        <v>886</v>
      </c>
      <c r="AC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8" s="2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8" s="2" t="b">
        <v>0</v>
      </c>
      <c r="AH158" s="10" t="b">
        <v>0</v>
      </c>
      <c r="AY158"/>
      <c r="AZ158"/>
      <c r="BA158"/>
    </row>
    <row r="159" spans="1:53">
      <c r="A159" s="2" t="s">
        <v>179</v>
      </c>
      <c r="B159">
        <v>1924</v>
      </c>
      <c r="C159" cm="1">
        <f t="array" ref="C159">_xlfn.IFS(ISNUMBER(SEARCH("wagon",PROPERTIES[[#This Row],[VEHIDCODE]])),0,OR(MID(PROPERTIES[[#This Row],[VEHIDCODE]],2,2)="mu",_xlfn.TEXTBEFORE(PROPERTIES[[#This Row],[VEHIDCODE]],"_")="mtro"),1,1=1,0)</f>
        <v>0</v>
      </c>
      <c r="D159" t="s">
        <v>1803</v>
      </c>
      <c r="E159" t="str">
        <f>_xlfn.XLOOKUP(PROPERTIES[[#This Row],[COUNTRY]],COUNTRIES[COUNTRY_DESCRIPTION],COUNTRIES[COUNTRY_LABEL],"")</f>
        <v>HR</v>
      </c>
      <c r="F159" t="str" cm="1">
        <f t="array" ref="F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9" t="s">
        <v>19</v>
      </c>
      <c r="H159">
        <v>0</v>
      </c>
      <c r="I159">
        <v>7</v>
      </c>
      <c r="J159">
        <v>11</v>
      </c>
      <c r="K159" t="str" cm="1">
        <f t="array" ref="K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9">
        <f>_xlfn.XLOOKUP("LOADINGSPEEDDEF_"&amp;PROPERTIES[[#This Row],[LOADINGSPEED]],LOADINGSPEEDDEF[TYPE],LOADINGSPEEDDEF[SPEED])</f>
        <v>20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f>IF(ISNUMBER(SEARCH("passenger",PROPERTIES[[#This Row],[CARGODEF]])),1,0)</f>
        <v>0</v>
      </c>
      <c r="O159" s="32">
        <v>145.19999999999999</v>
      </c>
      <c r="P159">
        <v>1350</v>
      </c>
      <c r="Q159">
        <v>90</v>
      </c>
      <c r="R159" s="29">
        <v>113.2</v>
      </c>
      <c r="S159" s="28">
        <f>IFERROR(PROPERTIES[[#This Row],[TE_STARTING_KN]]/(PROPERTIES[[#This Row],[WEIGHT]]*9.81),0)</f>
        <v>7.9471388895909323E-2</v>
      </c>
      <c r="T159" s="28">
        <v>0.13</v>
      </c>
      <c r="U159" s="25">
        <f>ROUND(IF(IFERROR(PROPERTIES[[#This Row],[TE_COEFFICIENT_CALC]],0)=0,PROPERTIES[[#This Row],[TE_COEFFICIENT_MANUAL]],PROPERTIES[[#This Row],[TE_COEFFICIENT_CALC]]),3)</f>
        <v>7.9000000000000001E-2</v>
      </c>
      <c r="V159" s="11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36">
        <v>0</v>
      </c>
      <c r="X159" s="9">
        <v>4</v>
      </c>
      <c r="Y159" s="10">
        <v>0</v>
      </c>
      <c r="Z159" t="s">
        <v>875</v>
      </c>
      <c r="AA159" t="s">
        <v>868</v>
      </c>
      <c r="AB159" s="2" t="s">
        <v>886</v>
      </c>
      <c r="AC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9" s="2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H159" s="10" t="b">
        <v>0</v>
      </c>
      <c r="AY159"/>
      <c r="AZ159"/>
      <c r="BA159"/>
    </row>
    <row r="160" spans="1:53">
      <c r="A160" s="2" t="s">
        <v>180</v>
      </c>
      <c r="B160">
        <v>1936</v>
      </c>
      <c r="C160" cm="1">
        <f t="array" ref="C160">_xlfn.IFS(ISNUMBER(SEARCH("wagon",PROPERTIES[[#This Row],[VEHIDCODE]])),0,OR(MID(PROPERTIES[[#This Row],[VEHIDCODE]],2,2)="mu",_xlfn.TEXTBEFORE(PROPERTIES[[#This Row],[VEHIDCODE]],"_")="mtro"),1,1=1,0)</f>
        <v>0</v>
      </c>
      <c r="D160" t="s">
        <v>1805</v>
      </c>
      <c r="E160" t="str">
        <f>_xlfn.XLOOKUP(PROPERTIES[[#This Row],[COUNTRY]],COUNTRIES[COUNTRY_DESCRIPTION],COUNTRIES[COUNTRY_LABEL],"")</f>
        <v>HU</v>
      </c>
      <c r="F160" t="str" cm="1">
        <f t="array" ref="F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0" t="s">
        <v>19</v>
      </c>
      <c r="H160">
        <v>0</v>
      </c>
      <c r="I160">
        <v>7</v>
      </c>
      <c r="J160">
        <v>7</v>
      </c>
      <c r="K160" t="str" cm="1">
        <f t="array" ref="K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0">
        <f>_xlfn.XLOOKUP("LOADINGSPEEDDEF_"&amp;PROPERTIES[[#This Row],[LOADINGSPEED]],LOADINGSPEEDDEF[TYPE],LOADINGSPEEDDEF[SPEED])</f>
        <v>20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f>IF(ISNUMBER(SEARCH("passenger",PROPERTIES[[#This Row],[CARGODEF]])),1,0)</f>
        <v>0</v>
      </c>
      <c r="O160" s="32">
        <v>85</v>
      </c>
      <c r="P160">
        <v>618</v>
      </c>
      <c r="Q160">
        <v>120</v>
      </c>
      <c r="R160" s="29">
        <v>65</v>
      </c>
      <c r="S160" s="28">
        <f>IFERROR(PROPERTIES[[#This Row],[TE_STARTING_KN]]/(PROPERTIES[[#This Row],[WEIGHT]]*9.81),0)</f>
        <v>7.7951669964621939E-2</v>
      </c>
      <c r="T160" s="28">
        <v>0.08</v>
      </c>
      <c r="U160" s="25">
        <f>ROUND(IF(IFERROR(PROPERTIES[[#This Row],[TE_COEFFICIENT_CALC]],0)=0,PROPERTIES[[#This Row],[TE_COEFFICIENT_MANUAL]],PROPERTIES[[#This Row],[TE_COEFFICIENT_CALC]]),3)</f>
        <v>7.8E-2</v>
      </c>
      <c r="V160" s="11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36">
        <v>0</v>
      </c>
      <c r="X160" s="9">
        <v>0</v>
      </c>
      <c r="Y160" s="10">
        <v>0</v>
      </c>
      <c r="Z160" t="s">
        <v>875</v>
      </c>
      <c r="AA160" t="s">
        <v>868</v>
      </c>
      <c r="AB160" s="2" t="s">
        <v>886</v>
      </c>
      <c r="AC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0" s="2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H160" s="10" t="b">
        <v>0</v>
      </c>
      <c r="AY160"/>
      <c r="AZ160"/>
      <c r="BA160"/>
    </row>
    <row r="161" spans="1:53">
      <c r="A161" s="2" t="s">
        <v>181</v>
      </c>
      <c r="B161">
        <v>1946</v>
      </c>
      <c r="C161" cm="1">
        <f t="array" ref="C161">_xlfn.IFS(ISNUMBER(SEARCH("wagon",PROPERTIES[[#This Row],[VEHIDCODE]])),0,OR(MID(PROPERTIES[[#This Row],[VEHIDCODE]],2,2)="mu",_xlfn.TEXTBEFORE(PROPERTIES[[#This Row],[VEHIDCODE]],"_")="mtro"),1,1=1,0)</f>
        <v>0</v>
      </c>
      <c r="D161" t="s">
        <v>1762</v>
      </c>
      <c r="E161" t="str">
        <f>_xlfn.XLOOKUP(PROPERTIES[[#This Row],[COUNTRY]],COUNTRIES[COUNTRY_DESCRIPTION],COUNTRIES[COUNTRY_LABEL],"")</f>
        <v>CZ</v>
      </c>
      <c r="F161" t="str" cm="1">
        <f t="array" ref="F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1" t="s">
        <v>19</v>
      </c>
      <c r="H161">
        <v>0</v>
      </c>
      <c r="I161">
        <v>5</v>
      </c>
      <c r="J161">
        <v>9</v>
      </c>
      <c r="K161" t="str" cm="1">
        <f t="array" ref="K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1">
        <f>_xlfn.XLOOKUP("LOADINGSPEEDDEF_"&amp;PROPERTIES[[#This Row],[LOADINGSPEED]],LOADINGSPEEDDEF[TYPE],LOADINGSPEEDDEF[SPEED])</f>
        <v>20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f>IF(ISNUMBER(SEARCH("passenger",PROPERTIES[[#This Row],[CARGODEF]])),1,0)</f>
        <v>0</v>
      </c>
      <c r="O161" s="32">
        <v>143.69999999999999</v>
      </c>
      <c r="P161">
        <v>1857</v>
      </c>
      <c r="Q161">
        <v>80</v>
      </c>
      <c r="R161" s="29">
        <v>200</v>
      </c>
      <c r="S161" s="28">
        <f>IFERROR(PROPERTIES[[#This Row],[TE_STARTING_KN]]/(PROPERTIES[[#This Row],[WEIGHT]]*9.81),0)</f>
        <v>0.14187445954698066</v>
      </c>
      <c r="T161" s="28">
        <v>0.2</v>
      </c>
      <c r="U161" s="25">
        <f>ROUND(IF(IFERROR(PROPERTIES[[#This Row],[TE_COEFFICIENT_CALC]],0)=0,PROPERTIES[[#This Row],[TE_COEFFICIENT_MANUAL]],PROPERTIES[[#This Row],[TE_COEFFICIENT_CALC]]),3)</f>
        <v>0.14199999999999999</v>
      </c>
      <c r="V161" s="11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36">
        <v>0</v>
      </c>
      <c r="X161" s="9">
        <v>3</v>
      </c>
      <c r="Y161" s="10">
        <v>0</v>
      </c>
      <c r="Z161" t="s">
        <v>875</v>
      </c>
      <c r="AA161" t="s">
        <v>868</v>
      </c>
      <c r="AB161" s="2" t="s">
        <v>886</v>
      </c>
      <c r="AC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1" s="2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H161" s="10" t="b">
        <v>0</v>
      </c>
      <c r="AY161"/>
      <c r="AZ161"/>
      <c r="BA161"/>
    </row>
    <row r="162" spans="1:53">
      <c r="A162" s="2" t="s">
        <v>182</v>
      </c>
      <c r="B162">
        <v>1951</v>
      </c>
      <c r="C162" cm="1">
        <f t="array" ref="C162">_xlfn.IFS(ISNUMBER(SEARCH("wagon",PROPERTIES[[#This Row],[VEHIDCODE]])),0,OR(MID(PROPERTIES[[#This Row],[VEHIDCODE]],2,2)="mu",_xlfn.TEXTBEFORE(PROPERTIES[[#This Row],[VEHIDCODE]],"_")="mtro"),1,1=1,0)</f>
        <v>0</v>
      </c>
      <c r="D162" t="s">
        <v>1884</v>
      </c>
      <c r="E162" t="str">
        <f>_xlfn.XLOOKUP(PROPERTIES[[#This Row],[COUNTRY]],COUNTRIES[COUNTRY_DESCRIPTION],COUNTRIES[COUNTRY_LABEL],"")</f>
        <v>PL</v>
      </c>
      <c r="F162" t="str" cm="1">
        <f t="array" ref="F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2" t="s">
        <v>19</v>
      </c>
      <c r="H162">
        <v>0</v>
      </c>
      <c r="I162">
        <v>7</v>
      </c>
      <c r="J162">
        <v>11</v>
      </c>
      <c r="K162" t="str" cm="1">
        <f t="array" ref="K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2">
        <f>_xlfn.XLOOKUP("LOADINGSPEEDDEF_"&amp;PROPERTIES[[#This Row],[LOADINGSPEED]],LOADINGSPEEDDEF[TYPE],LOADINGSPEEDDEF[SPEED])</f>
        <v>20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f>IF(ISNUMBER(SEARCH("passenger",PROPERTIES[[#This Row],[CARGODEF]])),1,0)</f>
        <v>0</v>
      </c>
      <c r="O162" s="32">
        <v>144.9</v>
      </c>
      <c r="P162">
        <v>1290</v>
      </c>
      <c r="Q162">
        <v>100</v>
      </c>
      <c r="R162" s="29">
        <v>125</v>
      </c>
      <c r="S162" s="28">
        <f>IFERROR(PROPERTIES[[#This Row],[TE_STARTING_KN]]/(PROPERTIES[[#This Row],[WEIGHT]]*9.81),0)</f>
        <v>8.7937197364135272E-2</v>
      </c>
      <c r="T162" s="28">
        <v>0.1</v>
      </c>
      <c r="U162" s="25">
        <f>ROUND(IF(IFERROR(PROPERTIES[[#This Row],[TE_COEFFICIENT_CALC]],0)=0,PROPERTIES[[#This Row],[TE_COEFFICIENT_MANUAL]],PROPERTIES[[#This Row],[TE_COEFFICIENT_CALC]]),3)</f>
        <v>8.7999999999999995E-2</v>
      </c>
      <c r="V162" s="11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36">
        <v>0</v>
      </c>
      <c r="X162" s="9">
        <v>4</v>
      </c>
      <c r="Y162" s="10">
        <v>0</v>
      </c>
      <c r="Z162" t="s">
        <v>875</v>
      </c>
      <c r="AA162" t="s">
        <v>868</v>
      </c>
      <c r="AB162" s="2" t="s">
        <v>886</v>
      </c>
      <c r="AC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2" s="2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H162" s="10" t="b">
        <v>0</v>
      </c>
      <c r="AY162"/>
      <c r="AZ162"/>
      <c r="BA162"/>
    </row>
    <row r="163" spans="1:53">
      <c r="A163" s="2" t="s">
        <v>183</v>
      </c>
      <c r="B163">
        <v>1911</v>
      </c>
      <c r="C163" cm="1">
        <f t="array" ref="C163">_xlfn.IFS(ISNUMBER(SEARCH("wagon",PROPERTIES[[#This Row],[VEHIDCODE]])),0,OR(MID(PROPERTIES[[#This Row],[VEHIDCODE]],2,2)="mu",_xlfn.TEXTBEFORE(PROPERTIES[[#This Row],[VEHIDCODE]],"_")="mtro"),1,1=1,0)</f>
        <v>0</v>
      </c>
      <c r="D163" t="s">
        <v>1718</v>
      </c>
      <c r="E163" t="str">
        <f>_xlfn.XLOOKUP(PROPERTIES[[#This Row],[COUNTRY]],COUNTRIES[COUNTRY_DESCRIPTION],COUNTRIES[COUNTRY_LABEL],"")</f>
        <v>AT</v>
      </c>
      <c r="F163" t="str" cm="1">
        <f t="array" ref="F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3" t="s">
        <v>19</v>
      </c>
      <c r="H163">
        <v>0</v>
      </c>
      <c r="I163">
        <v>7</v>
      </c>
      <c r="J163">
        <v>11</v>
      </c>
      <c r="K163" t="str" cm="1">
        <f t="array" ref="K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3">
        <f>_xlfn.XLOOKUP("LOADINGSPEEDDEF_"&amp;PROPERTIES[[#This Row],[LOADINGSPEED]],LOADINGSPEEDDEF[TYPE],LOADINGSPEEDDEF[SPEED])</f>
        <v>20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f>IF(ISNUMBER(SEARCH("passenger",PROPERTIES[[#This Row],[CARGODEF]])),1,0)</f>
        <v>0</v>
      </c>
      <c r="O163" s="32">
        <v>138</v>
      </c>
      <c r="P163">
        <v>1885</v>
      </c>
      <c r="Q163">
        <v>100</v>
      </c>
      <c r="R163" s="29">
        <v>96.39</v>
      </c>
      <c r="S163" s="28">
        <f>IFERROR(PROPERTIES[[#This Row],[TE_STARTING_KN]]/(PROPERTIES[[#This Row],[WEIGHT]]*9.81),0)</f>
        <v>7.1200638213003598E-2</v>
      </c>
      <c r="T163" s="28">
        <v>0.17</v>
      </c>
      <c r="U163" s="25">
        <f>ROUND(IF(IFERROR(PROPERTIES[[#This Row],[TE_COEFFICIENT_CALC]],0)=0,PROPERTIES[[#This Row],[TE_COEFFICIENT_MANUAL]],PROPERTIES[[#This Row],[TE_COEFFICIENT_CALC]]),3)</f>
        <v>7.0999999999999994E-2</v>
      </c>
      <c r="V163" s="11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36">
        <v>0</v>
      </c>
      <c r="X163" s="9">
        <v>4</v>
      </c>
      <c r="Y163" s="10">
        <v>0</v>
      </c>
      <c r="Z163" t="s">
        <v>869</v>
      </c>
      <c r="AA163" t="s">
        <v>868</v>
      </c>
      <c r="AB163" s="2" t="s">
        <v>886</v>
      </c>
      <c r="AC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3" s="2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3" s="2" t="b">
        <v>0</v>
      </c>
      <c r="AH163" s="10" t="b">
        <v>0</v>
      </c>
      <c r="AY163"/>
      <c r="AZ163"/>
      <c r="BA163"/>
    </row>
    <row r="164" spans="1:53">
      <c r="A164" s="2" t="s">
        <v>184</v>
      </c>
      <c r="B164">
        <v>1941</v>
      </c>
      <c r="C164" cm="1">
        <f t="array" ref="C164">_xlfn.IFS(ISNUMBER(SEARCH("wagon",PROPERTIES[[#This Row],[VEHIDCODE]])),0,OR(MID(PROPERTIES[[#This Row],[VEHIDCODE]],2,2)="mu",_xlfn.TEXTBEFORE(PROPERTIES[[#This Row],[VEHIDCODE]],"_")="mtro"),1,1=1,0)</f>
        <v>0</v>
      </c>
      <c r="D164" t="s">
        <v>1937</v>
      </c>
      <c r="E164" t="str">
        <f>_xlfn.XLOOKUP(PROPERTIES[[#This Row],[COUNTRY]],COUNTRIES[COUNTRY_DESCRIPTION],COUNTRIES[COUNTRY_LABEL],"")</f>
        <v>US</v>
      </c>
      <c r="F164" t="str" cm="1">
        <f t="array" ref="F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4" t="s">
        <v>19</v>
      </c>
      <c r="H164">
        <v>0</v>
      </c>
      <c r="I164">
        <v>8</v>
      </c>
      <c r="J164">
        <v>14</v>
      </c>
      <c r="K164" t="str" cm="1">
        <f t="array" ref="K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4">
        <f>_xlfn.XLOOKUP("LOADINGSPEEDDEF_"&amp;PROPERTIES[[#This Row],[LOADINGSPEED]],LOADINGSPEEDDEF[TYPE],LOADINGSPEEDDEF[SPEED])</f>
        <v>20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f>IF(ISNUMBER(SEARCH("passenger",PROPERTIES[[#This Row],[CARGODEF]])),1,0)</f>
        <v>0</v>
      </c>
      <c r="O164" s="32">
        <v>390</v>
      </c>
      <c r="P164">
        <v>5500</v>
      </c>
      <c r="Q164">
        <v>177</v>
      </c>
      <c r="R164" s="29">
        <v>349.85</v>
      </c>
      <c r="S164" s="28">
        <f>IFERROR(PROPERTIES[[#This Row],[TE_STARTING_KN]]/(PROPERTIES[[#This Row],[WEIGHT]]*9.81),0)</f>
        <v>9.1442536396664845E-2</v>
      </c>
      <c r="T164" s="28">
        <v>0.09</v>
      </c>
      <c r="U164" s="25">
        <f>ROUND(IF(IFERROR(PROPERTIES[[#This Row],[TE_COEFFICIENT_CALC]],0)=0,PROPERTIES[[#This Row],[TE_COEFFICIENT_MANUAL]],PROPERTIES[[#This Row],[TE_COEFFICIENT_CALC]]),3)</f>
        <v>9.0999999999999998E-2</v>
      </c>
      <c r="V164" s="11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36">
        <v>0</v>
      </c>
      <c r="X164" s="9">
        <v>6</v>
      </c>
      <c r="Y164" s="10">
        <v>0</v>
      </c>
      <c r="Z164" t="s">
        <v>874</v>
      </c>
      <c r="AA164" t="s">
        <v>868</v>
      </c>
      <c r="AB164" s="2" t="s">
        <v>886</v>
      </c>
      <c r="AC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4" s="2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H164" s="10" t="b">
        <v>0</v>
      </c>
      <c r="AY164"/>
      <c r="AZ164"/>
      <c r="BA164"/>
    </row>
    <row r="165" spans="1:53">
      <c r="A165" s="2" t="s">
        <v>185</v>
      </c>
      <c r="B165">
        <v>1866</v>
      </c>
      <c r="C165" cm="1">
        <f t="array" ref="C165">_xlfn.IFS(ISNUMBER(SEARCH("wagon",PROPERTIES[[#This Row],[VEHIDCODE]])),0,OR(MID(PROPERTIES[[#This Row],[VEHIDCODE]],2,2)="mu",_xlfn.TEXTBEFORE(PROPERTIES[[#This Row],[VEHIDCODE]],"_")="mtro"),1,1=1,0)</f>
        <v>0</v>
      </c>
      <c r="D165" t="s">
        <v>1807</v>
      </c>
      <c r="E165" t="str">
        <f>_xlfn.XLOOKUP(PROPERTIES[[#This Row],[COUNTRY]],COUNTRIES[COUNTRY_DESCRIPTION],COUNTRIES[COUNTRY_LABEL],"")</f>
        <v>IE</v>
      </c>
      <c r="F165" t="str" cm="1">
        <f t="array" ref="F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5" t="s">
        <v>19</v>
      </c>
      <c r="H165">
        <v>0</v>
      </c>
      <c r="I165">
        <v>5</v>
      </c>
      <c r="J165">
        <v>8</v>
      </c>
      <c r="K165" t="str" cm="1">
        <f t="array" ref="K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5">
        <f>_xlfn.XLOOKUP("LOADINGSPEEDDEF_"&amp;PROPERTIES[[#This Row],[LOADINGSPEED]],LOADINGSPEEDDEF[TYPE],LOADINGSPEEDDEF[SPEED])</f>
        <v>20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f>IF(ISNUMBER(SEARCH("passenger",PROPERTIES[[#This Row],[CARGODEF]])),1,0)</f>
        <v>0</v>
      </c>
      <c r="O165" s="32">
        <v>74.5</v>
      </c>
      <c r="P165">
        <v>650</v>
      </c>
      <c r="Q165">
        <v>60</v>
      </c>
      <c r="R165" s="29">
        <v>76.400000000000006</v>
      </c>
      <c r="S165" s="28">
        <f>IFERROR(PROPERTIES[[#This Row],[TE_STARTING_KN]]/(PROPERTIES[[#This Row],[WEIGHT]]*9.81),0)</f>
        <v>0.10453652963350643</v>
      </c>
      <c r="T165" s="28">
        <v>0.13</v>
      </c>
      <c r="U165" s="25">
        <f>ROUND(IF(IFERROR(PROPERTIES[[#This Row],[TE_COEFFICIENT_CALC]],0)=0,PROPERTIES[[#This Row],[TE_COEFFICIENT_MANUAL]],PROPERTIES[[#This Row],[TE_COEFFICIENT_CALC]]),3)</f>
        <v>0.105</v>
      </c>
      <c r="V165" s="11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36">
        <v>0</v>
      </c>
      <c r="X165" s="9">
        <v>3</v>
      </c>
      <c r="Y165" s="10">
        <v>0</v>
      </c>
      <c r="Z165" t="s">
        <v>873</v>
      </c>
      <c r="AA165" t="s">
        <v>868</v>
      </c>
      <c r="AB165" s="2" t="s">
        <v>886</v>
      </c>
      <c r="AC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5" s="2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H165" s="10" t="b">
        <v>0</v>
      </c>
      <c r="AY165"/>
      <c r="AZ165"/>
      <c r="BA165"/>
    </row>
    <row r="166" spans="1:53">
      <c r="A166" s="2" t="s">
        <v>186</v>
      </c>
      <c r="B166">
        <v>1914</v>
      </c>
      <c r="C166" cm="1">
        <f t="array" ref="C166">_xlfn.IFS(ISNUMBER(SEARCH("wagon",PROPERTIES[[#This Row],[VEHIDCODE]])),0,OR(MID(PROPERTIES[[#This Row],[VEHIDCODE]],2,2)="mu",_xlfn.TEXTBEFORE(PROPERTIES[[#This Row],[VEHIDCODE]],"_")="mtro"),1,1=1,0)</f>
        <v>0</v>
      </c>
      <c r="D166" t="s">
        <v>1937</v>
      </c>
      <c r="E166" t="str">
        <f>_xlfn.XLOOKUP(PROPERTIES[[#This Row],[COUNTRY]],COUNTRIES[COUNTRY_DESCRIPTION],COUNTRIES[COUNTRY_LABEL],"")</f>
        <v>US</v>
      </c>
      <c r="F166" t="str" cm="1">
        <f t="array" ref="F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6" t="s">
        <v>19</v>
      </c>
      <c r="H166">
        <v>0</v>
      </c>
      <c r="I166">
        <v>6</v>
      </c>
      <c r="J166">
        <v>10</v>
      </c>
      <c r="K166" t="str" cm="1">
        <f t="array" ref="K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6">
        <f>_xlfn.XLOOKUP("LOADINGSPEEDDEF_"&amp;PROPERTIES[[#This Row],[LOADINGSPEED]],LOADINGSPEEDDEF[TYPE],LOADINGSPEEDDEF[SPEED])</f>
        <v>20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f>IF(ISNUMBER(SEARCH("passenger",PROPERTIES[[#This Row],[CARGODEF]])),1,0)</f>
        <v>0</v>
      </c>
      <c r="O166" s="32">
        <v>217</v>
      </c>
      <c r="P166">
        <v>2990</v>
      </c>
      <c r="Q166">
        <v>96</v>
      </c>
      <c r="R166" s="29">
        <v>243.42</v>
      </c>
      <c r="S166" s="28">
        <f>IFERROR(PROPERTIES[[#This Row],[TE_STARTING_KN]]/(PROPERTIES[[#This Row],[WEIGHT]]*9.81),0)</f>
        <v>0.11434772192392789</v>
      </c>
      <c r="T166" s="28">
        <v>0.11</v>
      </c>
      <c r="U166" s="25">
        <f>ROUND(IF(IFERROR(PROPERTIES[[#This Row],[TE_COEFFICIENT_CALC]],0)=0,PROPERTIES[[#This Row],[TE_COEFFICIENT_MANUAL]],PROPERTIES[[#This Row],[TE_COEFFICIENT_CALC]]),3)</f>
        <v>0.114</v>
      </c>
      <c r="V166" s="11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36">
        <v>0</v>
      </c>
      <c r="X166" s="9">
        <v>4</v>
      </c>
      <c r="Y166" s="10">
        <v>0</v>
      </c>
      <c r="Z166" t="s">
        <v>874</v>
      </c>
      <c r="AA166" t="s">
        <v>868</v>
      </c>
      <c r="AB166" s="2" t="s">
        <v>886</v>
      </c>
      <c r="AC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6" s="2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H166" s="10" t="b">
        <v>0</v>
      </c>
      <c r="AY166"/>
      <c r="AZ166"/>
      <c r="BA166"/>
    </row>
    <row r="167" spans="1:53">
      <c r="A167" s="2" t="s">
        <v>187</v>
      </c>
      <c r="B167">
        <v>1871</v>
      </c>
      <c r="C167" cm="1">
        <f t="array" ref="C167">_xlfn.IFS(ISNUMBER(SEARCH("wagon",PROPERTIES[[#This Row],[VEHIDCODE]])),0,OR(MID(PROPERTIES[[#This Row],[VEHIDCODE]],2,2)="mu",_xlfn.TEXTBEFORE(PROPERTIES[[#This Row],[VEHIDCODE]],"_")="mtro"),1,1=1,0)</f>
        <v>0</v>
      </c>
      <c r="D167" t="s">
        <v>1716</v>
      </c>
      <c r="E167" t="str">
        <f>_xlfn.XLOOKUP(PROPERTIES[[#This Row],[COUNTRY]],COUNTRIES[COUNTRY_DESCRIPTION],COUNTRIES[COUNTRY_LABEL],"")</f>
        <v>AR</v>
      </c>
      <c r="F167" t="str" cm="1">
        <f t="array" ref="F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7" t="s">
        <v>19</v>
      </c>
      <c r="H167">
        <v>0</v>
      </c>
      <c r="I167">
        <v>4</v>
      </c>
      <c r="J167">
        <v>4</v>
      </c>
      <c r="K167" t="str" cm="1">
        <f t="array" ref="K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7">
        <f>_xlfn.XLOOKUP("LOADINGSPEEDDEF_"&amp;PROPERTIES[[#This Row],[LOADINGSPEED]],LOADINGSPEEDDEF[TYPE],LOADINGSPEEDDEF[SPEED])</f>
        <v>20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f>IF(ISNUMBER(SEARCH("passenger",PROPERTIES[[#This Row],[CARGODEF]])),1,0)</f>
        <v>0</v>
      </c>
      <c r="O167" s="32">
        <v>48</v>
      </c>
      <c r="P167">
        <v>145</v>
      </c>
      <c r="Q167">
        <v>45</v>
      </c>
      <c r="R167" s="29">
        <v>62</v>
      </c>
      <c r="S167" s="28">
        <f>IFERROR(PROPERTIES[[#This Row],[TE_STARTING_KN]]/(PROPERTIES[[#This Row],[WEIGHT]]*9.81),0)</f>
        <v>0.13166836561331974</v>
      </c>
      <c r="T167" s="28">
        <v>0.04</v>
      </c>
      <c r="U167" s="25">
        <f>ROUND(IF(IFERROR(PROPERTIES[[#This Row],[TE_COEFFICIENT_CALC]],0)=0,PROPERTIES[[#This Row],[TE_COEFFICIENT_MANUAL]],PROPERTIES[[#This Row],[TE_COEFFICIENT_CALC]]),3)</f>
        <v>0.13200000000000001</v>
      </c>
      <c r="V167" s="11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36">
        <v>0</v>
      </c>
      <c r="X167" s="9">
        <v>0</v>
      </c>
      <c r="Y167" s="10">
        <v>0</v>
      </c>
      <c r="Z167" t="s">
        <v>876</v>
      </c>
      <c r="AA167" t="s">
        <v>868</v>
      </c>
      <c r="AB167" s="2" t="s">
        <v>886</v>
      </c>
      <c r="AC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7" s="2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H167" s="10" t="b">
        <v>0</v>
      </c>
      <c r="AY167"/>
      <c r="AZ167"/>
      <c r="BA167"/>
    </row>
    <row r="168" spans="1:53">
      <c r="A168" s="2" t="s">
        <v>188</v>
      </c>
      <c r="B168">
        <v>1914</v>
      </c>
      <c r="C168" cm="1">
        <f t="array" ref="C168">_xlfn.IFS(ISNUMBER(SEARCH("wagon",PROPERTIES[[#This Row],[VEHIDCODE]])),0,OR(MID(PROPERTIES[[#This Row],[VEHIDCODE]],2,2)="mu",_xlfn.TEXTBEFORE(PROPERTIES[[#This Row],[VEHIDCODE]],"_")="mtro"),1,1=1,0)</f>
        <v>0</v>
      </c>
      <c r="D168" t="s">
        <v>1719</v>
      </c>
      <c r="E168" t="str">
        <f>_xlfn.XLOOKUP(PROPERTIES[[#This Row],[COUNTRY]],COUNTRIES[COUNTRY_DESCRIPTION],COUNTRIES[COUNTRY_LABEL],"")</f>
        <v>AU</v>
      </c>
      <c r="F168" t="str" cm="1">
        <f t="array" ref="F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8" t="s">
        <v>19</v>
      </c>
      <c r="H168">
        <v>0</v>
      </c>
      <c r="I168">
        <v>6</v>
      </c>
      <c r="J168">
        <v>10</v>
      </c>
      <c r="K168" t="str" cm="1">
        <f t="array" ref="K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8">
        <f>_xlfn.XLOOKUP("LOADINGSPEEDDEF_"&amp;PROPERTIES[[#This Row],[LOADINGSPEED]],LOADINGSPEEDDEF[TYPE],LOADINGSPEEDDEF[SPEED])</f>
        <v>20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f>IF(ISNUMBER(SEARCH("passenger",PROPERTIES[[#This Row],[CARGODEF]])),1,0)</f>
        <v>0</v>
      </c>
      <c r="O168" s="32">
        <v>126</v>
      </c>
      <c r="P168">
        <v>1400</v>
      </c>
      <c r="Q168">
        <v>80</v>
      </c>
      <c r="R168" s="29">
        <v>129.80000000000001</v>
      </c>
      <c r="S168" s="28">
        <f>IFERROR(PROPERTIES[[#This Row],[TE_STARTING_KN]]/(PROPERTIES[[#This Row],[WEIGHT]]*9.81),0)</f>
        <v>0.10501108360435576</v>
      </c>
      <c r="T168" s="28">
        <v>0.1</v>
      </c>
      <c r="U168" s="25">
        <f>ROUND(IF(IFERROR(PROPERTIES[[#This Row],[TE_COEFFICIENT_CALC]],0)=0,PROPERTIES[[#This Row],[TE_COEFFICIENT_MANUAL]],PROPERTIES[[#This Row],[TE_COEFFICIENT_CALC]]),3)</f>
        <v>0.105</v>
      </c>
      <c r="V168" s="11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36">
        <v>0</v>
      </c>
      <c r="X168" s="9">
        <v>4</v>
      </c>
      <c r="Y168" s="10">
        <v>0</v>
      </c>
      <c r="Z168" t="s">
        <v>871</v>
      </c>
      <c r="AA168" t="s">
        <v>868</v>
      </c>
      <c r="AB168" s="2" t="s">
        <v>886</v>
      </c>
      <c r="AC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8" s="2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H168" s="10" t="b">
        <v>0</v>
      </c>
      <c r="AY168"/>
      <c r="AZ168"/>
      <c r="BA168"/>
    </row>
    <row r="169" spans="1:53">
      <c r="A169" s="2" t="s">
        <v>189</v>
      </c>
      <c r="B169">
        <v>1945</v>
      </c>
      <c r="C169" cm="1">
        <f t="array" ref="C169">_xlfn.IFS(ISNUMBER(SEARCH("wagon",PROPERTIES[[#This Row],[VEHIDCODE]])),0,OR(MID(PROPERTIES[[#This Row],[VEHIDCODE]],2,2)="mu",_xlfn.TEXTBEFORE(PROPERTIES[[#This Row],[VEHIDCODE]],"_")="mtro"),1,1=1,0)</f>
        <v>0</v>
      </c>
      <c r="D169" t="s">
        <v>1726</v>
      </c>
      <c r="E169" t="str">
        <f>_xlfn.XLOOKUP(PROPERTIES[[#This Row],[COUNTRY]],COUNTRIES[COUNTRY_DESCRIPTION],COUNTRIES[COUNTRY_LABEL],"")</f>
        <v>BE</v>
      </c>
      <c r="F169" t="str" cm="1">
        <f t="array" ref="F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9" t="s">
        <v>19</v>
      </c>
      <c r="H169">
        <v>0</v>
      </c>
      <c r="I169">
        <v>7</v>
      </c>
      <c r="J169">
        <v>11</v>
      </c>
      <c r="K169" t="str" cm="1">
        <f t="array" ref="K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9">
        <f>_xlfn.XLOOKUP("LOADINGSPEEDDEF_"&amp;PROPERTIES[[#This Row],[LOADINGSPEED]],LOADINGSPEEDDEF[TYPE],LOADINGSPEEDDEF[SPEED])</f>
        <v>20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f>IF(ISNUMBER(SEARCH("passenger",PROPERTIES[[#This Row],[CARGODEF]])),1,0)</f>
        <v>0</v>
      </c>
      <c r="O169" s="32">
        <v>127</v>
      </c>
      <c r="P169">
        <v>1970</v>
      </c>
      <c r="Q169">
        <v>96</v>
      </c>
      <c r="R169" s="29">
        <v>138</v>
      </c>
      <c r="S169" s="28">
        <f>IFERROR(PROPERTIES[[#This Row],[TE_STARTING_KN]]/(PROPERTIES[[#This Row],[WEIGHT]]*9.81),0)</f>
        <v>0.11076597076741553</v>
      </c>
      <c r="T169" s="28">
        <v>0.15</v>
      </c>
      <c r="U169" s="25">
        <f>ROUND(IF(IFERROR(PROPERTIES[[#This Row],[TE_COEFFICIENT_CALC]],0)=0,PROPERTIES[[#This Row],[TE_COEFFICIENT_MANUAL]],PROPERTIES[[#This Row],[TE_COEFFICIENT_CALC]]),3)</f>
        <v>0.111</v>
      </c>
      <c r="V169" s="11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36">
        <v>0</v>
      </c>
      <c r="X169" s="9">
        <v>4</v>
      </c>
      <c r="Y169" s="10">
        <v>0</v>
      </c>
      <c r="Z169" t="s">
        <v>869</v>
      </c>
      <c r="AA169" t="s">
        <v>868</v>
      </c>
      <c r="AB169" s="2" t="s">
        <v>886</v>
      </c>
      <c r="AC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9" s="2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H169" s="10" t="b">
        <v>0</v>
      </c>
      <c r="AY169"/>
      <c r="AZ169"/>
      <c r="BA169"/>
    </row>
    <row r="170" spans="1:53">
      <c r="A170" s="2" t="s">
        <v>190</v>
      </c>
      <c r="B170">
        <v>1954</v>
      </c>
      <c r="C170" cm="1">
        <f t="array" ref="C170">_xlfn.IFS(ISNUMBER(SEARCH("wagon",PROPERTIES[[#This Row],[VEHIDCODE]])),0,OR(MID(PROPERTIES[[#This Row],[VEHIDCODE]],2,2)="mu",_xlfn.TEXTBEFORE(PROPERTIES[[#This Row],[VEHIDCODE]],"_")="mtro"),1,1=1,0)</f>
        <v>0</v>
      </c>
      <c r="D170" t="s">
        <v>1752</v>
      </c>
      <c r="E170" t="str">
        <f>_xlfn.XLOOKUP(PROPERTIES[[#This Row],[COUNTRY]],COUNTRIES[COUNTRY_DESCRIPTION],COUNTRIES[COUNTRY_LABEL],"")</f>
        <v>CL</v>
      </c>
      <c r="F170" t="str" cm="1">
        <f t="array" ref="F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0" t="s">
        <v>19</v>
      </c>
      <c r="H170">
        <v>0</v>
      </c>
      <c r="I170">
        <v>7</v>
      </c>
      <c r="J170">
        <v>11</v>
      </c>
      <c r="K170" t="str" cm="1">
        <f t="array" ref="K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0">
        <f>_xlfn.XLOOKUP("LOADINGSPEEDDEF_"&amp;PROPERTIES[[#This Row],[LOADINGSPEED]],LOADINGSPEEDDEF[TYPE],LOADINGSPEEDDEF[SPEED])</f>
        <v>20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f>IF(ISNUMBER(SEARCH("passenger",PROPERTIES[[#This Row],[CARGODEF]])),1,0)</f>
        <v>0</v>
      </c>
      <c r="O170" s="32">
        <v>146</v>
      </c>
      <c r="P170">
        <v>1457</v>
      </c>
      <c r="Q170">
        <v>85</v>
      </c>
      <c r="R170" s="29">
        <v>151</v>
      </c>
      <c r="S170" s="28">
        <f>IFERROR(PROPERTIES[[#This Row],[TE_STARTING_KN]]/(PROPERTIES[[#This Row],[WEIGHT]]*9.81),0)</f>
        <v>0.10542778545794758</v>
      </c>
      <c r="T170" s="28">
        <v>0.1</v>
      </c>
      <c r="U170" s="25">
        <f>ROUND(IF(IFERROR(PROPERTIES[[#This Row],[TE_COEFFICIENT_CALC]],0)=0,PROPERTIES[[#This Row],[TE_COEFFICIENT_MANUAL]],PROPERTIES[[#This Row],[TE_COEFFICIENT_CALC]]),3)</f>
        <v>0.105</v>
      </c>
      <c r="V170" s="11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36">
        <v>0</v>
      </c>
      <c r="X170" s="9">
        <v>4</v>
      </c>
      <c r="Y170" s="10">
        <v>0</v>
      </c>
      <c r="Z170" t="s">
        <v>876</v>
      </c>
      <c r="AA170" t="s">
        <v>868</v>
      </c>
      <c r="AB170" s="2" t="s">
        <v>886</v>
      </c>
      <c r="AC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0" s="2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H170" s="10" t="b">
        <v>0</v>
      </c>
      <c r="AY170"/>
      <c r="AZ170"/>
      <c r="BA170"/>
    </row>
    <row r="171" spans="1:53">
      <c r="A171" s="2" t="s">
        <v>191</v>
      </c>
      <c r="B171">
        <v>1956</v>
      </c>
      <c r="C171" cm="1">
        <f t="array" ref="C171">_xlfn.IFS(ISNUMBER(SEARCH("wagon",PROPERTIES[[#This Row],[VEHIDCODE]])),0,OR(MID(PROPERTIES[[#This Row],[VEHIDCODE]],2,2)="mu",_xlfn.TEXTBEFORE(PROPERTIES[[#This Row],[VEHIDCODE]],"_")="mtro"),1,1=1,0)</f>
        <v>0</v>
      </c>
      <c r="D171" t="s">
        <v>1754</v>
      </c>
      <c r="E171" t="str">
        <f>_xlfn.XLOOKUP(PROPERTIES[[#This Row],[COUNTRY]],COUNTRIES[COUNTRY_DESCRIPTION],COUNTRIES[COUNTRY_LABEL],"")</f>
        <v>CN</v>
      </c>
      <c r="F171" t="str" cm="1">
        <f t="array" ref="F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1" t="s">
        <v>19</v>
      </c>
      <c r="H171">
        <v>0</v>
      </c>
      <c r="I171">
        <v>8</v>
      </c>
      <c r="J171">
        <v>14</v>
      </c>
      <c r="K171" t="str" cm="1">
        <f t="array" ref="K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1">
        <f>_xlfn.XLOOKUP("LOADINGSPEEDDEF_"&amp;PROPERTIES[[#This Row],[LOADINGSPEED]],LOADINGSPEEDDEF[TYPE],LOADINGSPEEDDEF[SPEED])</f>
        <v>20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f>IF(ISNUMBER(SEARCH("passenger",PROPERTIES[[#This Row],[CARGODEF]])),1,0)</f>
        <v>0</v>
      </c>
      <c r="O171" s="32">
        <v>203.2</v>
      </c>
      <c r="P171">
        <v>2980</v>
      </c>
      <c r="Q171">
        <v>80</v>
      </c>
      <c r="R171" s="29">
        <v>281.75</v>
      </c>
      <c r="S171" s="28">
        <f>IFERROR(PROPERTIES[[#This Row],[TE_STARTING_KN]]/(PROPERTIES[[#This Row],[WEIGHT]]*9.81),0)</f>
        <v>0.1413419939480042</v>
      </c>
      <c r="T171" s="28">
        <v>0.21</v>
      </c>
      <c r="U171" s="25">
        <f>ROUND(IF(IFERROR(PROPERTIES[[#This Row],[TE_COEFFICIENT_CALC]],0)=0,PROPERTIES[[#This Row],[TE_COEFFICIENT_MANUAL]],PROPERTIES[[#This Row],[TE_COEFFICIENT_CALC]]),3)</f>
        <v>0.14099999999999999</v>
      </c>
      <c r="V171" s="11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36">
        <v>0</v>
      </c>
      <c r="X171" s="9">
        <v>6</v>
      </c>
      <c r="Y171" s="10">
        <v>0</v>
      </c>
      <c r="Z171" t="s">
        <v>877</v>
      </c>
      <c r="AA171" t="s">
        <v>868</v>
      </c>
      <c r="AB171" s="2" t="s">
        <v>886</v>
      </c>
      <c r="AC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1" s="2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H171" s="10" t="b">
        <v>0</v>
      </c>
      <c r="AY171"/>
      <c r="AZ171"/>
      <c r="BA171"/>
    </row>
    <row r="172" spans="1:53">
      <c r="A172" s="2" t="s">
        <v>192</v>
      </c>
      <c r="B172">
        <v>1930</v>
      </c>
      <c r="C172" cm="1">
        <f t="array" ref="C172">_xlfn.IFS(ISNUMBER(SEARCH("wagon",PROPERTIES[[#This Row],[VEHIDCODE]])),0,OR(MID(PROPERTIES[[#This Row],[VEHIDCODE]],2,2)="mu",_xlfn.TEXTBEFORE(PROPERTIES[[#This Row],[VEHIDCODE]],"_")="mtro"),1,1=1,0)</f>
        <v>0</v>
      </c>
      <c r="D172" t="s">
        <v>1763</v>
      </c>
      <c r="E172" t="str">
        <f>_xlfn.XLOOKUP(PROPERTIES[[#This Row],[COUNTRY]],COUNTRIES[COUNTRY_DESCRIPTION],COUNTRIES[COUNTRY_LABEL],"")</f>
        <v>DE</v>
      </c>
      <c r="F172" t="str" cm="1">
        <f t="array" ref="F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2" t="s">
        <v>19</v>
      </c>
      <c r="H172">
        <v>0</v>
      </c>
      <c r="I172">
        <v>4</v>
      </c>
      <c r="J172">
        <v>4</v>
      </c>
      <c r="K172" t="str" cm="1">
        <f t="array" ref="K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2">
        <f>_xlfn.XLOOKUP("LOADINGSPEEDDEF_"&amp;PROPERTIES[[#This Row],[LOADINGSPEED]],LOADINGSPEEDDEF[TYPE],LOADINGSPEEDDEF[SPEED])</f>
        <v>20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f>IF(ISNUMBER(SEARCH("passenger",PROPERTIES[[#This Row],[CARGODEF]])),1,0)</f>
        <v>0</v>
      </c>
      <c r="O172" s="32">
        <v>15</v>
      </c>
      <c r="P172">
        <v>60</v>
      </c>
      <c r="Q172">
        <v>30</v>
      </c>
      <c r="R172" s="29">
        <v>30</v>
      </c>
      <c r="S172" s="28">
        <f>IFERROR(PROPERTIES[[#This Row],[TE_STARTING_KN]]/(PROPERTIES[[#This Row],[WEIGHT]]*9.81),0)</f>
        <v>0.2038735983690112</v>
      </c>
      <c r="T172" s="28">
        <v>0.39</v>
      </c>
      <c r="U172" s="25">
        <f>ROUND(IF(IFERROR(PROPERTIES[[#This Row],[TE_COEFFICIENT_CALC]],0)=0,PROPERTIES[[#This Row],[TE_COEFFICIENT_MANUAL]],PROPERTIES[[#This Row],[TE_COEFFICIENT_CALC]]),3)</f>
        <v>0.20399999999999999</v>
      </c>
      <c r="V172" s="11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36">
        <v>0</v>
      </c>
      <c r="X172" s="9">
        <v>0</v>
      </c>
      <c r="Y172" s="10">
        <v>0</v>
      </c>
      <c r="Z172" t="s">
        <v>869</v>
      </c>
      <c r="AA172" t="s">
        <v>868</v>
      </c>
      <c r="AB172" s="2" t="s">
        <v>886</v>
      </c>
      <c r="AC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2" s="2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H172" s="10" t="b">
        <v>0</v>
      </c>
      <c r="AY172"/>
      <c r="AZ172"/>
      <c r="BA172"/>
    </row>
    <row r="173" spans="1:53">
      <c r="A173" s="2" t="s">
        <v>193</v>
      </c>
      <c r="B173">
        <v>1931</v>
      </c>
      <c r="C173" cm="1">
        <f t="array" ref="C173">_xlfn.IFS(ISNUMBER(SEARCH("wagon",PROPERTIES[[#This Row],[VEHIDCODE]])),0,OR(MID(PROPERTIES[[#This Row],[VEHIDCODE]],2,2)="mu",_xlfn.TEXTBEFORE(PROPERTIES[[#This Row],[VEHIDCODE]],"_")="mtro"),1,1=1,0)</f>
        <v>0</v>
      </c>
      <c r="D173" t="s">
        <v>1937</v>
      </c>
      <c r="E173" t="str">
        <f>_xlfn.XLOOKUP(PROPERTIES[[#This Row],[COUNTRY]],COUNTRIES[COUNTRY_DESCRIPTION],COUNTRIES[COUNTRY_LABEL],"")</f>
        <v>US</v>
      </c>
      <c r="F173" t="str" cm="1">
        <f t="array" ref="F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3" t="s">
        <v>19</v>
      </c>
      <c r="H173">
        <v>0</v>
      </c>
      <c r="I173">
        <v>4</v>
      </c>
      <c r="J173">
        <v>4</v>
      </c>
      <c r="K173" t="str" cm="1">
        <f t="array" ref="K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3">
        <f>_xlfn.XLOOKUP("LOADINGSPEEDDEF_"&amp;PROPERTIES[[#This Row],[LOADINGSPEED]],LOADINGSPEEDDEF[TYPE],LOADINGSPEEDDEF[SPEED])</f>
        <v>20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f>IF(ISNUMBER(SEARCH("passenger",PROPERTIES[[#This Row],[CARGODEF]])),1,0)</f>
        <v>0</v>
      </c>
      <c r="O173" s="32">
        <v>90.7</v>
      </c>
      <c r="P173">
        <v>600</v>
      </c>
      <c r="Q173">
        <v>55</v>
      </c>
      <c r="R173" s="29">
        <v>250</v>
      </c>
      <c r="S173" s="28">
        <f>IFERROR(PROPERTIES[[#This Row],[TE_STARTING_KN]]/(PROPERTIES[[#This Row],[WEIGHT]]*9.81),0)</f>
        <v>0.28097243435641017</v>
      </c>
      <c r="T173" s="28">
        <v>0.11</v>
      </c>
      <c r="U173" s="25">
        <f>ROUND(IF(IFERROR(PROPERTIES[[#This Row],[TE_COEFFICIENT_CALC]],0)=0,PROPERTIES[[#This Row],[TE_COEFFICIENT_MANUAL]],PROPERTIES[[#This Row],[TE_COEFFICIENT_CALC]]),3)</f>
        <v>0.28100000000000003</v>
      </c>
      <c r="V173" s="11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36">
        <v>0</v>
      </c>
      <c r="X173" s="9">
        <v>0</v>
      </c>
      <c r="Y173" s="10">
        <v>0</v>
      </c>
      <c r="Z173" t="s">
        <v>874</v>
      </c>
      <c r="AA173" t="s">
        <v>868</v>
      </c>
      <c r="AB173" s="2" t="s">
        <v>886</v>
      </c>
      <c r="AC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3" s="2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H173" s="10" t="b">
        <v>0</v>
      </c>
      <c r="AY173"/>
      <c r="AZ173"/>
      <c r="BA173"/>
    </row>
    <row r="174" spans="1:53">
      <c r="A174" s="2" t="s">
        <v>194</v>
      </c>
      <c r="B174">
        <v>1934</v>
      </c>
      <c r="C174" cm="1">
        <f t="array" ref="C174">_xlfn.IFS(ISNUMBER(SEARCH("wagon",PROPERTIES[[#This Row],[VEHIDCODE]])),0,OR(MID(PROPERTIES[[#This Row],[VEHIDCODE]],2,2)="mu",_xlfn.TEXTBEFORE(PROPERTIES[[#This Row],[VEHIDCODE]],"_")="mtro"),1,1=1,0)</f>
        <v>0</v>
      </c>
      <c r="D174" t="s">
        <v>1871</v>
      </c>
      <c r="E174" t="str">
        <f>_xlfn.XLOOKUP(PROPERTIES[[#This Row],[COUNTRY]],COUNTRIES[COUNTRY_DESCRIPTION],COUNTRIES[COUNTRY_LABEL],"")</f>
        <v>NL</v>
      </c>
      <c r="F174" t="str" cm="1">
        <f t="array" ref="F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4" t="s">
        <v>19</v>
      </c>
      <c r="H174">
        <v>0</v>
      </c>
      <c r="I174">
        <v>4</v>
      </c>
      <c r="J174">
        <v>4</v>
      </c>
      <c r="K174" t="str" cm="1">
        <f t="array" ref="K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4">
        <f>_xlfn.XLOOKUP("LOADINGSPEEDDEF_"&amp;PROPERTIES[[#This Row],[LOADINGSPEED]],LOADINGSPEEDDEF[TYPE],LOADINGSPEEDDEF[SPEED])</f>
        <v>20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f>IF(ISNUMBER(SEARCH("passenger",PROPERTIES[[#This Row],[CARGODEF]])),1,0)</f>
        <v>0</v>
      </c>
      <c r="O174" s="32">
        <v>21</v>
      </c>
      <c r="P174">
        <v>72</v>
      </c>
      <c r="Q174">
        <v>60</v>
      </c>
      <c r="R174" s="29">
        <v>45</v>
      </c>
      <c r="S174" s="28">
        <f>IFERROR(PROPERTIES[[#This Row],[TE_STARTING_KN]]/(PROPERTIES[[#This Row],[WEIGHT]]*9.81),0)</f>
        <v>0.218435998252512</v>
      </c>
      <c r="T174" s="28">
        <v>0.19</v>
      </c>
      <c r="U174" s="25">
        <f>ROUND(IF(IFERROR(PROPERTIES[[#This Row],[TE_COEFFICIENT_CALC]],0)=0,PROPERTIES[[#This Row],[TE_COEFFICIENT_MANUAL]],PROPERTIES[[#This Row],[TE_COEFFICIENT_CALC]]),3)</f>
        <v>0.218</v>
      </c>
      <c r="V174" s="11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36">
        <v>0</v>
      </c>
      <c r="X174" s="9">
        <v>0</v>
      </c>
      <c r="Y174" s="10">
        <v>0</v>
      </c>
      <c r="Z174" t="s">
        <v>869</v>
      </c>
      <c r="AA174" t="s">
        <v>868</v>
      </c>
      <c r="AB174" s="2" t="s">
        <v>886</v>
      </c>
      <c r="AC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4" s="2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H174" s="10" t="b">
        <v>0</v>
      </c>
      <c r="AY174"/>
      <c r="AZ174"/>
      <c r="BA174"/>
    </row>
    <row r="175" spans="1:53">
      <c r="A175" s="2" t="s">
        <v>195</v>
      </c>
      <c r="B175">
        <v>1936</v>
      </c>
      <c r="C175" cm="1">
        <f t="array" ref="C175">_xlfn.IFS(ISNUMBER(SEARCH("wagon",PROPERTIES[[#This Row],[VEHIDCODE]])),0,OR(MID(PROPERTIES[[#This Row],[VEHIDCODE]],2,2)="mu",_xlfn.TEXTBEFORE(PROPERTIES[[#This Row],[VEHIDCODE]],"_")="mtro"),1,1=1,0)</f>
        <v>0</v>
      </c>
      <c r="D175" t="s">
        <v>1763</v>
      </c>
      <c r="E175" t="str">
        <f>_xlfn.XLOOKUP(PROPERTIES[[#This Row],[COUNTRY]],COUNTRIES[COUNTRY_DESCRIPTION],COUNTRIES[COUNTRY_LABEL],"")</f>
        <v>DE</v>
      </c>
      <c r="F175" t="str" cm="1">
        <f t="array" ref="F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5" t="s">
        <v>19</v>
      </c>
      <c r="H175">
        <v>0</v>
      </c>
      <c r="I175">
        <v>5</v>
      </c>
      <c r="J175">
        <v>5</v>
      </c>
      <c r="K175" t="str" cm="1">
        <f t="array" ref="K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5">
        <f>_xlfn.XLOOKUP("LOADINGSPEEDDEF_"&amp;PROPERTIES[[#This Row],[LOADINGSPEED]],LOADINGSPEEDDEF[TYPE],LOADINGSPEEDDEF[SPEED])</f>
        <v>20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f>IF(ISNUMBER(SEARCH("passenger",PROPERTIES[[#This Row],[CARGODEF]])),1,0)</f>
        <v>0</v>
      </c>
      <c r="O175" s="32">
        <v>26</v>
      </c>
      <c r="P175">
        <v>200</v>
      </c>
      <c r="Q175">
        <v>55</v>
      </c>
      <c r="R175" s="29">
        <v>68</v>
      </c>
      <c r="S175" s="28">
        <f>IFERROR(PROPERTIES[[#This Row],[TE_STARTING_KN]]/(PROPERTIES[[#This Row],[WEIGHT]]*9.81),0)</f>
        <v>0.26660393632870699</v>
      </c>
      <c r="T175" s="28">
        <v>0.31</v>
      </c>
      <c r="U175" s="25">
        <f>ROUND(IF(IFERROR(PROPERTIES[[#This Row],[TE_COEFFICIENT_CALC]],0)=0,PROPERTIES[[#This Row],[TE_COEFFICIENT_MANUAL]],PROPERTIES[[#This Row],[TE_COEFFICIENT_CALC]]),3)</f>
        <v>0.26700000000000002</v>
      </c>
      <c r="V175" s="11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36">
        <v>0</v>
      </c>
      <c r="X175" s="9">
        <v>0</v>
      </c>
      <c r="Y175" s="10">
        <v>0</v>
      </c>
      <c r="Z175" t="s">
        <v>869</v>
      </c>
      <c r="AA175" t="s">
        <v>868</v>
      </c>
      <c r="AB175" s="2" t="s">
        <v>886</v>
      </c>
      <c r="AC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5" s="2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H175" s="10" t="b">
        <v>0</v>
      </c>
      <c r="AY175"/>
      <c r="AZ175"/>
      <c r="BA175"/>
    </row>
    <row r="176" spans="1:53">
      <c r="A176" s="2" t="s">
        <v>196</v>
      </c>
      <c r="B176">
        <v>1941</v>
      </c>
      <c r="C176" cm="1">
        <f t="array" ref="C176">_xlfn.IFS(ISNUMBER(SEARCH("wagon",PROPERTIES[[#This Row],[VEHIDCODE]])),0,OR(MID(PROPERTIES[[#This Row],[VEHIDCODE]],2,2)="mu",_xlfn.TEXTBEFORE(PROPERTIES[[#This Row],[VEHIDCODE]],"_")="mtro"),1,1=1,0)</f>
        <v>0</v>
      </c>
      <c r="D176" t="s">
        <v>1749</v>
      </c>
      <c r="E176" t="str">
        <f>_xlfn.XLOOKUP(PROPERTIES[[#This Row],[COUNTRY]],COUNTRIES[COUNTRY_DESCRIPTION],COUNTRIES[COUNTRY_LABEL],"")</f>
        <v>CH</v>
      </c>
      <c r="F176" t="str" cm="1">
        <f t="array" ref="F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6" t="s">
        <v>19</v>
      </c>
      <c r="H176">
        <v>0</v>
      </c>
      <c r="I176">
        <v>8</v>
      </c>
      <c r="J176">
        <v>8</v>
      </c>
      <c r="K176" t="str" cm="1">
        <f t="array" ref="K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6">
        <f>_xlfn.XLOOKUP("LOADINGSPEEDDEF_"&amp;PROPERTIES[[#This Row],[LOADINGSPEED]],LOADINGSPEEDDEF[TYPE],LOADINGSPEEDDEF[SPEED])</f>
        <v>20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f>IF(ISNUMBER(SEARCH("passenger",PROPERTIES[[#This Row],[CARGODEF]])),1,0)</f>
        <v>0</v>
      </c>
      <c r="O176" s="32">
        <v>92</v>
      </c>
      <c r="P176">
        <v>2170</v>
      </c>
      <c r="Q176">
        <v>110</v>
      </c>
      <c r="R176" s="29">
        <v>127</v>
      </c>
      <c r="S176" s="28">
        <f>IFERROR(PROPERTIES[[#This Row],[TE_STARTING_KN]]/(PROPERTIES[[#This Row],[WEIGHT]]*9.81),0)</f>
        <v>0.14071710322208925</v>
      </c>
      <c r="T176" s="28">
        <v>0.14000000000000001</v>
      </c>
      <c r="U176" s="25">
        <f>ROUND(IF(IFERROR(PROPERTIES[[#This Row],[TE_COEFFICIENT_CALC]],0)=0,PROPERTIES[[#This Row],[TE_COEFFICIENT_MANUAL]],PROPERTIES[[#This Row],[TE_COEFFICIENT_CALC]]),3)</f>
        <v>0.14099999999999999</v>
      </c>
      <c r="V176" s="11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36">
        <v>0</v>
      </c>
      <c r="X176" s="9">
        <v>0</v>
      </c>
      <c r="Y176" s="10">
        <v>0</v>
      </c>
      <c r="Z176" t="s">
        <v>869</v>
      </c>
      <c r="AA176" t="s">
        <v>868</v>
      </c>
      <c r="AB176" s="2" t="s">
        <v>886</v>
      </c>
      <c r="AC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6" s="2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H176" s="10" t="b">
        <v>0</v>
      </c>
      <c r="AY176"/>
      <c r="AZ176"/>
      <c r="BA176"/>
    </row>
    <row r="177" spans="1:53">
      <c r="A177" s="2" t="s">
        <v>197</v>
      </c>
      <c r="B177">
        <v>1943</v>
      </c>
      <c r="C177" cm="1">
        <f t="array" ref="C177">_xlfn.IFS(ISNUMBER(SEARCH("wagon",PROPERTIES[[#This Row],[VEHIDCODE]])),0,OR(MID(PROPERTIES[[#This Row],[VEHIDCODE]],2,2)="mu",_xlfn.TEXTBEFORE(PROPERTIES[[#This Row],[VEHIDCODE]],"_")="mtro"),1,1=1,0)</f>
        <v>0</v>
      </c>
      <c r="D177" t="s">
        <v>1719</v>
      </c>
      <c r="E177" t="str">
        <f>_xlfn.XLOOKUP(PROPERTIES[[#This Row],[COUNTRY]],COUNTRIES[COUNTRY_DESCRIPTION],COUNTRIES[COUNTRY_LABEL],"")</f>
        <v>AU</v>
      </c>
      <c r="F177" t="str" cm="1">
        <f t="array" ref="F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7" t="s">
        <v>19</v>
      </c>
      <c r="H177">
        <v>0</v>
      </c>
      <c r="I177">
        <v>5</v>
      </c>
      <c r="J177">
        <v>5</v>
      </c>
      <c r="K177" t="str" cm="1">
        <f t="array" ref="K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7">
        <f>_xlfn.XLOOKUP("LOADINGSPEEDDEF_"&amp;PROPERTIES[[#This Row],[LOADINGSPEED]],LOADINGSPEEDDEF[TYPE],LOADINGSPEEDDEF[SPEED])</f>
        <v>20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f>IF(ISNUMBER(SEARCH("passenger",PROPERTIES[[#This Row],[CARGODEF]])),1,0)</f>
        <v>0</v>
      </c>
      <c r="O177" s="32">
        <v>40</v>
      </c>
      <c r="P177">
        <v>380</v>
      </c>
      <c r="Q177">
        <v>56</v>
      </c>
      <c r="R177" s="29">
        <v>57.83</v>
      </c>
      <c r="S177" s="28">
        <f>IFERROR(PROPERTIES[[#This Row],[TE_STARTING_KN]]/(PROPERTIES[[#This Row],[WEIGHT]]*9.81),0)</f>
        <v>0.14737512742099895</v>
      </c>
      <c r="T177" s="28">
        <v>0.15</v>
      </c>
      <c r="U177" s="25">
        <f>ROUND(IF(IFERROR(PROPERTIES[[#This Row],[TE_COEFFICIENT_CALC]],0)=0,PROPERTIES[[#This Row],[TE_COEFFICIENT_MANUAL]],PROPERTIES[[#This Row],[TE_COEFFICIENT_CALC]]),3)</f>
        <v>0.14699999999999999</v>
      </c>
      <c r="V177" s="11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36">
        <v>0</v>
      </c>
      <c r="X177" s="9">
        <v>0</v>
      </c>
      <c r="Y177" s="10">
        <v>0</v>
      </c>
      <c r="Z177" t="s">
        <v>871</v>
      </c>
      <c r="AA177" t="s">
        <v>868</v>
      </c>
      <c r="AB177" s="2" t="s">
        <v>886</v>
      </c>
      <c r="AC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7" s="2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H177" s="10" t="b">
        <v>0</v>
      </c>
      <c r="AY177"/>
      <c r="AZ177"/>
      <c r="BA177"/>
    </row>
    <row r="178" spans="1:53">
      <c r="A178" s="2" t="s">
        <v>198</v>
      </c>
      <c r="B178">
        <v>1940</v>
      </c>
      <c r="C178" cm="1">
        <f t="array" ref="C178">_xlfn.IFS(ISNUMBER(SEARCH("wagon",PROPERTIES[[#This Row],[VEHIDCODE]])),0,OR(MID(PROPERTIES[[#This Row],[VEHIDCODE]],2,2)="mu",_xlfn.TEXTBEFORE(PROPERTIES[[#This Row],[VEHIDCODE]],"_")="mtro"),1,1=1,0)</f>
        <v>0</v>
      </c>
      <c r="D178" t="s">
        <v>1937</v>
      </c>
      <c r="E178" t="str">
        <f>_xlfn.XLOOKUP(PROPERTIES[[#This Row],[COUNTRY]],COUNTRIES[COUNTRY_DESCRIPTION],COUNTRIES[COUNTRY_LABEL],"")</f>
        <v>US</v>
      </c>
      <c r="F178" t="str" cm="1">
        <f t="array" ref="F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8" t="s">
        <v>19</v>
      </c>
      <c r="H178">
        <v>0</v>
      </c>
      <c r="I178">
        <v>6</v>
      </c>
      <c r="J178">
        <v>6</v>
      </c>
      <c r="K178" t="str" cm="1">
        <f t="array" ref="K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8">
        <f>_xlfn.XLOOKUP("LOADINGSPEEDDEF_"&amp;PROPERTIES[[#This Row],[LOADINGSPEED]],LOADINGSPEEDDEF[TYPE],LOADINGSPEEDDEF[SPEED])</f>
        <v>20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f>IF(ISNUMBER(SEARCH("passenger",PROPERTIES[[#This Row],[CARGODEF]])),1,0)</f>
        <v>0</v>
      </c>
      <c r="O178" s="32">
        <v>104</v>
      </c>
      <c r="P178">
        <v>1000</v>
      </c>
      <c r="Q178">
        <v>96</v>
      </c>
      <c r="R178" s="29">
        <v>261</v>
      </c>
      <c r="S178" s="28">
        <f>IFERROR(PROPERTIES[[#This Row],[TE_STARTING_KN]]/(PROPERTIES[[#This Row],[WEIGHT]]*9.81),0)</f>
        <v>0.25582215949188425</v>
      </c>
      <c r="T178" s="28">
        <v>0.15</v>
      </c>
      <c r="U178" s="25">
        <f>ROUND(IF(IFERROR(PROPERTIES[[#This Row],[TE_COEFFICIENT_CALC]],0)=0,PROPERTIES[[#This Row],[TE_COEFFICIENT_MANUAL]],PROPERTIES[[#This Row],[TE_COEFFICIENT_CALC]]),3)</f>
        <v>0.25600000000000001</v>
      </c>
      <c r="V178" s="11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36">
        <v>0</v>
      </c>
      <c r="X178" s="9">
        <v>0</v>
      </c>
      <c r="Y178" s="10">
        <v>0</v>
      </c>
      <c r="Z178" t="s">
        <v>874</v>
      </c>
      <c r="AA178" t="s">
        <v>868</v>
      </c>
      <c r="AB178" s="2" t="s">
        <v>886</v>
      </c>
      <c r="AC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8" s="2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H178" s="10" t="b">
        <v>0</v>
      </c>
      <c r="AY178"/>
      <c r="AZ178"/>
      <c r="BA178"/>
    </row>
    <row r="179" spans="1:53">
      <c r="A179" s="2" t="s">
        <v>199</v>
      </c>
      <c r="B179">
        <v>1946</v>
      </c>
      <c r="C179" cm="1">
        <f t="array" ref="C179">_xlfn.IFS(ISNUMBER(SEARCH("wagon",PROPERTIES[[#This Row],[VEHIDCODE]])),0,OR(MID(PROPERTIES[[#This Row],[VEHIDCODE]],2,2)="mu",_xlfn.TEXTBEFORE(PROPERTIES[[#This Row],[VEHIDCODE]],"_")="mtro"),1,1=1,0)</f>
        <v>0</v>
      </c>
      <c r="D179" t="s">
        <v>1937</v>
      </c>
      <c r="E179" t="str">
        <f>_xlfn.XLOOKUP(PROPERTIES[[#This Row],[COUNTRY]],COUNTRIES[COUNTRY_DESCRIPTION],COUNTRIES[COUNTRY_LABEL],"")</f>
        <v>US</v>
      </c>
      <c r="F179" t="str" cm="1">
        <f t="array" ref="F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9" t="s">
        <v>19</v>
      </c>
      <c r="H179">
        <v>0</v>
      </c>
      <c r="I179">
        <v>7</v>
      </c>
      <c r="J179">
        <v>7</v>
      </c>
      <c r="K179" t="str" cm="1">
        <f t="array" ref="K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9">
        <f>_xlfn.XLOOKUP("LOADINGSPEEDDEF_"&amp;PROPERTIES[[#This Row],[LOADINGSPEED]],LOADINGSPEEDDEF[TYPE],LOADINGSPEEDDEF[SPEED])</f>
        <v>20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f>IF(ISNUMBER(SEARCH("passenger",PROPERTIES[[#This Row],[CARGODEF]])),1,0)</f>
        <v>0</v>
      </c>
      <c r="O179" s="32">
        <v>139</v>
      </c>
      <c r="P179">
        <v>1500</v>
      </c>
      <c r="Q179">
        <v>164</v>
      </c>
      <c r="R179" s="29">
        <v>250</v>
      </c>
      <c r="S179" s="28">
        <f>IFERROR(PROPERTIES[[#This Row],[TE_STARTING_KN]]/(PROPERTIES[[#This Row],[WEIGHT]]*9.81),0)</f>
        <v>0.1833395668786072</v>
      </c>
      <c r="T179" s="28">
        <v>0.16</v>
      </c>
      <c r="U179" s="25">
        <f>ROUND(IF(IFERROR(PROPERTIES[[#This Row],[TE_COEFFICIENT_CALC]],0)=0,PROPERTIES[[#This Row],[TE_COEFFICIENT_MANUAL]],PROPERTIES[[#This Row],[TE_COEFFICIENT_CALC]]),3)</f>
        <v>0.183</v>
      </c>
      <c r="V179" s="11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36">
        <v>0</v>
      </c>
      <c r="X179" s="9">
        <v>0</v>
      </c>
      <c r="Y179" s="10">
        <v>0</v>
      </c>
      <c r="Z179" t="s">
        <v>874</v>
      </c>
      <c r="AA179" t="s">
        <v>868</v>
      </c>
      <c r="AB179" s="2" t="s">
        <v>886</v>
      </c>
      <c r="AC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9" s="2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H179" s="10" t="b">
        <v>0</v>
      </c>
      <c r="AY179"/>
      <c r="AZ179"/>
      <c r="BA179"/>
    </row>
    <row r="180" spans="1:53">
      <c r="A180" s="2" t="s">
        <v>200</v>
      </c>
      <c r="B180">
        <v>1949</v>
      </c>
      <c r="C180" cm="1">
        <f t="array" ref="C180">_xlfn.IFS(ISNUMBER(SEARCH("wagon",PROPERTIES[[#This Row],[VEHIDCODE]])),0,OR(MID(PROPERTIES[[#This Row],[VEHIDCODE]],2,2)="mu",_xlfn.TEXTBEFORE(PROPERTIES[[#This Row],[VEHIDCODE]],"_")="mtro"),1,1=1,0)</f>
        <v>0</v>
      </c>
      <c r="D180" t="s">
        <v>1937</v>
      </c>
      <c r="E180" t="str">
        <f>_xlfn.XLOOKUP(PROPERTIES[[#This Row],[COUNTRY]],COUNTRIES[COUNTRY_DESCRIPTION],COUNTRIES[COUNTRY_LABEL],"")</f>
        <v>US</v>
      </c>
      <c r="F180" t="str" cm="1">
        <f t="array" ref="F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0" t="s">
        <v>19</v>
      </c>
      <c r="H180">
        <v>0</v>
      </c>
      <c r="I180">
        <v>8</v>
      </c>
      <c r="J180">
        <v>8</v>
      </c>
      <c r="K180" t="str" cm="1">
        <f t="array" ref="K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0">
        <f>_xlfn.XLOOKUP("LOADINGSPEEDDEF_"&amp;PROPERTIES[[#This Row],[LOADINGSPEED]],LOADINGSPEEDDEF[TYPE],LOADINGSPEEDDEF[SPEED])</f>
        <v>20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f>IF(ISNUMBER(SEARCH("passenger",PROPERTIES[[#This Row],[CARGODEF]])),1,0)</f>
        <v>0</v>
      </c>
      <c r="O180" s="32">
        <v>143</v>
      </c>
      <c r="P180">
        <v>2250</v>
      </c>
      <c r="Q180">
        <v>188</v>
      </c>
      <c r="R180" s="29">
        <v>251</v>
      </c>
      <c r="S180" s="28">
        <f>IFERROR(PROPERTIES[[#This Row],[TE_STARTING_KN]]/(PROPERTIES[[#This Row],[WEIGHT]]*9.81),0)</f>
        <v>0.17892403213504129</v>
      </c>
      <c r="T180" s="28">
        <v>0.13</v>
      </c>
      <c r="U180" s="25">
        <f>ROUND(IF(IFERROR(PROPERTIES[[#This Row],[TE_COEFFICIENT_CALC]],0)=0,PROPERTIES[[#This Row],[TE_COEFFICIENT_MANUAL]],PROPERTIES[[#This Row],[TE_COEFFICIENT_CALC]]),3)</f>
        <v>0.17899999999999999</v>
      </c>
      <c r="V180" s="11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36">
        <v>0</v>
      </c>
      <c r="X180" s="9">
        <v>0</v>
      </c>
      <c r="Y180" s="10">
        <v>0</v>
      </c>
      <c r="Z180" t="s">
        <v>874</v>
      </c>
      <c r="AA180" t="s">
        <v>868</v>
      </c>
      <c r="AB180" s="2" t="s">
        <v>886</v>
      </c>
      <c r="AC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0" s="2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H180" s="10" t="b">
        <v>0</v>
      </c>
      <c r="AY180"/>
      <c r="AZ180"/>
      <c r="BA180"/>
    </row>
    <row r="181" spans="1:53">
      <c r="A181" s="2" t="s">
        <v>201</v>
      </c>
      <c r="B181">
        <v>1950</v>
      </c>
      <c r="C181" cm="1">
        <f t="array" ref="C181">_xlfn.IFS(ISNUMBER(SEARCH("wagon",PROPERTIES[[#This Row],[VEHIDCODE]])),0,OR(MID(PROPERTIES[[#This Row],[VEHIDCODE]],2,2)="mu",_xlfn.TEXTBEFORE(PROPERTIES[[#This Row],[VEHIDCODE]],"_")="mtro"),1,1=1,0)</f>
        <v>0</v>
      </c>
      <c r="D181" t="s">
        <v>1737</v>
      </c>
      <c r="E181" t="str">
        <f>_xlfn.XLOOKUP(PROPERTIES[[#This Row],[COUNTRY]],COUNTRIES[COUNTRY_DESCRIPTION],COUNTRIES[COUNTRY_LABEL],"")</f>
        <v>BR</v>
      </c>
      <c r="F181" t="str" cm="1">
        <f t="array" ref="F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1" t="s">
        <v>19</v>
      </c>
      <c r="H181">
        <v>0</v>
      </c>
      <c r="I181">
        <v>7</v>
      </c>
      <c r="J181">
        <v>7</v>
      </c>
      <c r="K181" t="str" cm="1">
        <f t="array" ref="K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1">
        <f>_xlfn.XLOOKUP("LOADINGSPEEDDEF_"&amp;PROPERTIES[[#This Row],[LOADINGSPEED]],LOADINGSPEEDDEF[TYPE],LOADINGSPEEDDEF[SPEED])</f>
        <v>20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f>IF(ISNUMBER(SEARCH("passenger",PROPERTIES[[#This Row],[CARGODEF]])),1,0)</f>
        <v>0</v>
      </c>
      <c r="O181" s="32">
        <v>112</v>
      </c>
      <c r="P181">
        <v>1600</v>
      </c>
      <c r="Q181">
        <v>137</v>
      </c>
      <c r="R181" s="29">
        <v>274.8</v>
      </c>
      <c r="S181" s="28">
        <f>IFERROR(PROPERTIES[[#This Row],[TE_STARTING_KN]]/(PROPERTIES[[#This Row],[WEIGHT]]*9.81),0)</f>
        <v>0.25010921799912628</v>
      </c>
      <c r="T181" s="28">
        <v>0.1</v>
      </c>
      <c r="U181" s="25">
        <f>ROUND(IF(IFERROR(PROPERTIES[[#This Row],[TE_COEFFICIENT_CALC]],0)=0,PROPERTIES[[#This Row],[TE_COEFFICIENT_MANUAL]],PROPERTIES[[#This Row],[TE_COEFFICIENT_CALC]]),3)</f>
        <v>0.25</v>
      </c>
      <c r="V181" s="11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36">
        <v>0</v>
      </c>
      <c r="X181" s="9">
        <v>0</v>
      </c>
      <c r="Y181" s="10">
        <v>0</v>
      </c>
      <c r="Z181" t="s">
        <v>876</v>
      </c>
      <c r="AA181" t="s">
        <v>868</v>
      </c>
      <c r="AB181" s="2" t="s">
        <v>886</v>
      </c>
      <c r="AC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1" s="2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H181" s="10" t="b">
        <v>0</v>
      </c>
      <c r="AY181"/>
      <c r="AZ181"/>
      <c r="BA181"/>
    </row>
    <row r="182" spans="1:53">
      <c r="A182" s="2" t="s">
        <v>202</v>
      </c>
      <c r="B182">
        <v>1950</v>
      </c>
      <c r="C182" cm="1">
        <f t="array" ref="C182">_xlfn.IFS(ISNUMBER(SEARCH("wagon",PROPERTIES[[#This Row],[VEHIDCODE]])),0,OR(MID(PROPERTIES[[#This Row],[VEHIDCODE]],2,2)="mu",_xlfn.TEXTBEFORE(PROPERTIES[[#This Row],[VEHIDCODE]],"_")="mtro"),1,1=1,0)</f>
        <v>0</v>
      </c>
      <c r="D182" t="s">
        <v>1871</v>
      </c>
      <c r="E182" t="str">
        <f>_xlfn.XLOOKUP(PROPERTIES[[#This Row],[COUNTRY]],COUNTRIES[COUNTRY_DESCRIPTION],COUNTRIES[COUNTRY_LABEL],"")</f>
        <v>NL</v>
      </c>
      <c r="F182" t="str" cm="1">
        <f t="array" ref="F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2" t="s">
        <v>19</v>
      </c>
      <c r="H182">
        <v>0</v>
      </c>
      <c r="I182">
        <v>5</v>
      </c>
      <c r="J182">
        <v>5</v>
      </c>
      <c r="K182" t="str" cm="1">
        <f t="array" ref="K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2">
        <f>_xlfn.XLOOKUP("LOADINGSPEEDDEF_"&amp;PROPERTIES[[#This Row],[LOADINGSPEED]],LOADINGSPEEDDEF[TYPE],LOADINGSPEEDDEF[SPEED])</f>
        <v>20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f>IF(ISNUMBER(SEARCH("passenger",PROPERTIES[[#This Row],[CARGODEF]])),1,0)</f>
        <v>0</v>
      </c>
      <c r="O182" s="32">
        <v>47</v>
      </c>
      <c r="P182">
        <v>400</v>
      </c>
      <c r="Q182">
        <v>30</v>
      </c>
      <c r="R182" s="29">
        <v>143</v>
      </c>
      <c r="S182" s="28">
        <f>IFERROR(PROPERTIES[[#This Row],[TE_STARTING_KN]]/(PROPERTIES[[#This Row],[WEIGHT]]*9.81),0)</f>
        <v>0.31014813368902766</v>
      </c>
      <c r="T182" s="28">
        <v>0.3</v>
      </c>
      <c r="U182" s="25">
        <f>ROUND(IF(IFERROR(PROPERTIES[[#This Row],[TE_COEFFICIENT_CALC]],0)=0,PROPERTIES[[#This Row],[TE_COEFFICIENT_MANUAL]],PROPERTIES[[#This Row],[TE_COEFFICIENT_CALC]]),3)</f>
        <v>0.31</v>
      </c>
      <c r="V182" s="11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36">
        <v>0</v>
      </c>
      <c r="X182" s="9">
        <v>0</v>
      </c>
      <c r="Y182" s="10">
        <v>0</v>
      </c>
      <c r="Z182" t="s">
        <v>869</v>
      </c>
      <c r="AA182" t="s">
        <v>868</v>
      </c>
      <c r="AB182" s="2" t="s">
        <v>886</v>
      </c>
      <c r="AC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2" s="2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H182" s="10" t="b">
        <v>0</v>
      </c>
      <c r="AY182"/>
      <c r="AZ182"/>
      <c r="BA182"/>
    </row>
    <row r="183" spans="1:53">
      <c r="A183" s="2" t="s">
        <v>203</v>
      </c>
      <c r="B183">
        <v>1950</v>
      </c>
      <c r="C183" cm="1">
        <f t="array" ref="C183">_xlfn.IFS(ISNUMBER(SEARCH("wagon",PROPERTIES[[#This Row],[VEHIDCODE]])),0,OR(MID(PROPERTIES[[#This Row],[VEHIDCODE]],2,2)="mu",_xlfn.TEXTBEFORE(PROPERTIES[[#This Row],[VEHIDCODE]],"_")="mtro"),1,1=1,0)</f>
        <v>0</v>
      </c>
      <c r="D183" t="s">
        <v>1937</v>
      </c>
      <c r="E183" t="str">
        <f>_xlfn.XLOOKUP(PROPERTIES[[#This Row],[COUNTRY]],COUNTRIES[COUNTRY_DESCRIPTION],COUNTRIES[COUNTRY_LABEL],"")</f>
        <v>US</v>
      </c>
      <c r="F183" t="str" cm="1">
        <f t="array" ref="F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3" t="s">
        <v>19</v>
      </c>
      <c r="H183">
        <v>0</v>
      </c>
      <c r="I183">
        <v>7</v>
      </c>
      <c r="J183">
        <v>7</v>
      </c>
      <c r="K183" t="str" cm="1">
        <f t="array" ref="K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3">
        <f>_xlfn.XLOOKUP("LOADINGSPEEDDEF_"&amp;PROPERTIES[[#This Row],[LOADINGSPEED]],LOADINGSPEEDDEF[TYPE],LOADINGSPEEDDEF[SPEED])</f>
        <v>20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f>IF(ISNUMBER(SEARCH("passenger",PROPERTIES[[#This Row],[CARGODEF]])),1,0)</f>
        <v>0</v>
      </c>
      <c r="O183" s="32">
        <v>121</v>
      </c>
      <c r="P183">
        <v>1600</v>
      </c>
      <c r="Q183">
        <v>110</v>
      </c>
      <c r="R183" s="29">
        <v>216.18</v>
      </c>
      <c r="S183" s="28">
        <f>IFERROR(PROPERTIES[[#This Row],[TE_STARTING_KN]]/(PROPERTIES[[#This Row],[WEIGHT]]*9.81),0)</f>
        <v>0.18212146485707786</v>
      </c>
      <c r="T183" s="28">
        <v>0.16</v>
      </c>
      <c r="U183" s="25">
        <f>ROUND(IF(IFERROR(PROPERTIES[[#This Row],[TE_COEFFICIENT_CALC]],0)=0,PROPERTIES[[#This Row],[TE_COEFFICIENT_MANUAL]],PROPERTIES[[#This Row],[TE_COEFFICIENT_CALC]]),3)</f>
        <v>0.182</v>
      </c>
      <c r="V183" s="11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36">
        <v>0</v>
      </c>
      <c r="X183" s="9">
        <v>0</v>
      </c>
      <c r="Y183" s="10">
        <v>0</v>
      </c>
      <c r="Z183" t="s">
        <v>874</v>
      </c>
      <c r="AA183" t="s">
        <v>868</v>
      </c>
      <c r="AB183" s="2" t="s">
        <v>886</v>
      </c>
      <c r="AC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3" s="2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H183" s="10" t="b">
        <v>0</v>
      </c>
      <c r="AY183"/>
      <c r="AZ183"/>
      <c r="BA183"/>
    </row>
    <row r="184" spans="1:53">
      <c r="A184" s="2" t="s">
        <v>204</v>
      </c>
      <c r="B184">
        <v>1952</v>
      </c>
      <c r="C184" cm="1">
        <f t="array" ref="C184">_xlfn.IFS(ISNUMBER(SEARCH("wagon",PROPERTIES[[#This Row],[VEHIDCODE]])),0,OR(MID(PROPERTIES[[#This Row],[VEHIDCODE]],2,2)="mu",_xlfn.TEXTBEFORE(PROPERTIES[[#This Row],[VEHIDCODE]],"_")="mtro"),1,1=1,0)</f>
        <v>0</v>
      </c>
      <c r="D184" t="s">
        <v>1938</v>
      </c>
      <c r="E184" t="str">
        <f>_xlfn.XLOOKUP(PROPERTIES[[#This Row],[COUNTRY]],COUNTRIES[COUNTRY_DESCRIPTION],COUNTRIES[COUNTRY_LABEL],"")</f>
        <v>UY</v>
      </c>
      <c r="F184" t="str" cm="1">
        <f t="array" ref="F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4" t="s">
        <v>19</v>
      </c>
      <c r="H184">
        <v>0</v>
      </c>
      <c r="I184">
        <v>8</v>
      </c>
      <c r="J184">
        <v>8</v>
      </c>
      <c r="K184" t="str" cm="1">
        <f t="array" ref="K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4">
        <f>_xlfn.XLOOKUP("LOADINGSPEEDDEF_"&amp;PROPERTIES[[#This Row],[LOADINGSPEED]],LOADINGSPEEDDEF[TYPE],LOADINGSPEEDDEF[SPEED])</f>
        <v>20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f>IF(ISNUMBER(SEARCH("passenger",PROPERTIES[[#This Row],[CARGODEF]])),1,0)</f>
        <v>0</v>
      </c>
      <c r="O184" s="32">
        <v>112</v>
      </c>
      <c r="P184">
        <v>1500</v>
      </c>
      <c r="Q184">
        <v>110</v>
      </c>
      <c r="R184" s="29">
        <v>255</v>
      </c>
      <c r="S184" s="28">
        <f>IFERROR(PROPERTIES[[#This Row],[TE_STARTING_KN]]/(PROPERTIES[[#This Row],[WEIGHT]]*9.81),0)</f>
        <v>0.23208824814329401</v>
      </c>
      <c r="T184" s="28">
        <v>0.18</v>
      </c>
      <c r="U184" s="25">
        <f>ROUND(IF(IFERROR(PROPERTIES[[#This Row],[TE_COEFFICIENT_CALC]],0)=0,PROPERTIES[[#This Row],[TE_COEFFICIENT_MANUAL]],PROPERTIES[[#This Row],[TE_COEFFICIENT_CALC]]),3)</f>
        <v>0.23200000000000001</v>
      </c>
      <c r="V184" s="11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36">
        <v>0</v>
      </c>
      <c r="X184" s="9">
        <v>0</v>
      </c>
      <c r="Y184" s="10">
        <v>0</v>
      </c>
      <c r="Z184" t="s">
        <v>876</v>
      </c>
      <c r="AA184" t="s">
        <v>868</v>
      </c>
      <c r="AB184" s="2" t="s">
        <v>886</v>
      </c>
      <c r="AC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4" s="2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H184" s="10" t="b">
        <v>0</v>
      </c>
      <c r="AY184"/>
      <c r="AZ184"/>
      <c r="BA184"/>
    </row>
    <row r="185" spans="1:53">
      <c r="A185" s="2" t="s">
        <v>205</v>
      </c>
      <c r="B185">
        <v>1953</v>
      </c>
      <c r="C185" cm="1">
        <f t="array" ref="C185">_xlfn.IFS(ISNUMBER(SEARCH("wagon",PROPERTIES[[#This Row],[VEHIDCODE]])),0,OR(MID(PROPERTIES[[#This Row],[VEHIDCODE]],2,2)="mu",_xlfn.TEXTBEFORE(PROPERTIES[[#This Row],[VEHIDCODE]],"_")="mtro"),1,1=1,0)</f>
        <v>0</v>
      </c>
      <c r="D185" t="s">
        <v>1744</v>
      </c>
      <c r="E185" t="str">
        <f>_xlfn.XLOOKUP(PROPERTIES[[#This Row],[COUNTRY]],COUNTRIES[COUNTRY_DESCRIPTION],COUNTRIES[COUNTRY_LABEL],"")</f>
        <v>CA</v>
      </c>
      <c r="F185" t="str" cm="1">
        <f t="array" ref="F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5" t="s">
        <v>19</v>
      </c>
      <c r="H185">
        <v>0</v>
      </c>
      <c r="I185">
        <v>8</v>
      </c>
      <c r="J185">
        <v>8</v>
      </c>
      <c r="K185" t="str" cm="1">
        <f t="array" ref="K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5">
        <f>_xlfn.XLOOKUP("LOADINGSPEEDDEF_"&amp;PROPERTIES[[#This Row],[LOADINGSPEED]],LOADINGSPEEDDEF[TYPE],LOADINGSPEEDDEF[SPEED])</f>
        <v>20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f>IF(ISNUMBER(SEARCH("passenger",PROPERTIES[[#This Row],[CARGODEF]])),1,0)</f>
        <v>0</v>
      </c>
      <c r="O185" s="32">
        <v>170</v>
      </c>
      <c r="P185">
        <v>2400</v>
      </c>
      <c r="Q185">
        <v>105</v>
      </c>
      <c r="R185" s="29">
        <v>498.2</v>
      </c>
      <c r="S185" s="28">
        <f>IFERROR(PROPERTIES[[#This Row],[TE_STARTING_KN]]/(PROPERTIES[[#This Row],[WEIGHT]]*9.81),0)</f>
        <v>0.29873478443365115</v>
      </c>
      <c r="T185" s="28">
        <v>0.28999999999999998</v>
      </c>
      <c r="U185" s="25">
        <f>ROUND(IF(IFERROR(PROPERTIES[[#This Row],[TE_COEFFICIENT_CALC]],0)=0,PROPERTIES[[#This Row],[TE_COEFFICIENT_MANUAL]],PROPERTIES[[#This Row],[TE_COEFFICIENT_CALC]]),3)</f>
        <v>0.29899999999999999</v>
      </c>
      <c r="V185" s="11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36">
        <v>0</v>
      </c>
      <c r="X185" s="9">
        <v>0</v>
      </c>
      <c r="Y185" s="10">
        <v>0</v>
      </c>
      <c r="Z185" t="s">
        <v>874</v>
      </c>
      <c r="AA185" t="s">
        <v>868</v>
      </c>
      <c r="AB185" s="2" t="s">
        <v>886</v>
      </c>
      <c r="AC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5" s="2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H185" s="10" t="b">
        <v>0</v>
      </c>
      <c r="AY185"/>
      <c r="AZ185"/>
      <c r="BA185"/>
    </row>
    <row r="186" spans="1:53">
      <c r="A186" s="2" t="s">
        <v>206</v>
      </c>
      <c r="B186">
        <v>1953</v>
      </c>
      <c r="C186" cm="1">
        <f t="array" ref="C186">_xlfn.IFS(ISNUMBER(SEARCH("wagon",PROPERTIES[[#This Row],[VEHIDCODE]])),0,OR(MID(PROPERTIES[[#This Row],[VEHIDCODE]],2,2)="mu",_xlfn.TEXTBEFORE(PROPERTIES[[#This Row],[VEHIDCODE]],"_")="mtro"),1,1=1,0)</f>
        <v>0</v>
      </c>
      <c r="D186" t="s">
        <v>1836</v>
      </c>
      <c r="E186" t="str">
        <f>_xlfn.XLOOKUP(PROPERTIES[[#This Row],[COUNTRY]],COUNTRIES[COUNTRY_DESCRIPTION],COUNTRIES[COUNTRY_LABEL],"")</f>
        <v>LR</v>
      </c>
      <c r="F186" t="str" cm="1">
        <f t="array" ref="F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6" t="s">
        <v>19</v>
      </c>
      <c r="H186">
        <v>0</v>
      </c>
      <c r="I186">
        <v>5</v>
      </c>
      <c r="J186">
        <v>5</v>
      </c>
      <c r="K186" t="str" cm="1">
        <f t="array" ref="K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6">
        <f>_xlfn.XLOOKUP("LOADINGSPEEDDEF_"&amp;PROPERTIES[[#This Row],[LOADINGSPEED]],LOADINGSPEEDDEF[TYPE],LOADINGSPEEDDEF[SPEED])</f>
        <v>20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f>IF(ISNUMBER(SEARCH("passenger",PROPERTIES[[#This Row],[CARGODEF]])),1,0)</f>
        <v>0</v>
      </c>
      <c r="O186" s="32">
        <v>50</v>
      </c>
      <c r="P186">
        <v>350</v>
      </c>
      <c r="Q186">
        <v>24</v>
      </c>
      <c r="R186" s="29">
        <v>160</v>
      </c>
      <c r="S186" s="28">
        <f>IFERROR(PROPERTIES[[#This Row],[TE_STARTING_KN]]/(PROPERTIES[[#This Row],[WEIGHT]]*9.81),0)</f>
        <v>0.32619775739041795</v>
      </c>
      <c r="T186" s="28">
        <v>0.32</v>
      </c>
      <c r="U186" s="25">
        <f>ROUND(IF(IFERROR(PROPERTIES[[#This Row],[TE_COEFFICIENT_CALC]],0)=0,PROPERTIES[[#This Row],[TE_COEFFICIENT_MANUAL]],PROPERTIES[[#This Row],[TE_COEFFICIENT_CALC]]),3)</f>
        <v>0.32600000000000001</v>
      </c>
      <c r="V186" s="11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36">
        <v>0</v>
      </c>
      <c r="X186" s="9">
        <v>0</v>
      </c>
      <c r="Y186" s="10">
        <v>0</v>
      </c>
      <c r="Z186" t="s">
        <v>872</v>
      </c>
      <c r="AA186" t="s">
        <v>868</v>
      </c>
      <c r="AB186" s="2" t="s">
        <v>886</v>
      </c>
      <c r="AC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6" s="2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H186" s="10" t="b">
        <v>0</v>
      </c>
      <c r="AY186"/>
      <c r="AZ186"/>
      <c r="BA186"/>
    </row>
    <row r="187" spans="1:53">
      <c r="A187" s="2" t="s">
        <v>207</v>
      </c>
      <c r="B187">
        <v>1954</v>
      </c>
      <c r="C187" cm="1">
        <f t="array" ref="C187">_xlfn.IFS(ISNUMBER(SEARCH("wagon",PROPERTIES[[#This Row],[VEHIDCODE]])),0,OR(MID(PROPERTIES[[#This Row],[VEHIDCODE]],2,2)="mu",_xlfn.TEXTBEFORE(PROPERTIES[[#This Row],[VEHIDCODE]],"_")="mtro"),1,1=1,0)</f>
        <v>0</v>
      </c>
      <c r="D187" t="s">
        <v>1718</v>
      </c>
      <c r="E187" t="str">
        <f>_xlfn.XLOOKUP(PROPERTIES[[#This Row],[COUNTRY]],COUNTRIES[COUNTRY_DESCRIPTION],COUNTRIES[COUNTRY_LABEL],"")</f>
        <v>AT</v>
      </c>
      <c r="F187" t="str" cm="1">
        <f t="array" ref="F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7" t="s">
        <v>19</v>
      </c>
      <c r="H187">
        <v>0</v>
      </c>
      <c r="I187">
        <v>5</v>
      </c>
      <c r="J187">
        <v>5</v>
      </c>
      <c r="K187" t="str" cm="1">
        <f t="array" ref="K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7">
        <f>_xlfn.XLOOKUP("LOADINGSPEEDDEF_"&amp;PROPERTIES[[#This Row],[LOADINGSPEED]],LOADINGSPEEDDEF[TYPE],LOADINGSPEEDDEF[SPEED])</f>
        <v>20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f>IF(ISNUMBER(SEARCH("passenger",PROPERTIES[[#This Row],[CARGODEF]])),1,0)</f>
        <v>0</v>
      </c>
      <c r="O187" s="32">
        <v>28</v>
      </c>
      <c r="P187">
        <v>200</v>
      </c>
      <c r="Q187">
        <v>60</v>
      </c>
      <c r="R187" s="29">
        <v>79</v>
      </c>
      <c r="S187" s="28">
        <f>IFERROR(PROPERTIES[[#This Row],[TE_STARTING_KN]]/(PROPERTIES[[#This Row],[WEIGHT]]*9.81),0)</f>
        <v>0.28760739769914079</v>
      </c>
      <c r="T187" s="28">
        <v>0.28000000000000003</v>
      </c>
      <c r="U187" s="25">
        <f>ROUND(IF(IFERROR(PROPERTIES[[#This Row],[TE_COEFFICIENT_CALC]],0)=0,PROPERTIES[[#This Row],[TE_COEFFICIENT_MANUAL]],PROPERTIES[[#This Row],[TE_COEFFICIENT_CALC]]),3)</f>
        <v>0.28799999999999998</v>
      </c>
      <c r="V187" s="11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36">
        <v>0</v>
      </c>
      <c r="X187" s="9">
        <v>0</v>
      </c>
      <c r="Y187" s="10">
        <v>0</v>
      </c>
      <c r="Z187" t="s">
        <v>869</v>
      </c>
      <c r="AA187" t="s">
        <v>868</v>
      </c>
      <c r="AB187" s="2" t="s">
        <v>886</v>
      </c>
      <c r="AC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7" s="2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H187" s="10" t="b">
        <v>0</v>
      </c>
      <c r="AY187"/>
      <c r="AZ187"/>
      <c r="BA187"/>
    </row>
    <row r="188" spans="1:53">
      <c r="A188" s="2" t="s">
        <v>208</v>
      </c>
      <c r="B188">
        <v>1954</v>
      </c>
      <c r="C188" cm="1">
        <f t="array" ref="C188">_xlfn.IFS(ISNUMBER(SEARCH("wagon",PROPERTIES[[#This Row],[VEHIDCODE]])),0,OR(MID(PROPERTIES[[#This Row],[VEHIDCODE]],2,2)="mu",_xlfn.TEXTBEFORE(PROPERTIES[[#This Row],[VEHIDCODE]],"_")="mtro"),1,1=1,0)</f>
        <v>0</v>
      </c>
      <c r="D188" t="s">
        <v>1744</v>
      </c>
      <c r="E188" t="str">
        <f>_xlfn.XLOOKUP(PROPERTIES[[#This Row],[COUNTRY]],COUNTRIES[COUNTRY_DESCRIPTION],COUNTRIES[COUNTRY_LABEL],"")</f>
        <v>CA</v>
      </c>
      <c r="F188" t="str" cm="1">
        <f t="array" ref="F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8" t="s">
        <v>19</v>
      </c>
      <c r="H188">
        <v>0</v>
      </c>
      <c r="I188">
        <v>6</v>
      </c>
      <c r="J188">
        <v>6</v>
      </c>
      <c r="K188" t="str" cm="1">
        <f t="array" ref="K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8">
        <f>_xlfn.XLOOKUP("LOADINGSPEEDDEF_"&amp;PROPERTIES[[#This Row],[LOADINGSPEED]],LOADINGSPEEDDEF[TYPE],LOADINGSPEEDDEF[SPEED])</f>
        <v>20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f>IF(ISNUMBER(SEARCH("passenger",PROPERTIES[[#This Row],[CARGODEF]])),1,0)</f>
        <v>0</v>
      </c>
      <c r="O188" s="32">
        <v>111</v>
      </c>
      <c r="P188">
        <v>1200</v>
      </c>
      <c r="Q188">
        <v>104</v>
      </c>
      <c r="R188" s="29">
        <v>0</v>
      </c>
      <c r="S188" s="28">
        <f>IFERROR(PROPERTIES[[#This Row],[TE_STARTING_KN]]/(PROPERTIES[[#This Row],[WEIGHT]]*9.81),0)</f>
        <v>0</v>
      </c>
      <c r="T188" s="28">
        <v>0.14000000000000001</v>
      </c>
      <c r="U188" s="25">
        <f>ROUND(IF(IFERROR(PROPERTIES[[#This Row],[TE_COEFFICIENT_CALC]],0)=0,PROPERTIES[[#This Row],[TE_COEFFICIENT_MANUAL]],PROPERTIES[[#This Row],[TE_COEFFICIENT_CALC]]),3)</f>
        <v>0.14000000000000001</v>
      </c>
      <c r="V188" s="11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36">
        <v>0</v>
      </c>
      <c r="X188" s="9">
        <v>0</v>
      </c>
      <c r="Y188" s="10">
        <v>0</v>
      </c>
      <c r="Z188" t="s">
        <v>874</v>
      </c>
      <c r="AA188" t="s">
        <v>868</v>
      </c>
      <c r="AB188" s="2" t="s">
        <v>886</v>
      </c>
      <c r="AC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8" s="2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H188" s="10" t="b">
        <v>0</v>
      </c>
      <c r="AY188"/>
      <c r="AZ188"/>
      <c r="BA188"/>
    </row>
    <row r="189" spans="1:53">
      <c r="A189" s="2" t="s">
        <v>209</v>
      </c>
      <c r="B189">
        <v>1954</v>
      </c>
      <c r="C189" cm="1">
        <f t="array" ref="C189">_xlfn.IFS(ISNUMBER(SEARCH("wagon",PROPERTIES[[#This Row],[VEHIDCODE]])),0,OR(MID(PROPERTIES[[#This Row],[VEHIDCODE]],2,2)="mu",_xlfn.TEXTBEFORE(PROPERTIES[[#This Row],[VEHIDCODE]],"_")="mtro"),1,1=1,0)</f>
        <v>0</v>
      </c>
      <c r="D189" t="s">
        <v>1744</v>
      </c>
      <c r="E189" t="str">
        <f>_xlfn.XLOOKUP(PROPERTIES[[#This Row],[COUNTRY]],COUNTRIES[COUNTRY_DESCRIPTION],COUNTRIES[COUNTRY_LABEL],"")</f>
        <v>CA</v>
      </c>
      <c r="F189" t="str" cm="1">
        <f t="array" ref="F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9" t="s">
        <v>19</v>
      </c>
      <c r="H189">
        <v>0</v>
      </c>
      <c r="I189">
        <v>8</v>
      </c>
      <c r="J189">
        <v>8</v>
      </c>
      <c r="K189" t="str" cm="1">
        <f t="array" ref="K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9">
        <f>_xlfn.XLOOKUP("LOADINGSPEEDDEF_"&amp;PROPERTIES[[#This Row],[LOADINGSPEED]],LOADINGSPEEDDEF[TYPE],LOADINGSPEEDDEF[SPEED])</f>
        <v>20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f>IF(ISNUMBER(SEARCH("passenger",PROPERTIES[[#This Row],[CARGODEF]])),1,0)</f>
        <v>0</v>
      </c>
      <c r="O189" s="32">
        <v>104</v>
      </c>
      <c r="P189">
        <v>1800</v>
      </c>
      <c r="Q189">
        <v>144</v>
      </c>
      <c r="R189" s="29">
        <v>0</v>
      </c>
      <c r="S189" s="28">
        <f>IFERROR(PROPERTIES[[#This Row],[TE_STARTING_KN]]/(PROPERTIES[[#This Row],[WEIGHT]]*9.81),0)</f>
        <v>0</v>
      </c>
      <c r="T189" s="28">
        <v>0.19</v>
      </c>
      <c r="U189" s="25">
        <f>ROUND(IF(IFERROR(PROPERTIES[[#This Row],[TE_COEFFICIENT_CALC]],0)=0,PROPERTIES[[#This Row],[TE_COEFFICIENT_MANUAL]],PROPERTIES[[#This Row],[TE_COEFFICIENT_CALC]]),3)</f>
        <v>0.19</v>
      </c>
      <c r="V189" s="11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36">
        <v>0</v>
      </c>
      <c r="X189" s="9">
        <v>0</v>
      </c>
      <c r="Y189" s="10">
        <v>55</v>
      </c>
      <c r="Z189" t="s">
        <v>874</v>
      </c>
      <c r="AA189" t="s">
        <v>868</v>
      </c>
      <c r="AB189" s="2" t="s">
        <v>886</v>
      </c>
      <c r="AC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9" s="2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H189" s="10" t="b">
        <v>0</v>
      </c>
      <c r="AY189"/>
      <c r="AZ189"/>
      <c r="BA189"/>
    </row>
    <row r="190" spans="1:53">
      <c r="A190" s="2" t="s">
        <v>210</v>
      </c>
      <c r="B190">
        <v>1954</v>
      </c>
      <c r="C190" cm="1">
        <f t="array" ref="C190">_xlfn.IFS(ISNUMBER(SEARCH("wagon",PROPERTIES[[#This Row],[VEHIDCODE]])),0,OR(MID(PROPERTIES[[#This Row],[VEHIDCODE]],2,2)="mu",_xlfn.TEXTBEFORE(PROPERTIES[[#This Row],[VEHIDCODE]],"_")="mtro"),1,1=1,0)</f>
        <v>0</v>
      </c>
      <c r="D190" t="s">
        <v>1805</v>
      </c>
      <c r="E190" t="str">
        <f>_xlfn.XLOOKUP(PROPERTIES[[#This Row],[COUNTRY]],COUNTRIES[COUNTRY_DESCRIPTION],COUNTRIES[COUNTRY_LABEL],"")</f>
        <v>HU</v>
      </c>
      <c r="F190" t="str" cm="1">
        <f t="array" ref="F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0" t="s">
        <v>19</v>
      </c>
      <c r="H190">
        <v>0</v>
      </c>
      <c r="I190">
        <v>6</v>
      </c>
      <c r="J190">
        <v>6</v>
      </c>
      <c r="K190" t="str" cm="1">
        <f t="array" ref="K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0">
        <f>_xlfn.XLOOKUP("LOADINGSPEEDDEF_"&amp;PROPERTIES[[#This Row],[LOADINGSPEED]],LOADINGSPEEDDEF[TYPE],LOADINGSPEEDDEF[SPEED])</f>
        <v>20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f>IF(ISNUMBER(SEARCH("passenger",PROPERTIES[[#This Row],[CARGODEF]])),1,0)</f>
        <v>0</v>
      </c>
      <c r="O190" s="32">
        <v>62</v>
      </c>
      <c r="P190">
        <v>590</v>
      </c>
      <c r="Q190">
        <v>80</v>
      </c>
      <c r="R190" s="29">
        <v>166.5</v>
      </c>
      <c r="S190" s="28">
        <f>IFERROR(PROPERTIES[[#This Row],[TE_STARTING_KN]]/(PROPERTIES[[#This Row],[WEIGHT]]*9.81),0)</f>
        <v>0.27374963006806746</v>
      </c>
      <c r="T190" s="28">
        <v>0.3</v>
      </c>
      <c r="U190" s="25">
        <f>ROUND(IF(IFERROR(PROPERTIES[[#This Row],[TE_COEFFICIENT_CALC]],0)=0,PROPERTIES[[#This Row],[TE_COEFFICIENT_MANUAL]],PROPERTIES[[#This Row],[TE_COEFFICIENT_CALC]]),3)</f>
        <v>0.27400000000000002</v>
      </c>
      <c r="V190" s="11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36">
        <v>0</v>
      </c>
      <c r="X190" s="9">
        <v>0</v>
      </c>
      <c r="Y190" s="10">
        <v>0</v>
      </c>
      <c r="Z190" t="s">
        <v>875</v>
      </c>
      <c r="AA190" t="s">
        <v>868</v>
      </c>
      <c r="AB190" s="2" t="s">
        <v>886</v>
      </c>
      <c r="AC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0" s="2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H190" s="10" t="b">
        <v>0</v>
      </c>
      <c r="AY190"/>
      <c r="AZ190"/>
      <c r="BA190"/>
    </row>
    <row r="191" spans="1:53">
      <c r="A191" s="2" t="s">
        <v>211</v>
      </c>
      <c r="B191">
        <v>1955</v>
      </c>
      <c r="C191" cm="1">
        <f t="array" ref="C191">_xlfn.IFS(ISNUMBER(SEARCH("wagon",PROPERTIES[[#This Row],[VEHIDCODE]])),0,OR(MID(PROPERTIES[[#This Row],[VEHIDCODE]],2,2)="mu",_xlfn.TEXTBEFORE(PROPERTIES[[#This Row],[VEHIDCODE]],"_")="mtro"),1,1=1,0)</f>
        <v>0</v>
      </c>
      <c r="D191" t="s">
        <v>1805</v>
      </c>
      <c r="E191" t="str">
        <f>_xlfn.XLOOKUP(PROPERTIES[[#This Row],[COUNTRY]],COUNTRIES[COUNTRY_DESCRIPTION],COUNTRIES[COUNTRY_LABEL],"")</f>
        <v>HU</v>
      </c>
      <c r="F191" t="str" cm="1">
        <f t="array" ref="F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1" t="s">
        <v>19</v>
      </c>
      <c r="H191">
        <v>0</v>
      </c>
      <c r="I191">
        <v>4</v>
      </c>
      <c r="J191">
        <v>4</v>
      </c>
      <c r="K191" t="str" cm="1">
        <f t="array" ref="K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1">
        <f>_xlfn.XLOOKUP("LOADINGSPEEDDEF_"&amp;PROPERTIES[[#This Row],[LOADINGSPEED]],LOADINGSPEEDDEF[TYPE],LOADINGSPEEDDEF[SPEED])</f>
        <v>20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f>IF(ISNUMBER(SEARCH("passenger",PROPERTIES[[#This Row],[CARGODEF]])),1,0)</f>
        <v>0</v>
      </c>
      <c r="O191" s="32">
        <v>19</v>
      </c>
      <c r="P191">
        <v>135</v>
      </c>
      <c r="Q191">
        <v>50</v>
      </c>
      <c r="R191" s="29">
        <v>0</v>
      </c>
      <c r="S191" s="28">
        <f>IFERROR(PROPERTIES[[#This Row],[TE_STARTING_KN]]/(PROPERTIES[[#This Row],[WEIGHT]]*9.81),0)</f>
        <v>0</v>
      </c>
      <c r="T191" s="28">
        <v>0.32</v>
      </c>
      <c r="U191" s="25">
        <f>ROUND(IF(IFERROR(PROPERTIES[[#This Row],[TE_COEFFICIENT_CALC]],0)=0,PROPERTIES[[#This Row],[TE_COEFFICIENT_MANUAL]],PROPERTIES[[#This Row],[TE_COEFFICIENT_CALC]]),3)</f>
        <v>0.32</v>
      </c>
      <c r="V191" s="11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36">
        <v>0</v>
      </c>
      <c r="X191" s="9">
        <v>0</v>
      </c>
      <c r="Y191" s="10">
        <v>0</v>
      </c>
      <c r="Z191" t="s">
        <v>875</v>
      </c>
      <c r="AA191" t="s">
        <v>868</v>
      </c>
      <c r="AB191" s="2" t="s">
        <v>886</v>
      </c>
      <c r="AC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1" s="2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H191" s="10" t="b">
        <v>0</v>
      </c>
      <c r="AY191"/>
      <c r="AZ191"/>
      <c r="BA191"/>
    </row>
    <row r="192" spans="1:53">
      <c r="A192" s="2" t="s">
        <v>212</v>
      </c>
      <c r="B192">
        <v>1956</v>
      </c>
      <c r="C192" cm="1">
        <f t="array" ref="C192">_xlfn.IFS(ISNUMBER(SEARCH("wagon",PROPERTIES[[#This Row],[VEHIDCODE]])),0,OR(MID(PROPERTIES[[#This Row],[VEHIDCODE]],2,2)="mu",_xlfn.TEXTBEFORE(PROPERTIES[[#This Row],[VEHIDCODE]],"_")="mtro"),1,1=1,0)</f>
        <v>0</v>
      </c>
      <c r="D192" t="s">
        <v>1726</v>
      </c>
      <c r="E192" t="str">
        <f>_xlfn.XLOOKUP(PROPERTIES[[#This Row],[COUNTRY]],COUNTRIES[COUNTRY_DESCRIPTION],COUNTRIES[COUNTRY_LABEL],"")</f>
        <v>BE</v>
      </c>
      <c r="F192" t="str" cm="1">
        <f t="array" ref="F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2" t="s">
        <v>19</v>
      </c>
      <c r="H192">
        <v>0</v>
      </c>
      <c r="I192">
        <v>5</v>
      </c>
      <c r="J192">
        <v>5</v>
      </c>
      <c r="K192" t="str" cm="1">
        <f t="array" ref="K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2">
        <f>_xlfn.XLOOKUP("LOADINGSPEEDDEF_"&amp;PROPERTIES[[#This Row],[LOADINGSPEED]],LOADINGSPEEDDEF[TYPE],LOADINGSPEEDDEF[SPEED])</f>
        <v>20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f>IF(ISNUMBER(SEARCH("passenger",PROPERTIES[[#This Row],[CARGODEF]])),1,0)</f>
        <v>0</v>
      </c>
      <c r="O192" s="32">
        <v>57</v>
      </c>
      <c r="P192">
        <v>440</v>
      </c>
      <c r="Q192">
        <v>50</v>
      </c>
      <c r="R192" s="29">
        <v>196</v>
      </c>
      <c r="S192" s="28">
        <f>IFERROR(PROPERTIES[[#This Row],[TE_STARTING_KN]]/(PROPERTIES[[#This Row],[WEIGHT]]*9.81),0)</f>
        <v>0.35051952000286135</v>
      </c>
      <c r="T192" s="28">
        <v>0.39</v>
      </c>
      <c r="U192" s="25">
        <f>ROUND(IF(IFERROR(PROPERTIES[[#This Row],[TE_COEFFICIENT_CALC]],0)=0,PROPERTIES[[#This Row],[TE_COEFFICIENT_MANUAL]],PROPERTIES[[#This Row],[TE_COEFFICIENT_CALC]]),3)</f>
        <v>0.35099999999999998</v>
      </c>
      <c r="V192" s="11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36">
        <v>0</v>
      </c>
      <c r="X192" s="9">
        <v>0</v>
      </c>
      <c r="Y192" s="10">
        <v>0</v>
      </c>
      <c r="Z192" t="s">
        <v>869</v>
      </c>
      <c r="AA192" t="s">
        <v>868</v>
      </c>
      <c r="AB192" s="2" t="s">
        <v>886</v>
      </c>
      <c r="AC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2" s="2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H192" s="10" t="b">
        <v>0</v>
      </c>
      <c r="AY192"/>
      <c r="AZ192"/>
      <c r="BA192"/>
    </row>
    <row r="193" spans="1:53">
      <c r="A193" s="2" t="s">
        <v>213</v>
      </c>
      <c r="B193">
        <v>1956</v>
      </c>
      <c r="C193" cm="1">
        <f t="array" ref="C193">_xlfn.IFS(ISNUMBER(SEARCH("wagon",PROPERTIES[[#This Row],[VEHIDCODE]])),0,OR(MID(PROPERTIES[[#This Row],[VEHIDCODE]],2,2)="mu",_xlfn.TEXTBEFORE(PROPERTIES[[#This Row],[VEHIDCODE]],"_")="mtro"),1,1=1,0)</f>
        <v>0</v>
      </c>
      <c r="D193" t="s">
        <v>1763</v>
      </c>
      <c r="E193" t="str">
        <f>_xlfn.XLOOKUP(PROPERTIES[[#This Row],[COUNTRY]],COUNTRIES[COUNTRY_DESCRIPTION],COUNTRIES[COUNTRY_LABEL],"")</f>
        <v>DE</v>
      </c>
      <c r="F193" t="str" cm="1">
        <f t="array" ref="F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3" t="s">
        <v>19</v>
      </c>
      <c r="H193">
        <v>0</v>
      </c>
      <c r="I193">
        <v>8</v>
      </c>
      <c r="J193">
        <v>8</v>
      </c>
      <c r="K193" t="str" cm="1">
        <f t="array" ref="K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3">
        <f>_xlfn.XLOOKUP("LOADINGSPEEDDEF_"&amp;PROPERTIES[[#This Row],[LOADINGSPEED]],LOADINGSPEEDDEF[TYPE],LOADINGSPEEDDEF[SPEED])</f>
        <v>20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f>IF(ISNUMBER(SEARCH("passenger",PROPERTIES[[#This Row],[CARGODEF]])),1,0)</f>
        <v>0</v>
      </c>
      <c r="O193" s="32">
        <v>81</v>
      </c>
      <c r="P193">
        <v>2169</v>
      </c>
      <c r="Q193">
        <v>140</v>
      </c>
      <c r="R193" s="29">
        <v>234</v>
      </c>
      <c r="S193" s="28">
        <f>IFERROR(PROPERTIES[[#This Row],[TE_STARTING_KN]]/(PROPERTIES[[#This Row],[WEIGHT]]*9.81),0)</f>
        <v>0.29448408653301616</v>
      </c>
      <c r="T193" s="28">
        <v>0.28999999999999998</v>
      </c>
      <c r="U193" s="25">
        <f>ROUND(IF(IFERROR(PROPERTIES[[#This Row],[TE_COEFFICIENT_CALC]],0)=0,PROPERTIES[[#This Row],[TE_COEFFICIENT_MANUAL]],PROPERTIES[[#This Row],[TE_COEFFICIENT_CALC]]),3)</f>
        <v>0.29399999999999998</v>
      </c>
      <c r="V193" s="11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36">
        <v>0</v>
      </c>
      <c r="X193" s="9">
        <v>0</v>
      </c>
      <c r="Y193" s="10">
        <v>0</v>
      </c>
      <c r="Z193" t="s">
        <v>869</v>
      </c>
      <c r="AA193" t="s">
        <v>868</v>
      </c>
      <c r="AB193" s="2" t="s">
        <v>886</v>
      </c>
      <c r="AC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3" s="2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H193" s="10" t="b">
        <v>0</v>
      </c>
      <c r="AY193"/>
      <c r="AZ193"/>
      <c r="BA193"/>
    </row>
    <row r="194" spans="1:53">
      <c r="A194" s="2" t="s">
        <v>214</v>
      </c>
      <c r="B194">
        <v>1956</v>
      </c>
      <c r="C194" cm="1">
        <f t="array" ref="C194">_xlfn.IFS(ISNUMBER(SEARCH("wagon",PROPERTIES[[#This Row],[VEHIDCODE]])),0,OR(MID(PROPERTIES[[#This Row],[VEHIDCODE]],2,2)="mu",_xlfn.TEXTBEFORE(PROPERTIES[[#This Row],[VEHIDCODE]],"_")="mtro"),1,1=1,0)</f>
        <v>0</v>
      </c>
      <c r="D194" t="s">
        <v>1937</v>
      </c>
      <c r="E194" t="str">
        <f>_xlfn.XLOOKUP(PROPERTIES[[#This Row],[COUNTRY]],COUNTRIES[COUNTRY_DESCRIPTION],COUNTRIES[COUNTRY_LABEL],"")</f>
        <v>US</v>
      </c>
      <c r="F194" t="str" cm="1">
        <f t="array" ref="F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4" t="s">
        <v>19</v>
      </c>
      <c r="H194">
        <v>0</v>
      </c>
      <c r="I194">
        <v>8</v>
      </c>
      <c r="J194">
        <v>8</v>
      </c>
      <c r="K194" t="str" cm="1">
        <f t="array" ref="K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4">
        <f>_xlfn.XLOOKUP("LOADINGSPEEDDEF_"&amp;PROPERTIES[[#This Row],[LOADINGSPEED]],LOADINGSPEEDDEF[TYPE],LOADINGSPEEDDEF[SPEED])</f>
        <v>20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f>IF(ISNUMBER(SEARCH("passenger",PROPERTIES[[#This Row],[CARGODEF]])),1,0)</f>
        <v>0</v>
      </c>
      <c r="O194" s="32">
        <v>130</v>
      </c>
      <c r="P194">
        <v>1750</v>
      </c>
      <c r="Q194">
        <v>144</v>
      </c>
      <c r="R194" s="29">
        <v>253.28</v>
      </c>
      <c r="S194" s="28">
        <f>IFERROR(PROPERTIES[[#This Row],[TE_STARTING_KN]]/(PROPERTIES[[#This Row],[WEIGHT]]*9.81),0)</f>
        <v>0.19860424998039677</v>
      </c>
      <c r="T194" s="28">
        <v>0.2</v>
      </c>
      <c r="U194" s="25">
        <f>ROUND(IF(IFERROR(PROPERTIES[[#This Row],[TE_COEFFICIENT_CALC]],0)=0,PROPERTIES[[#This Row],[TE_COEFFICIENT_MANUAL]],PROPERTIES[[#This Row],[TE_COEFFICIENT_CALC]]),3)</f>
        <v>0.19900000000000001</v>
      </c>
      <c r="V194" s="11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36">
        <v>0</v>
      </c>
      <c r="X194" s="9">
        <v>0</v>
      </c>
      <c r="Y194" s="10">
        <v>0</v>
      </c>
      <c r="Z194" t="s">
        <v>874</v>
      </c>
      <c r="AA194" t="s">
        <v>868</v>
      </c>
      <c r="AB194" s="2" t="s">
        <v>886</v>
      </c>
      <c r="AC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4" s="2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H194" s="10" t="b">
        <v>0</v>
      </c>
      <c r="AY194"/>
      <c r="AZ194"/>
      <c r="BA194"/>
    </row>
    <row r="195" spans="1:53">
      <c r="A195" s="2" t="s">
        <v>215</v>
      </c>
      <c r="B195">
        <v>1958</v>
      </c>
      <c r="C195" cm="1">
        <f t="array" ref="C195">_xlfn.IFS(ISNUMBER(SEARCH("wagon",PROPERTIES[[#This Row],[VEHIDCODE]])),0,OR(MID(PROPERTIES[[#This Row],[VEHIDCODE]],2,2)="mu",_xlfn.TEXTBEFORE(PROPERTIES[[#This Row],[VEHIDCODE]],"_")="mtro"),1,1=1,0)</f>
        <v>0</v>
      </c>
      <c r="D195" t="s">
        <v>1762</v>
      </c>
      <c r="E195" t="str">
        <f>_xlfn.XLOOKUP(PROPERTIES[[#This Row],[COUNTRY]],COUNTRIES[COUNTRY_DESCRIPTION],COUNTRIES[COUNTRY_LABEL],"")</f>
        <v>CZ</v>
      </c>
      <c r="F195" t="str" cm="1">
        <f t="array" ref="F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5" t="s">
        <v>19</v>
      </c>
      <c r="H195">
        <v>0</v>
      </c>
      <c r="I195">
        <v>6</v>
      </c>
      <c r="J195">
        <v>6</v>
      </c>
      <c r="K195" t="str" cm="1">
        <f t="array" ref="K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5">
        <f>_xlfn.XLOOKUP("LOADINGSPEEDDEF_"&amp;PROPERTIES[[#This Row],[LOADINGSPEED]],LOADINGSPEEDDEF[TYPE],LOADINGSPEEDDEF[SPEED])</f>
        <v>20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f>IF(ISNUMBER(SEARCH("passenger",PROPERTIES[[#This Row],[CARGODEF]])),1,0)</f>
        <v>0</v>
      </c>
      <c r="O195" s="32">
        <v>61</v>
      </c>
      <c r="P195">
        <v>740</v>
      </c>
      <c r="Q195">
        <v>80</v>
      </c>
      <c r="R195" s="29">
        <v>160</v>
      </c>
      <c r="S195" s="28">
        <f>IFERROR(PROPERTIES[[#This Row],[TE_STARTING_KN]]/(PROPERTIES[[#This Row],[WEIGHT]]*9.81),0)</f>
        <v>0.2673752109757524</v>
      </c>
      <c r="T195" s="28">
        <v>0.28000000000000003</v>
      </c>
      <c r="U195" s="25">
        <f>ROUND(IF(IFERROR(PROPERTIES[[#This Row],[TE_COEFFICIENT_CALC]],0)=0,PROPERTIES[[#This Row],[TE_COEFFICIENT_MANUAL]],PROPERTIES[[#This Row],[TE_COEFFICIENT_CALC]]),3)</f>
        <v>0.26700000000000002</v>
      </c>
      <c r="V195" s="11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36">
        <v>0</v>
      </c>
      <c r="X195" s="9">
        <v>0</v>
      </c>
      <c r="Y195" s="10">
        <v>0</v>
      </c>
      <c r="Z195" t="s">
        <v>875</v>
      </c>
      <c r="AA195" t="s">
        <v>868</v>
      </c>
      <c r="AB195" s="2" t="s">
        <v>886</v>
      </c>
      <c r="AC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5" s="2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H195" s="10" t="b">
        <v>0</v>
      </c>
      <c r="AY195"/>
      <c r="AZ195"/>
      <c r="BA195"/>
    </row>
    <row r="196" spans="1:53">
      <c r="A196" s="2" t="s">
        <v>216</v>
      </c>
      <c r="B196">
        <v>1959</v>
      </c>
      <c r="C196" cm="1">
        <f t="array" ref="C196">_xlfn.IFS(ISNUMBER(SEARCH("wagon",PROPERTIES[[#This Row],[VEHIDCODE]])),0,OR(MID(PROPERTIES[[#This Row],[VEHIDCODE]],2,2)="mu",_xlfn.TEXTBEFORE(PROPERTIES[[#This Row],[VEHIDCODE]],"_")="mtro"),1,1=1,0)</f>
        <v>0</v>
      </c>
      <c r="D196" t="s">
        <v>1776</v>
      </c>
      <c r="E196" t="str">
        <f>_xlfn.XLOOKUP(PROPERTIES[[#This Row],[COUNTRY]],COUNTRIES[COUNTRY_DESCRIPTION],COUNTRIES[COUNTRY_LABEL],"")</f>
        <v>FI</v>
      </c>
      <c r="F196" t="str" cm="1">
        <f t="array" ref="F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6" t="s">
        <v>19</v>
      </c>
      <c r="H196">
        <v>0</v>
      </c>
      <c r="I196">
        <v>8</v>
      </c>
      <c r="J196">
        <v>8</v>
      </c>
      <c r="K196" t="str" cm="1">
        <f t="array" ref="K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6">
        <f>_xlfn.XLOOKUP("LOADINGSPEEDDEF_"&amp;PROPERTIES[[#This Row],[LOADINGSPEED]],LOADINGSPEEDDEF[TYPE],LOADINGSPEEDDEF[SPEED])</f>
        <v>20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f>IF(ISNUMBER(SEARCH("passenger",PROPERTIES[[#This Row],[CARGODEF]])),1,0)</f>
        <v>0</v>
      </c>
      <c r="O196" s="32">
        <v>122</v>
      </c>
      <c r="P196">
        <v>1900</v>
      </c>
      <c r="Q196">
        <v>120</v>
      </c>
      <c r="R196" s="29">
        <v>275</v>
      </c>
      <c r="S196" s="28">
        <f>IFERROR(PROPERTIES[[#This Row],[TE_STARTING_KN]]/(PROPERTIES[[#This Row],[WEIGHT]]*9.81),0)</f>
        <v>0.2297755719322872</v>
      </c>
      <c r="T196" s="28">
        <v>0.18</v>
      </c>
      <c r="U196" s="25">
        <f>ROUND(IF(IFERROR(PROPERTIES[[#This Row],[TE_COEFFICIENT_CALC]],0)=0,PROPERTIES[[#This Row],[TE_COEFFICIENT_MANUAL]],PROPERTIES[[#This Row],[TE_COEFFICIENT_CALC]]),3)</f>
        <v>0.23</v>
      </c>
      <c r="V196" s="11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36">
        <v>0</v>
      </c>
      <c r="X196" s="9">
        <v>0</v>
      </c>
      <c r="Y196" s="10">
        <v>0</v>
      </c>
      <c r="Z196" t="s">
        <v>873</v>
      </c>
      <c r="AA196" t="s">
        <v>868</v>
      </c>
      <c r="AB196" s="2" t="s">
        <v>886</v>
      </c>
      <c r="AC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6" s="2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H196" s="10" t="b">
        <v>0</v>
      </c>
      <c r="AY196"/>
      <c r="AZ196"/>
      <c r="BA196"/>
    </row>
    <row r="197" spans="1:53">
      <c r="A197" s="2" t="s">
        <v>217</v>
      </c>
      <c r="B197">
        <v>1959</v>
      </c>
      <c r="C197" cm="1">
        <f t="array" ref="C197">_xlfn.IFS(ISNUMBER(SEARCH("wagon",PROPERTIES[[#This Row],[VEHIDCODE]])),0,OR(MID(PROPERTIES[[#This Row],[VEHIDCODE]],2,2)="mu",_xlfn.TEXTBEFORE(PROPERTIES[[#This Row],[VEHIDCODE]],"_")="mtro"),1,1=1,0)</f>
        <v>0</v>
      </c>
      <c r="D197" t="s">
        <v>1894</v>
      </c>
      <c r="E197" t="str">
        <f>_xlfn.XLOOKUP(PROPERTIES[[#This Row],[COUNTRY]],COUNTRIES[COUNTRY_DESCRIPTION],COUNTRIES[COUNTRY_LABEL],"")</f>
        <v>RO</v>
      </c>
      <c r="F197" t="str" cm="1">
        <f t="array" ref="F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7" t="s">
        <v>19</v>
      </c>
      <c r="H197">
        <v>0</v>
      </c>
      <c r="I197">
        <v>8</v>
      </c>
      <c r="J197">
        <v>8</v>
      </c>
      <c r="K197" t="str" cm="1">
        <f t="array" ref="K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7">
        <f>_xlfn.XLOOKUP("LOADINGSPEEDDEF_"&amp;PROPERTIES[[#This Row],[LOADINGSPEED]],LOADINGSPEEDDEF[TYPE],LOADINGSPEEDDEF[SPEED])</f>
        <v>20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f>IF(ISNUMBER(SEARCH("passenger",PROPERTIES[[#This Row],[CARGODEF]])),1,0)</f>
        <v>0</v>
      </c>
      <c r="O197" s="32">
        <v>116</v>
      </c>
      <c r="P197">
        <v>2070</v>
      </c>
      <c r="Q197">
        <v>100</v>
      </c>
      <c r="R197" s="29">
        <v>0</v>
      </c>
      <c r="S197" s="28">
        <f>IFERROR(PROPERTIES[[#This Row],[TE_STARTING_KN]]/(PROPERTIES[[#This Row],[WEIGHT]]*9.81),0)</f>
        <v>0</v>
      </c>
      <c r="T197" s="28">
        <v>0.27</v>
      </c>
      <c r="U197" s="25">
        <f>ROUND(IF(IFERROR(PROPERTIES[[#This Row],[TE_COEFFICIENT_CALC]],0)=0,PROPERTIES[[#This Row],[TE_COEFFICIENT_MANUAL]],PROPERTIES[[#This Row],[TE_COEFFICIENT_CALC]]),3)</f>
        <v>0.27</v>
      </c>
      <c r="V197" s="11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36">
        <v>0</v>
      </c>
      <c r="X197" s="9">
        <v>0</v>
      </c>
      <c r="Y197" s="10">
        <v>0</v>
      </c>
      <c r="Z197" t="s">
        <v>875</v>
      </c>
      <c r="AA197" t="s">
        <v>868</v>
      </c>
      <c r="AB197" s="2" t="s">
        <v>886</v>
      </c>
      <c r="AC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7" s="2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H197" s="10" t="b">
        <v>0</v>
      </c>
      <c r="AY197"/>
      <c r="AZ197"/>
      <c r="BA197"/>
    </row>
    <row r="198" spans="1:53">
      <c r="A198" s="2" t="s">
        <v>218</v>
      </c>
      <c r="B198">
        <v>1960</v>
      </c>
      <c r="C198" cm="1">
        <f t="array" ref="C198">_xlfn.IFS(ISNUMBER(SEARCH("wagon",PROPERTIES[[#This Row],[VEHIDCODE]])),0,OR(MID(PROPERTIES[[#This Row],[VEHIDCODE]],2,2)="mu",_xlfn.TEXTBEFORE(PROPERTIES[[#This Row],[VEHIDCODE]],"_")="mtro"),1,1=1,0)</f>
        <v>0</v>
      </c>
      <c r="D198" t="s">
        <v>1737</v>
      </c>
      <c r="E198" t="str">
        <f>_xlfn.XLOOKUP(PROPERTIES[[#This Row],[COUNTRY]],COUNTRIES[COUNTRY_DESCRIPTION],COUNTRIES[COUNTRY_LABEL],"")</f>
        <v>BR</v>
      </c>
      <c r="F198" t="str" cm="1">
        <f t="array" ref="F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8" t="s">
        <v>19</v>
      </c>
      <c r="H198">
        <v>0</v>
      </c>
      <c r="I198">
        <v>5</v>
      </c>
      <c r="J198">
        <v>5</v>
      </c>
      <c r="K198" t="str" cm="1">
        <f t="array" ref="K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8">
        <f>_xlfn.XLOOKUP("LOADINGSPEEDDEF_"&amp;PROPERTIES[[#This Row],[LOADINGSPEED]],LOADINGSPEEDDEF[TYPE],LOADINGSPEEDDEF[SPEED])</f>
        <v>20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f>IF(ISNUMBER(SEARCH("passenger",PROPERTIES[[#This Row],[CARGODEF]])),1,0)</f>
        <v>0</v>
      </c>
      <c r="O198" s="32">
        <v>64</v>
      </c>
      <c r="P198">
        <v>875</v>
      </c>
      <c r="Q198">
        <v>124</v>
      </c>
      <c r="R198" s="29">
        <v>152</v>
      </c>
      <c r="S198" s="28">
        <f>IFERROR(PROPERTIES[[#This Row],[TE_STARTING_KN]]/(PROPERTIES[[#This Row],[WEIGHT]]*9.81),0)</f>
        <v>0.24209989806320081</v>
      </c>
      <c r="T198" s="28">
        <v>0.13</v>
      </c>
      <c r="U198" s="25">
        <f>ROUND(IF(IFERROR(PROPERTIES[[#This Row],[TE_COEFFICIENT_CALC]],0)=0,PROPERTIES[[#This Row],[TE_COEFFICIENT_MANUAL]],PROPERTIES[[#This Row],[TE_COEFFICIENT_CALC]]),3)</f>
        <v>0.24199999999999999</v>
      </c>
      <c r="V198" s="11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36">
        <v>0</v>
      </c>
      <c r="X198" s="9">
        <v>0</v>
      </c>
      <c r="Y198" s="10">
        <v>0</v>
      </c>
      <c r="Z198" t="s">
        <v>876</v>
      </c>
      <c r="AA198" t="s">
        <v>868</v>
      </c>
      <c r="AB198" s="2" t="s">
        <v>886</v>
      </c>
      <c r="AC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8" s="2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H198" s="10" t="b">
        <v>0</v>
      </c>
      <c r="AY198"/>
      <c r="AZ198"/>
      <c r="BA198"/>
    </row>
    <row r="199" spans="1:53">
      <c r="A199" s="2" t="s">
        <v>219</v>
      </c>
      <c r="B199">
        <v>1960</v>
      </c>
      <c r="C199" cm="1">
        <f t="array" ref="C199">_xlfn.IFS(ISNUMBER(SEARCH("wagon",PROPERTIES[[#This Row],[VEHIDCODE]])),0,OR(MID(PROPERTIES[[#This Row],[VEHIDCODE]],2,2)="mu",_xlfn.TEXTBEFORE(PROPERTIES[[#This Row],[VEHIDCODE]],"_")="mtro"),1,1=1,0)</f>
        <v>0</v>
      </c>
      <c r="D199" t="s">
        <v>1737</v>
      </c>
      <c r="E199" t="str">
        <f>_xlfn.XLOOKUP(PROPERTIES[[#This Row],[COUNTRY]],COUNTRIES[COUNTRY_DESCRIPTION],COUNTRIES[COUNTRY_LABEL],"")</f>
        <v>BR</v>
      </c>
      <c r="F199" t="str" cm="1">
        <f t="array" ref="F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9" t="s">
        <v>19</v>
      </c>
      <c r="H199">
        <v>0</v>
      </c>
      <c r="I199">
        <v>8</v>
      </c>
      <c r="J199">
        <v>8</v>
      </c>
      <c r="K199" t="str" cm="1">
        <f t="array" ref="K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9">
        <f>_xlfn.XLOOKUP("LOADINGSPEEDDEF_"&amp;PROPERTIES[[#This Row],[LOADINGSPEED]],LOADINGSPEEDDEF[TYPE],LOADINGSPEEDDEF[SPEED])</f>
        <v>20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f>IF(ISNUMBER(SEARCH("passenger",PROPERTIES[[#This Row],[CARGODEF]])),1,0)</f>
        <v>0</v>
      </c>
      <c r="O199" s="32">
        <v>156</v>
      </c>
      <c r="P199">
        <v>3540</v>
      </c>
      <c r="Q199">
        <v>110</v>
      </c>
      <c r="R199" s="29">
        <v>400</v>
      </c>
      <c r="S199" s="28">
        <f>IFERROR(PROPERTIES[[#This Row],[TE_STARTING_KN]]/(PROPERTIES[[#This Row],[WEIGHT]]*9.81),0)</f>
        <v>0.26137640816539898</v>
      </c>
      <c r="T199" s="28">
        <v>0.28999999999999998</v>
      </c>
      <c r="U199" s="25">
        <f>ROUND(IF(IFERROR(PROPERTIES[[#This Row],[TE_COEFFICIENT_CALC]],0)=0,PROPERTIES[[#This Row],[TE_COEFFICIENT_MANUAL]],PROPERTIES[[#This Row],[TE_COEFFICIENT_CALC]]),3)</f>
        <v>0.26100000000000001</v>
      </c>
      <c r="V199" s="11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36">
        <v>0</v>
      </c>
      <c r="X199" s="9">
        <v>0</v>
      </c>
      <c r="Y199" s="10">
        <v>0</v>
      </c>
      <c r="Z199" t="s">
        <v>876</v>
      </c>
      <c r="AA199" t="s">
        <v>868</v>
      </c>
      <c r="AB199" s="2" t="s">
        <v>886</v>
      </c>
      <c r="AC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9" s="2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H199" s="10" t="b">
        <v>0</v>
      </c>
      <c r="AY199"/>
      <c r="AZ199"/>
      <c r="BA199"/>
    </row>
    <row r="200" spans="1:53">
      <c r="A200" s="2" t="s">
        <v>220</v>
      </c>
      <c r="B200">
        <v>1960</v>
      </c>
      <c r="C200" cm="1">
        <f t="array" ref="C200">_xlfn.IFS(ISNUMBER(SEARCH("wagon",PROPERTIES[[#This Row],[VEHIDCODE]])),0,OR(MID(PROPERTIES[[#This Row],[VEHIDCODE]],2,2)="mu",_xlfn.TEXTBEFORE(PROPERTIES[[#This Row],[VEHIDCODE]],"_")="mtro"),1,1=1,0)</f>
        <v>0</v>
      </c>
      <c r="D200" t="s">
        <v>1896</v>
      </c>
      <c r="E200" t="str">
        <f>_xlfn.XLOOKUP(PROPERTIES[[#This Row],[COUNTRY]],COUNTRIES[COUNTRY_DESCRIPTION],COUNTRIES[COUNTRY_LABEL],"")</f>
        <v>RU</v>
      </c>
      <c r="F200" t="str" cm="1">
        <f t="array" ref="F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0" t="s">
        <v>19</v>
      </c>
      <c r="H200">
        <v>0</v>
      </c>
      <c r="I200">
        <v>8</v>
      </c>
      <c r="J200">
        <v>8</v>
      </c>
      <c r="K200" t="str" cm="1">
        <f t="array" ref="K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0">
        <f>_xlfn.XLOOKUP("LOADINGSPEEDDEF_"&amp;PROPERTIES[[#This Row],[LOADINGSPEED]],LOADINGSPEEDDEF[TYPE],LOADINGSPEEDDEF[SPEED])</f>
        <v>20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f>IF(ISNUMBER(SEARCH("passenger",PROPERTIES[[#This Row],[CARGODEF]])),1,0)</f>
        <v>0</v>
      </c>
      <c r="O200" s="32">
        <v>130</v>
      </c>
      <c r="P200">
        <v>2960</v>
      </c>
      <c r="Q200">
        <v>160</v>
      </c>
      <c r="R200" s="29">
        <v>245</v>
      </c>
      <c r="S200" s="28">
        <f>IFERROR(PROPERTIES[[#This Row],[TE_STARTING_KN]]/(PROPERTIES[[#This Row],[WEIGHT]]*9.81),0)</f>
        <v>0.19211166000156826</v>
      </c>
      <c r="T200" s="28">
        <v>0.15</v>
      </c>
      <c r="U200" s="25">
        <f>ROUND(IF(IFERROR(PROPERTIES[[#This Row],[TE_COEFFICIENT_CALC]],0)=0,PROPERTIES[[#This Row],[TE_COEFFICIENT_MANUAL]],PROPERTIES[[#This Row],[TE_COEFFICIENT_CALC]]),3)</f>
        <v>0.192</v>
      </c>
      <c r="V200" s="11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36">
        <v>0</v>
      </c>
      <c r="X200" s="9">
        <v>0</v>
      </c>
      <c r="Y200" s="10">
        <v>0</v>
      </c>
      <c r="Z200" t="s">
        <v>877</v>
      </c>
      <c r="AA200" t="s">
        <v>868</v>
      </c>
      <c r="AB200" s="2" t="s">
        <v>886</v>
      </c>
      <c r="AC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0" s="2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H200" s="10" t="b">
        <v>0</v>
      </c>
      <c r="AY200"/>
      <c r="AZ200"/>
      <c r="BA200"/>
    </row>
    <row r="201" spans="1:53">
      <c r="A201" s="2" t="s">
        <v>221</v>
      </c>
      <c r="B201">
        <v>1961</v>
      </c>
      <c r="C201" cm="1">
        <f t="array" ref="C201">_xlfn.IFS(ISNUMBER(SEARCH("wagon",PROPERTIES[[#This Row],[VEHIDCODE]])),0,OR(MID(PROPERTIES[[#This Row],[VEHIDCODE]],2,2)="mu",_xlfn.TEXTBEFORE(PROPERTIES[[#This Row],[VEHIDCODE]],"_")="mtro"),1,1=1,0)</f>
        <v>0</v>
      </c>
      <c r="D201" t="s">
        <v>1726</v>
      </c>
      <c r="E201" t="str">
        <f>_xlfn.XLOOKUP(PROPERTIES[[#This Row],[COUNTRY]],COUNTRIES[COUNTRY_DESCRIPTION],COUNTRIES[COUNTRY_LABEL],"")</f>
        <v>BE</v>
      </c>
      <c r="F201" t="str" cm="1">
        <f t="array" ref="F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1" t="s">
        <v>19</v>
      </c>
      <c r="H201">
        <v>0</v>
      </c>
      <c r="I201">
        <v>8</v>
      </c>
      <c r="J201">
        <v>8</v>
      </c>
      <c r="K201" t="str" cm="1">
        <f t="array" ref="K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1">
        <f>_xlfn.XLOOKUP("LOADINGSPEEDDEF_"&amp;PROPERTIES[[#This Row],[LOADINGSPEED]],LOADINGSPEEDDEF[TYPE],LOADINGSPEEDDEF[SPEED])</f>
        <v>20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f>IF(ISNUMBER(SEARCH("passenger",PROPERTIES[[#This Row],[CARGODEF]])),1,0)</f>
        <v>0</v>
      </c>
      <c r="O201" s="32">
        <v>78.599999999999994</v>
      </c>
      <c r="P201">
        <v>1380</v>
      </c>
      <c r="Q201">
        <v>120</v>
      </c>
      <c r="R201" s="29">
        <v>212</v>
      </c>
      <c r="S201" s="28">
        <f>IFERROR(PROPERTIES[[#This Row],[TE_STARTING_KN]]/(PROPERTIES[[#This Row],[WEIGHT]]*9.81),0)</f>
        <v>0.27494403851291588</v>
      </c>
      <c r="T201" s="28">
        <v>0.27</v>
      </c>
      <c r="U201" s="25">
        <f>ROUND(IF(IFERROR(PROPERTIES[[#This Row],[TE_COEFFICIENT_CALC]],0)=0,PROPERTIES[[#This Row],[TE_COEFFICIENT_MANUAL]],PROPERTIES[[#This Row],[TE_COEFFICIENT_CALC]]),3)</f>
        <v>0.27500000000000002</v>
      </c>
      <c r="V201" s="11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36">
        <v>0</v>
      </c>
      <c r="X201" s="9">
        <v>0</v>
      </c>
      <c r="Y201" s="10">
        <v>0</v>
      </c>
      <c r="Z201" t="s">
        <v>869</v>
      </c>
      <c r="AA201" t="s">
        <v>868</v>
      </c>
      <c r="AB201" s="2" t="s">
        <v>886</v>
      </c>
      <c r="AC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1" s="2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H201" s="10" t="b">
        <v>0</v>
      </c>
      <c r="AY201"/>
      <c r="AZ201"/>
      <c r="BA201"/>
    </row>
    <row r="202" spans="1:53">
      <c r="A202" s="2" t="s">
        <v>222</v>
      </c>
      <c r="B202">
        <v>1960</v>
      </c>
      <c r="C202" cm="1">
        <f t="array" ref="C202">_xlfn.IFS(ISNUMBER(SEARCH("wagon",PROPERTIES[[#This Row],[VEHIDCODE]])),0,OR(MID(PROPERTIES[[#This Row],[VEHIDCODE]],2,2)="mu",_xlfn.TEXTBEFORE(PROPERTIES[[#This Row],[VEHIDCODE]],"_")="mtro"),1,1=1,0)</f>
        <v>0</v>
      </c>
      <c r="D202" t="s">
        <v>1765</v>
      </c>
      <c r="E202" t="str">
        <f>_xlfn.XLOOKUP(PROPERTIES[[#This Row],[COUNTRY]],COUNTRIES[COUNTRY_DESCRIPTION],COUNTRIES[COUNTRY_LABEL],"")</f>
        <v>DK</v>
      </c>
      <c r="F202" t="str" cm="1">
        <f t="array" ref="F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2" t="s">
        <v>19</v>
      </c>
      <c r="H202">
        <v>0</v>
      </c>
      <c r="I202">
        <v>7</v>
      </c>
      <c r="J202">
        <v>7</v>
      </c>
      <c r="K202" t="str" cm="1">
        <f t="array" ref="K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2">
        <f>_xlfn.XLOOKUP("LOADINGSPEEDDEF_"&amp;PROPERTIES[[#This Row],[LOADINGSPEED]],LOADINGSPEEDDEF[TYPE],LOADINGSPEEDDEF[SPEED])</f>
        <v>20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f>IF(ISNUMBER(SEARCH("passenger",PROPERTIES[[#This Row],[CARGODEF]])),1,0)</f>
        <v>0</v>
      </c>
      <c r="O202" s="32">
        <v>45</v>
      </c>
      <c r="P202">
        <v>334</v>
      </c>
      <c r="Q202">
        <v>60</v>
      </c>
      <c r="R202" s="29">
        <v>110</v>
      </c>
      <c r="S202" s="28">
        <f>IFERROR(PROPERTIES[[#This Row],[TE_STARTING_KN]]/(PROPERTIES[[#This Row],[WEIGHT]]*9.81),0)</f>
        <v>0.24917884245101368</v>
      </c>
      <c r="T202" s="28">
        <v>0.21</v>
      </c>
      <c r="U202" s="25">
        <f>ROUND(IF(IFERROR(PROPERTIES[[#This Row],[TE_COEFFICIENT_CALC]],0)=0,PROPERTIES[[#This Row],[TE_COEFFICIENT_MANUAL]],PROPERTIES[[#This Row],[TE_COEFFICIENT_CALC]]),3)</f>
        <v>0.249</v>
      </c>
      <c r="V202" s="11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36">
        <v>0</v>
      </c>
      <c r="X202" s="9">
        <v>0</v>
      </c>
      <c r="Y202" s="10">
        <v>0</v>
      </c>
      <c r="Z202" t="s">
        <v>873</v>
      </c>
      <c r="AA202" t="s">
        <v>868</v>
      </c>
      <c r="AB202" s="2" t="s">
        <v>886</v>
      </c>
      <c r="AC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2" s="2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H202" s="10" t="b">
        <v>0</v>
      </c>
      <c r="AY202"/>
      <c r="AZ202"/>
      <c r="BA202"/>
    </row>
    <row r="203" spans="1:53">
      <c r="A203" s="2" t="s">
        <v>223</v>
      </c>
      <c r="B203">
        <v>1963</v>
      </c>
      <c r="C203" cm="1">
        <f t="array" ref="C203">_xlfn.IFS(ISNUMBER(SEARCH("wagon",PROPERTIES[[#This Row],[VEHIDCODE]])),0,OR(MID(PROPERTIES[[#This Row],[VEHIDCODE]],2,2)="mu",_xlfn.TEXTBEFORE(PROPERTIES[[#This Row],[VEHIDCODE]],"_")="mtro"),1,1=1,0)</f>
        <v>0</v>
      </c>
      <c r="D203" t="s">
        <v>1810</v>
      </c>
      <c r="E203" t="str">
        <f>_xlfn.XLOOKUP(PROPERTIES[[#This Row],[COUNTRY]],COUNTRIES[COUNTRY_DESCRIPTION],COUNTRIES[COUNTRY_LABEL],"")</f>
        <v>IN</v>
      </c>
      <c r="F203" t="str" cm="1">
        <f t="array" ref="F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3" t="s">
        <v>19</v>
      </c>
      <c r="H203">
        <v>0</v>
      </c>
      <c r="I203">
        <v>7</v>
      </c>
      <c r="J203">
        <v>7</v>
      </c>
      <c r="K203" t="str" cm="1">
        <f t="array" ref="K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3">
        <f>_xlfn.XLOOKUP("LOADINGSPEEDDEF_"&amp;PROPERTIES[[#This Row],[LOADINGSPEED]],LOADINGSPEEDDEF[TYPE],LOADINGSPEEDDEF[SPEED])</f>
        <v>20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f>IF(ISNUMBER(SEARCH("passenger",PROPERTIES[[#This Row],[CARGODEF]])),1,0)</f>
        <v>0</v>
      </c>
      <c r="O203" s="32">
        <v>113</v>
      </c>
      <c r="P203">
        <v>2400</v>
      </c>
      <c r="Q203">
        <v>120</v>
      </c>
      <c r="R203" s="29">
        <v>300</v>
      </c>
      <c r="S203" s="28">
        <f>IFERROR(PROPERTIES[[#This Row],[TE_STARTING_KN]]/(PROPERTIES[[#This Row],[WEIGHT]]*9.81),0)</f>
        <v>0.27062867040134231</v>
      </c>
      <c r="T203" s="28">
        <v>0.27</v>
      </c>
      <c r="U203" s="25">
        <f>ROUND(IF(IFERROR(PROPERTIES[[#This Row],[TE_COEFFICIENT_CALC]],0)=0,PROPERTIES[[#This Row],[TE_COEFFICIENT_MANUAL]],PROPERTIES[[#This Row],[TE_COEFFICIENT_CALC]]),3)</f>
        <v>0.27100000000000002</v>
      </c>
      <c r="V203" s="11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36">
        <v>0</v>
      </c>
      <c r="X203" s="9">
        <v>0</v>
      </c>
      <c r="Y203" s="10">
        <v>0</v>
      </c>
      <c r="Z203" t="s">
        <v>877</v>
      </c>
      <c r="AA203" t="s">
        <v>868</v>
      </c>
      <c r="AB203" s="2" t="s">
        <v>886</v>
      </c>
      <c r="AC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3" s="2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H203" s="10" t="b">
        <v>0</v>
      </c>
      <c r="AY203"/>
      <c r="AZ203"/>
      <c r="BA203"/>
    </row>
    <row r="204" spans="1:53">
      <c r="A204" s="2" t="s">
        <v>224</v>
      </c>
      <c r="B204">
        <v>1964</v>
      </c>
      <c r="C204" cm="1">
        <f t="array" ref="C204">_xlfn.IFS(ISNUMBER(SEARCH("wagon",PROPERTIES[[#This Row],[VEHIDCODE]])),0,OR(MID(PROPERTIES[[#This Row],[VEHIDCODE]],2,2)="mu",_xlfn.TEXTBEFORE(PROPERTIES[[#This Row],[VEHIDCODE]],"_")="mtro"),1,1=1,0)</f>
        <v>0</v>
      </c>
      <c r="D204" t="s">
        <v>1782</v>
      </c>
      <c r="E204" t="str">
        <f>_xlfn.XLOOKUP(PROPERTIES[[#This Row],[COUNTRY]],COUNTRIES[COUNTRY_DESCRIPTION],COUNTRIES[COUNTRY_LABEL],"")</f>
        <v>GB</v>
      </c>
      <c r="F204" t="str" cm="1">
        <f t="array" ref="F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4" t="s">
        <v>19</v>
      </c>
      <c r="H204">
        <v>0</v>
      </c>
      <c r="I204">
        <v>6</v>
      </c>
      <c r="J204">
        <v>6</v>
      </c>
      <c r="K204" t="str" cm="1">
        <f t="array" ref="K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4">
        <f>_xlfn.XLOOKUP("LOADINGSPEEDDEF_"&amp;PROPERTIES[[#This Row],[LOADINGSPEED]],LOADINGSPEEDDEF[TYPE],LOADINGSPEEDDEF[SPEED])</f>
        <v>20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f>IF(ISNUMBER(SEARCH("passenger",PROPERTIES[[#This Row],[CARGODEF]])),1,0)</f>
        <v>0</v>
      </c>
      <c r="O204" s="32">
        <v>49</v>
      </c>
      <c r="P204">
        <v>650</v>
      </c>
      <c r="Q204">
        <v>64</v>
      </c>
      <c r="R204" s="29">
        <v>137.5</v>
      </c>
      <c r="S204" s="28">
        <f>IFERROR(PROPERTIES[[#This Row],[TE_STARTING_KN]]/(PROPERTIES[[#This Row],[WEIGHT]]*9.81),0)</f>
        <v>0.28604714056876573</v>
      </c>
      <c r="T204" s="28">
        <v>0.28000000000000003</v>
      </c>
      <c r="U204" s="25">
        <f>ROUND(IF(IFERROR(PROPERTIES[[#This Row],[TE_COEFFICIENT_CALC]],0)=0,PROPERTIES[[#This Row],[TE_COEFFICIENT_MANUAL]],PROPERTIES[[#This Row],[TE_COEFFICIENT_CALC]]),3)</f>
        <v>0.28599999999999998</v>
      </c>
      <c r="V204" s="11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36">
        <v>0</v>
      </c>
      <c r="X204" s="9">
        <v>0</v>
      </c>
      <c r="Y204" s="10">
        <v>0</v>
      </c>
      <c r="Z204" t="s">
        <v>873</v>
      </c>
      <c r="AA204" t="s">
        <v>868</v>
      </c>
      <c r="AB204" s="2" t="s">
        <v>886</v>
      </c>
      <c r="AC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4" s="2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H204" s="10" t="b">
        <v>0</v>
      </c>
      <c r="AY204"/>
      <c r="AZ204"/>
      <c r="BA204"/>
    </row>
    <row r="205" spans="1:53">
      <c r="A205" s="2" t="s">
        <v>225</v>
      </c>
      <c r="B205">
        <v>1964</v>
      </c>
      <c r="C205" cm="1">
        <f t="array" ref="C205">_xlfn.IFS(ISNUMBER(SEARCH("wagon",PROPERTIES[[#This Row],[VEHIDCODE]])),0,OR(MID(PROPERTIES[[#This Row],[VEHIDCODE]],2,2)="mu",_xlfn.TEXTBEFORE(PROPERTIES[[#This Row],[VEHIDCODE]],"_")="mtro"),1,1=1,0)</f>
        <v>0</v>
      </c>
      <c r="D205" t="s">
        <v>1896</v>
      </c>
      <c r="E205" t="str">
        <f>_xlfn.XLOOKUP(PROPERTIES[[#This Row],[COUNTRY]],COUNTRIES[COUNTRY_DESCRIPTION],COUNTRIES[COUNTRY_LABEL],"")</f>
        <v>RU</v>
      </c>
      <c r="F205" t="str" cm="1">
        <f t="array" ref="F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5" t="s">
        <v>19</v>
      </c>
      <c r="H205">
        <v>0</v>
      </c>
      <c r="I205">
        <v>8</v>
      </c>
      <c r="J205">
        <v>8</v>
      </c>
      <c r="K205" t="str" cm="1">
        <f t="array" ref="K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5">
        <f>_xlfn.XLOOKUP("LOADINGSPEEDDEF_"&amp;PROPERTIES[[#This Row],[LOADINGSPEED]],LOADINGSPEEDDEF[TYPE],LOADINGSPEEDDEF[SPEED])</f>
        <v>20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f>IF(ISNUMBER(SEARCH("passenger",PROPERTIES[[#This Row],[CARGODEF]])),1,0)</f>
        <v>0</v>
      </c>
      <c r="O205" s="32">
        <v>126</v>
      </c>
      <c r="P205">
        <v>1250</v>
      </c>
      <c r="Q205">
        <v>95</v>
      </c>
      <c r="R205" s="29">
        <v>362</v>
      </c>
      <c r="S205" s="28">
        <f>IFERROR(PROPERTIES[[#This Row],[TE_STARTING_KN]]/(PROPERTIES[[#This Row],[WEIGHT]]*9.81),0)</f>
        <v>0.29286604210151607</v>
      </c>
      <c r="T205" s="28">
        <v>0.28999999999999998</v>
      </c>
      <c r="U205" s="25">
        <f>ROUND(IF(IFERROR(PROPERTIES[[#This Row],[TE_COEFFICIENT_CALC]],0)=0,PROPERTIES[[#This Row],[TE_COEFFICIENT_MANUAL]],PROPERTIES[[#This Row],[TE_COEFFICIENT_CALC]]),3)</f>
        <v>0.29299999999999998</v>
      </c>
      <c r="V205" s="11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36">
        <v>0</v>
      </c>
      <c r="X205" s="9">
        <v>0</v>
      </c>
      <c r="Y205" s="10">
        <v>0</v>
      </c>
      <c r="Z205" t="s">
        <v>877</v>
      </c>
      <c r="AA205" t="s">
        <v>868</v>
      </c>
      <c r="AB205" s="2" t="s">
        <v>886</v>
      </c>
      <c r="AC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5" s="2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H205" s="10" t="b">
        <v>0</v>
      </c>
      <c r="AY205"/>
      <c r="AZ205"/>
      <c r="BA205"/>
    </row>
    <row r="206" spans="1:53">
      <c r="A206" s="2" t="s">
        <v>226</v>
      </c>
      <c r="B206">
        <v>1984</v>
      </c>
      <c r="C206" cm="1">
        <f t="array" ref="C206">_xlfn.IFS(ISNUMBER(SEARCH("wagon",PROPERTIES[[#This Row],[VEHIDCODE]])),0,OR(MID(PROPERTIES[[#This Row],[VEHIDCODE]],2,2)="mu",_xlfn.TEXTBEFORE(PROPERTIES[[#This Row],[VEHIDCODE]],"_")="mtro"),1,1=1,0)</f>
        <v>0</v>
      </c>
      <c r="D206" t="s">
        <v>1716</v>
      </c>
      <c r="E206" t="str">
        <f>_xlfn.XLOOKUP(PROPERTIES[[#This Row],[COUNTRY]],COUNTRIES[COUNTRY_DESCRIPTION],COUNTRIES[COUNTRY_LABEL],"")</f>
        <v>AR</v>
      </c>
      <c r="F206" t="str" cm="1">
        <f t="array" ref="F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6" t="s">
        <v>19</v>
      </c>
      <c r="H206">
        <v>0</v>
      </c>
      <c r="I206">
        <v>8</v>
      </c>
      <c r="J206">
        <v>8</v>
      </c>
      <c r="K206" t="str" cm="1">
        <f t="array" ref="K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6">
        <f>_xlfn.XLOOKUP("LOADINGSPEEDDEF_"&amp;PROPERTIES[[#This Row],[LOADINGSPEED]],LOADINGSPEEDDEF[TYPE],LOADINGSPEEDDEF[SPEED])</f>
        <v>20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f>IF(ISNUMBER(SEARCH("passenger",PROPERTIES[[#This Row],[CARGODEF]])),1,0)</f>
        <v>0</v>
      </c>
      <c r="O206" s="32">
        <v>112</v>
      </c>
      <c r="P206">
        <v>1870</v>
      </c>
      <c r="Q206">
        <v>120</v>
      </c>
      <c r="R206" s="29">
        <v>255</v>
      </c>
      <c r="S206" s="28">
        <f>IFERROR(PROPERTIES[[#This Row],[TE_STARTING_KN]]/(PROPERTIES[[#This Row],[WEIGHT]]*9.81),0)</f>
        <v>0.23208824814329401</v>
      </c>
      <c r="T206" s="28">
        <v>0.21</v>
      </c>
      <c r="U206" s="25">
        <f>ROUND(IF(IFERROR(PROPERTIES[[#This Row],[TE_COEFFICIENT_CALC]],0)=0,PROPERTIES[[#This Row],[TE_COEFFICIENT_MANUAL]],PROPERTIES[[#This Row],[TE_COEFFICIENT_CALC]]),3)</f>
        <v>0.23200000000000001</v>
      </c>
      <c r="V206" s="11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36">
        <v>0</v>
      </c>
      <c r="X206" s="9">
        <v>0</v>
      </c>
      <c r="Y206" s="10">
        <v>0</v>
      </c>
      <c r="Z206" t="s">
        <v>876</v>
      </c>
      <c r="AA206" t="s">
        <v>868</v>
      </c>
      <c r="AB206" s="2" t="s">
        <v>886</v>
      </c>
      <c r="AC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6" s="2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6" s="2" t="b">
        <v>0</v>
      </c>
      <c r="AH206" s="10" t="b">
        <v>0</v>
      </c>
      <c r="AY206"/>
      <c r="AZ206"/>
      <c r="BA206"/>
    </row>
    <row r="207" spans="1:53">
      <c r="A207" s="2" t="s">
        <v>227</v>
      </c>
      <c r="B207">
        <v>1965</v>
      </c>
      <c r="C207" cm="1">
        <f t="array" ref="C207">_xlfn.IFS(ISNUMBER(SEARCH("wagon",PROPERTIES[[#This Row],[VEHIDCODE]])),0,OR(MID(PROPERTIES[[#This Row],[VEHIDCODE]],2,2)="mu",_xlfn.TEXTBEFORE(PROPERTIES[[#This Row],[VEHIDCODE]],"_")="mtro"),1,1=1,0)</f>
        <v>0</v>
      </c>
      <c r="D207" t="s">
        <v>1896</v>
      </c>
      <c r="E207" t="str">
        <f>_xlfn.XLOOKUP(PROPERTIES[[#This Row],[COUNTRY]],COUNTRIES[COUNTRY_DESCRIPTION],COUNTRIES[COUNTRY_LABEL],"")</f>
        <v>RU</v>
      </c>
      <c r="F207" t="str" cm="1">
        <f t="array" ref="F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7" t="s">
        <v>19</v>
      </c>
      <c r="H207">
        <v>0</v>
      </c>
      <c r="I207">
        <v>8</v>
      </c>
      <c r="J207">
        <v>8</v>
      </c>
      <c r="K207" t="str" cm="1">
        <f t="array" ref="K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7">
        <f>_xlfn.XLOOKUP("LOADINGSPEEDDEF_"&amp;PROPERTIES[[#This Row],[LOADINGSPEED]],LOADINGSPEEDDEF[TYPE],LOADINGSPEEDDEF[SPEED])</f>
        <v>20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f>IF(ISNUMBER(SEARCH("passenger",PROPERTIES[[#This Row],[CARGODEF]])),1,0)</f>
        <v>0</v>
      </c>
      <c r="O207" s="32">
        <v>116</v>
      </c>
      <c r="P207">
        <v>1970</v>
      </c>
      <c r="Q207">
        <v>100</v>
      </c>
      <c r="R207" s="29">
        <v>314</v>
      </c>
      <c r="S207" s="28">
        <f>IFERROR(PROPERTIES[[#This Row],[TE_STARTING_KN]]/(PROPERTIES[[#This Row],[WEIGHT]]*9.81),0)</f>
        <v>0.27593237020633415</v>
      </c>
      <c r="T207" s="28">
        <v>0.3</v>
      </c>
      <c r="U207" s="25">
        <f>ROUND(IF(IFERROR(PROPERTIES[[#This Row],[TE_COEFFICIENT_CALC]],0)=0,PROPERTIES[[#This Row],[TE_COEFFICIENT_MANUAL]],PROPERTIES[[#This Row],[TE_COEFFICIENT_CALC]]),3)</f>
        <v>0.27600000000000002</v>
      </c>
      <c r="V207" s="11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36">
        <v>0</v>
      </c>
      <c r="X207" s="9">
        <v>0</v>
      </c>
      <c r="Y207" s="10">
        <v>0</v>
      </c>
      <c r="Z207" t="s">
        <v>877</v>
      </c>
      <c r="AA207" t="s">
        <v>868</v>
      </c>
      <c r="AB207" s="2" t="s">
        <v>886</v>
      </c>
      <c r="AC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7" s="2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H207" s="10" t="b">
        <v>0</v>
      </c>
      <c r="AY207"/>
      <c r="AZ207"/>
      <c r="BA207"/>
    </row>
    <row r="208" spans="1:53">
      <c r="A208" s="2" t="s">
        <v>228</v>
      </c>
      <c r="B208">
        <v>1969</v>
      </c>
      <c r="C208" cm="1">
        <f t="array" ref="C208">_xlfn.IFS(ISNUMBER(SEARCH("wagon",PROPERTIES[[#This Row],[VEHIDCODE]])),0,OR(MID(PROPERTIES[[#This Row],[VEHIDCODE]],2,2)="mu",_xlfn.TEXTBEFORE(PROPERTIES[[#This Row],[VEHIDCODE]],"_")="mtro"),1,1=1,0)</f>
        <v>0</v>
      </c>
      <c r="D208" t="s">
        <v>1719</v>
      </c>
      <c r="E208" t="str">
        <f>_xlfn.XLOOKUP(PROPERTIES[[#This Row],[COUNTRY]],COUNTRIES[COUNTRY_DESCRIPTION],COUNTRIES[COUNTRY_LABEL],"")</f>
        <v>AU</v>
      </c>
      <c r="F208" t="str" cm="1">
        <f t="array" ref="F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8" t="s">
        <v>19</v>
      </c>
      <c r="H208">
        <v>0</v>
      </c>
      <c r="I208">
        <v>8</v>
      </c>
      <c r="J208">
        <v>8</v>
      </c>
      <c r="K208" t="str" cm="1">
        <f t="array" ref="K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8">
        <f>_xlfn.XLOOKUP("LOADINGSPEEDDEF_"&amp;PROPERTIES[[#This Row],[LOADINGSPEED]],LOADINGSPEEDDEF[TYPE],LOADINGSPEEDDEF[SPEED])</f>
        <v>20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f>IF(ISNUMBER(SEARCH("passenger",PROPERTIES[[#This Row],[CARGODEF]])),1,0)</f>
        <v>0</v>
      </c>
      <c r="O208" s="32">
        <v>110</v>
      </c>
      <c r="P208">
        <v>2000</v>
      </c>
      <c r="Q208">
        <v>124</v>
      </c>
      <c r="R208" s="29">
        <v>315.47000000000003</v>
      </c>
      <c r="S208" s="28">
        <f>IFERROR(PROPERTIES[[#This Row],[TE_STARTING_KN]]/(PROPERTIES[[#This Row],[WEIGHT]]*9.81),0)</f>
        <v>0.29234547307941799</v>
      </c>
      <c r="T208" s="28">
        <v>0.25</v>
      </c>
      <c r="U208" s="25">
        <f>ROUND(IF(IFERROR(PROPERTIES[[#This Row],[TE_COEFFICIENT_CALC]],0)=0,PROPERTIES[[#This Row],[TE_COEFFICIENT_MANUAL]],PROPERTIES[[#This Row],[TE_COEFFICIENT_CALC]]),3)</f>
        <v>0.29199999999999998</v>
      </c>
      <c r="V208" s="11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36">
        <v>0</v>
      </c>
      <c r="X208" s="9">
        <v>0</v>
      </c>
      <c r="Y208" s="10">
        <v>0</v>
      </c>
      <c r="Z208" t="s">
        <v>871</v>
      </c>
      <c r="AA208" t="s">
        <v>868</v>
      </c>
      <c r="AB208" s="2" t="s">
        <v>886</v>
      </c>
      <c r="AC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8" s="2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H208" s="10" t="b">
        <v>0</v>
      </c>
      <c r="AY208"/>
      <c r="AZ208"/>
      <c r="BA208"/>
    </row>
    <row r="209" spans="1:53">
      <c r="A209" s="2" t="s">
        <v>229</v>
      </c>
      <c r="B209">
        <v>1969</v>
      </c>
      <c r="C209" cm="1">
        <f t="array" ref="C209">_xlfn.IFS(ISNUMBER(SEARCH("wagon",PROPERTIES[[#This Row],[VEHIDCODE]])),0,OR(MID(PROPERTIES[[#This Row],[VEHIDCODE]],2,2)="mu",_xlfn.TEXTBEFORE(PROPERTIES[[#This Row],[VEHIDCODE]],"_")="mtro"),1,1=1,0)</f>
        <v>0</v>
      </c>
      <c r="D209" t="s">
        <v>1771</v>
      </c>
      <c r="E209" t="str">
        <f>_xlfn.XLOOKUP(PROPERTIES[[#This Row],[COUNTRY]],COUNTRIES[COUNTRY_DESCRIPTION],COUNTRIES[COUNTRY_LABEL],"")</f>
        <v>EG</v>
      </c>
      <c r="F209" t="str" cm="1">
        <f t="array" ref="F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9" t="s">
        <v>19</v>
      </c>
      <c r="H209">
        <v>0</v>
      </c>
      <c r="I209">
        <v>8</v>
      </c>
      <c r="J209">
        <v>8</v>
      </c>
      <c r="K209" t="str" cm="1">
        <f t="array" ref="K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9">
        <f>_xlfn.XLOOKUP("LOADINGSPEEDDEF_"&amp;PROPERTIES[[#This Row],[LOADINGSPEED]],LOADINGSPEEDDEF[TYPE],LOADINGSPEEDDEF[SPEED])</f>
        <v>20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f>IF(ISNUMBER(SEARCH("passenger",PROPERTIES[[#This Row],[CARGODEF]])),1,0)</f>
        <v>0</v>
      </c>
      <c r="O209" s="32">
        <v>108</v>
      </c>
      <c r="P209">
        <v>1650</v>
      </c>
      <c r="Q209">
        <v>110</v>
      </c>
      <c r="R209" s="29">
        <v>265</v>
      </c>
      <c r="S209" s="28">
        <f>IFERROR(PROPERTIES[[#This Row],[TE_STARTING_KN]]/(PROPERTIES[[#This Row],[WEIGHT]]*9.81),0)</f>
        <v>0.25012270170272211</v>
      </c>
      <c r="T209" s="28">
        <v>0.21</v>
      </c>
      <c r="U209" s="25">
        <f>ROUND(IF(IFERROR(PROPERTIES[[#This Row],[TE_COEFFICIENT_CALC]],0)=0,PROPERTIES[[#This Row],[TE_COEFFICIENT_MANUAL]],PROPERTIES[[#This Row],[TE_COEFFICIENT_CALC]]),3)</f>
        <v>0.25</v>
      </c>
      <c r="V209" s="11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36">
        <v>0</v>
      </c>
      <c r="X209" s="9">
        <v>0</v>
      </c>
      <c r="Y209" s="10">
        <v>0</v>
      </c>
      <c r="Z209" t="s">
        <v>872</v>
      </c>
      <c r="AA209" t="s">
        <v>868</v>
      </c>
      <c r="AB209" s="2" t="s">
        <v>886</v>
      </c>
      <c r="AC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9" s="2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H209" s="10" t="b">
        <v>0</v>
      </c>
      <c r="AY209"/>
      <c r="AZ209"/>
      <c r="BA209"/>
    </row>
    <row r="210" spans="1:53">
      <c r="A210" s="2" t="s">
        <v>230</v>
      </c>
      <c r="B210">
        <v>1969</v>
      </c>
      <c r="C210" cm="1">
        <f t="array" ref="C210">_xlfn.IFS(ISNUMBER(SEARCH("wagon",PROPERTIES[[#This Row],[VEHIDCODE]])),0,OR(MID(PROPERTIES[[#This Row],[VEHIDCODE]],2,2)="mu",_xlfn.TEXTBEFORE(PROPERTIES[[#This Row],[VEHIDCODE]],"_")="mtro"),1,1=1,0)</f>
        <v>0</v>
      </c>
      <c r="D210" t="s">
        <v>1937</v>
      </c>
      <c r="E210" t="str">
        <f>_xlfn.XLOOKUP(PROPERTIES[[#This Row],[COUNTRY]],COUNTRIES[COUNTRY_DESCRIPTION],COUNTRIES[COUNTRY_LABEL],"")</f>
        <v>US</v>
      </c>
      <c r="F210" t="str" cm="1">
        <f t="array" ref="F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0" t="s">
        <v>19</v>
      </c>
      <c r="H210">
        <v>0</v>
      </c>
      <c r="I210">
        <v>8</v>
      </c>
      <c r="J210">
        <v>4</v>
      </c>
      <c r="K210" t="str" cm="1">
        <f t="array" ref="K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0">
        <f>_xlfn.XLOOKUP("LOADINGSPEEDDEF_"&amp;PROPERTIES[[#This Row],[LOADINGSPEED]],LOADINGSPEEDDEF[TYPE],LOADINGSPEEDDEF[SPEED])</f>
        <v>20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f>IF(ISNUMBER(SEARCH("passenger",PROPERTIES[[#This Row],[CARGODEF]])),1,0)</f>
        <v>0</v>
      </c>
      <c r="O210" s="32">
        <v>247</v>
      </c>
      <c r="P210">
        <v>6600</v>
      </c>
      <c r="Q210">
        <v>144</v>
      </c>
      <c r="R210" s="29">
        <v>506.8</v>
      </c>
      <c r="S210" s="28">
        <f>IFERROR(PROPERTIES[[#This Row],[TE_STARTING_KN]]/(PROPERTIES[[#This Row],[WEIGHT]]*9.81),0)</f>
        <v>0.20915615314456454</v>
      </c>
      <c r="T210" s="28">
        <v>0.19</v>
      </c>
      <c r="U210" s="25">
        <f>ROUND(IF(IFERROR(PROPERTIES[[#This Row],[TE_COEFFICIENT_CALC]],0)=0,PROPERTIES[[#This Row],[TE_COEFFICIENT_MANUAL]],PROPERTIES[[#This Row],[TE_COEFFICIENT_CALC]]),3)</f>
        <v>0.20899999999999999</v>
      </c>
      <c r="V210" s="11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36">
        <v>0</v>
      </c>
      <c r="X210" s="9">
        <v>2</v>
      </c>
      <c r="Y210" s="10">
        <v>0</v>
      </c>
      <c r="Z210" t="s">
        <v>874</v>
      </c>
      <c r="AA210" t="s">
        <v>868</v>
      </c>
      <c r="AB210" s="2" t="s">
        <v>886</v>
      </c>
      <c r="AC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0" s="2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H210" s="10" t="b">
        <v>0</v>
      </c>
      <c r="AY210"/>
      <c r="AZ210"/>
      <c r="BA210"/>
    </row>
    <row r="211" spans="1:53">
      <c r="A211" s="2" t="s">
        <v>231</v>
      </c>
      <c r="B211">
        <v>1970</v>
      </c>
      <c r="C211" cm="1">
        <f t="array" ref="C211">_xlfn.IFS(ISNUMBER(SEARCH("wagon",PROPERTIES[[#This Row],[VEHIDCODE]])),0,OR(MID(PROPERTIES[[#This Row],[VEHIDCODE]],2,2)="mu",_xlfn.TEXTBEFORE(PROPERTIES[[#This Row],[VEHIDCODE]],"_")="mtro"),1,1=1,0)</f>
        <v>0</v>
      </c>
      <c r="D211" t="s">
        <v>1719</v>
      </c>
      <c r="E211" t="str">
        <f>_xlfn.XLOOKUP(PROPERTIES[[#This Row],[COUNTRY]],COUNTRIES[COUNTRY_DESCRIPTION],COUNTRIES[COUNTRY_LABEL],"")</f>
        <v>AU</v>
      </c>
      <c r="F211" t="str" cm="1">
        <f t="array" ref="F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1" t="s">
        <v>19</v>
      </c>
      <c r="H211">
        <v>0</v>
      </c>
      <c r="I211">
        <v>8</v>
      </c>
      <c r="J211">
        <v>8</v>
      </c>
      <c r="K211" t="str" cm="1">
        <f t="array" ref="K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1">
        <f>_xlfn.XLOOKUP("LOADINGSPEEDDEF_"&amp;PROPERTIES[[#This Row],[LOADINGSPEED]],LOADINGSPEEDDEF[TYPE],LOADINGSPEEDDEF[SPEED])</f>
        <v>20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f>IF(ISNUMBER(SEARCH("passenger",PROPERTIES[[#This Row],[CARGODEF]])),1,0)</f>
        <v>0</v>
      </c>
      <c r="O211" s="32">
        <v>98</v>
      </c>
      <c r="P211">
        <v>2000</v>
      </c>
      <c r="Q211">
        <v>80</v>
      </c>
      <c r="R211" s="29">
        <v>286</v>
      </c>
      <c r="S211" s="28">
        <f>IFERROR(PROPERTIES[[#This Row],[TE_STARTING_KN]]/(PROPERTIES[[#This Row],[WEIGHT]]*9.81),0)</f>
        <v>0.29748902619151635</v>
      </c>
      <c r="T211" s="28">
        <v>0.28999999999999998</v>
      </c>
      <c r="U211" s="25">
        <f>ROUND(IF(IFERROR(PROPERTIES[[#This Row],[TE_COEFFICIENT_CALC]],0)=0,PROPERTIES[[#This Row],[TE_COEFFICIENT_MANUAL]],PROPERTIES[[#This Row],[TE_COEFFICIENT_CALC]]),3)</f>
        <v>0.29699999999999999</v>
      </c>
      <c r="V211" s="11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36">
        <v>0</v>
      </c>
      <c r="X211" s="9">
        <v>0</v>
      </c>
      <c r="Y211" s="10">
        <v>0</v>
      </c>
      <c r="Z211" t="s">
        <v>871</v>
      </c>
      <c r="AA211" t="s">
        <v>868</v>
      </c>
      <c r="AB211" s="2" t="s">
        <v>886</v>
      </c>
      <c r="AC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1" s="2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H211" s="10" t="b">
        <v>0</v>
      </c>
      <c r="AY211"/>
      <c r="AZ211"/>
      <c r="BA211"/>
    </row>
    <row r="212" spans="1:53">
      <c r="A212" s="2" t="s">
        <v>232</v>
      </c>
      <c r="B212">
        <v>1972</v>
      </c>
      <c r="C212" cm="1">
        <f t="array" ref="C212">_xlfn.IFS(ISNUMBER(SEARCH("wagon",PROPERTIES[[#This Row],[VEHIDCODE]])),0,OR(MID(PROPERTIES[[#This Row],[VEHIDCODE]],2,2)="mu",_xlfn.TEXTBEFORE(PROPERTIES[[#This Row],[VEHIDCODE]],"_")="mtro"),1,1=1,0)</f>
        <v>0</v>
      </c>
      <c r="D212" t="s">
        <v>1803</v>
      </c>
      <c r="E212" t="str">
        <f>_xlfn.XLOOKUP(PROPERTIES[[#This Row],[COUNTRY]],COUNTRIES[COUNTRY_DESCRIPTION],COUNTRIES[COUNTRY_LABEL],"")</f>
        <v>HR</v>
      </c>
      <c r="F212" t="str" cm="1">
        <f t="array" ref="F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2" t="s">
        <v>19</v>
      </c>
      <c r="H212">
        <v>0</v>
      </c>
      <c r="I212">
        <v>8</v>
      </c>
      <c r="J212">
        <v>8</v>
      </c>
      <c r="K212" t="str" cm="1">
        <f t="array" ref="K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2">
        <f>_xlfn.XLOOKUP("LOADINGSPEEDDEF_"&amp;PROPERTIES[[#This Row],[LOADINGSPEED]],LOADINGSPEEDDEF[TYPE],LOADINGSPEEDDEF[SPEED])</f>
        <v>20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f>IF(ISNUMBER(SEARCH("passenger",PROPERTIES[[#This Row],[CARGODEF]])),1,0)</f>
        <v>0</v>
      </c>
      <c r="O212" s="32">
        <v>103</v>
      </c>
      <c r="P212">
        <v>2200</v>
      </c>
      <c r="Q212">
        <v>124</v>
      </c>
      <c r="R212" s="29">
        <v>0</v>
      </c>
      <c r="S212" s="28">
        <f>IFERROR(PROPERTIES[[#This Row],[TE_STARTING_KN]]/(PROPERTIES[[#This Row],[WEIGHT]]*9.81),0)</f>
        <v>0</v>
      </c>
      <c r="T212" s="28">
        <v>0.26</v>
      </c>
      <c r="U212" s="25">
        <f>ROUND(IF(IFERROR(PROPERTIES[[#This Row],[TE_COEFFICIENT_CALC]],0)=0,PROPERTIES[[#This Row],[TE_COEFFICIENT_MANUAL]],PROPERTIES[[#This Row],[TE_COEFFICIENT_CALC]]),3)</f>
        <v>0.26</v>
      </c>
      <c r="V212" s="11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36">
        <v>0</v>
      </c>
      <c r="X212" s="9">
        <v>0</v>
      </c>
      <c r="Y212" s="10">
        <v>0</v>
      </c>
      <c r="Z212" t="s">
        <v>875</v>
      </c>
      <c r="AA212" t="s">
        <v>868</v>
      </c>
      <c r="AB212" s="2" t="s">
        <v>886</v>
      </c>
      <c r="AC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2" s="2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H212" s="10" t="b">
        <v>0</v>
      </c>
      <c r="AY212"/>
      <c r="AZ212"/>
      <c r="BA212"/>
    </row>
    <row r="213" spans="1:53">
      <c r="A213" s="2" t="s">
        <v>233</v>
      </c>
      <c r="B213">
        <v>1972</v>
      </c>
      <c r="C213" cm="1">
        <f t="array" ref="C213">_xlfn.IFS(ISNUMBER(SEARCH("wagon",PROPERTIES[[#This Row],[VEHIDCODE]])),0,OR(MID(PROPERTIES[[#This Row],[VEHIDCODE]],2,2)="mu",_xlfn.TEXTBEFORE(PROPERTIES[[#This Row],[VEHIDCODE]],"_")="mtro"),1,1=1,0)</f>
        <v>0</v>
      </c>
      <c r="D213" t="s">
        <v>1902</v>
      </c>
      <c r="E213" t="str">
        <f>_xlfn.XLOOKUP(PROPERTIES[[#This Row],[COUNTRY]],COUNTRIES[COUNTRY_DESCRIPTION],COUNTRIES[COUNTRY_LABEL],"")</f>
        <v>SE</v>
      </c>
      <c r="F213" t="str" cm="1">
        <f t="array" ref="F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3" t="s">
        <v>19</v>
      </c>
      <c r="H213">
        <v>0</v>
      </c>
      <c r="I213">
        <v>6</v>
      </c>
      <c r="J213">
        <v>6</v>
      </c>
      <c r="K213" t="str" cm="1">
        <f t="array" ref="K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3">
        <f>_xlfn.XLOOKUP("LOADINGSPEEDDEF_"&amp;PROPERTIES[[#This Row],[LOADINGSPEED]],LOADINGSPEEDDEF[TYPE],LOADINGSPEEDDEF[SPEED])</f>
        <v>20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f>IF(ISNUMBER(SEARCH("passenger",PROPERTIES[[#This Row],[CARGODEF]])),1,0)</f>
        <v>0</v>
      </c>
      <c r="O213" s="32">
        <v>46</v>
      </c>
      <c r="P213">
        <v>620</v>
      </c>
      <c r="Q213">
        <v>70</v>
      </c>
      <c r="R213" s="29">
        <v>0</v>
      </c>
      <c r="S213" s="28">
        <f>IFERROR(PROPERTIES[[#This Row],[TE_STARTING_KN]]/(PROPERTIES[[#This Row],[WEIGHT]]*9.81),0)</f>
        <v>0</v>
      </c>
      <c r="T213" s="28">
        <v>0.3</v>
      </c>
      <c r="U213" s="25">
        <f>ROUND(IF(IFERROR(PROPERTIES[[#This Row],[TE_COEFFICIENT_CALC]],0)=0,PROPERTIES[[#This Row],[TE_COEFFICIENT_MANUAL]],PROPERTIES[[#This Row],[TE_COEFFICIENT_CALC]]),3)</f>
        <v>0.3</v>
      </c>
      <c r="V213" s="11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36">
        <v>0</v>
      </c>
      <c r="X213" s="9">
        <v>0</v>
      </c>
      <c r="Y213" s="10">
        <v>0</v>
      </c>
      <c r="Z213" t="s">
        <v>873</v>
      </c>
      <c r="AA213" t="s">
        <v>868</v>
      </c>
      <c r="AB213" s="2" t="s">
        <v>886</v>
      </c>
      <c r="AC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3" s="2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H213" s="10" t="b">
        <v>0</v>
      </c>
      <c r="AY213"/>
      <c r="AZ213"/>
      <c r="BA213"/>
    </row>
    <row r="214" spans="1:53">
      <c r="A214" s="2" t="s">
        <v>234</v>
      </c>
      <c r="B214">
        <v>1973</v>
      </c>
      <c r="C214" cm="1">
        <f t="array" ref="C214">_xlfn.IFS(ISNUMBER(SEARCH("wagon",PROPERTIES[[#This Row],[VEHIDCODE]])),0,OR(MID(PROPERTIES[[#This Row],[VEHIDCODE]],2,2)="mu",_xlfn.TEXTBEFORE(PROPERTIES[[#This Row],[VEHIDCODE]],"_")="mtro"),1,1=1,0)</f>
        <v>0</v>
      </c>
      <c r="D214" t="s">
        <v>1744</v>
      </c>
      <c r="E214" t="str">
        <f>_xlfn.XLOOKUP(PROPERTIES[[#This Row],[COUNTRY]],COUNTRIES[COUNTRY_DESCRIPTION],COUNTRIES[COUNTRY_LABEL],"")</f>
        <v>CA</v>
      </c>
      <c r="F214" t="str" cm="1">
        <f t="array" ref="F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4" t="s">
        <v>19</v>
      </c>
      <c r="H214">
        <v>0</v>
      </c>
      <c r="I214">
        <v>8</v>
      </c>
      <c r="J214">
        <v>8</v>
      </c>
      <c r="K214" t="str" cm="1">
        <f t="array" ref="K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4">
        <f>_xlfn.XLOOKUP("LOADINGSPEEDDEF_"&amp;PROPERTIES[[#This Row],[LOADINGSPEED]],LOADINGSPEEDDEF[TYPE],LOADINGSPEEDDEF[SPEED])</f>
        <v>20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f>IF(ISNUMBER(SEARCH("passenger",PROPERTIES[[#This Row],[CARGODEF]])),1,0)</f>
        <v>0</v>
      </c>
      <c r="O214" s="32">
        <v>125</v>
      </c>
      <c r="P214">
        <v>2000</v>
      </c>
      <c r="Q214">
        <v>108</v>
      </c>
      <c r="R214" s="29">
        <v>268.67</v>
      </c>
      <c r="S214" s="28">
        <f>IFERROR(PROPERTIES[[#This Row],[TE_STARTING_KN]]/(PROPERTIES[[#This Row],[WEIGHT]]*9.81),0)</f>
        <v>0.21909887869520897</v>
      </c>
      <c r="T214" s="28">
        <v>0.13</v>
      </c>
      <c r="U214" s="25">
        <f>ROUND(IF(IFERROR(PROPERTIES[[#This Row],[TE_COEFFICIENT_CALC]],0)=0,PROPERTIES[[#This Row],[TE_COEFFICIENT_MANUAL]],PROPERTIES[[#This Row],[TE_COEFFICIENT_CALC]]),3)</f>
        <v>0.219</v>
      </c>
      <c r="V214" s="11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36">
        <v>0</v>
      </c>
      <c r="X214" s="9">
        <v>0</v>
      </c>
      <c r="Y214" s="10">
        <v>0</v>
      </c>
      <c r="Z214" t="s">
        <v>874</v>
      </c>
      <c r="AA214" t="s">
        <v>868</v>
      </c>
      <c r="AB214" s="2" t="s">
        <v>886</v>
      </c>
      <c r="AC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4" s="2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H214" s="10" t="b">
        <v>0</v>
      </c>
      <c r="AY214"/>
      <c r="AZ214"/>
      <c r="BA214"/>
    </row>
    <row r="215" spans="1:53">
      <c r="A215" s="2" t="s">
        <v>892</v>
      </c>
      <c r="B215">
        <v>1973</v>
      </c>
      <c r="C215" cm="1">
        <f t="array" ref="C215">_xlfn.IFS(ISNUMBER(SEARCH("wagon",PROPERTIES[[#This Row],[VEHIDCODE]])),0,OR(MID(PROPERTIES[[#This Row],[VEHIDCODE]],2,2)="mu",_xlfn.TEXTBEFORE(PROPERTIES[[#This Row],[VEHIDCODE]],"_")="mtro"),1,1=1,0)</f>
        <v>0</v>
      </c>
      <c r="D215" t="s">
        <v>1937</v>
      </c>
      <c r="E215" t="str">
        <f>_xlfn.XLOOKUP(PROPERTIES[[#This Row],[COUNTRY]],COUNTRIES[COUNTRY_DESCRIPTION],COUNTRIES[COUNTRY_LABEL],"")</f>
        <v>US</v>
      </c>
      <c r="F215" t="str" cm="1">
        <f t="array" ref="F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5" t="s">
        <v>19</v>
      </c>
      <c r="H215">
        <v>0</v>
      </c>
      <c r="I215">
        <v>8</v>
      </c>
      <c r="J215">
        <v>8</v>
      </c>
      <c r="K215" t="str" cm="1">
        <f t="array" ref="K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5">
        <f>_xlfn.XLOOKUP("LOADINGSPEEDDEF_"&amp;PROPERTIES[[#This Row],[LOADINGSPEED]],LOADINGSPEEDDEF[TYPE],LOADINGSPEEDDEF[SPEED])</f>
        <v>20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f>IF(ISNUMBER(SEARCH("passenger",PROPERTIES[[#This Row],[CARGODEF]])),1,0)</f>
        <v>0</v>
      </c>
      <c r="O215" s="32">
        <v>131</v>
      </c>
      <c r="P215">
        <v>3000</v>
      </c>
      <c r="Q215">
        <v>153</v>
      </c>
      <c r="R215" s="29">
        <v>289</v>
      </c>
      <c r="S215" s="28">
        <f>IFERROR(PROPERTIES[[#This Row],[TE_STARTING_KN]]/(PROPERTIES[[#This Row],[WEIGHT]]*9.81),0)</f>
        <v>0.22488347301009251</v>
      </c>
      <c r="T215" s="28">
        <v>0.15</v>
      </c>
      <c r="U215" s="25">
        <f>ROUND(IF(IFERROR(PROPERTIES[[#This Row],[TE_COEFFICIENT_CALC]],0)=0,PROPERTIES[[#This Row],[TE_COEFFICIENT_MANUAL]],PROPERTIES[[#This Row],[TE_COEFFICIENT_CALC]]),3)</f>
        <v>0.22500000000000001</v>
      </c>
      <c r="V215" s="11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36">
        <v>0</v>
      </c>
      <c r="X215" s="9">
        <v>0</v>
      </c>
      <c r="Y215" s="10">
        <v>0</v>
      </c>
      <c r="Z215" t="s">
        <v>874</v>
      </c>
      <c r="AA215" t="s">
        <v>868</v>
      </c>
      <c r="AB215" s="2" t="s">
        <v>886</v>
      </c>
      <c r="AC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5" s="2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H215" s="10" t="b">
        <v>0</v>
      </c>
      <c r="AY215"/>
      <c r="AZ215"/>
      <c r="BA215"/>
    </row>
    <row r="216" spans="1:53">
      <c r="A216" s="2" t="s">
        <v>235</v>
      </c>
      <c r="B216">
        <v>1976</v>
      </c>
      <c r="C216" cm="1">
        <f t="array" ref="C216">_xlfn.IFS(ISNUMBER(SEARCH("wagon",PROPERTIES[[#This Row],[VEHIDCODE]])),0,OR(MID(PROPERTIES[[#This Row],[VEHIDCODE]],2,2)="mu",_xlfn.TEXTBEFORE(PROPERTIES[[#This Row],[VEHIDCODE]],"_")="mtro"),1,1=1,0)</f>
        <v>0</v>
      </c>
      <c r="D216" t="s">
        <v>1754</v>
      </c>
      <c r="E216" t="str">
        <f>_xlfn.XLOOKUP(PROPERTIES[[#This Row],[COUNTRY]],COUNTRIES[COUNTRY_DESCRIPTION],COUNTRIES[COUNTRY_LABEL],"")</f>
        <v>CN</v>
      </c>
      <c r="F216" t="str" cm="1">
        <f t="array" ref="F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6" t="s">
        <v>19</v>
      </c>
      <c r="H216">
        <v>0</v>
      </c>
      <c r="I216">
        <v>7</v>
      </c>
      <c r="J216">
        <v>7</v>
      </c>
      <c r="K216" t="str" cm="1">
        <f t="array" ref="K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6">
        <f>_xlfn.XLOOKUP("LOADINGSPEEDDEF_"&amp;PROPERTIES[[#This Row],[LOADINGSPEED]],LOADINGSPEEDDEF[TYPE],LOADINGSPEEDDEF[SPEED])</f>
        <v>20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f>IF(ISNUMBER(SEARCH("passenger",PROPERTIES[[#This Row],[CARGODEF]])),1,0)</f>
        <v>0</v>
      </c>
      <c r="O216" s="32">
        <v>92</v>
      </c>
      <c r="P216">
        <v>2200</v>
      </c>
      <c r="Q216">
        <v>120</v>
      </c>
      <c r="R216" s="29">
        <v>271</v>
      </c>
      <c r="S216" s="28">
        <f>IFERROR(PROPERTIES[[#This Row],[TE_STARTING_KN]]/(PROPERTIES[[#This Row],[WEIGHT]]*9.81),0)</f>
        <v>0.30027035411957625</v>
      </c>
      <c r="T216" s="28">
        <v>0.28999999999999998</v>
      </c>
      <c r="U216" s="25">
        <f>ROUND(IF(IFERROR(PROPERTIES[[#This Row],[TE_COEFFICIENT_CALC]],0)=0,PROPERTIES[[#This Row],[TE_COEFFICIENT_MANUAL]],PROPERTIES[[#This Row],[TE_COEFFICIENT_CALC]]),3)</f>
        <v>0.3</v>
      </c>
      <c r="V216" s="11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36">
        <v>0</v>
      </c>
      <c r="X216" s="9">
        <v>0</v>
      </c>
      <c r="Y216" s="10">
        <v>0</v>
      </c>
      <c r="Z216" t="s">
        <v>877</v>
      </c>
      <c r="AA216" t="s">
        <v>868</v>
      </c>
      <c r="AB216" s="2" t="s">
        <v>886</v>
      </c>
      <c r="AC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6" s="2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H216" s="10" t="b">
        <v>0</v>
      </c>
      <c r="AY216"/>
      <c r="AZ216"/>
      <c r="BA216"/>
    </row>
    <row r="217" spans="1:53">
      <c r="A217" s="2" t="s">
        <v>236</v>
      </c>
      <c r="B217">
        <v>2001</v>
      </c>
      <c r="C217" cm="1">
        <f t="array" ref="C217">_xlfn.IFS(ISNUMBER(SEARCH("wagon",PROPERTIES[[#This Row],[VEHIDCODE]])),0,OR(MID(PROPERTIES[[#This Row],[VEHIDCODE]],2,2)="mu",_xlfn.TEXTBEFORE(PROPERTIES[[#This Row],[VEHIDCODE]],"_")="mtro"),1,1=1,0)</f>
        <v>0</v>
      </c>
      <c r="D217" t="s">
        <v>1878</v>
      </c>
      <c r="E217" t="str">
        <f>_xlfn.XLOOKUP(PROPERTIES[[#This Row],[COUNTRY]],COUNTRIES[COUNTRY_DESCRIPTION],COUNTRIES[COUNTRY_LABEL],"")</f>
        <v>PA</v>
      </c>
      <c r="F217" t="str" cm="1">
        <f t="array" ref="F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7" t="s">
        <v>19</v>
      </c>
      <c r="H217">
        <v>0</v>
      </c>
      <c r="I217">
        <v>7</v>
      </c>
      <c r="J217">
        <v>7</v>
      </c>
      <c r="K217" t="str" cm="1">
        <f t="array" ref="K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7">
        <f>_xlfn.XLOOKUP("LOADINGSPEEDDEF_"&amp;PROPERTIES[[#This Row],[LOADINGSPEED]],LOADINGSPEEDDEF[TYPE],LOADINGSPEEDDEF[SPEED])</f>
        <v>20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f>IF(ISNUMBER(SEARCH("passenger",PROPERTIES[[#This Row],[CARGODEF]])),1,0)</f>
        <v>0</v>
      </c>
      <c r="O217" s="32">
        <v>115</v>
      </c>
      <c r="P217">
        <v>3000</v>
      </c>
      <c r="Q217">
        <v>165</v>
      </c>
      <c r="R217" s="29">
        <v>289</v>
      </c>
      <c r="S217" s="28">
        <f>IFERROR(PROPERTIES[[#This Row],[TE_STARTING_KN]]/(PROPERTIES[[#This Row],[WEIGHT]]*9.81),0)</f>
        <v>0.2561716083854097</v>
      </c>
      <c r="T217" s="28">
        <v>0.1</v>
      </c>
      <c r="U217" s="25">
        <f>ROUND(IF(IFERROR(PROPERTIES[[#This Row],[TE_COEFFICIENT_CALC]],0)=0,PROPERTIES[[#This Row],[TE_COEFFICIENT_MANUAL]],PROPERTIES[[#This Row],[TE_COEFFICIENT_CALC]]),3)</f>
        <v>0.25600000000000001</v>
      </c>
      <c r="V217" s="11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36">
        <v>0</v>
      </c>
      <c r="X217" s="9">
        <v>0</v>
      </c>
      <c r="Y217" s="10">
        <v>0</v>
      </c>
      <c r="Z217" t="s">
        <v>874</v>
      </c>
      <c r="AA217" t="s">
        <v>868</v>
      </c>
      <c r="AB217" s="2" t="s">
        <v>886</v>
      </c>
      <c r="AC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7" s="2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H217" s="10" t="b">
        <v>0</v>
      </c>
      <c r="AY217"/>
      <c r="AZ217"/>
      <c r="BA217"/>
    </row>
    <row r="218" spans="1:53">
      <c r="A218" s="2" t="s">
        <v>237</v>
      </c>
      <c r="B218">
        <v>1981</v>
      </c>
      <c r="C218" cm="1">
        <f t="array" ref="C218">_xlfn.IFS(ISNUMBER(SEARCH("wagon",PROPERTIES[[#This Row],[VEHIDCODE]])),0,OR(MID(PROPERTIES[[#This Row],[VEHIDCODE]],2,2)="mu",_xlfn.TEXTBEFORE(PROPERTIES[[#This Row],[VEHIDCODE]],"_")="mtro"),1,1=1,0)</f>
        <v>0</v>
      </c>
      <c r="D218" t="s">
        <v>1889</v>
      </c>
      <c r="E218" t="str">
        <f>_xlfn.XLOOKUP(PROPERTIES[[#This Row],[COUNTRY]],COUNTRIES[COUNTRY_DESCRIPTION],COUNTRIES[COUNTRY_LABEL],"")</f>
        <v>PT</v>
      </c>
      <c r="F218" t="str" cm="1">
        <f t="array" ref="F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8" t="s">
        <v>19</v>
      </c>
      <c r="H218">
        <v>0</v>
      </c>
      <c r="I218">
        <v>8</v>
      </c>
      <c r="J218">
        <v>8</v>
      </c>
      <c r="K218" t="str" cm="1">
        <f t="array" ref="K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8">
        <f>_xlfn.XLOOKUP("LOADINGSPEEDDEF_"&amp;PROPERTIES[[#This Row],[LOADINGSPEED]],LOADINGSPEEDDEF[TYPE],LOADINGSPEEDDEF[SPEED])</f>
        <v>20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f>IF(ISNUMBER(SEARCH("passenger",PROPERTIES[[#This Row],[CARGODEF]])),1,0)</f>
        <v>0</v>
      </c>
      <c r="O218" s="32">
        <v>115</v>
      </c>
      <c r="P218">
        <v>2260</v>
      </c>
      <c r="Q218">
        <v>100</v>
      </c>
      <c r="R218" s="29">
        <v>388.3</v>
      </c>
      <c r="S218" s="28">
        <f>IFERROR(PROPERTIES[[#This Row],[TE_STARTING_KN]]/(PROPERTIES[[#This Row],[WEIGHT]]*9.81),0)</f>
        <v>0.34419181846385671</v>
      </c>
      <c r="T218" s="28">
        <v>0.34</v>
      </c>
      <c r="U218" s="25">
        <f>ROUND(IF(IFERROR(PROPERTIES[[#This Row],[TE_COEFFICIENT_CALC]],0)=0,PROPERTIES[[#This Row],[TE_COEFFICIENT_MANUAL]],PROPERTIES[[#This Row],[TE_COEFFICIENT_CALC]]),3)</f>
        <v>0.34399999999999997</v>
      </c>
      <c r="V218" s="11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36">
        <v>0</v>
      </c>
      <c r="X218" s="9">
        <v>0</v>
      </c>
      <c r="Y218" s="10">
        <v>0</v>
      </c>
      <c r="Z218" t="s">
        <v>870</v>
      </c>
      <c r="AA218" t="s">
        <v>868</v>
      </c>
      <c r="AB218" s="2" t="s">
        <v>886</v>
      </c>
      <c r="AC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8" s="2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H218" s="10" t="b">
        <v>0</v>
      </c>
      <c r="AY218"/>
      <c r="AZ218"/>
      <c r="BA218"/>
    </row>
    <row r="219" spans="1:53">
      <c r="A219" s="2" t="s">
        <v>238</v>
      </c>
      <c r="B219">
        <v>1985</v>
      </c>
      <c r="C219" cm="1">
        <f t="array" ref="C219">_xlfn.IFS(ISNUMBER(SEARCH("wagon",PROPERTIES[[#This Row],[VEHIDCODE]])),0,OR(MID(PROPERTIES[[#This Row],[VEHIDCODE]],2,2)="mu",_xlfn.TEXTBEFORE(PROPERTIES[[#This Row],[VEHIDCODE]],"_")="mtro"),1,1=1,0)</f>
        <v>0</v>
      </c>
      <c r="D219" t="s">
        <v>1776</v>
      </c>
      <c r="E219" t="str">
        <f>_xlfn.XLOOKUP(PROPERTIES[[#This Row],[COUNTRY]],COUNTRIES[COUNTRY_DESCRIPTION],COUNTRIES[COUNTRY_LABEL],"")</f>
        <v>FI</v>
      </c>
      <c r="F219" t="str" cm="1">
        <f t="array" ref="F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9" t="s">
        <v>19</v>
      </c>
      <c r="H219">
        <v>0</v>
      </c>
      <c r="I219">
        <v>8</v>
      </c>
      <c r="J219">
        <v>8</v>
      </c>
      <c r="K219" t="str" cm="1">
        <f t="array" ref="K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9">
        <f>_xlfn.XLOOKUP("LOADINGSPEEDDEF_"&amp;PROPERTIES[[#This Row],[LOADINGSPEED]],LOADINGSPEEDDEF[TYPE],LOADINGSPEEDDEF[SPEED])</f>
        <v>20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f>IF(ISNUMBER(SEARCH("passenger",PROPERTIES[[#This Row],[CARGODEF]])),1,0)</f>
        <v>0</v>
      </c>
      <c r="O219" s="32">
        <v>82</v>
      </c>
      <c r="P219">
        <v>2250</v>
      </c>
      <c r="Q219">
        <v>140</v>
      </c>
      <c r="R219" s="29">
        <v>270</v>
      </c>
      <c r="S219" s="28">
        <f>IFERROR(PROPERTIES[[#This Row],[TE_STARTING_KN]]/(PROPERTIES[[#This Row],[WEIGHT]]*9.81),0)</f>
        <v>0.33564555829044523</v>
      </c>
      <c r="T219" s="28">
        <v>0.33</v>
      </c>
      <c r="U219" s="25">
        <f>ROUND(IF(IFERROR(PROPERTIES[[#This Row],[TE_COEFFICIENT_CALC]],0)=0,PROPERTIES[[#This Row],[TE_COEFFICIENT_MANUAL]],PROPERTIES[[#This Row],[TE_COEFFICIENT_CALC]]),3)</f>
        <v>0.33600000000000002</v>
      </c>
      <c r="V219" s="11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36">
        <v>0</v>
      </c>
      <c r="X219" s="9">
        <v>0</v>
      </c>
      <c r="Y219" s="10">
        <v>0</v>
      </c>
      <c r="Z219" t="s">
        <v>873</v>
      </c>
      <c r="AA219" t="s">
        <v>868</v>
      </c>
      <c r="AB219" s="2" t="s">
        <v>886</v>
      </c>
      <c r="AC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9" s="2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H219" s="10" t="b">
        <v>0</v>
      </c>
      <c r="AY219"/>
      <c r="AZ219"/>
      <c r="BA219"/>
    </row>
    <row r="220" spans="1:53">
      <c r="A220" s="2" t="s">
        <v>239</v>
      </c>
      <c r="B220">
        <v>1988</v>
      </c>
      <c r="C220" cm="1">
        <f t="array" ref="C220">_xlfn.IFS(ISNUMBER(SEARCH("wagon",PROPERTIES[[#This Row],[VEHIDCODE]])),0,OR(MID(PROPERTIES[[#This Row],[VEHIDCODE]],2,2)="mu",_xlfn.TEXTBEFORE(PROPERTIES[[#This Row],[VEHIDCODE]],"_")="mtro"),1,1=1,0)</f>
        <v>0</v>
      </c>
      <c r="D220" t="s">
        <v>1896</v>
      </c>
      <c r="E220" t="str">
        <f>_xlfn.XLOOKUP(PROPERTIES[[#This Row],[COUNTRY]],COUNTRIES[COUNTRY_DESCRIPTION],COUNTRIES[COUNTRY_LABEL],"")</f>
        <v>RU</v>
      </c>
      <c r="F220" t="str" cm="1">
        <f t="array" ref="F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0" t="s">
        <v>19</v>
      </c>
      <c r="H220">
        <v>0</v>
      </c>
      <c r="I220">
        <v>8</v>
      </c>
      <c r="J220">
        <v>8</v>
      </c>
      <c r="K220" t="str" cm="1">
        <f t="array" ref="K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0">
        <f>_xlfn.XLOOKUP("LOADINGSPEEDDEF_"&amp;PROPERTIES[[#This Row],[LOADINGSPEED]],LOADINGSPEEDDEF[TYPE],LOADINGSPEEDDEF[SPEED])</f>
        <v>20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f>IF(ISNUMBER(SEARCH("passenger",PROPERTIES[[#This Row],[CARGODEF]])),1,0)</f>
        <v>0</v>
      </c>
      <c r="O220" s="32">
        <v>180</v>
      </c>
      <c r="P220">
        <v>6000</v>
      </c>
      <c r="Q220">
        <v>160</v>
      </c>
      <c r="R220" s="29">
        <v>240</v>
      </c>
      <c r="S220" s="28">
        <f>IFERROR(PROPERTIES[[#This Row],[TE_STARTING_KN]]/(PROPERTIES[[#This Row],[WEIGHT]]*9.81),0)</f>
        <v>0.13591573224600745</v>
      </c>
      <c r="T220" s="28">
        <v>0.13</v>
      </c>
      <c r="U220" s="25">
        <f>ROUND(IF(IFERROR(PROPERTIES[[#This Row],[TE_COEFFICIENT_CALC]],0)=0,PROPERTIES[[#This Row],[TE_COEFFICIENT_MANUAL]],PROPERTIES[[#This Row],[TE_COEFFICIENT_CALC]]),3)</f>
        <v>0.13600000000000001</v>
      </c>
      <c r="V220" s="11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36">
        <v>0</v>
      </c>
      <c r="X220" s="9">
        <v>0</v>
      </c>
      <c r="Y220" s="10">
        <v>0</v>
      </c>
      <c r="Z220" t="s">
        <v>877</v>
      </c>
      <c r="AA220" t="s">
        <v>868</v>
      </c>
      <c r="AB220" s="2" t="s">
        <v>886</v>
      </c>
      <c r="AC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0" s="2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H220" s="10" t="b">
        <v>0</v>
      </c>
      <c r="AY220"/>
      <c r="AZ220"/>
      <c r="BA220"/>
    </row>
    <row r="221" spans="1:53">
      <c r="A221" s="2" t="s">
        <v>240</v>
      </c>
      <c r="B221">
        <v>1992</v>
      </c>
      <c r="C221" cm="1">
        <f t="array" ref="C221">_xlfn.IFS(ISNUMBER(SEARCH("wagon",PROPERTIES[[#This Row],[VEHIDCODE]])),0,OR(MID(PROPERTIES[[#This Row],[VEHIDCODE]],2,2)="mu",_xlfn.TEXTBEFORE(PROPERTIES[[#This Row],[VEHIDCODE]],"_")="mtro"),1,1=1,0)</f>
        <v>0</v>
      </c>
      <c r="D221" t="s">
        <v>1719</v>
      </c>
      <c r="E221" t="str">
        <f>_xlfn.XLOOKUP(PROPERTIES[[#This Row],[COUNTRY]],COUNTRIES[COUNTRY_DESCRIPTION],COUNTRIES[COUNTRY_LABEL],"")</f>
        <v>AU</v>
      </c>
      <c r="F221" t="str" cm="1">
        <f t="array" ref="F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1" t="s">
        <v>19</v>
      </c>
      <c r="H221">
        <v>0</v>
      </c>
      <c r="I221">
        <v>8</v>
      </c>
      <c r="J221">
        <v>8</v>
      </c>
      <c r="K221" t="str" cm="1">
        <f t="array" ref="K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1">
        <f>_xlfn.XLOOKUP("LOADINGSPEEDDEF_"&amp;PROPERTIES[[#This Row],[LOADINGSPEED]],LOADINGSPEEDDEF[TYPE],LOADINGSPEEDDEF[SPEED])</f>
        <v>20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f>IF(ISNUMBER(SEARCH("passenger",PROPERTIES[[#This Row],[CARGODEF]])),1,0)</f>
        <v>0</v>
      </c>
      <c r="O221" s="32">
        <v>128</v>
      </c>
      <c r="P221">
        <v>4063</v>
      </c>
      <c r="Q221">
        <v>150</v>
      </c>
      <c r="R221" s="29">
        <v>323</v>
      </c>
      <c r="S221" s="28">
        <f>IFERROR(PROPERTIES[[#This Row],[TE_STARTING_KN]]/(PROPERTIES[[#This Row],[WEIGHT]]*9.81),0)</f>
        <v>0.25723114169215083</v>
      </c>
      <c r="T221" s="28">
        <v>0.25</v>
      </c>
      <c r="U221" s="25">
        <f>ROUND(IF(IFERROR(PROPERTIES[[#This Row],[TE_COEFFICIENT_CALC]],0)=0,PROPERTIES[[#This Row],[TE_COEFFICIENT_MANUAL]],PROPERTIES[[#This Row],[TE_COEFFICIENT_CALC]]),3)</f>
        <v>0.25700000000000001</v>
      </c>
      <c r="V221" s="11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36">
        <v>0</v>
      </c>
      <c r="X221" s="9">
        <v>0</v>
      </c>
      <c r="Y221" s="10">
        <v>0</v>
      </c>
      <c r="Z221" t="s">
        <v>871</v>
      </c>
      <c r="AA221" t="s">
        <v>868</v>
      </c>
      <c r="AB221" s="2" t="s">
        <v>886</v>
      </c>
      <c r="AC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1" s="2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H221" s="10" t="b">
        <v>0</v>
      </c>
      <c r="AY221"/>
      <c r="AZ221"/>
      <c r="BA221"/>
    </row>
    <row r="222" spans="1:53">
      <c r="A222" s="2" t="s">
        <v>241</v>
      </c>
      <c r="B222">
        <v>1992</v>
      </c>
      <c r="C222" cm="1">
        <f t="array" ref="C222">_xlfn.IFS(ISNUMBER(SEARCH("wagon",PROPERTIES[[#This Row],[VEHIDCODE]])),0,OR(MID(PROPERTIES[[#This Row],[VEHIDCODE]],2,2)="mu",_xlfn.TEXTBEFORE(PROPERTIES[[#This Row],[VEHIDCODE]],"_")="mtro"),1,1=1,0)</f>
        <v>0</v>
      </c>
      <c r="D222" t="s">
        <v>1937</v>
      </c>
      <c r="E222" t="str">
        <f>_xlfn.XLOOKUP(PROPERTIES[[#This Row],[COUNTRY]],COUNTRIES[COUNTRY_DESCRIPTION],COUNTRIES[COUNTRY_LABEL],"")</f>
        <v>US</v>
      </c>
      <c r="F222" t="str" cm="1">
        <f t="array" ref="F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2" t="s">
        <v>19</v>
      </c>
      <c r="H222">
        <v>0</v>
      </c>
      <c r="I222">
        <v>8</v>
      </c>
      <c r="J222">
        <v>8</v>
      </c>
      <c r="K222" t="str" cm="1">
        <f t="array" ref="K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2">
        <f>_xlfn.XLOOKUP("LOADINGSPEEDDEF_"&amp;PROPERTIES[[#This Row],[LOADINGSPEED]],LOADINGSPEEDDEF[TYPE],LOADINGSPEEDDEF[SPEED])</f>
        <v>20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f>IF(ISNUMBER(SEARCH("passenger",PROPERTIES[[#This Row],[CARGODEF]])),1,0)</f>
        <v>0</v>
      </c>
      <c r="O222" s="32">
        <v>121.6</v>
      </c>
      <c r="P222">
        <v>4250</v>
      </c>
      <c r="Q222">
        <v>177</v>
      </c>
      <c r="R222" s="29">
        <v>280.25</v>
      </c>
      <c r="S222" s="28">
        <f>IFERROR(PROPERTIES[[#This Row],[TE_STARTING_KN]]/(PROPERTIES[[#This Row],[WEIGHT]]*9.81),0)</f>
        <v>0.23493246687054029</v>
      </c>
      <c r="T222" s="28">
        <v>0.19</v>
      </c>
      <c r="U222" s="25">
        <f>ROUND(IF(IFERROR(PROPERTIES[[#This Row],[TE_COEFFICIENT_CALC]],0)=0,PROPERTIES[[#This Row],[TE_COEFFICIENT_MANUAL]],PROPERTIES[[#This Row],[TE_COEFFICIENT_CALC]]),3)</f>
        <v>0.23499999999999999</v>
      </c>
      <c r="V222" s="11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36">
        <v>0</v>
      </c>
      <c r="X222" s="9">
        <v>0</v>
      </c>
      <c r="Y222" s="10">
        <v>0</v>
      </c>
      <c r="Z222" t="s">
        <v>874</v>
      </c>
      <c r="AA222" t="s">
        <v>868</v>
      </c>
      <c r="AB222" s="2" t="s">
        <v>886</v>
      </c>
      <c r="AC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2" s="2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H222" s="10" t="b">
        <v>0</v>
      </c>
      <c r="AY222"/>
      <c r="AZ222"/>
      <c r="BA222"/>
    </row>
    <row r="223" spans="1:53">
      <c r="A223" s="2" t="s">
        <v>242</v>
      </c>
      <c r="B223">
        <v>1994</v>
      </c>
      <c r="C223" cm="1">
        <f t="array" ref="C223">_xlfn.IFS(ISNUMBER(SEARCH("wagon",PROPERTIES[[#This Row],[VEHIDCODE]])),0,OR(MID(PROPERTIES[[#This Row],[VEHIDCODE]],2,2)="mu",_xlfn.TEXTBEFORE(PROPERTIES[[#This Row],[VEHIDCODE]],"_")="mtro"),1,1=1,0)</f>
        <v>0</v>
      </c>
      <c r="D223" t="s">
        <v>2208</v>
      </c>
      <c r="E223" t="str">
        <f>_xlfn.XLOOKUP(PROPERTIES[[#This Row],[COUNTRY]],COUNTRIES[COUNTRY_DESCRIPTION],COUNTRIES[COUNTRY_LABEL],"")</f>
        <v>TR</v>
      </c>
      <c r="F223" t="str" cm="1">
        <f t="array" ref="F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3" t="s">
        <v>19</v>
      </c>
      <c r="H223">
        <v>0</v>
      </c>
      <c r="I223">
        <v>6</v>
      </c>
      <c r="J223">
        <v>6</v>
      </c>
      <c r="K223" t="str" cm="1">
        <f t="array" ref="K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3">
        <f>_xlfn.XLOOKUP("LOADINGSPEEDDEF_"&amp;PROPERTIES[[#This Row],[LOADINGSPEED]],LOADINGSPEEDDEF[TYPE],LOADINGSPEEDDEF[SPEED])</f>
        <v>20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f>IF(ISNUMBER(SEARCH("passenger",PROPERTIES[[#This Row],[CARGODEF]])),1,0)</f>
        <v>0</v>
      </c>
      <c r="O223" s="32">
        <v>51</v>
      </c>
      <c r="P223">
        <v>700</v>
      </c>
      <c r="Q223">
        <v>40</v>
      </c>
      <c r="R223" s="29">
        <v>0</v>
      </c>
      <c r="S223" s="28">
        <f>IFERROR(PROPERTIES[[#This Row],[TE_STARTING_KN]]/(PROPERTIES[[#This Row],[WEIGHT]]*9.81),0)</f>
        <v>0</v>
      </c>
      <c r="T223" s="28">
        <v>0.28000000000000003</v>
      </c>
      <c r="U223" s="25">
        <f>ROUND(IF(IFERROR(PROPERTIES[[#This Row],[TE_COEFFICIENT_CALC]],0)=0,PROPERTIES[[#This Row],[TE_COEFFICIENT_MANUAL]],PROPERTIES[[#This Row],[TE_COEFFICIENT_CALC]]),3)</f>
        <v>0.28000000000000003</v>
      </c>
      <c r="V223" s="11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36">
        <v>0</v>
      </c>
      <c r="X223" s="9">
        <v>0</v>
      </c>
      <c r="Y223" s="10">
        <v>0</v>
      </c>
      <c r="Z223" t="s">
        <v>877</v>
      </c>
      <c r="AA223" t="s">
        <v>868</v>
      </c>
      <c r="AB223" s="2" t="s">
        <v>886</v>
      </c>
      <c r="AC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3" s="2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H223" s="10" t="b">
        <v>0</v>
      </c>
      <c r="AY223"/>
      <c r="AZ223"/>
      <c r="BA223"/>
    </row>
    <row r="224" spans="1:53">
      <c r="A224" s="2" t="s">
        <v>243</v>
      </c>
      <c r="B224">
        <v>1995</v>
      </c>
      <c r="C224" cm="1">
        <f t="array" ref="C224">_xlfn.IFS(ISNUMBER(SEARCH("wagon",PROPERTIES[[#This Row],[VEHIDCODE]])),0,OR(MID(PROPERTIES[[#This Row],[VEHIDCODE]],2,2)="mu",_xlfn.TEXTBEFORE(PROPERTIES[[#This Row],[VEHIDCODE]],"_")="mtro"),1,1=1,0)</f>
        <v>0</v>
      </c>
      <c r="D224" t="s">
        <v>1716</v>
      </c>
      <c r="E224" t="str">
        <f>_xlfn.XLOOKUP(PROPERTIES[[#This Row],[COUNTRY]],COUNTRIES[COUNTRY_DESCRIPTION],COUNTRIES[COUNTRY_LABEL],"")</f>
        <v>AR</v>
      </c>
      <c r="F224" t="str" cm="1">
        <f t="array" ref="F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4" t="s">
        <v>19</v>
      </c>
      <c r="H224">
        <v>0</v>
      </c>
      <c r="I224">
        <v>8</v>
      </c>
      <c r="J224">
        <v>8</v>
      </c>
      <c r="K224" t="str" cm="1">
        <f t="array" ref="K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4">
        <f>_xlfn.XLOOKUP("LOADINGSPEEDDEF_"&amp;PROPERTIES[[#This Row],[LOADINGSPEED]],LOADINGSPEEDDEF[TYPE],LOADINGSPEEDDEF[SPEED])</f>
        <v>20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f>IF(ISNUMBER(SEARCH("passenger",PROPERTIES[[#This Row],[CARGODEF]])),1,0)</f>
        <v>0</v>
      </c>
      <c r="O224" s="32">
        <v>96</v>
      </c>
      <c r="P224">
        <v>2150</v>
      </c>
      <c r="Q224">
        <v>104</v>
      </c>
      <c r="R224" s="29">
        <v>245</v>
      </c>
      <c r="S224" s="28">
        <f>IFERROR(PROPERTIES[[#This Row],[TE_STARTING_KN]]/(PROPERTIES[[#This Row],[WEIGHT]]*9.81),0)</f>
        <v>0.26015120625212368</v>
      </c>
      <c r="T224" s="28">
        <v>0.28999999999999998</v>
      </c>
      <c r="U224" s="25">
        <f>ROUND(IF(IFERROR(PROPERTIES[[#This Row],[TE_COEFFICIENT_CALC]],0)=0,PROPERTIES[[#This Row],[TE_COEFFICIENT_MANUAL]],PROPERTIES[[#This Row],[TE_COEFFICIENT_CALC]]),3)</f>
        <v>0.26</v>
      </c>
      <c r="V224" s="11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36">
        <v>0</v>
      </c>
      <c r="X224" s="9">
        <v>0</v>
      </c>
      <c r="Y224" s="10">
        <v>0</v>
      </c>
      <c r="Z224" t="s">
        <v>876</v>
      </c>
      <c r="AA224" t="s">
        <v>868</v>
      </c>
      <c r="AB224" s="2" t="s">
        <v>886</v>
      </c>
      <c r="AC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4" s="2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H224" s="10" t="b">
        <v>0</v>
      </c>
      <c r="AY224"/>
      <c r="AZ224"/>
      <c r="BA224"/>
    </row>
    <row r="225" spans="1:53">
      <c r="A225" s="2" t="s">
        <v>244</v>
      </c>
      <c r="B225">
        <v>1999</v>
      </c>
      <c r="C225" cm="1">
        <f t="array" ref="C225">_xlfn.IFS(ISNUMBER(SEARCH("wagon",PROPERTIES[[#This Row],[VEHIDCODE]])),0,OR(MID(PROPERTIES[[#This Row],[VEHIDCODE]],2,2)="mu",_xlfn.TEXTBEFORE(PROPERTIES[[#This Row],[VEHIDCODE]],"_")="mtro"),1,1=1,0)</f>
        <v>0</v>
      </c>
      <c r="D225" t="s">
        <v>1726</v>
      </c>
      <c r="E225" t="str">
        <f>_xlfn.XLOOKUP(PROPERTIES[[#This Row],[COUNTRY]],COUNTRIES[COUNTRY_DESCRIPTION],COUNTRIES[COUNTRY_LABEL],"")</f>
        <v>BE</v>
      </c>
      <c r="F225" t="str" cm="1">
        <f t="array" ref="F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5" t="s">
        <v>19</v>
      </c>
      <c r="H225">
        <v>0</v>
      </c>
      <c r="I225">
        <v>7</v>
      </c>
      <c r="J225">
        <v>7</v>
      </c>
      <c r="K225" t="str" cm="1">
        <f t="array" ref="K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5">
        <f>_xlfn.XLOOKUP("LOADINGSPEEDDEF_"&amp;PROPERTIES[[#This Row],[LOADINGSPEED]],LOADINGSPEEDDEF[TYPE],LOADINGSPEEDDEF[SPEED])</f>
        <v>20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f>IF(ISNUMBER(SEARCH("passenger",PROPERTIES[[#This Row],[CARGODEF]])),1,0)</f>
        <v>0</v>
      </c>
      <c r="O225" s="32">
        <v>90</v>
      </c>
      <c r="P225">
        <v>1500</v>
      </c>
      <c r="Q225">
        <v>100</v>
      </c>
      <c r="R225" s="29">
        <v>291</v>
      </c>
      <c r="S225" s="28">
        <f>IFERROR(PROPERTIES[[#This Row],[TE_STARTING_KN]]/(PROPERTIES[[#This Row],[WEIGHT]]*9.81),0)</f>
        <v>0.3295956506965681</v>
      </c>
      <c r="T225" s="28">
        <v>0.34</v>
      </c>
      <c r="U225" s="25">
        <f>ROUND(IF(IFERROR(PROPERTIES[[#This Row],[TE_COEFFICIENT_CALC]],0)=0,PROPERTIES[[#This Row],[TE_COEFFICIENT_MANUAL]],PROPERTIES[[#This Row],[TE_COEFFICIENT_CALC]]),3)</f>
        <v>0.33</v>
      </c>
      <c r="V225" s="11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36">
        <v>0</v>
      </c>
      <c r="X225" s="9">
        <v>0</v>
      </c>
      <c r="Y225" s="10">
        <v>0</v>
      </c>
      <c r="Z225" t="s">
        <v>869</v>
      </c>
      <c r="AA225" t="s">
        <v>868</v>
      </c>
      <c r="AB225" s="2" t="s">
        <v>886</v>
      </c>
      <c r="AC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5" s="2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H225" s="10" t="b">
        <v>0</v>
      </c>
      <c r="AY225"/>
      <c r="AZ225"/>
      <c r="BA225"/>
    </row>
    <row r="226" spans="1:53">
      <c r="A226" s="2" t="s">
        <v>245</v>
      </c>
      <c r="B226">
        <v>1998</v>
      </c>
      <c r="C226" cm="1">
        <f t="array" ref="C226">_xlfn.IFS(ISNUMBER(SEARCH("wagon",PROPERTIES[[#This Row],[VEHIDCODE]])),0,OR(MID(PROPERTIES[[#This Row],[VEHIDCODE]],2,2)="mu",_xlfn.TEXTBEFORE(PROPERTIES[[#This Row],[VEHIDCODE]],"_")="mtro"),1,1=1,0)</f>
        <v>0</v>
      </c>
      <c r="D226" t="s">
        <v>1782</v>
      </c>
      <c r="E226" t="str">
        <f>_xlfn.XLOOKUP(PROPERTIES[[#This Row],[COUNTRY]],COUNTRIES[COUNTRY_DESCRIPTION],COUNTRIES[COUNTRY_LABEL],"")</f>
        <v>GB</v>
      </c>
      <c r="F226" t="str" cm="1">
        <f t="array" ref="F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6" t="s">
        <v>19</v>
      </c>
      <c r="H226">
        <v>0</v>
      </c>
      <c r="I226">
        <v>8</v>
      </c>
      <c r="J226">
        <v>8</v>
      </c>
      <c r="K226" t="str" cm="1">
        <f t="array" ref="K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6">
        <f>_xlfn.XLOOKUP("LOADINGSPEEDDEF_"&amp;PROPERTIES[[#This Row],[LOADINGSPEED]],LOADINGSPEEDDEF[TYPE],LOADINGSPEEDDEF[SPEED])</f>
        <v>20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f>IF(ISNUMBER(SEARCH("passenger",PROPERTIES[[#This Row],[CARGODEF]])),1,0)</f>
        <v>0</v>
      </c>
      <c r="O226" s="32">
        <v>126</v>
      </c>
      <c r="P226">
        <v>3200</v>
      </c>
      <c r="Q226">
        <v>120</v>
      </c>
      <c r="R226" s="29">
        <v>409</v>
      </c>
      <c r="S226" s="28">
        <f>IFERROR(PROPERTIES[[#This Row],[TE_STARTING_KN]]/(PROPERTIES[[#This Row],[WEIGHT]]*9.81),0)</f>
        <v>0.33089008624176813</v>
      </c>
      <c r="T226" s="28">
        <v>0.32</v>
      </c>
      <c r="U226" s="25">
        <f>ROUND(IF(IFERROR(PROPERTIES[[#This Row],[TE_COEFFICIENT_CALC]],0)=0,PROPERTIES[[#This Row],[TE_COEFFICIENT_MANUAL]],PROPERTIES[[#This Row],[TE_COEFFICIENT_CALC]]),3)</f>
        <v>0.33100000000000002</v>
      </c>
      <c r="V226" s="11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36">
        <v>0</v>
      </c>
      <c r="X226" s="9">
        <v>0</v>
      </c>
      <c r="Y226" s="10">
        <v>0</v>
      </c>
      <c r="Z226" t="s">
        <v>873</v>
      </c>
      <c r="AA226" t="s">
        <v>868</v>
      </c>
      <c r="AB226" s="2" t="s">
        <v>886</v>
      </c>
      <c r="AC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6" s="2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H226" s="10" t="b">
        <v>0</v>
      </c>
      <c r="AY226"/>
      <c r="AZ226"/>
      <c r="BA226"/>
    </row>
    <row r="227" spans="1:53">
      <c r="A227" s="2" t="s">
        <v>246</v>
      </c>
      <c r="B227">
        <v>1999</v>
      </c>
      <c r="C227" cm="1">
        <f t="array" ref="C227">_xlfn.IFS(ISNUMBER(SEARCH("wagon",PROPERTIES[[#This Row],[VEHIDCODE]])),0,OR(MID(PROPERTIES[[#This Row],[VEHIDCODE]],2,2)="mu",_xlfn.TEXTBEFORE(PROPERTIES[[#This Row],[VEHIDCODE]],"_")="mtro"),1,1=1,0)</f>
        <v>0</v>
      </c>
      <c r="D227" t="s">
        <v>1782</v>
      </c>
      <c r="E227" t="str">
        <f>_xlfn.XLOOKUP(PROPERTIES[[#This Row],[COUNTRY]],COUNTRIES[COUNTRY_DESCRIPTION],COUNTRIES[COUNTRY_LABEL],"")</f>
        <v>GB</v>
      </c>
      <c r="F227" t="str" cm="1">
        <f t="array" ref="F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7" t="s">
        <v>19</v>
      </c>
      <c r="H227">
        <v>0</v>
      </c>
      <c r="I227">
        <v>8</v>
      </c>
      <c r="J227">
        <v>8</v>
      </c>
      <c r="K227" t="str" cm="1">
        <f t="array" ref="K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7">
        <f>_xlfn.XLOOKUP("LOADINGSPEEDDEF_"&amp;PROPERTIES[[#This Row],[LOADINGSPEED]],LOADINGSPEEDDEF[TYPE],LOADINGSPEEDDEF[SPEED])</f>
        <v>20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f>IF(ISNUMBER(SEARCH("passenger",PROPERTIES[[#This Row],[CARGODEF]])),1,0)</f>
        <v>0</v>
      </c>
      <c r="O227" s="32">
        <v>88</v>
      </c>
      <c r="P227">
        <v>3200</v>
      </c>
      <c r="Q227">
        <v>200</v>
      </c>
      <c r="R227" s="29">
        <v>143</v>
      </c>
      <c r="S227" s="28">
        <f>IFERROR(PROPERTIES[[#This Row],[TE_STARTING_KN]]/(PROPERTIES[[#This Row],[WEIGHT]]*9.81),0)</f>
        <v>0.16564729867482159</v>
      </c>
      <c r="T227" s="28">
        <v>0.2</v>
      </c>
      <c r="U227" s="25">
        <f>ROUND(IF(IFERROR(PROPERTIES[[#This Row],[TE_COEFFICIENT_CALC]],0)=0,PROPERTIES[[#This Row],[TE_COEFFICIENT_MANUAL]],PROPERTIES[[#This Row],[TE_COEFFICIENT_CALC]]),3)</f>
        <v>0.16600000000000001</v>
      </c>
      <c r="V227" s="11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36">
        <v>0</v>
      </c>
      <c r="X227" s="9">
        <v>0</v>
      </c>
      <c r="Y227" s="10">
        <v>0</v>
      </c>
      <c r="Z227" t="s">
        <v>873</v>
      </c>
      <c r="AA227" t="s">
        <v>868</v>
      </c>
      <c r="AB227" s="2" t="s">
        <v>886</v>
      </c>
      <c r="AC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7" s="2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H227" s="10" t="b">
        <v>0</v>
      </c>
      <c r="AY227"/>
      <c r="AZ227"/>
      <c r="BA227"/>
    </row>
    <row r="228" spans="1:53">
      <c r="A228" s="2" t="s">
        <v>247</v>
      </c>
      <c r="B228">
        <v>2002</v>
      </c>
      <c r="C228" cm="1">
        <f t="array" ref="C228">_xlfn.IFS(ISNUMBER(SEARCH("wagon",PROPERTIES[[#This Row],[VEHIDCODE]])),0,OR(MID(PROPERTIES[[#This Row],[VEHIDCODE]],2,2)="mu",_xlfn.TEXTBEFORE(PROPERTIES[[#This Row],[VEHIDCODE]],"_")="mtro"),1,1=1,0)</f>
        <v>0</v>
      </c>
      <c r="D228" t="s">
        <v>1813</v>
      </c>
      <c r="E228" t="str">
        <f>_xlfn.XLOOKUP(PROPERTIES[[#This Row],[COUNTRY]],COUNTRIES[COUNTRY_DESCRIPTION],COUNTRIES[COUNTRY_LABEL],"")</f>
        <v>IR</v>
      </c>
      <c r="F228" t="str" cm="1">
        <f t="array" ref="F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8" t="s">
        <v>19</v>
      </c>
      <c r="H228">
        <v>0</v>
      </c>
      <c r="I228">
        <v>8</v>
      </c>
      <c r="J228">
        <v>8</v>
      </c>
      <c r="K228" t="str" cm="1">
        <f t="array" ref="K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8">
        <f>_xlfn.XLOOKUP("LOADINGSPEEDDEF_"&amp;PROPERTIES[[#This Row],[LOADINGSPEED]],LOADINGSPEEDDEF[TYPE],LOADINGSPEEDDEF[SPEED])</f>
        <v>20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f>IF(ISNUMBER(SEARCH("passenger",PROPERTIES[[#This Row],[CARGODEF]])),1,0)</f>
        <v>0</v>
      </c>
      <c r="O228" s="32">
        <v>123</v>
      </c>
      <c r="P228">
        <v>4300</v>
      </c>
      <c r="Q228">
        <v>160</v>
      </c>
      <c r="R228" s="29">
        <v>542</v>
      </c>
      <c r="S228" s="28">
        <f>IFERROR(PROPERTIES[[#This Row],[TE_STARTING_KN]]/(PROPERTIES[[#This Row],[WEIGHT]]*9.81),0)</f>
        <v>0.44918491998375637</v>
      </c>
      <c r="T228" s="28">
        <v>0.21</v>
      </c>
      <c r="U228" s="25">
        <f>ROUND(IF(IFERROR(PROPERTIES[[#This Row],[TE_COEFFICIENT_CALC]],0)=0,PROPERTIES[[#This Row],[TE_COEFFICIENT_MANUAL]],PROPERTIES[[#This Row],[TE_COEFFICIENT_CALC]]),3)</f>
        <v>0.44900000000000001</v>
      </c>
      <c r="V228" s="11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36">
        <v>0</v>
      </c>
      <c r="X228" s="9">
        <v>0</v>
      </c>
      <c r="Y228" s="10">
        <v>0</v>
      </c>
      <c r="Z228" t="s">
        <v>877</v>
      </c>
      <c r="AA228" t="s">
        <v>868</v>
      </c>
      <c r="AB228" s="2" t="s">
        <v>886</v>
      </c>
      <c r="AC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8" s="2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H228" s="10" t="b">
        <v>0</v>
      </c>
      <c r="AY228"/>
      <c r="AZ228"/>
      <c r="BA228"/>
    </row>
    <row r="229" spans="1:53">
      <c r="A229" s="2" t="s">
        <v>248</v>
      </c>
      <c r="B229">
        <v>2006</v>
      </c>
      <c r="C229" cm="1">
        <f t="array" ref="C229">_xlfn.IFS(ISNUMBER(SEARCH("wagon",PROPERTIES[[#This Row],[VEHIDCODE]])),0,OR(MID(PROPERTIES[[#This Row],[VEHIDCODE]],2,2)="mu",_xlfn.TEXTBEFORE(PROPERTIES[[#This Row],[VEHIDCODE]],"_")="mtro"),1,1=1,0)</f>
        <v>0</v>
      </c>
      <c r="D229" t="s">
        <v>1934</v>
      </c>
      <c r="E229" t="str">
        <f>_xlfn.XLOOKUP(PROPERTIES[[#This Row],[COUNTRY]],COUNTRIES[COUNTRY_DESCRIPTION],COUNTRIES[COUNTRY_LABEL],"")</f>
        <v>UA</v>
      </c>
      <c r="F229" t="str" cm="1">
        <f t="array" ref="F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9" t="s">
        <v>19</v>
      </c>
      <c r="H229">
        <v>0</v>
      </c>
      <c r="I229">
        <v>8</v>
      </c>
      <c r="J229">
        <v>8</v>
      </c>
      <c r="K229" t="str" cm="1">
        <f t="array" ref="K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9">
        <f>_xlfn.XLOOKUP("LOADINGSPEEDDEF_"&amp;PROPERTIES[[#This Row],[LOADINGSPEED]],LOADINGSPEEDDEF[TYPE],LOADINGSPEEDDEF[SPEED])</f>
        <v>20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f>IF(ISNUMBER(SEARCH("passenger",PROPERTIES[[#This Row],[CARGODEF]])),1,0)</f>
        <v>0</v>
      </c>
      <c r="O229" s="32">
        <v>135</v>
      </c>
      <c r="P229">
        <v>4216</v>
      </c>
      <c r="Q229">
        <v>160</v>
      </c>
      <c r="R229" s="29">
        <v>310</v>
      </c>
      <c r="S229" s="28">
        <f>IFERROR(PROPERTIES[[#This Row],[TE_STARTING_KN]]/(PROPERTIES[[#This Row],[WEIGHT]]*9.81),0)</f>
        <v>0.23407709442367952</v>
      </c>
      <c r="T229" s="28">
        <v>0.12</v>
      </c>
      <c r="U229" s="25">
        <f>ROUND(IF(IFERROR(PROPERTIES[[#This Row],[TE_COEFFICIENT_CALC]],0)=0,PROPERTIES[[#This Row],[TE_COEFFICIENT_MANUAL]],PROPERTIES[[#This Row],[TE_COEFFICIENT_CALC]]),3)</f>
        <v>0.23400000000000001</v>
      </c>
      <c r="V229" s="11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36">
        <v>0</v>
      </c>
      <c r="X229" s="9">
        <v>0</v>
      </c>
      <c r="Y229" s="10">
        <v>0</v>
      </c>
      <c r="Z229" t="s">
        <v>875</v>
      </c>
      <c r="AA229" t="s">
        <v>868</v>
      </c>
      <c r="AB229" s="2" t="s">
        <v>886</v>
      </c>
      <c r="AC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9" s="2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H229" s="10" t="b">
        <v>0</v>
      </c>
      <c r="AY229"/>
      <c r="AZ229"/>
      <c r="BA229"/>
    </row>
    <row r="230" spans="1:53">
      <c r="A230" s="2" t="s">
        <v>249</v>
      </c>
      <c r="B230">
        <v>2008</v>
      </c>
      <c r="C230" cm="1">
        <f t="array" ref="C230">_xlfn.IFS(ISNUMBER(SEARCH("wagon",PROPERTIES[[#This Row],[VEHIDCODE]])),0,OR(MID(PROPERTIES[[#This Row],[VEHIDCODE]],2,2)="mu",_xlfn.TEXTBEFORE(PROPERTIES[[#This Row],[VEHIDCODE]],"_")="mtro"),1,1=1,0)</f>
        <v>0</v>
      </c>
      <c r="D230" t="s">
        <v>1754</v>
      </c>
      <c r="E230" t="str">
        <f>_xlfn.XLOOKUP(PROPERTIES[[#This Row],[COUNTRY]],COUNTRIES[COUNTRY_DESCRIPTION],COUNTRIES[COUNTRY_LABEL],"")</f>
        <v>CN</v>
      </c>
      <c r="F230" t="str" cm="1">
        <f t="array" ref="F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0" t="s">
        <v>19</v>
      </c>
      <c r="H230">
        <v>0</v>
      </c>
      <c r="I230">
        <v>8</v>
      </c>
      <c r="J230">
        <v>8</v>
      </c>
      <c r="K230" t="str" cm="1">
        <f t="array" ref="K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0">
        <f>_xlfn.XLOOKUP("LOADINGSPEEDDEF_"&amp;PROPERTIES[[#This Row],[LOADINGSPEED]],LOADINGSPEEDDEF[TYPE],LOADINGSPEEDDEF[SPEED])</f>
        <v>20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f>IF(ISNUMBER(SEARCH("passenger",PROPERTIES[[#This Row],[CARGODEF]])),1,0)</f>
        <v>0</v>
      </c>
      <c r="O230" s="32">
        <v>150</v>
      </c>
      <c r="P230">
        <v>6250</v>
      </c>
      <c r="Q230">
        <v>120</v>
      </c>
      <c r="R230" s="29">
        <v>620</v>
      </c>
      <c r="S230" s="28">
        <f>IFERROR(PROPERTIES[[#This Row],[TE_STARTING_KN]]/(PROPERTIES[[#This Row],[WEIGHT]]*9.81),0)</f>
        <v>0.42133876996262315</v>
      </c>
      <c r="T230" s="28">
        <v>0.41</v>
      </c>
      <c r="U230" s="25">
        <f>ROUND(IF(IFERROR(PROPERTIES[[#This Row],[TE_COEFFICIENT_CALC]],0)=0,PROPERTIES[[#This Row],[TE_COEFFICIENT_MANUAL]],PROPERTIES[[#This Row],[TE_COEFFICIENT_CALC]]),3)</f>
        <v>0.42099999999999999</v>
      </c>
      <c r="V230" s="11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36">
        <v>0</v>
      </c>
      <c r="X230" s="9">
        <v>0</v>
      </c>
      <c r="Y230" s="10">
        <v>0</v>
      </c>
      <c r="Z230" t="s">
        <v>877</v>
      </c>
      <c r="AA230" t="s">
        <v>868</v>
      </c>
      <c r="AB230" s="2" t="s">
        <v>886</v>
      </c>
      <c r="AC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0" s="2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H230" s="10" t="b">
        <v>0</v>
      </c>
      <c r="AY230"/>
      <c r="AZ230"/>
      <c r="BA230"/>
    </row>
    <row r="231" spans="1:53">
      <c r="A231" s="2" t="s">
        <v>250</v>
      </c>
      <c r="B231">
        <v>2010</v>
      </c>
      <c r="C231" cm="1">
        <f t="array" ref="C231">_xlfn.IFS(ISNUMBER(SEARCH("wagon",PROPERTIES[[#This Row],[VEHIDCODE]])),0,OR(MID(PROPERTIES[[#This Row],[VEHIDCODE]],2,2)="mu",_xlfn.TEXTBEFORE(PROPERTIES[[#This Row],[VEHIDCODE]],"_")="mtro"),1,1=1,0)</f>
        <v>0</v>
      </c>
      <c r="D231" t="s">
        <v>1763</v>
      </c>
      <c r="E231" t="str">
        <f>_xlfn.XLOOKUP(PROPERTIES[[#This Row],[COUNTRY]],COUNTRIES[COUNTRY_DESCRIPTION],COUNTRIES[COUNTRY_LABEL],"")</f>
        <v>DE</v>
      </c>
      <c r="F231" t="str" cm="1">
        <f t="array" ref="F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1" t="s">
        <v>19</v>
      </c>
      <c r="H231">
        <v>0</v>
      </c>
      <c r="I231">
        <v>8</v>
      </c>
      <c r="J231">
        <v>8</v>
      </c>
      <c r="K231" t="str" cm="1">
        <f t="array" ref="K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1">
        <f>_xlfn.XLOOKUP("LOADINGSPEEDDEF_"&amp;PROPERTIES[[#This Row],[LOADINGSPEED]],LOADINGSPEEDDEF[TYPE],LOADINGSPEEDDEF[SPEED])</f>
        <v>20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f>IF(ISNUMBER(SEARCH("passenger",PROPERTIES[[#This Row],[CARGODEF]])),1,0)</f>
        <v>0</v>
      </c>
      <c r="O231" s="32">
        <v>80</v>
      </c>
      <c r="P231">
        <v>1600</v>
      </c>
      <c r="Q231">
        <v>100</v>
      </c>
      <c r="R231" s="29">
        <v>313</v>
      </c>
      <c r="S231" s="28">
        <f>IFERROR(PROPERTIES[[#This Row],[TE_STARTING_KN]]/(PROPERTIES[[#This Row],[WEIGHT]]*9.81),0)</f>
        <v>0.39882772680937817</v>
      </c>
      <c r="T231" s="28">
        <v>0.32</v>
      </c>
      <c r="U231" s="25">
        <f>ROUND(IF(IFERROR(PROPERTIES[[#This Row],[TE_COEFFICIENT_CALC]],0)=0,PROPERTIES[[#This Row],[TE_COEFFICIENT_MANUAL]],PROPERTIES[[#This Row],[TE_COEFFICIENT_CALC]]),3)</f>
        <v>0.39900000000000002</v>
      </c>
      <c r="V231" s="11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36">
        <v>0</v>
      </c>
      <c r="X231" s="9">
        <v>0</v>
      </c>
      <c r="Y231" s="10">
        <v>0</v>
      </c>
      <c r="Z231" t="s">
        <v>869</v>
      </c>
      <c r="AA231" t="s">
        <v>868</v>
      </c>
      <c r="AB231" s="2" t="s">
        <v>886</v>
      </c>
      <c r="AC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1" s="2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H231" s="10" t="b">
        <v>0</v>
      </c>
      <c r="AY231"/>
      <c r="AZ231"/>
      <c r="BA231"/>
    </row>
    <row r="232" spans="1:53">
      <c r="A232" s="2" t="s">
        <v>251</v>
      </c>
      <c r="B232">
        <v>2011</v>
      </c>
      <c r="C232" cm="1">
        <f t="array" ref="C232">_xlfn.IFS(ISNUMBER(SEARCH("wagon",PROPERTIES[[#This Row],[VEHIDCODE]])),0,OR(MID(PROPERTIES[[#This Row],[VEHIDCODE]],2,2)="mu",_xlfn.TEXTBEFORE(PROPERTIES[[#This Row],[VEHIDCODE]],"_")="mtro"),1,1=1,0)</f>
        <v>0</v>
      </c>
      <c r="D232" t="s">
        <v>1896</v>
      </c>
      <c r="E232" t="str">
        <f>_xlfn.XLOOKUP(PROPERTIES[[#This Row],[COUNTRY]],COUNTRIES[COUNTRY_DESCRIPTION],COUNTRIES[COUNTRY_LABEL],"")</f>
        <v>RU</v>
      </c>
      <c r="F232" t="str" cm="1">
        <f t="array" ref="F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2" t="s">
        <v>19</v>
      </c>
      <c r="H232">
        <v>0</v>
      </c>
      <c r="I232">
        <v>8</v>
      </c>
      <c r="J232">
        <v>16</v>
      </c>
      <c r="K232" t="str" cm="1">
        <f t="array" ref="K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2">
        <f>_xlfn.XLOOKUP("LOADINGSPEEDDEF_"&amp;PROPERTIES[[#This Row],[LOADINGSPEED]],LOADINGSPEEDDEF[TYPE],LOADINGSPEEDDEF[SPEED])</f>
        <v>20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f>IF(ISNUMBER(SEARCH("passenger",PROPERTIES[[#This Row],[CARGODEF]])),1,0)</f>
        <v>0</v>
      </c>
      <c r="O232" s="32">
        <v>300</v>
      </c>
      <c r="P232">
        <v>11130</v>
      </c>
      <c r="Q232">
        <v>100</v>
      </c>
      <c r="R232" s="29">
        <v>775</v>
      </c>
      <c r="S232" s="28">
        <f>IFERROR(PROPERTIES[[#This Row],[TE_STARTING_KN]]/(PROPERTIES[[#This Row],[WEIGHT]]*9.81),0)</f>
        <v>0.26333673122663948</v>
      </c>
      <c r="T232" s="28">
        <v>0.23</v>
      </c>
      <c r="U232" s="25">
        <f>ROUND(IF(IFERROR(PROPERTIES[[#This Row],[TE_COEFFICIENT_CALC]],0)=0,PROPERTIES[[#This Row],[TE_COEFFICIENT_MANUAL]],PROPERTIES[[#This Row],[TE_COEFFICIENT_CALC]]),3)</f>
        <v>0.26300000000000001</v>
      </c>
      <c r="V232" s="11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36">
        <v>0</v>
      </c>
      <c r="X232" s="9">
        <v>8</v>
      </c>
      <c r="Y232" s="10">
        <v>0</v>
      </c>
      <c r="Z232" t="s">
        <v>877</v>
      </c>
      <c r="AA232" t="s">
        <v>868</v>
      </c>
      <c r="AB232" s="2" t="s">
        <v>886</v>
      </c>
      <c r="AC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2" s="2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H232" s="10" t="b">
        <v>0</v>
      </c>
      <c r="AY232"/>
      <c r="AZ232"/>
      <c r="BA232"/>
    </row>
    <row r="233" spans="1:53">
      <c r="A233" s="2" t="s">
        <v>252</v>
      </c>
      <c r="B233">
        <v>2003</v>
      </c>
      <c r="C233" cm="1">
        <f t="array" ref="C233">_xlfn.IFS(ISNUMBER(SEARCH("wagon",PROPERTIES[[#This Row],[VEHIDCODE]])),0,OR(MID(PROPERTIES[[#This Row],[VEHIDCODE]],2,2)="mu",_xlfn.TEXTBEFORE(PROPERTIES[[#This Row],[VEHIDCODE]],"_")="mtro"),1,1=1,0)</f>
        <v>0</v>
      </c>
      <c r="D233" t="s">
        <v>1800</v>
      </c>
      <c r="E233" t="str">
        <f>_xlfn.XLOOKUP(PROPERTIES[[#This Row],[COUNTRY]],COUNTRIES[COUNTRY_DESCRIPTION],COUNTRIES[COUNTRY_LABEL],"")</f>
        <v>HK</v>
      </c>
      <c r="F233" t="str" cm="1">
        <f t="array" ref="F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3" t="s">
        <v>19</v>
      </c>
      <c r="H233">
        <v>0</v>
      </c>
      <c r="I233">
        <v>8</v>
      </c>
      <c r="J233">
        <v>8</v>
      </c>
      <c r="K233" t="str" cm="1">
        <f t="array" ref="K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3">
        <f>_xlfn.XLOOKUP("LOADINGSPEEDDEF_"&amp;PROPERTIES[[#This Row],[LOADINGSPEED]],LOADINGSPEEDDEF[TYPE],LOADINGSPEEDDEF[SPEED])</f>
        <v>20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f>IF(ISNUMBER(SEARCH("passenger",PROPERTIES[[#This Row],[CARGODEF]])),1,0)</f>
        <v>0</v>
      </c>
      <c r="O233" s="32">
        <v>80</v>
      </c>
      <c r="P233">
        <v>2680</v>
      </c>
      <c r="Q233">
        <v>140</v>
      </c>
      <c r="R233" s="29">
        <v>235</v>
      </c>
      <c r="S233" s="28">
        <f>IFERROR(PROPERTIES[[#This Row],[TE_STARTING_KN]]/(PROPERTIES[[#This Row],[WEIGHT]]*9.81),0)</f>
        <v>0.29943934760448521</v>
      </c>
      <c r="T233" s="28">
        <v>0.28999999999999998</v>
      </c>
      <c r="U233" s="25">
        <f>ROUND(IF(IFERROR(PROPERTIES[[#This Row],[TE_COEFFICIENT_CALC]],0)=0,PROPERTIES[[#This Row],[TE_COEFFICIENT_MANUAL]],PROPERTIES[[#This Row],[TE_COEFFICIENT_CALC]]),3)</f>
        <v>0.29899999999999999</v>
      </c>
      <c r="V233" s="11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36">
        <v>0</v>
      </c>
      <c r="X233" s="9">
        <v>0</v>
      </c>
      <c r="Y233" s="10">
        <v>0</v>
      </c>
      <c r="Z233" t="s">
        <v>877</v>
      </c>
      <c r="AA233" t="s">
        <v>868</v>
      </c>
      <c r="AB233" s="2" t="s">
        <v>886</v>
      </c>
      <c r="AC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3" s="2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H233" s="10" t="b">
        <v>0</v>
      </c>
      <c r="AY233"/>
      <c r="AZ233"/>
      <c r="BA233"/>
    </row>
    <row r="234" spans="1:53">
      <c r="A234" s="2" t="s">
        <v>253</v>
      </c>
      <c r="B234">
        <v>2010</v>
      </c>
      <c r="C234" cm="1">
        <f t="array" ref="C234">_xlfn.IFS(ISNUMBER(SEARCH("wagon",PROPERTIES[[#This Row],[VEHIDCODE]])),0,OR(MID(PROPERTIES[[#This Row],[VEHIDCODE]],2,2)="mu",_xlfn.TEXTBEFORE(PROPERTIES[[#This Row],[VEHIDCODE]],"_")="mtro"),1,1=1,0)</f>
        <v>0</v>
      </c>
      <c r="D234" t="s">
        <v>1763</v>
      </c>
      <c r="E234" t="str">
        <f>_xlfn.XLOOKUP(PROPERTIES[[#This Row],[COUNTRY]],COUNTRIES[COUNTRY_DESCRIPTION],COUNTRIES[COUNTRY_LABEL],"")</f>
        <v>DE</v>
      </c>
      <c r="F234" t="str" cm="1">
        <f t="array" ref="F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4" t="s">
        <v>19</v>
      </c>
      <c r="H234">
        <v>0</v>
      </c>
      <c r="I234">
        <v>8</v>
      </c>
      <c r="J234">
        <v>8</v>
      </c>
      <c r="K234" t="str" cm="1">
        <f t="array" ref="K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4">
        <f>_xlfn.XLOOKUP("LOADINGSPEEDDEF_"&amp;PROPERTIES[[#This Row],[LOADINGSPEED]],LOADINGSPEEDDEF[TYPE],LOADINGSPEEDDEF[SPEED])</f>
        <v>20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f>IF(ISNUMBER(SEARCH("passenger",PROPERTIES[[#This Row],[CARGODEF]])),1,0)</f>
        <v>0</v>
      </c>
      <c r="O234" s="32">
        <v>135</v>
      </c>
      <c r="P234">
        <v>4900</v>
      </c>
      <c r="Q234">
        <v>140</v>
      </c>
      <c r="R234" s="29">
        <v>408</v>
      </c>
      <c r="S234" s="28">
        <f>IFERROR(PROPERTIES[[#This Row],[TE_STARTING_KN]]/(PROPERTIES[[#This Row],[WEIGHT]]*9.81),0)</f>
        <v>0.30807565975761692</v>
      </c>
      <c r="T234" s="28">
        <v>0.35</v>
      </c>
      <c r="U234" s="25">
        <f>ROUND(IF(IFERROR(PROPERTIES[[#This Row],[TE_COEFFICIENT_CALC]],0)=0,PROPERTIES[[#This Row],[TE_COEFFICIENT_MANUAL]],PROPERTIES[[#This Row],[TE_COEFFICIENT_CALC]]),3)</f>
        <v>0.308</v>
      </c>
      <c r="V234" s="11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36">
        <v>0</v>
      </c>
      <c r="X234" s="9">
        <v>0</v>
      </c>
      <c r="Y234" s="10">
        <v>0</v>
      </c>
      <c r="Z234" t="s">
        <v>869</v>
      </c>
      <c r="AA234" t="s">
        <v>868</v>
      </c>
      <c r="AB234" s="2" t="s">
        <v>886</v>
      </c>
      <c r="AC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4" s="2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H234" s="10" t="b">
        <v>0</v>
      </c>
      <c r="AY234"/>
      <c r="AZ234"/>
      <c r="BA234"/>
    </row>
    <row r="235" spans="1:53">
      <c r="A235" s="2" t="s">
        <v>254</v>
      </c>
      <c r="B235">
        <v>1963</v>
      </c>
      <c r="C235" cm="1">
        <f t="array" ref="C235">_xlfn.IFS(ISNUMBER(SEARCH("wagon",PROPERTIES[[#This Row],[VEHIDCODE]])),0,OR(MID(PROPERTIES[[#This Row],[VEHIDCODE]],2,2)="mu",_xlfn.TEXTBEFORE(PROPERTIES[[#This Row],[VEHIDCODE]],"_")="mtro"),1,1=1,0)</f>
        <v>0</v>
      </c>
      <c r="D235" t="s">
        <v>1896</v>
      </c>
      <c r="E235" t="str">
        <f>_xlfn.XLOOKUP(PROPERTIES[[#This Row],[COUNTRY]],COUNTRIES[COUNTRY_DESCRIPTION],COUNTRIES[COUNTRY_LABEL],"")</f>
        <v>RU</v>
      </c>
      <c r="F235" t="str" cm="1">
        <f t="array" ref="F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5" t="s">
        <v>19</v>
      </c>
      <c r="H235">
        <v>0</v>
      </c>
      <c r="I235">
        <v>7</v>
      </c>
      <c r="J235">
        <v>7</v>
      </c>
      <c r="K235" t="str" cm="1">
        <f t="array" ref="K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5">
        <f>_xlfn.XLOOKUP("LOADINGSPEEDDEF_"&amp;PROPERTIES[[#This Row],[LOADINGSPEED]],LOADINGSPEEDDEF[TYPE],LOADINGSPEEDDEF[SPEED])</f>
        <v>20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f>IF(ISNUMBER(SEARCH("passenger",PROPERTIES[[#This Row],[CARGODEF]])),1,0)</f>
        <v>0</v>
      </c>
      <c r="O235" s="32">
        <v>125</v>
      </c>
      <c r="P235">
        <v>1300</v>
      </c>
      <c r="Q235">
        <v>95</v>
      </c>
      <c r="R235" s="29">
        <v>265</v>
      </c>
      <c r="S235" s="28">
        <f>IFERROR(PROPERTIES[[#This Row],[TE_STARTING_KN]]/(PROPERTIES[[#This Row],[WEIGHT]]*9.81),0)</f>
        <v>0.21610601427115189</v>
      </c>
      <c r="T235" s="28">
        <v>0.12</v>
      </c>
      <c r="U235" s="25">
        <f>ROUND(IF(IFERROR(PROPERTIES[[#This Row],[TE_COEFFICIENT_CALC]],0)=0,PROPERTIES[[#This Row],[TE_COEFFICIENT_MANUAL]],PROPERTIES[[#This Row],[TE_COEFFICIENT_CALC]]),3)</f>
        <v>0.216</v>
      </c>
      <c r="V235" s="11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36">
        <v>0</v>
      </c>
      <c r="X235" s="9">
        <v>0</v>
      </c>
      <c r="Y235" s="10">
        <v>0</v>
      </c>
      <c r="Z235" t="s">
        <v>877</v>
      </c>
      <c r="AA235" t="s">
        <v>868</v>
      </c>
      <c r="AB235" s="2" t="s">
        <v>886</v>
      </c>
      <c r="AC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5" s="2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H235" s="10" t="b">
        <v>0</v>
      </c>
      <c r="AY235"/>
      <c r="AZ235"/>
      <c r="BA235"/>
    </row>
    <row r="236" spans="1:53">
      <c r="A236" s="2" t="s">
        <v>255</v>
      </c>
      <c r="B236">
        <v>1928</v>
      </c>
      <c r="C236" cm="1">
        <f t="array" ref="C236">_xlfn.IFS(ISNUMBER(SEARCH("wagon",PROPERTIES[[#This Row],[VEHIDCODE]])),0,OR(MID(PROPERTIES[[#This Row],[VEHIDCODE]],2,2)="mu",_xlfn.TEXTBEFORE(PROPERTIES[[#This Row],[VEHIDCODE]],"_")="mtro"),1,1=1,0)</f>
        <v>0</v>
      </c>
      <c r="D236" t="s">
        <v>1744</v>
      </c>
      <c r="E236" t="str">
        <f>_xlfn.XLOOKUP(PROPERTIES[[#This Row],[COUNTRY]],COUNTRIES[COUNTRY_DESCRIPTION],COUNTRIES[COUNTRY_LABEL],"")</f>
        <v>CA</v>
      </c>
      <c r="F236" t="str" cm="1">
        <f t="array" ref="F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6" t="s">
        <v>19</v>
      </c>
      <c r="H236">
        <v>0</v>
      </c>
      <c r="I236">
        <v>7</v>
      </c>
      <c r="J236">
        <v>14</v>
      </c>
      <c r="K236" t="str" cm="1">
        <f t="array" ref="K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6">
        <f>_xlfn.XLOOKUP("LOADINGSPEEDDEF_"&amp;PROPERTIES[[#This Row],[LOADINGSPEED]],LOADINGSPEEDDEF[TYPE],LOADINGSPEEDDEF[SPEED])</f>
        <v>20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f>IF(ISNUMBER(SEARCH("passenger",PROPERTIES[[#This Row],[CARGODEF]])),1,0)</f>
        <v>0</v>
      </c>
      <c r="O236" s="32">
        <v>335</v>
      </c>
      <c r="P236">
        <v>2660</v>
      </c>
      <c r="Q236">
        <v>112</v>
      </c>
      <c r="R236" s="29">
        <v>213.5</v>
      </c>
      <c r="S236" s="28">
        <f>IFERROR(PROPERTIES[[#This Row],[TE_STARTING_KN]]/(PROPERTIES[[#This Row],[WEIGHT]]*9.81),0)</f>
        <v>6.4965691420572971E-2</v>
      </c>
      <c r="T236" s="28">
        <v>0.11</v>
      </c>
      <c r="U236" s="25">
        <f>ROUND(IF(IFERROR(PROPERTIES[[#This Row],[TE_COEFFICIENT_CALC]],0)=0,PROPERTIES[[#This Row],[TE_COEFFICIENT_MANUAL]],PROPERTIES[[#This Row],[TE_COEFFICIENT_CALC]]),3)</f>
        <v>6.5000000000000002E-2</v>
      </c>
      <c r="V236" s="11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36">
        <v>0</v>
      </c>
      <c r="X236" s="9">
        <v>7</v>
      </c>
      <c r="Y236" s="10">
        <v>0</v>
      </c>
      <c r="Z236" t="s">
        <v>874</v>
      </c>
      <c r="AA236" t="s">
        <v>868</v>
      </c>
      <c r="AB236" s="2" t="s">
        <v>886</v>
      </c>
      <c r="AC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6" s="2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H236" s="10" t="b">
        <v>0</v>
      </c>
      <c r="AY236"/>
      <c r="AZ236"/>
      <c r="BA236"/>
    </row>
    <row r="237" spans="1:53">
      <c r="A237" s="2" t="s">
        <v>3065</v>
      </c>
      <c r="B237">
        <v>1932</v>
      </c>
      <c r="C237" cm="1">
        <f t="array" ref="C237">_xlfn.IFS(ISNUMBER(SEARCH("wagon",PROPERTIES[[#This Row],[VEHIDCODE]])),0,OR(MID(PROPERTIES[[#This Row],[VEHIDCODE]],2,2)="mu",_xlfn.TEXTBEFORE(PROPERTIES[[#This Row],[VEHIDCODE]],"_")="mtro"),1,1=1,0)</f>
        <v>0</v>
      </c>
      <c r="D237" t="s">
        <v>1782</v>
      </c>
      <c r="E237" t="str">
        <f>_xlfn.XLOOKUP(PROPERTIES[[#This Row],[COUNTRY]],COUNTRIES[COUNTRY_DESCRIPTION],COUNTRIES[COUNTRY_LABEL],"")</f>
        <v>GB</v>
      </c>
      <c r="F237" t="str" cm="1">
        <f t="array" ref="F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7" t="s">
        <v>19</v>
      </c>
      <c r="H237">
        <v>0</v>
      </c>
      <c r="I237">
        <v>4</v>
      </c>
      <c r="J237">
        <v>4</v>
      </c>
      <c r="K237" t="str" cm="1">
        <f t="array" ref="K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7">
        <f>_xlfn.XLOOKUP("LOADINGSPEEDDEF_"&amp;PROPERTIES[[#This Row],[LOADINGSPEED]],LOADINGSPEEDDEF[TYPE],LOADINGSPEEDDEF[SPEED])</f>
        <v>20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f>IF(ISNUMBER(SEARCH("passenger",PROPERTIES[[#This Row],[CARGODEF]])),1,0)</f>
        <v>0</v>
      </c>
      <c r="O237" s="32">
        <v>22</v>
      </c>
      <c r="P237">
        <v>150</v>
      </c>
      <c r="Q237">
        <v>48</v>
      </c>
      <c r="R237" s="29">
        <v>46.8</v>
      </c>
      <c r="S237" s="28">
        <f>IFERROR(PROPERTIES[[#This Row],[TE_STARTING_KN]]/(PROPERTIES[[#This Row],[WEIGHT]]*9.81),0)</f>
        <v>0.21684737281067554</v>
      </c>
      <c r="T237" s="28">
        <v>0.21</v>
      </c>
      <c r="U237" s="25">
        <f>ROUND(IF(IFERROR(PROPERTIES[[#This Row],[TE_COEFFICIENT_CALC]],0)=0,PROPERTIES[[#This Row],[TE_COEFFICIENT_MANUAL]],PROPERTIES[[#This Row],[TE_COEFFICIENT_CALC]]),3)</f>
        <v>0.217</v>
      </c>
      <c r="V237" s="11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36">
        <v>0</v>
      </c>
      <c r="X237" s="9">
        <v>0</v>
      </c>
      <c r="Y237" s="10">
        <v>0</v>
      </c>
      <c r="Z237" t="s">
        <v>873</v>
      </c>
      <c r="AA237" t="s">
        <v>868</v>
      </c>
      <c r="AB237" s="2" t="s">
        <v>886</v>
      </c>
      <c r="AC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7" s="2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H237" s="10" t="b">
        <v>0</v>
      </c>
      <c r="AY237"/>
      <c r="AZ237"/>
      <c r="BA237"/>
    </row>
    <row r="238" spans="1:53">
      <c r="A238" s="2" t="s">
        <v>256</v>
      </c>
      <c r="B238">
        <v>1937</v>
      </c>
      <c r="C238" cm="1">
        <f t="array" ref="C238">_xlfn.IFS(ISNUMBER(SEARCH("wagon",PROPERTIES[[#This Row],[VEHIDCODE]])),0,OR(MID(PROPERTIES[[#This Row],[VEHIDCODE]],2,2)="mu",_xlfn.TEXTBEFORE(PROPERTIES[[#This Row],[VEHIDCODE]],"_")="mtro"),1,1=1,0)</f>
        <v>0</v>
      </c>
      <c r="D238" t="s">
        <v>1937</v>
      </c>
      <c r="E238" t="str">
        <f>_xlfn.XLOOKUP(PROPERTIES[[#This Row],[COUNTRY]],COUNTRIES[COUNTRY_DESCRIPTION],COUNTRIES[COUNTRY_LABEL],"")</f>
        <v>US</v>
      </c>
      <c r="F238" t="str" cm="1">
        <f t="array" ref="F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8" t="s">
        <v>19</v>
      </c>
      <c r="H238">
        <v>0</v>
      </c>
      <c r="I238">
        <v>8</v>
      </c>
      <c r="J238">
        <v>8</v>
      </c>
      <c r="K238" t="str" cm="1">
        <f t="array" ref="K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8">
        <f>_xlfn.XLOOKUP("LOADINGSPEEDDEF_"&amp;PROPERTIES[[#This Row],[LOADINGSPEED]],LOADINGSPEEDDEF[TYPE],LOADINGSPEEDDEF[SPEED])</f>
        <v>20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f>IF(ISNUMBER(SEARCH("passenger",PROPERTIES[[#This Row],[CARGODEF]])),1,0)</f>
        <v>0</v>
      </c>
      <c r="O238" s="32">
        <v>98</v>
      </c>
      <c r="P238">
        <v>1200</v>
      </c>
      <c r="Q238">
        <v>180</v>
      </c>
      <c r="R238" s="29">
        <v>125</v>
      </c>
      <c r="S238" s="28">
        <f>IFERROR(PROPERTIES[[#This Row],[TE_STARTING_KN]]/(PROPERTIES[[#This Row],[WEIGHT]]*9.81),0)</f>
        <v>0.13002142753125714</v>
      </c>
      <c r="T238" s="28">
        <v>0.12</v>
      </c>
      <c r="U238" s="25">
        <f>ROUND(IF(IFERROR(PROPERTIES[[#This Row],[TE_COEFFICIENT_CALC]],0)=0,PROPERTIES[[#This Row],[TE_COEFFICIENT_MANUAL]],PROPERTIES[[#This Row],[TE_COEFFICIENT_CALC]]),3)</f>
        <v>0.13</v>
      </c>
      <c r="V238" s="11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36">
        <v>0</v>
      </c>
      <c r="X238" s="9">
        <v>0</v>
      </c>
      <c r="Y238" s="10">
        <v>0</v>
      </c>
      <c r="Z238" t="s">
        <v>874</v>
      </c>
      <c r="AA238" t="s">
        <v>868</v>
      </c>
      <c r="AB238" s="2" t="s">
        <v>886</v>
      </c>
      <c r="AC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8" s="2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H238" s="10" t="b">
        <v>0</v>
      </c>
      <c r="AY238"/>
      <c r="AZ238"/>
      <c r="BA238"/>
    </row>
    <row r="239" spans="1:53">
      <c r="A239" s="2" t="s">
        <v>257</v>
      </c>
      <c r="B239">
        <v>1939</v>
      </c>
      <c r="C239" cm="1">
        <f t="array" ref="C239">_xlfn.IFS(ISNUMBER(SEARCH("wagon",PROPERTIES[[#This Row],[VEHIDCODE]])),0,OR(MID(PROPERTIES[[#This Row],[VEHIDCODE]],2,2)="mu",_xlfn.TEXTBEFORE(PROPERTIES[[#This Row],[VEHIDCODE]],"_")="mtro"),1,1=1,0)</f>
        <v>0</v>
      </c>
      <c r="D239" t="s">
        <v>1937</v>
      </c>
      <c r="E239" t="str">
        <f>_xlfn.XLOOKUP(PROPERTIES[[#This Row],[COUNTRY]],COUNTRIES[COUNTRY_DESCRIPTION],COUNTRIES[COUNTRY_LABEL],"")</f>
        <v>US</v>
      </c>
      <c r="F239" t="str" cm="1">
        <f t="array" ref="F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9" t="s">
        <v>19</v>
      </c>
      <c r="H239">
        <v>0</v>
      </c>
      <c r="I239">
        <v>6</v>
      </c>
      <c r="J239">
        <v>6</v>
      </c>
      <c r="K239" t="str" cm="1">
        <f t="array" ref="K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9">
        <f>_xlfn.XLOOKUP("LOADINGSPEEDDEF_"&amp;PROPERTIES[[#This Row],[LOADINGSPEED]],LOADINGSPEEDDEF[TYPE],LOADINGSPEEDDEF[SPEED])</f>
        <v>20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f>IF(ISNUMBER(SEARCH("passenger",PROPERTIES[[#This Row],[CARGODEF]])),1,0)</f>
        <v>0</v>
      </c>
      <c r="O239" s="32">
        <v>92</v>
      </c>
      <c r="P239">
        <v>660</v>
      </c>
      <c r="Q239">
        <v>64</v>
      </c>
      <c r="R239" s="29">
        <v>226.84</v>
      </c>
      <c r="S239" s="28">
        <f>IFERROR(PROPERTIES[[#This Row],[TE_STARTING_KN]]/(PROPERTIES[[#This Row],[WEIGHT]]*9.81),0)</f>
        <v>0.2513406905110136</v>
      </c>
      <c r="T239" s="28">
        <v>0.24</v>
      </c>
      <c r="U239" s="25">
        <f>ROUND(IF(IFERROR(PROPERTIES[[#This Row],[TE_COEFFICIENT_CALC]],0)=0,PROPERTIES[[#This Row],[TE_COEFFICIENT_MANUAL]],PROPERTIES[[#This Row],[TE_COEFFICIENT_CALC]]),3)</f>
        <v>0.251</v>
      </c>
      <c r="V239" s="11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36">
        <v>0</v>
      </c>
      <c r="X239" s="9">
        <v>0</v>
      </c>
      <c r="Y239" s="10">
        <v>0</v>
      </c>
      <c r="Z239" t="s">
        <v>874</v>
      </c>
      <c r="AA239" t="s">
        <v>868</v>
      </c>
      <c r="AB239" s="2" t="s">
        <v>886</v>
      </c>
      <c r="AC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9" s="2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H239" s="10" t="b">
        <v>0</v>
      </c>
      <c r="AY239"/>
      <c r="AZ239"/>
      <c r="BA239"/>
    </row>
    <row r="240" spans="1:53">
      <c r="A240" s="2" t="s">
        <v>258</v>
      </c>
      <c r="B240">
        <v>1939</v>
      </c>
      <c r="C240" cm="1">
        <f t="array" ref="C240">_xlfn.IFS(ISNUMBER(SEARCH("wagon",PROPERTIES[[#This Row],[VEHIDCODE]])),0,OR(MID(PROPERTIES[[#This Row],[VEHIDCODE]],2,2)="mu",_xlfn.TEXTBEFORE(PROPERTIES[[#This Row],[VEHIDCODE]],"_")="mtro"),1,1=1,0)</f>
        <v>0</v>
      </c>
      <c r="D240" t="s">
        <v>1782</v>
      </c>
      <c r="E240" t="str">
        <f>_xlfn.XLOOKUP(PROPERTIES[[#This Row],[COUNTRY]],COUNTRIES[COUNTRY_DESCRIPTION],COUNTRIES[COUNTRY_LABEL],"")</f>
        <v>GB</v>
      </c>
      <c r="F240" t="str" cm="1">
        <f t="array" ref="F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0" t="s">
        <v>19</v>
      </c>
      <c r="H240">
        <v>0</v>
      </c>
      <c r="I240">
        <v>5</v>
      </c>
      <c r="J240">
        <v>5</v>
      </c>
      <c r="K240" t="str" cm="1">
        <f t="array" ref="K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0">
        <f>_xlfn.XLOOKUP("LOADINGSPEEDDEF_"&amp;PROPERTIES[[#This Row],[LOADINGSPEED]],LOADINGSPEEDDEF[TYPE],LOADINGSPEEDDEF[SPEED])</f>
        <v>20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f>IF(ISNUMBER(SEARCH("passenger",PROPERTIES[[#This Row],[CARGODEF]])),1,0)</f>
        <v>0</v>
      </c>
      <c r="O240" s="32">
        <v>55</v>
      </c>
      <c r="P240">
        <v>350</v>
      </c>
      <c r="Q240">
        <v>32</v>
      </c>
      <c r="R240" s="29">
        <v>160</v>
      </c>
      <c r="S240" s="28">
        <f>IFERROR(PROPERTIES[[#This Row],[TE_STARTING_KN]]/(PROPERTIES[[#This Row],[WEIGHT]]*9.81),0)</f>
        <v>0.2965434158094708</v>
      </c>
      <c r="T240" s="28">
        <v>0.28999999999999998</v>
      </c>
      <c r="U240" s="25">
        <f>ROUND(IF(IFERROR(PROPERTIES[[#This Row],[TE_COEFFICIENT_CALC]],0)=0,PROPERTIES[[#This Row],[TE_COEFFICIENT_MANUAL]],PROPERTIES[[#This Row],[TE_COEFFICIENT_CALC]]),3)</f>
        <v>0.29699999999999999</v>
      </c>
      <c r="V240" s="11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36">
        <v>0</v>
      </c>
      <c r="X240" s="9">
        <v>0</v>
      </c>
      <c r="Y240" s="10">
        <v>0</v>
      </c>
      <c r="Z240" t="s">
        <v>873</v>
      </c>
      <c r="AA240" t="s">
        <v>868</v>
      </c>
      <c r="AB240" s="2" t="s">
        <v>886</v>
      </c>
      <c r="AC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0" s="2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H240" s="10" t="b">
        <v>0</v>
      </c>
      <c r="AY240"/>
      <c r="AZ240"/>
      <c r="BA240"/>
    </row>
    <row r="241" spans="1:53">
      <c r="A241" s="2" t="s">
        <v>259</v>
      </c>
      <c r="B241">
        <v>1939</v>
      </c>
      <c r="C241" cm="1">
        <f t="array" ref="C241">_xlfn.IFS(ISNUMBER(SEARCH("wagon",PROPERTIES[[#This Row],[VEHIDCODE]])),0,OR(MID(PROPERTIES[[#This Row],[VEHIDCODE]],2,2)="mu",_xlfn.TEXTBEFORE(PROPERTIES[[#This Row],[VEHIDCODE]],"_")="mtro"),1,1=1,0)</f>
        <v>0</v>
      </c>
      <c r="D241" t="s">
        <v>1719</v>
      </c>
      <c r="E241" t="str">
        <f>_xlfn.XLOOKUP(PROPERTIES[[#This Row],[COUNTRY]],COUNTRIES[COUNTRY_DESCRIPTION],COUNTRIES[COUNTRY_LABEL],"")</f>
        <v>AU</v>
      </c>
      <c r="F241" t="str" cm="1">
        <f t="array" ref="F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1" t="s">
        <v>19</v>
      </c>
      <c r="H241">
        <v>0</v>
      </c>
      <c r="I241">
        <v>5</v>
      </c>
      <c r="J241">
        <v>5</v>
      </c>
      <c r="K241" t="str" cm="1">
        <f t="array" ref="K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1">
        <f>_xlfn.XLOOKUP("LOADINGSPEEDDEF_"&amp;PROPERTIES[[#This Row],[LOADINGSPEED]],LOADINGSPEEDDEF[TYPE],LOADINGSPEEDDEF[SPEED])</f>
        <v>20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f>IF(ISNUMBER(SEARCH("passenger",PROPERTIES[[#This Row],[CARGODEF]])),1,0)</f>
        <v>0</v>
      </c>
      <c r="O241" s="32">
        <v>18</v>
      </c>
      <c r="P241">
        <v>150</v>
      </c>
      <c r="Q241">
        <v>50</v>
      </c>
      <c r="R241" s="29">
        <v>31</v>
      </c>
      <c r="S241" s="28">
        <f>IFERROR(PROPERTIES[[#This Row],[TE_STARTING_KN]]/(PROPERTIES[[#This Row],[WEIGHT]]*9.81),0)</f>
        <v>0.17555782081775964</v>
      </c>
      <c r="T241" s="28">
        <v>0.17</v>
      </c>
      <c r="U241" s="25">
        <f>ROUND(IF(IFERROR(PROPERTIES[[#This Row],[TE_COEFFICIENT_CALC]],0)=0,PROPERTIES[[#This Row],[TE_COEFFICIENT_MANUAL]],PROPERTIES[[#This Row],[TE_COEFFICIENT_CALC]]),3)</f>
        <v>0.17599999999999999</v>
      </c>
      <c r="V241" s="11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36">
        <v>0</v>
      </c>
      <c r="X241" s="9">
        <v>0</v>
      </c>
      <c r="Y241" s="10">
        <v>0</v>
      </c>
      <c r="Z241" t="s">
        <v>871</v>
      </c>
      <c r="AA241" t="s">
        <v>868</v>
      </c>
      <c r="AB241" s="2" t="s">
        <v>886</v>
      </c>
      <c r="AC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1" s="2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H241" s="10" t="b">
        <v>0</v>
      </c>
      <c r="AY241"/>
      <c r="AZ241"/>
      <c r="BA241"/>
    </row>
    <row r="242" spans="1:53">
      <c r="A242" s="2" t="s">
        <v>260</v>
      </c>
      <c r="B242">
        <v>1944</v>
      </c>
      <c r="C242" cm="1">
        <f t="array" ref="C242">_xlfn.IFS(ISNUMBER(SEARCH("wagon",PROPERTIES[[#This Row],[VEHIDCODE]])),0,OR(MID(PROPERTIES[[#This Row],[VEHIDCODE]],2,2)="mu",_xlfn.TEXTBEFORE(PROPERTIES[[#This Row],[VEHIDCODE]],"_")="mtro"),1,1=1,0)</f>
        <v>0</v>
      </c>
      <c r="D242" t="s">
        <v>1937</v>
      </c>
      <c r="E242" t="str">
        <f>_xlfn.XLOOKUP(PROPERTIES[[#This Row],[COUNTRY]],COUNTRIES[COUNTRY_DESCRIPTION],COUNTRIES[COUNTRY_LABEL],"")</f>
        <v>US</v>
      </c>
      <c r="F242" t="str" cm="1">
        <f t="array" ref="F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2" t="s">
        <v>19</v>
      </c>
      <c r="H242">
        <v>0</v>
      </c>
      <c r="I242">
        <v>6</v>
      </c>
      <c r="J242">
        <v>6</v>
      </c>
      <c r="K242" t="str" cm="1">
        <f t="array" ref="K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2">
        <f>_xlfn.XLOOKUP("LOADINGSPEEDDEF_"&amp;PROPERTIES[[#This Row],[LOADINGSPEED]],LOADINGSPEEDDEF[TYPE],LOADINGSPEEDDEF[SPEED])</f>
        <v>20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f>IF(ISNUMBER(SEARCH("passenger",PROPERTIES[[#This Row],[CARGODEF]])),1,0)</f>
        <v>0</v>
      </c>
      <c r="O242" s="32">
        <v>109</v>
      </c>
      <c r="P242">
        <v>1000</v>
      </c>
      <c r="Q242">
        <v>97</v>
      </c>
      <c r="R242" s="29">
        <v>179.9</v>
      </c>
      <c r="S242" s="28">
        <f>IFERROR(PROPERTIES[[#This Row],[TE_STARTING_KN]]/(PROPERTIES[[#This Row],[WEIGHT]]*9.81),0)</f>
        <v>0.16824247865406017</v>
      </c>
      <c r="T242" s="28">
        <v>0.17</v>
      </c>
      <c r="U242" s="25">
        <f>ROUND(IF(IFERROR(PROPERTIES[[#This Row],[TE_COEFFICIENT_CALC]],0)=0,PROPERTIES[[#This Row],[TE_COEFFICIENT_MANUAL]],PROPERTIES[[#This Row],[TE_COEFFICIENT_CALC]]),3)</f>
        <v>0.16800000000000001</v>
      </c>
      <c r="V242" s="11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36">
        <v>0</v>
      </c>
      <c r="X242" s="9">
        <v>0</v>
      </c>
      <c r="Y242" s="10">
        <v>0</v>
      </c>
      <c r="Z242" t="s">
        <v>874</v>
      </c>
      <c r="AA242" t="s">
        <v>868</v>
      </c>
      <c r="AB242" s="2" t="s">
        <v>886</v>
      </c>
      <c r="AC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2" s="2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H242" s="10" t="b">
        <v>0</v>
      </c>
      <c r="AY242"/>
      <c r="AZ242"/>
      <c r="BA242"/>
    </row>
    <row r="243" spans="1:53">
      <c r="A243" s="2" t="s">
        <v>261</v>
      </c>
      <c r="B243">
        <v>1948</v>
      </c>
      <c r="C243" cm="1">
        <f t="array" ref="C243">_xlfn.IFS(ISNUMBER(SEARCH("wagon",PROPERTIES[[#This Row],[VEHIDCODE]])),0,OR(MID(PROPERTIES[[#This Row],[VEHIDCODE]],2,2)="mu",_xlfn.TEXTBEFORE(PROPERTIES[[#This Row],[VEHIDCODE]],"_")="mtro"),1,1=1,0)</f>
        <v>0</v>
      </c>
      <c r="D243" t="s">
        <v>1768</v>
      </c>
      <c r="E243" t="str">
        <f>_xlfn.XLOOKUP(PROPERTIES[[#This Row],[COUNTRY]],COUNTRIES[COUNTRY_DESCRIPTION],COUNTRIES[COUNTRY_LABEL],"")</f>
        <v>DZ</v>
      </c>
      <c r="F243" t="str" cm="1">
        <f t="array" ref="F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3" t="s">
        <v>19</v>
      </c>
      <c r="H243">
        <v>0</v>
      </c>
      <c r="I243">
        <v>7</v>
      </c>
      <c r="J243">
        <v>7</v>
      </c>
      <c r="K243" t="str" cm="1">
        <f t="array" ref="K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3">
        <f>_xlfn.XLOOKUP("LOADINGSPEEDDEF_"&amp;PROPERTIES[[#This Row],[LOADINGSPEED]],LOADINGSPEEDDEF[TYPE],LOADINGSPEEDDEF[SPEED])</f>
        <v>20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f>IF(ISNUMBER(SEARCH("passenger",PROPERTIES[[#This Row],[CARGODEF]])),1,0)</f>
        <v>0</v>
      </c>
      <c r="O243" s="32">
        <v>92</v>
      </c>
      <c r="P243">
        <v>1000</v>
      </c>
      <c r="Q243">
        <v>80</v>
      </c>
      <c r="R243" s="29">
        <v>0</v>
      </c>
      <c r="S243" s="28">
        <f>IFERROR(PROPERTIES[[#This Row],[TE_STARTING_KN]]/(PROPERTIES[[#This Row],[WEIGHT]]*9.81),0)</f>
        <v>0</v>
      </c>
      <c r="T243" s="28">
        <v>0.14000000000000001</v>
      </c>
      <c r="U243" s="25">
        <f>ROUND(IF(IFERROR(PROPERTIES[[#This Row],[TE_COEFFICIENT_CALC]],0)=0,PROPERTIES[[#This Row],[TE_COEFFICIENT_MANUAL]],PROPERTIES[[#This Row],[TE_COEFFICIENT_CALC]]),3)</f>
        <v>0.14000000000000001</v>
      </c>
      <c r="V243" s="11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36">
        <v>0</v>
      </c>
      <c r="X243" s="9">
        <v>0</v>
      </c>
      <c r="Y243" s="10">
        <v>0</v>
      </c>
      <c r="Z243" t="s">
        <v>872</v>
      </c>
      <c r="AA243" t="s">
        <v>868</v>
      </c>
      <c r="AB243" s="2" t="s">
        <v>886</v>
      </c>
      <c r="AC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3" s="2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H243" s="10" t="b">
        <v>0</v>
      </c>
      <c r="AY243"/>
      <c r="AZ243"/>
      <c r="BA243"/>
    </row>
    <row r="244" spans="1:53">
      <c r="A244" s="2" t="s">
        <v>262</v>
      </c>
      <c r="B244">
        <v>1950</v>
      </c>
      <c r="C244" cm="1">
        <f t="array" ref="C244">_xlfn.IFS(ISNUMBER(SEARCH("wagon",PROPERTIES[[#This Row],[VEHIDCODE]])),0,OR(MID(PROPERTIES[[#This Row],[VEHIDCODE]],2,2)="mu",_xlfn.TEXTBEFORE(PROPERTIES[[#This Row],[VEHIDCODE]],"_")="mtro"),1,1=1,0)</f>
        <v>0</v>
      </c>
      <c r="D244" t="s">
        <v>1807</v>
      </c>
      <c r="E244" t="str">
        <f>_xlfn.XLOOKUP(PROPERTIES[[#This Row],[COUNTRY]],COUNTRIES[COUNTRY_DESCRIPTION],COUNTRIES[COUNTRY_LABEL],"")</f>
        <v>IE</v>
      </c>
      <c r="F244" t="str" cm="1">
        <f t="array" ref="F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4" t="s">
        <v>19</v>
      </c>
      <c r="H244">
        <v>0</v>
      </c>
      <c r="I244">
        <v>8</v>
      </c>
      <c r="J244">
        <v>8</v>
      </c>
      <c r="K244" t="str" cm="1">
        <f t="array" ref="K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4">
        <f>_xlfn.XLOOKUP("LOADINGSPEEDDEF_"&amp;PROPERTIES[[#This Row],[LOADINGSPEED]],LOADINGSPEEDDEF[TYPE],LOADINGSPEEDDEF[SPEED])</f>
        <v>20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f>IF(ISNUMBER(SEARCH("passenger",PROPERTIES[[#This Row],[CARGODEF]])),1,0)</f>
        <v>0</v>
      </c>
      <c r="O244" s="32">
        <v>81</v>
      </c>
      <c r="P244">
        <v>915</v>
      </c>
      <c r="Q244">
        <v>88</v>
      </c>
      <c r="R244" s="29">
        <v>205</v>
      </c>
      <c r="S244" s="28">
        <f>IFERROR(PROPERTIES[[#This Row],[TE_STARTING_KN]]/(PROPERTIES[[#This Row],[WEIGHT]]*9.81),0)</f>
        <v>0.25798819546695861</v>
      </c>
      <c r="T244" s="28">
        <v>0.25</v>
      </c>
      <c r="U244" s="25">
        <f>ROUND(IF(IFERROR(PROPERTIES[[#This Row],[TE_COEFFICIENT_CALC]],0)=0,PROPERTIES[[#This Row],[TE_COEFFICIENT_MANUAL]],PROPERTIES[[#This Row],[TE_COEFFICIENT_CALC]]),3)</f>
        <v>0.25800000000000001</v>
      </c>
      <c r="V244" s="11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36">
        <v>0</v>
      </c>
      <c r="X244" s="9">
        <v>0</v>
      </c>
      <c r="Y244" s="10">
        <v>0</v>
      </c>
      <c r="Z244" t="s">
        <v>873</v>
      </c>
      <c r="AA244" t="s">
        <v>868</v>
      </c>
      <c r="AB244" s="2" t="s">
        <v>886</v>
      </c>
      <c r="AC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4" s="2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H244" s="10" t="b">
        <v>0</v>
      </c>
      <c r="AY244"/>
      <c r="AZ244"/>
      <c r="BA244"/>
    </row>
    <row r="245" spans="1:53">
      <c r="A245" s="2" t="s">
        <v>263</v>
      </c>
      <c r="B245">
        <v>1950</v>
      </c>
      <c r="C245" cm="1">
        <f t="array" ref="C245">_xlfn.IFS(ISNUMBER(SEARCH("wagon",PROPERTIES[[#This Row],[VEHIDCODE]])),0,OR(MID(PROPERTIES[[#This Row],[VEHIDCODE]],2,2)="mu",_xlfn.TEXTBEFORE(PROPERTIES[[#This Row],[VEHIDCODE]],"_")="mtro"),1,1=1,0)</f>
        <v>0</v>
      </c>
      <c r="D245" t="s">
        <v>1737</v>
      </c>
      <c r="E245" t="str">
        <f>_xlfn.XLOOKUP(PROPERTIES[[#This Row],[COUNTRY]],COUNTRIES[COUNTRY_DESCRIPTION],COUNTRIES[COUNTRY_LABEL],"")</f>
        <v>BR</v>
      </c>
      <c r="F245" t="str" cm="1">
        <f t="array" ref="F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5" t="s">
        <v>19</v>
      </c>
      <c r="H245">
        <v>0</v>
      </c>
      <c r="I245">
        <v>8</v>
      </c>
      <c r="J245">
        <v>8</v>
      </c>
      <c r="K245" t="str" cm="1">
        <f t="array" ref="K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5">
        <f>_xlfn.XLOOKUP("LOADINGSPEEDDEF_"&amp;PROPERTIES[[#This Row],[LOADINGSPEED]],LOADINGSPEEDDEF[TYPE],LOADINGSPEEDDEF[SPEED])</f>
        <v>20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f>IF(ISNUMBER(SEARCH("passenger",PROPERTIES[[#This Row],[CARGODEF]])),1,0)</f>
        <v>0</v>
      </c>
      <c r="O245" s="32">
        <v>148</v>
      </c>
      <c r="P245">
        <v>1600</v>
      </c>
      <c r="Q245">
        <v>100</v>
      </c>
      <c r="R245" s="29">
        <v>434</v>
      </c>
      <c r="S245" s="28">
        <f>IFERROR(PROPERTIES[[#This Row],[TE_STARTING_KN]]/(PROPERTIES[[#This Row],[WEIGHT]]*9.81),0)</f>
        <v>0.29892277598699613</v>
      </c>
      <c r="T245" s="28">
        <v>0.24</v>
      </c>
      <c r="U245" s="25">
        <f>ROUND(IF(IFERROR(PROPERTIES[[#This Row],[TE_COEFFICIENT_CALC]],0)=0,PROPERTIES[[#This Row],[TE_COEFFICIENT_MANUAL]],PROPERTIES[[#This Row],[TE_COEFFICIENT_CALC]]),3)</f>
        <v>0.29899999999999999</v>
      </c>
      <c r="V245" s="11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36">
        <v>0</v>
      </c>
      <c r="X245" s="9">
        <v>0</v>
      </c>
      <c r="Y245" s="10">
        <v>0</v>
      </c>
      <c r="Z245" t="s">
        <v>876</v>
      </c>
      <c r="AA245" t="s">
        <v>868</v>
      </c>
      <c r="AB245" s="2" t="s">
        <v>886</v>
      </c>
      <c r="AC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5" s="2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H245" s="10" t="b">
        <v>0</v>
      </c>
      <c r="AY245"/>
      <c r="AZ245"/>
      <c r="BA245"/>
    </row>
    <row r="246" spans="1:53">
      <c r="A246" s="2" t="s">
        <v>264</v>
      </c>
      <c r="B246">
        <v>1950</v>
      </c>
      <c r="C246" cm="1">
        <f t="array" ref="C246">_xlfn.IFS(ISNUMBER(SEARCH("wagon",PROPERTIES[[#This Row],[VEHIDCODE]])),0,OR(MID(PROPERTIES[[#This Row],[VEHIDCODE]],2,2)="mu",_xlfn.TEXTBEFORE(PROPERTIES[[#This Row],[VEHIDCODE]],"_")="mtro"),1,1=1,0)</f>
        <v>0</v>
      </c>
      <c r="D246" t="s">
        <v>1862</v>
      </c>
      <c r="E246" t="str">
        <f>_xlfn.XLOOKUP(PROPERTIES[[#This Row],[COUNTRY]],COUNTRIES[COUNTRY_DESCRIPTION],COUNTRIES[COUNTRY_LABEL],"")</f>
        <v>MX</v>
      </c>
      <c r="F246" t="str" cm="1">
        <f t="array" ref="F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6" t="s">
        <v>19</v>
      </c>
      <c r="H246">
        <v>0</v>
      </c>
      <c r="I246">
        <v>8</v>
      </c>
      <c r="J246">
        <v>8</v>
      </c>
      <c r="K246" t="str" cm="1">
        <f t="array" ref="K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6">
        <f>_xlfn.XLOOKUP("LOADINGSPEEDDEF_"&amp;PROPERTIES[[#This Row],[LOADINGSPEED]],LOADINGSPEEDDEF[TYPE],LOADINGSPEEDDEF[SPEED])</f>
        <v>20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f>IF(ISNUMBER(SEARCH("passenger",PROPERTIES[[#This Row],[CARGODEF]])),1,0)</f>
        <v>0</v>
      </c>
      <c r="O246" s="32">
        <v>113</v>
      </c>
      <c r="P246">
        <v>1600</v>
      </c>
      <c r="Q246">
        <v>105</v>
      </c>
      <c r="R246" s="29">
        <v>187.4</v>
      </c>
      <c r="S246" s="28">
        <f>IFERROR(PROPERTIES[[#This Row],[TE_STARTING_KN]]/(PROPERTIES[[#This Row],[WEIGHT]]*9.81),0)</f>
        <v>0.16905270944403852</v>
      </c>
      <c r="T246" s="28">
        <v>0.17</v>
      </c>
      <c r="U246" s="25">
        <f>ROUND(IF(IFERROR(PROPERTIES[[#This Row],[TE_COEFFICIENT_CALC]],0)=0,PROPERTIES[[#This Row],[TE_COEFFICIENT_MANUAL]],PROPERTIES[[#This Row],[TE_COEFFICIENT_CALC]]),3)</f>
        <v>0.16900000000000001</v>
      </c>
      <c r="V246" s="11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36">
        <v>0</v>
      </c>
      <c r="X246" s="9">
        <v>0</v>
      </c>
      <c r="Y246" s="10">
        <v>0</v>
      </c>
      <c r="Z246" t="s">
        <v>874</v>
      </c>
      <c r="AA246" t="s">
        <v>868</v>
      </c>
      <c r="AB246" s="2" t="s">
        <v>886</v>
      </c>
      <c r="AC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6" s="2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H246" s="10" t="b">
        <v>0</v>
      </c>
      <c r="AY246"/>
      <c r="AZ246"/>
      <c r="BA246"/>
    </row>
    <row r="247" spans="1:53">
      <c r="A247" s="2" t="s">
        <v>265</v>
      </c>
      <c r="B247">
        <v>1951</v>
      </c>
      <c r="C247" cm="1">
        <f t="array" ref="C247">_xlfn.IFS(ISNUMBER(SEARCH("wagon",PROPERTIES[[#This Row],[VEHIDCODE]])),0,OR(MID(PROPERTIES[[#This Row],[VEHIDCODE]],2,2)="mu",_xlfn.TEXTBEFORE(PROPERTIES[[#This Row],[VEHIDCODE]],"_")="mtro"),1,1=1,0)</f>
        <v>0</v>
      </c>
      <c r="D247" t="s">
        <v>1719</v>
      </c>
      <c r="E247" t="str">
        <f>_xlfn.XLOOKUP(PROPERTIES[[#This Row],[COUNTRY]],COUNTRIES[COUNTRY_DESCRIPTION],COUNTRIES[COUNTRY_LABEL],"")</f>
        <v>AU</v>
      </c>
      <c r="F247" t="str" cm="1">
        <f t="array" ref="F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7" t="s">
        <v>19</v>
      </c>
      <c r="H247">
        <v>0</v>
      </c>
      <c r="I247">
        <v>8</v>
      </c>
      <c r="J247">
        <v>8</v>
      </c>
      <c r="K247" t="str" cm="1">
        <f t="array" ref="K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7">
        <f>_xlfn.XLOOKUP("LOADINGSPEEDDEF_"&amp;PROPERTIES[[#This Row],[LOADINGSPEED]],LOADINGSPEEDDEF[TYPE],LOADINGSPEEDDEF[SPEED])</f>
        <v>20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f>IF(ISNUMBER(SEARCH("passenger",PROPERTIES[[#This Row],[CARGODEF]])),1,0)</f>
        <v>0</v>
      </c>
      <c r="O247" s="32">
        <v>121</v>
      </c>
      <c r="P247">
        <v>1590</v>
      </c>
      <c r="Q247">
        <v>121</v>
      </c>
      <c r="R247" s="29">
        <v>249.1</v>
      </c>
      <c r="S247" s="28">
        <f>IFERROR(PROPERTIES[[#This Row],[TE_STARTING_KN]]/(PROPERTIES[[#This Row],[WEIGHT]]*9.81),0)</f>
        <v>0.20985501385834998</v>
      </c>
      <c r="T247" s="28">
        <v>0.12</v>
      </c>
      <c r="U247" s="25">
        <f>ROUND(IF(IFERROR(PROPERTIES[[#This Row],[TE_COEFFICIENT_CALC]],0)=0,PROPERTIES[[#This Row],[TE_COEFFICIENT_MANUAL]],PROPERTIES[[#This Row],[TE_COEFFICIENT_CALC]]),3)</f>
        <v>0.21</v>
      </c>
      <c r="V247" s="11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36">
        <v>0</v>
      </c>
      <c r="X247" s="9">
        <v>0</v>
      </c>
      <c r="Y247" s="10">
        <v>0</v>
      </c>
      <c r="Z247" t="s">
        <v>871</v>
      </c>
      <c r="AA247" t="s">
        <v>868</v>
      </c>
      <c r="AB247" s="2" t="s">
        <v>886</v>
      </c>
      <c r="AC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7" s="2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H247" s="10" t="b">
        <v>0</v>
      </c>
      <c r="AY247"/>
      <c r="AZ247"/>
      <c r="BA247"/>
    </row>
    <row r="248" spans="1:53">
      <c r="A248" s="2" t="s">
        <v>266</v>
      </c>
      <c r="B248">
        <v>1954</v>
      </c>
      <c r="C248" cm="1">
        <f t="array" ref="C248">_xlfn.IFS(ISNUMBER(SEARCH("wagon",PROPERTIES[[#This Row],[VEHIDCODE]])),0,OR(MID(PROPERTIES[[#This Row],[VEHIDCODE]],2,2)="mu",_xlfn.TEXTBEFORE(PROPERTIES[[#This Row],[VEHIDCODE]],"_")="mtro"),1,1=1,0)</f>
        <v>0</v>
      </c>
      <c r="D248" t="s">
        <v>1835</v>
      </c>
      <c r="E248" t="str">
        <f>_xlfn.XLOOKUP(PROPERTIES[[#This Row],[COUNTRY]],COUNTRIES[COUNTRY_DESCRIPTION],COUNTRIES[COUNTRY_LABEL],"")</f>
        <v>LK</v>
      </c>
      <c r="F248" t="str" cm="1">
        <f t="array" ref="F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8" t="s">
        <v>19</v>
      </c>
      <c r="H248">
        <v>0</v>
      </c>
      <c r="I248">
        <v>6</v>
      </c>
      <c r="J248">
        <v>6</v>
      </c>
      <c r="K248" t="str" cm="1">
        <f t="array" ref="K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8">
        <f>_xlfn.XLOOKUP("LOADINGSPEEDDEF_"&amp;PROPERTIES[[#This Row],[LOADINGSPEED]],LOADINGSPEEDDEF[TYPE],LOADINGSPEEDDEF[SPEED])</f>
        <v>20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f>IF(ISNUMBER(SEARCH("passenger",PROPERTIES[[#This Row],[CARGODEF]])),1,0)</f>
        <v>0</v>
      </c>
      <c r="O248" s="32">
        <v>79</v>
      </c>
      <c r="P248">
        <v>1425</v>
      </c>
      <c r="Q248">
        <v>112</v>
      </c>
      <c r="R248" s="29">
        <v>0</v>
      </c>
      <c r="S248" s="28">
        <f>IFERROR(PROPERTIES[[#This Row],[TE_STARTING_KN]]/(PROPERTIES[[#This Row],[WEIGHT]]*9.81),0)</f>
        <v>0</v>
      </c>
      <c r="T248" s="28">
        <v>0.24</v>
      </c>
      <c r="U248" s="25">
        <f>ROUND(IF(IFERROR(PROPERTIES[[#This Row],[TE_COEFFICIENT_CALC]],0)=0,PROPERTIES[[#This Row],[TE_COEFFICIENT_MANUAL]],PROPERTIES[[#This Row],[TE_COEFFICIENT_CALC]]),3)</f>
        <v>0.24</v>
      </c>
      <c r="V248" s="11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36">
        <v>0</v>
      </c>
      <c r="X248" s="9">
        <v>0</v>
      </c>
      <c r="Y248" s="10">
        <v>0</v>
      </c>
      <c r="Z248" t="s">
        <v>877</v>
      </c>
      <c r="AA248" t="s">
        <v>868</v>
      </c>
      <c r="AB248" s="2" t="s">
        <v>886</v>
      </c>
      <c r="AC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8" s="2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H248" s="10" t="b">
        <v>0</v>
      </c>
      <c r="AY248"/>
      <c r="AZ248"/>
      <c r="BA248"/>
    </row>
    <row r="249" spans="1:53">
      <c r="A249" s="2" t="s">
        <v>267</v>
      </c>
      <c r="B249">
        <v>1955</v>
      </c>
      <c r="C249" cm="1">
        <f t="array" ref="C249">_xlfn.IFS(ISNUMBER(SEARCH("wagon",PROPERTIES[[#This Row],[VEHIDCODE]])),0,OR(MID(PROPERTIES[[#This Row],[VEHIDCODE]],2,2)="mu",_xlfn.TEXTBEFORE(PROPERTIES[[#This Row],[VEHIDCODE]],"_")="mtro"),1,1=1,0)</f>
        <v>0</v>
      </c>
      <c r="D249" t="s">
        <v>1807</v>
      </c>
      <c r="E249" t="str">
        <f>_xlfn.XLOOKUP(PROPERTIES[[#This Row],[COUNTRY]],COUNTRIES[COUNTRY_DESCRIPTION],COUNTRIES[COUNTRY_LABEL],"")</f>
        <v>IE</v>
      </c>
      <c r="F249" t="str" cm="1">
        <f t="array" ref="F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9" t="s">
        <v>19</v>
      </c>
      <c r="H249">
        <v>0</v>
      </c>
      <c r="I249">
        <v>7</v>
      </c>
      <c r="J249">
        <v>7</v>
      </c>
      <c r="K249" t="str" cm="1">
        <f t="array" ref="K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9">
        <f>_xlfn.XLOOKUP("LOADINGSPEEDDEF_"&amp;PROPERTIES[[#This Row],[LOADINGSPEED]],LOADINGSPEEDDEF[TYPE],LOADINGSPEEDDEF[SPEED])</f>
        <v>20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f>IF(ISNUMBER(SEARCH("passenger",PROPERTIES[[#This Row],[CARGODEF]])),1,0)</f>
        <v>0</v>
      </c>
      <c r="O249" s="32">
        <v>82</v>
      </c>
      <c r="P249">
        <v>1325</v>
      </c>
      <c r="Q249">
        <v>120</v>
      </c>
      <c r="R249" s="29">
        <v>275</v>
      </c>
      <c r="S249" s="28">
        <f>IFERROR(PROPERTIES[[#This Row],[TE_STARTING_KN]]/(PROPERTIES[[#This Row],[WEIGHT]]*9.81),0)</f>
        <v>0.34186121677730535</v>
      </c>
      <c r="T249" s="28">
        <v>0.33</v>
      </c>
      <c r="U249" s="25">
        <f>ROUND(IF(IFERROR(PROPERTIES[[#This Row],[TE_COEFFICIENT_CALC]],0)=0,PROPERTIES[[#This Row],[TE_COEFFICIENT_MANUAL]],PROPERTIES[[#This Row],[TE_COEFFICIENT_CALC]]),3)</f>
        <v>0.34200000000000003</v>
      </c>
      <c r="V249" s="11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36">
        <v>0</v>
      </c>
      <c r="X249" s="9">
        <v>0</v>
      </c>
      <c r="Y249" s="10">
        <v>0</v>
      </c>
      <c r="Z249" t="s">
        <v>873</v>
      </c>
      <c r="AA249" t="s">
        <v>868</v>
      </c>
      <c r="AB249" s="2" t="s">
        <v>886</v>
      </c>
      <c r="AC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9" s="2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H249" s="10" t="b">
        <v>0</v>
      </c>
      <c r="AY249"/>
      <c r="AZ249"/>
      <c r="BA249"/>
    </row>
    <row r="250" spans="1:53">
      <c r="A250" s="2" t="s">
        <v>268</v>
      </c>
      <c r="B250">
        <v>1957</v>
      </c>
      <c r="C250" cm="1">
        <f t="array" ref="C250">_xlfn.IFS(ISNUMBER(SEARCH("wagon",PROPERTIES[[#This Row],[VEHIDCODE]])),0,OR(MID(PROPERTIES[[#This Row],[VEHIDCODE]],2,2)="mu",_xlfn.TEXTBEFORE(PROPERTIES[[#This Row],[VEHIDCODE]],"_")="mtro"),1,1=1,0)</f>
        <v>0</v>
      </c>
      <c r="D250" t="s">
        <v>1815</v>
      </c>
      <c r="E250" t="str">
        <f>_xlfn.XLOOKUP(PROPERTIES[[#This Row],[COUNTRY]],COUNTRIES[COUNTRY_DESCRIPTION],COUNTRIES[COUNTRY_LABEL],"")</f>
        <v>IT</v>
      </c>
      <c r="F250" t="str" cm="1">
        <f t="array" ref="F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0" t="s">
        <v>19</v>
      </c>
      <c r="H250">
        <v>0</v>
      </c>
      <c r="I250">
        <v>8</v>
      </c>
      <c r="J250">
        <v>8</v>
      </c>
      <c r="K250" t="str" cm="1">
        <f t="array" ref="K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0">
        <f>_xlfn.XLOOKUP("LOADINGSPEEDDEF_"&amp;PROPERTIES[[#This Row],[LOADINGSPEED]],LOADINGSPEEDDEF[TYPE],LOADINGSPEEDDEF[SPEED])</f>
        <v>20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f>IF(ISNUMBER(SEARCH("passenger",PROPERTIES[[#This Row],[CARGODEF]])),1,0)</f>
        <v>0</v>
      </c>
      <c r="O250" s="32">
        <v>67</v>
      </c>
      <c r="P250">
        <v>1380</v>
      </c>
      <c r="Q250">
        <v>110</v>
      </c>
      <c r="R250" s="29">
        <v>0</v>
      </c>
      <c r="S250" s="28">
        <f>IFERROR(PROPERTIES[[#This Row],[TE_STARTING_KN]]/(PROPERTIES[[#This Row],[WEIGHT]]*9.81),0)</f>
        <v>0</v>
      </c>
      <c r="T250" s="28">
        <v>0.26</v>
      </c>
      <c r="U250" s="25">
        <f>ROUND(IF(IFERROR(PROPERTIES[[#This Row],[TE_COEFFICIENT_CALC]],0)=0,PROPERTIES[[#This Row],[TE_COEFFICIENT_MANUAL]],PROPERTIES[[#This Row],[TE_COEFFICIENT_CALC]]),3)</f>
        <v>0.26</v>
      </c>
      <c r="V250" s="11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36">
        <v>0</v>
      </c>
      <c r="X250" s="9">
        <v>0</v>
      </c>
      <c r="Y250" s="10">
        <v>0</v>
      </c>
      <c r="Z250" t="s">
        <v>870</v>
      </c>
      <c r="AA250" t="s">
        <v>868</v>
      </c>
      <c r="AB250" s="2" t="s">
        <v>886</v>
      </c>
      <c r="AC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0" s="2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H250" s="10" t="b">
        <v>0</v>
      </c>
      <c r="AY250"/>
      <c r="AZ250"/>
      <c r="BA250"/>
    </row>
    <row r="251" spans="1:53">
      <c r="A251" s="2" t="s">
        <v>269</v>
      </c>
      <c r="B251">
        <v>1957</v>
      </c>
      <c r="C251" cm="1">
        <f t="array" ref="C251">_xlfn.IFS(ISNUMBER(SEARCH("wagon",PROPERTIES[[#This Row],[VEHIDCODE]])),0,OR(MID(PROPERTIES[[#This Row],[VEHIDCODE]],2,2)="mu",_xlfn.TEXTBEFORE(PROPERTIES[[#This Row],[VEHIDCODE]],"_")="mtro"),1,1=1,0)</f>
        <v>0</v>
      </c>
      <c r="D251" t="s">
        <v>1719</v>
      </c>
      <c r="E251" t="str">
        <f>_xlfn.XLOOKUP(PROPERTIES[[#This Row],[COUNTRY]],COUNTRIES[COUNTRY_DESCRIPTION],COUNTRIES[COUNTRY_LABEL],"")</f>
        <v>AU</v>
      </c>
      <c r="F251" t="str" cm="1">
        <f t="array" ref="F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1" t="s">
        <v>19</v>
      </c>
      <c r="H251">
        <v>0</v>
      </c>
      <c r="I251">
        <v>8</v>
      </c>
      <c r="J251">
        <v>8</v>
      </c>
      <c r="K251" t="str" cm="1">
        <f t="array" ref="K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1">
        <f>_xlfn.XLOOKUP("LOADINGSPEEDDEF_"&amp;PROPERTIES[[#This Row],[LOADINGSPEED]],LOADINGSPEEDDEF[TYPE],LOADINGSPEEDDEF[SPEED])</f>
        <v>20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f>IF(ISNUMBER(SEARCH("passenger",PROPERTIES[[#This Row],[CARGODEF]])),1,0)</f>
        <v>0</v>
      </c>
      <c r="O251" s="32">
        <v>112</v>
      </c>
      <c r="P251">
        <v>1950</v>
      </c>
      <c r="Q251">
        <v>129</v>
      </c>
      <c r="R251" s="29">
        <v>254</v>
      </c>
      <c r="S251" s="28">
        <f>IFERROR(PROPERTIES[[#This Row],[TE_STARTING_KN]]/(PROPERTIES[[#This Row],[WEIGHT]]*9.81),0)</f>
        <v>0.23117809815057522</v>
      </c>
      <c r="T251" s="28">
        <v>0.19</v>
      </c>
      <c r="U251" s="25">
        <f>ROUND(IF(IFERROR(PROPERTIES[[#This Row],[TE_COEFFICIENT_CALC]],0)=0,PROPERTIES[[#This Row],[TE_COEFFICIENT_MANUAL]],PROPERTIES[[#This Row],[TE_COEFFICIENT_CALC]]),3)</f>
        <v>0.23100000000000001</v>
      </c>
      <c r="V251" s="11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36">
        <v>0</v>
      </c>
      <c r="X251" s="9">
        <v>0</v>
      </c>
      <c r="Y251" s="10">
        <v>0</v>
      </c>
      <c r="Z251" t="s">
        <v>871</v>
      </c>
      <c r="AA251" t="s">
        <v>868</v>
      </c>
      <c r="AB251" s="2" t="s">
        <v>886</v>
      </c>
      <c r="AC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1" s="2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H251" s="10" t="b">
        <v>0</v>
      </c>
      <c r="AY251"/>
      <c r="AZ251"/>
      <c r="BA251"/>
    </row>
    <row r="252" spans="1:53">
      <c r="A252" s="2" t="s">
        <v>270</v>
      </c>
      <c r="B252">
        <v>1959</v>
      </c>
      <c r="C252" cm="1">
        <f t="array" ref="C252">_xlfn.IFS(ISNUMBER(SEARCH("wagon",PROPERTIES[[#This Row],[VEHIDCODE]])),0,OR(MID(PROPERTIES[[#This Row],[VEHIDCODE]],2,2)="mu",_xlfn.TEXTBEFORE(PROPERTIES[[#This Row],[VEHIDCODE]],"_")="mtro"),1,1=1,0)</f>
        <v>0</v>
      </c>
      <c r="D252" t="s">
        <v>1953</v>
      </c>
      <c r="E252" t="str">
        <f>_xlfn.XLOOKUP(PROPERTIES[[#This Row],[COUNTRY]],COUNTRIES[COUNTRY_DESCRIPTION],COUNTRIES[COUNTRY_LABEL],"")</f>
        <v>ZW</v>
      </c>
      <c r="F252" t="str" cm="1">
        <f t="array" ref="F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2" t="s">
        <v>19</v>
      </c>
      <c r="H252">
        <v>0</v>
      </c>
      <c r="I252">
        <v>8</v>
      </c>
      <c r="J252">
        <v>8</v>
      </c>
      <c r="K252" t="str" cm="1">
        <f t="array" ref="K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2">
        <f>_xlfn.XLOOKUP("LOADINGSPEEDDEF_"&amp;PROPERTIES[[#This Row],[LOADINGSPEED]],LOADINGSPEEDDEF[TYPE],LOADINGSPEEDDEF[SPEED])</f>
        <v>20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f>IF(ISNUMBER(SEARCH("passenger",PROPERTIES[[#This Row],[CARGODEF]])),1,0)</f>
        <v>0</v>
      </c>
      <c r="O252" s="32">
        <v>76</v>
      </c>
      <c r="P252">
        <v>1316</v>
      </c>
      <c r="Q252">
        <v>89</v>
      </c>
      <c r="R252" s="29">
        <v>197.2</v>
      </c>
      <c r="S252" s="28">
        <f>IFERROR(PROPERTIES[[#This Row],[TE_STARTING_KN]]/(PROPERTIES[[#This Row],[WEIGHT]]*9.81),0)</f>
        <v>0.26449916841032239</v>
      </c>
      <c r="T252" s="28">
        <v>0.26</v>
      </c>
      <c r="U252" s="25">
        <f>ROUND(IF(IFERROR(PROPERTIES[[#This Row],[TE_COEFFICIENT_CALC]],0)=0,PROPERTIES[[#This Row],[TE_COEFFICIENT_MANUAL]],PROPERTIES[[#This Row],[TE_COEFFICIENT_CALC]]),3)</f>
        <v>0.26400000000000001</v>
      </c>
      <c r="V252" s="11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36">
        <v>0</v>
      </c>
      <c r="X252" s="9">
        <v>0</v>
      </c>
      <c r="Y252" s="10">
        <v>0</v>
      </c>
      <c r="Z252" t="s">
        <v>872</v>
      </c>
      <c r="AA252" t="s">
        <v>868</v>
      </c>
      <c r="AB252" s="2" t="s">
        <v>886</v>
      </c>
      <c r="AC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2" s="2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H252" s="10" t="b">
        <v>0</v>
      </c>
      <c r="AY252"/>
      <c r="AZ252"/>
      <c r="BA252"/>
    </row>
    <row r="253" spans="1:53">
      <c r="A253" s="2" t="s">
        <v>271</v>
      </c>
      <c r="B253">
        <v>1960</v>
      </c>
      <c r="C253" cm="1">
        <f t="array" ref="C253">_xlfn.IFS(ISNUMBER(SEARCH("wagon",PROPERTIES[[#This Row],[VEHIDCODE]])),0,OR(MID(PROPERTIES[[#This Row],[VEHIDCODE]],2,2)="mu",_xlfn.TEXTBEFORE(PROPERTIES[[#This Row],[VEHIDCODE]],"_")="mtro"),1,1=1,0)</f>
        <v>0</v>
      </c>
      <c r="D253" t="s">
        <v>1827</v>
      </c>
      <c r="E253" t="str">
        <f>_xlfn.XLOOKUP(PROPERTIES[[#This Row],[COUNTRY]],COUNTRIES[COUNTRY_DESCRIPTION],COUNTRIES[COUNTRY_LABEL],"")</f>
        <v>KR</v>
      </c>
      <c r="F253" t="str" cm="1">
        <f t="array" ref="F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3" t="s">
        <v>19</v>
      </c>
      <c r="H253">
        <v>0</v>
      </c>
      <c r="I253">
        <v>8</v>
      </c>
      <c r="J253">
        <v>8</v>
      </c>
      <c r="K253" t="str" cm="1">
        <f t="array" ref="K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3">
        <f>_xlfn.XLOOKUP("LOADINGSPEEDDEF_"&amp;PROPERTIES[[#This Row],[LOADINGSPEED]],LOADINGSPEEDDEF[TYPE],LOADINGSPEEDDEF[SPEED])</f>
        <v>20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f>IF(ISNUMBER(SEARCH("passenger",PROPERTIES[[#This Row],[CARGODEF]])),1,0)</f>
        <v>0</v>
      </c>
      <c r="O253" s="32">
        <v>177</v>
      </c>
      <c r="P253">
        <v>1800</v>
      </c>
      <c r="Q253">
        <v>104</v>
      </c>
      <c r="R253" s="29">
        <v>433</v>
      </c>
      <c r="S253" s="28">
        <f>IFERROR(PROPERTIES[[#This Row],[TE_STARTING_KN]]/(PROPERTIES[[#This Row],[WEIGHT]]*9.81),0)</f>
        <v>0.2493708138242425</v>
      </c>
      <c r="T253" s="28">
        <v>0.09</v>
      </c>
      <c r="U253" s="25">
        <f>ROUND(IF(IFERROR(PROPERTIES[[#This Row],[TE_COEFFICIENT_CALC]],0)=0,PROPERTIES[[#This Row],[TE_COEFFICIENT_MANUAL]],PROPERTIES[[#This Row],[TE_COEFFICIENT_CALC]]),3)</f>
        <v>0.249</v>
      </c>
      <c r="V253" s="11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36">
        <v>0</v>
      </c>
      <c r="X253" s="9">
        <v>0</v>
      </c>
      <c r="Y253" s="10">
        <v>0</v>
      </c>
      <c r="Z253" t="s">
        <v>877</v>
      </c>
      <c r="AA253" t="s">
        <v>868</v>
      </c>
      <c r="AB253" s="2" t="s">
        <v>886</v>
      </c>
      <c r="AC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3" s="2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H253" s="10" t="b">
        <v>0</v>
      </c>
      <c r="AY253"/>
      <c r="AZ253"/>
      <c r="BA253"/>
    </row>
    <row r="254" spans="1:53">
      <c r="A254" s="2" t="s">
        <v>272</v>
      </c>
      <c r="B254">
        <v>1971</v>
      </c>
      <c r="C254" cm="1">
        <f t="array" ref="C254">_xlfn.IFS(ISNUMBER(SEARCH("wagon",PROPERTIES[[#This Row],[VEHIDCODE]])),0,OR(MID(PROPERTIES[[#This Row],[VEHIDCODE]],2,2)="mu",_xlfn.TEXTBEFORE(PROPERTIES[[#This Row],[VEHIDCODE]],"_")="mtro"),1,1=1,0)</f>
        <v>0</v>
      </c>
      <c r="D254" t="s">
        <v>1815</v>
      </c>
      <c r="E254" t="str">
        <f>_xlfn.XLOOKUP(PROPERTIES[[#This Row],[COUNTRY]],COUNTRIES[COUNTRY_DESCRIPTION],COUNTRIES[COUNTRY_LABEL],"")</f>
        <v>IT</v>
      </c>
      <c r="F254" t="str" cm="1">
        <f t="array" ref="F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4" t="s">
        <v>19</v>
      </c>
      <c r="H254">
        <v>0</v>
      </c>
      <c r="I254">
        <v>8</v>
      </c>
      <c r="J254">
        <v>8</v>
      </c>
      <c r="K254" t="str" cm="1">
        <f t="array" ref="K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4">
        <f>_xlfn.XLOOKUP("LOADINGSPEEDDEF_"&amp;PROPERTIES[[#This Row],[LOADINGSPEED]],LOADINGSPEEDDEF[TYPE],LOADINGSPEEDDEF[SPEED])</f>
        <v>20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f>IF(ISNUMBER(SEARCH("passenger",PROPERTIES[[#This Row],[CARGODEF]])),1,0)</f>
        <v>0</v>
      </c>
      <c r="O254" s="32">
        <v>62</v>
      </c>
      <c r="P254">
        <v>1010</v>
      </c>
      <c r="Q254">
        <v>130</v>
      </c>
      <c r="R254" s="29">
        <v>0</v>
      </c>
      <c r="S254" s="28">
        <f>IFERROR(PROPERTIES[[#This Row],[TE_STARTING_KN]]/(PROPERTIES[[#This Row],[WEIGHT]]*9.81),0)</f>
        <v>0</v>
      </c>
      <c r="T254" s="28">
        <v>0.3</v>
      </c>
      <c r="U254" s="25">
        <f>ROUND(IF(IFERROR(PROPERTIES[[#This Row],[TE_COEFFICIENT_CALC]],0)=0,PROPERTIES[[#This Row],[TE_COEFFICIENT_MANUAL]],PROPERTIES[[#This Row],[TE_COEFFICIENT_CALC]]),3)</f>
        <v>0.3</v>
      </c>
      <c r="V254" s="11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36">
        <v>0</v>
      </c>
      <c r="X254" s="9">
        <v>0</v>
      </c>
      <c r="Y254" s="10">
        <v>0</v>
      </c>
      <c r="Z254" t="s">
        <v>870</v>
      </c>
      <c r="AA254" t="s">
        <v>868</v>
      </c>
      <c r="AB254" s="2" t="s">
        <v>886</v>
      </c>
      <c r="AC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4" s="2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H254" s="10" t="b">
        <v>0</v>
      </c>
      <c r="AY254"/>
      <c r="AZ254"/>
      <c r="BA254"/>
    </row>
    <row r="255" spans="1:53">
      <c r="A255" s="2" t="s">
        <v>273</v>
      </c>
      <c r="B255">
        <v>1980</v>
      </c>
      <c r="C255" cm="1">
        <f t="array" ref="C255">_xlfn.IFS(ISNUMBER(SEARCH("wagon",PROPERTIES[[#This Row],[VEHIDCODE]])),0,OR(MID(PROPERTIES[[#This Row],[VEHIDCODE]],2,2)="mu",_xlfn.TEXTBEFORE(PROPERTIES[[#This Row],[VEHIDCODE]],"_")="mtro"),1,1=1,0)</f>
        <v>0</v>
      </c>
      <c r="D255" t="s">
        <v>1872</v>
      </c>
      <c r="E255" t="str">
        <f>_xlfn.XLOOKUP(PROPERTIES[[#This Row],[COUNTRY]],COUNTRIES[COUNTRY_DESCRIPTION],COUNTRIES[COUNTRY_LABEL],"")</f>
        <v>NO</v>
      </c>
      <c r="F255" t="str" cm="1">
        <f t="array" ref="F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5" t="s">
        <v>19</v>
      </c>
      <c r="H255">
        <v>0</v>
      </c>
      <c r="I255">
        <v>8</v>
      </c>
      <c r="J255">
        <v>8</v>
      </c>
      <c r="K255" t="str" cm="1">
        <f t="array" ref="K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5">
        <f>_xlfn.XLOOKUP("LOADINGSPEEDDEF_"&amp;PROPERTIES[[#This Row],[LOADINGSPEED]],LOADINGSPEEDDEF[TYPE],LOADINGSPEEDDEF[SPEED])</f>
        <v>20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f>IF(ISNUMBER(SEARCH("passenger",PROPERTIES[[#This Row],[CARGODEF]])),1,0)</f>
        <v>0</v>
      </c>
      <c r="O255" s="32">
        <v>120</v>
      </c>
      <c r="P255">
        <v>3290</v>
      </c>
      <c r="Q255">
        <v>140</v>
      </c>
      <c r="R255" s="29">
        <v>360</v>
      </c>
      <c r="S255" s="28">
        <f>IFERROR(PROPERTIES[[#This Row],[TE_STARTING_KN]]/(PROPERTIES[[#This Row],[WEIGHT]]*9.81),0)</f>
        <v>0.3058103975535168</v>
      </c>
      <c r="T255" s="28">
        <v>0.32</v>
      </c>
      <c r="U255" s="25">
        <f>ROUND(IF(IFERROR(PROPERTIES[[#This Row],[TE_COEFFICIENT_CALC]],0)=0,PROPERTIES[[#This Row],[TE_COEFFICIENT_MANUAL]],PROPERTIES[[#This Row],[TE_COEFFICIENT_CALC]]),3)</f>
        <v>0.30599999999999999</v>
      </c>
      <c r="V255" s="11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36">
        <v>0</v>
      </c>
      <c r="X255" s="9">
        <v>0</v>
      </c>
      <c r="Y255" s="10">
        <v>0</v>
      </c>
      <c r="Z255" t="s">
        <v>873</v>
      </c>
      <c r="AA255" t="s">
        <v>868</v>
      </c>
      <c r="AB255" s="2" t="s">
        <v>886</v>
      </c>
      <c r="AC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5" s="2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H255" s="10" t="b">
        <v>0</v>
      </c>
      <c r="AY255"/>
      <c r="AZ255"/>
      <c r="BA255"/>
    </row>
    <row r="256" spans="1:53">
      <c r="A256" s="2" t="s">
        <v>274</v>
      </c>
      <c r="B256">
        <v>1984</v>
      </c>
      <c r="C256" cm="1">
        <f t="array" ref="C256">_xlfn.IFS(ISNUMBER(SEARCH("wagon",PROPERTIES[[#This Row],[VEHIDCODE]])),0,OR(MID(PROPERTIES[[#This Row],[VEHIDCODE]],2,2)="mu",_xlfn.TEXTBEFORE(PROPERTIES[[#This Row],[VEHIDCODE]],"_")="mtro"),1,1=1,0)</f>
        <v>0</v>
      </c>
      <c r="D256" t="s">
        <v>1754</v>
      </c>
      <c r="E256" t="str">
        <f>_xlfn.XLOOKUP(PROPERTIES[[#This Row],[COUNTRY]],COUNTRIES[COUNTRY_DESCRIPTION],COUNTRIES[COUNTRY_LABEL],"")</f>
        <v>CN</v>
      </c>
      <c r="F256" t="str" cm="1">
        <f t="array" ref="F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6" t="s">
        <v>19</v>
      </c>
      <c r="H256">
        <v>0</v>
      </c>
      <c r="I256">
        <v>8</v>
      </c>
      <c r="J256">
        <v>8</v>
      </c>
      <c r="K256" t="str" cm="1">
        <f t="array" ref="K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6">
        <f>_xlfn.XLOOKUP("LOADINGSPEEDDEF_"&amp;PROPERTIES[[#This Row],[LOADINGSPEED]],LOADINGSPEEDDEF[TYPE],LOADINGSPEEDDEF[SPEED])</f>
        <v>20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f>IF(ISNUMBER(SEARCH("passenger",PROPERTIES[[#This Row],[CARGODEF]])),1,0)</f>
        <v>0</v>
      </c>
      <c r="O256" s="32">
        <v>150</v>
      </c>
      <c r="P256">
        <v>4930</v>
      </c>
      <c r="Q256">
        <v>100</v>
      </c>
      <c r="R256" s="29">
        <v>480</v>
      </c>
      <c r="S256" s="28">
        <f>IFERROR(PROPERTIES[[#This Row],[TE_STARTING_KN]]/(PROPERTIES[[#This Row],[WEIGHT]]*9.81),0)</f>
        <v>0.32619775739041795</v>
      </c>
      <c r="T256" s="28">
        <v>0.35</v>
      </c>
      <c r="U256" s="25">
        <f>ROUND(IF(IFERROR(PROPERTIES[[#This Row],[TE_COEFFICIENT_CALC]],0)=0,PROPERTIES[[#This Row],[TE_COEFFICIENT_MANUAL]],PROPERTIES[[#This Row],[TE_COEFFICIENT_CALC]]),3)</f>
        <v>0.32600000000000001</v>
      </c>
      <c r="V256" s="11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36">
        <v>0</v>
      </c>
      <c r="X256" s="9">
        <v>0</v>
      </c>
      <c r="Y256" s="10">
        <v>0</v>
      </c>
      <c r="Z256" t="s">
        <v>877</v>
      </c>
      <c r="AA256" t="s">
        <v>868</v>
      </c>
      <c r="AB256" s="2" t="s">
        <v>886</v>
      </c>
      <c r="AC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6" s="2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H256" s="10" t="b">
        <v>0</v>
      </c>
      <c r="AY256"/>
      <c r="AZ256"/>
      <c r="BA256"/>
    </row>
    <row r="257" spans="1:53">
      <c r="A257" s="2" t="s">
        <v>275</v>
      </c>
      <c r="B257">
        <v>1984</v>
      </c>
      <c r="C257" cm="1">
        <f t="array" ref="C257">_xlfn.IFS(ISNUMBER(SEARCH("wagon",PROPERTIES[[#This Row],[VEHIDCODE]])),0,OR(MID(PROPERTIES[[#This Row],[VEHIDCODE]],2,2)="mu",_xlfn.TEXTBEFORE(PROPERTIES[[#This Row],[VEHIDCODE]],"_")="mtro"),1,1=1,0)</f>
        <v>0</v>
      </c>
      <c r="D257" t="s">
        <v>1719</v>
      </c>
      <c r="E257" t="str">
        <f>_xlfn.XLOOKUP(PROPERTIES[[#This Row],[COUNTRY]],COUNTRIES[COUNTRY_DESCRIPTION],COUNTRIES[COUNTRY_LABEL],"")</f>
        <v>AU</v>
      </c>
      <c r="F257" t="str" cm="1">
        <f t="array" ref="F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7" t="s">
        <v>19</v>
      </c>
      <c r="H257">
        <v>0</v>
      </c>
      <c r="I257">
        <v>8</v>
      </c>
      <c r="J257">
        <v>8</v>
      </c>
      <c r="K257" t="str" cm="1">
        <f t="array" ref="K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7">
        <f>_xlfn.XLOOKUP("LOADINGSPEEDDEF_"&amp;PROPERTIES[[#This Row],[LOADINGSPEED]],LOADINGSPEEDDEF[TYPE],LOADINGSPEEDDEF[SPEED])</f>
        <v>20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f>IF(ISNUMBER(SEARCH("passenger",PROPERTIES[[#This Row],[CARGODEF]])),1,0)</f>
        <v>0</v>
      </c>
      <c r="O257" s="32">
        <v>127</v>
      </c>
      <c r="P257">
        <v>3000</v>
      </c>
      <c r="Q257">
        <v>114</v>
      </c>
      <c r="R257" s="29">
        <v>337</v>
      </c>
      <c r="S257" s="28">
        <f>IFERROR(PROPERTIES[[#This Row],[TE_STARTING_KN]]/(PROPERTIES[[#This Row],[WEIGHT]]*9.81),0)</f>
        <v>0.27049371122187704</v>
      </c>
      <c r="T257" s="28">
        <v>0.27</v>
      </c>
      <c r="U257" s="25">
        <f>ROUND(IF(IFERROR(PROPERTIES[[#This Row],[TE_COEFFICIENT_CALC]],0)=0,PROPERTIES[[#This Row],[TE_COEFFICIENT_MANUAL]],PROPERTIES[[#This Row],[TE_COEFFICIENT_CALC]]),3)</f>
        <v>0.27</v>
      </c>
      <c r="V257" s="11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36">
        <v>0</v>
      </c>
      <c r="X257" s="9">
        <v>0</v>
      </c>
      <c r="Y257" s="10">
        <v>0</v>
      </c>
      <c r="Z257" t="s">
        <v>871</v>
      </c>
      <c r="AA257" t="s">
        <v>868</v>
      </c>
      <c r="AB257" s="2" t="s">
        <v>886</v>
      </c>
      <c r="AC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7" s="2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H257" s="10" t="b">
        <v>0</v>
      </c>
      <c r="AY257"/>
      <c r="AZ257"/>
      <c r="BA257"/>
    </row>
    <row r="258" spans="1:53">
      <c r="A258" s="2" t="s">
        <v>276</v>
      </c>
      <c r="B258">
        <v>1989</v>
      </c>
      <c r="C258" cm="1">
        <f t="array" ref="C258">_xlfn.IFS(ISNUMBER(SEARCH("wagon",PROPERTIES[[#This Row],[VEHIDCODE]])),0,OR(MID(PROPERTIES[[#This Row],[VEHIDCODE]],2,2)="mu",_xlfn.TEXTBEFORE(PROPERTIES[[#This Row],[VEHIDCODE]],"_")="mtro"),1,1=1,0)</f>
        <v>0</v>
      </c>
      <c r="D258" t="s">
        <v>1782</v>
      </c>
      <c r="E258" t="str">
        <f>_xlfn.XLOOKUP(PROPERTIES[[#This Row],[COUNTRY]],COUNTRIES[COUNTRY_DESCRIPTION],COUNTRIES[COUNTRY_LABEL],"")</f>
        <v>GB</v>
      </c>
      <c r="F258" t="str" cm="1">
        <f t="array" ref="F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8" t="s">
        <v>19</v>
      </c>
      <c r="H258">
        <v>0</v>
      </c>
      <c r="I258">
        <v>8</v>
      </c>
      <c r="J258">
        <v>8</v>
      </c>
      <c r="K258" t="str" cm="1">
        <f t="array" ref="K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8">
        <f>_xlfn.XLOOKUP("LOADINGSPEEDDEF_"&amp;PROPERTIES[[#This Row],[LOADINGSPEED]],LOADINGSPEEDDEF[TYPE],LOADINGSPEEDDEF[SPEED])</f>
        <v>20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f>IF(ISNUMBER(SEARCH("passenger",PROPERTIES[[#This Row],[CARGODEF]])),1,0)</f>
        <v>0</v>
      </c>
      <c r="O258" s="32">
        <v>130</v>
      </c>
      <c r="P258">
        <v>3100</v>
      </c>
      <c r="Q258">
        <v>97</v>
      </c>
      <c r="R258" s="29">
        <v>474</v>
      </c>
      <c r="S258" s="28">
        <f>IFERROR(PROPERTIES[[#This Row],[TE_STARTING_KN]]/(PROPERTIES[[#This Row],[WEIGHT]]*9.81),0)</f>
        <v>0.37167725241119737</v>
      </c>
      <c r="T258" s="28">
        <v>0.36</v>
      </c>
      <c r="U258" s="25">
        <f>ROUND(IF(IFERROR(PROPERTIES[[#This Row],[TE_COEFFICIENT_CALC]],0)=0,PROPERTIES[[#This Row],[TE_COEFFICIENT_MANUAL]],PROPERTIES[[#This Row],[TE_COEFFICIENT_CALC]]),3)</f>
        <v>0.372</v>
      </c>
      <c r="V258" s="11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36">
        <v>0</v>
      </c>
      <c r="X258" s="9">
        <v>0</v>
      </c>
      <c r="Y258" s="10">
        <v>0</v>
      </c>
      <c r="Z258" t="s">
        <v>873</v>
      </c>
      <c r="AA258" t="s">
        <v>868</v>
      </c>
      <c r="AB258" s="2" t="s">
        <v>886</v>
      </c>
      <c r="AC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8" s="2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H258" s="10" t="b">
        <v>0</v>
      </c>
      <c r="AY258"/>
      <c r="AZ258"/>
      <c r="BA258"/>
    </row>
    <row r="259" spans="1:53">
      <c r="A259" s="2" t="s">
        <v>277</v>
      </c>
      <c r="B259">
        <v>1989</v>
      </c>
      <c r="C259" cm="1">
        <f t="array" ref="C259">_xlfn.IFS(ISNUMBER(SEARCH("wagon",PROPERTIES[[#This Row],[VEHIDCODE]])),0,OR(MID(PROPERTIES[[#This Row],[VEHIDCODE]],2,2)="mu",_xlfn.TEXTBEFORE(PROPERTIES[[#This Row],[VEHIDCODE]],"_")="mtro"),1,1=1,0)</f>
        <v>0</v>
      </c>
      <c r="D259" t="s">
        <v>1719</v>
      </c>
      <c r="E259" t="str">
        <f>_xlfn.XLOOKUP(PROPERTIES[[#This Row],[COUNTRY]],COUNTRIES[COUNTRY_DESCRIPTION],COUNTRIES[COUNTRY_LABEL],"")</f>
        <v>AU</v>
      </c>
      <c r="F259" t="str" cm="1">
        <f t="array" ref="F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9" t="s">
        <v>19</v>
      </c>
      <c r="H259">
        <v>0</v>
      </c>
      <c r="I259">
        <v>7</v>
      </c>
      <c r="J259">
        <v>7</v>
      </c>
      <c r="K259" t="str" cm="1">
        <f t="array" ref="K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9">
        <f>_xlfn.XLOOKUP("LOADINGSPEEDDEF_"&amp;PROPERTIES[[#This Row],[LOADINGSPEED]],LOADINGSPEEDDEF[TYPE],LOADINGSPEEDDEF[SPEED])</f>
        <v>20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f>IF(ISNUMBER(SEARCH("passenger",PROPERTIES[[#This Row],[CARGODEF]])),1,0)</f>
        <v>0</v>
      </c>
      <c r="O259" s="32">
        <v>99</v>
      </c>
      <c r="P259">
        <v>2450</v>
      </c>
      <c r="Q259">
        <v>90</v>
      </c>
      <c r="R259" s="29">
        <v>375</v>
      </c>
      <c r="S259" s="28">
        <f>IFERROR(PROPERTIES[[#This Row],[TE_STARTING_KN]]/(PROPERTIES[[#This Row],[WEIGHT]]*9.81),0)</f>
        <v>0.38612423933524848</v>
      </c>
      <c r="T259" s="28">
        <v>0.38</v>
      </c>
      <c r="U259" s="25">
        <f>ROUND(IF(IFERROR(PROPERTIES[[#This Row],[TE_COEFFICIENT_CALC]],0)=0,PROPERTIES[[#This Row],[TE_COEFFICIENT_MANUAL]],PROPERTIES[[#This Row],[TE_COEFFICIENT_CALC]]),3)</f>
        <v>0.38600000000000001</v>
      </c>
      <c r="V259" s="11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36">
        <v>0</v>
      </c>
      <c r="X259" s="9">
        <v>0</v>
      </c>
      <c r="Y259" s="10">
        <v>0</v>
      </c>
      <c r="Z259" t="s">
        <v>871</v>
      </c>
      <c r="AA259" t="s">
        <v>868</v>
      </c>
      <c r="AB259" s="2" t="s">
        <v>886</v>
      </c>
      <c r="AC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9" s="2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H259" s="10" t="b">
        <v>0</v>
      </c>
      <c r="AY259"/>
      <c r="AZ259"/>
      <c r="BA259"/>
    </row>
    <row r="260" spans="1:53">
      <c r="A260" s="2" t="s">
        <v>278</v>
      </c>
      <c r="B260">
        <v>1992</v>
      </c>
      <c r="C260" cm="1">
        <f t="array" ref="C260">_xlfn.IFS(ISNUMBER(SEARCH("wagon",PROPERTIES[[#This Row],[VEHIDCODE]])),0,OR(MID(PROPERTIES[[#This Row],[VEHIDCODE]],2,2)="mu",_xlfn.TEXTBEFORE(PROPERTIES[[#This Row],[VEHIDCODE]],"_")="mtro"),1,1=1,0)</f>
        <v>0</v>
      </c>
      <c r="D260" t="s">
        <v>1898</v>
      </c>
      <c r="E260" t="str">
        <f>_xlfn.XLOOKUP(PROPERTIES[[#This Row],[COUNTRY]],COUNTRIES[COUNTRY_DESCRIPTION],COUNTRIES[COUNTRY_LABEL],"")</f>
        <v>SA</v>
      </c>
      <c r="F260" t="str" cm="1">
        <f t="array" ref="F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0" t="s">
        <v>19</v>
      </c>
      <c r="H260">
        <v>0</v>
      </c>
      <c r="I260">
        <v>8</v>
      </c>
      <c r="J260">
        <v>8</v>
      </c>
      <c r="K260" t="str" cm="1">
        <f t="array" ref="K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0">
        <f>_xlfn.XLOOKUP("LOADINGSPEEDDEF_"&amp;PROPERTIES[[#This Row],[LOADINGSPEED]],LOADINGSPEEDDEF[TYPE],LOADINGSPEEDDEF[SPEED])</f>
        <v>20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f>IF(ISNUMBER(SEARCH("passenger",PROPERTIES[[#This Row],[CARGODEF]])),1,0)</f>
        <v>0</v>
      </c>
      <c r="O260" s="32">
        <v>170</v>
      </c>
      <c r="P260">
        <v>4500</v>
      </c>
      <c r="Q260">
        <v>110</v>
      </c>
      <c r="R260" s="29">
        <v>850</v>
      </c>
      <c r="S260" s="28">
        <f>IFERROR(PROPERTIES[[#This Row],[TE_STARTING_KN]]/(PROPERTIES[[#This Row],[WEIGHT]]*9.81),0)</f>
        <v>0.509683995922528</v>
      </c>
      <c r="T260" s="28">
        <v>0.5</v>
      </c>
      <c r="U260" s="25">
        <f>ROUND(IF(IFERROR(PROPERTIES[[#This Row],[TE_COEFFICIENT_CALC]],0)=0,PROPERTIES[[#This Row],[TE_COEFFICIENT_MANUAL]],PROPERTIES[[#This Row],[TE_COEFFICIENT_CALC]]),3)</f>
        <v>0.51</v>
      </c>
      <c r="V260" s="11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36">
        <v>0</v>
      </c>
      <c r="X260" s="9">
        <v>0</v>
      </c>
      <c r="Y260" s="10">
        <v>0</v>
      </c>
      <c r="Z260" t="s">
        <v>877</v>
      </c>
      <c r="AA260" t="s">
        <v>868</v>
      </c>
      <c r="AB260" s="2" t="s">
        <v>886</v>
      </c>
      <c r="AC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0" s="2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H260" s="10" t="b">
        <v>0</v>
      </c>
      <c r="AY260"/>
      <c r="AZ260"/>
      <c r="BA260"/>
    </row>
    <row r="261" spans="1:53">
      <c r="A261" s="2" t="s">
        <v>279</v>
      </c>
      <c r="B261">
        <v>1994</v>
      </c>
      <c r="C261" cm="1">
        <f t="array" ref="C261">_xlfn.IFS(ISNUMBER(SEARCH("wagon",PROPERTIES[[#This Row],[VEHIDCODE]])),0,OR(MID(PROPERTIES[[#This Row],[VEHIDCODE]],2,2)="mu",_xlfn.TEXTBEFORE(PROPERTIES[[#This Row],[VEHIDCODE]],"_")="mtro"),1,1=1,0)</f>
        <v>0</v>
      </c>
      <c r="D261" t="s">
        <v>1807</v>
      </c>
      <c r="E261" t="str">
        <f>_xlfn.XLOOKUP(PROPERTIES[[#This Row],[COUNTRY]],COUNTRIES[COUNTRY_DESCRIPTION],COUNTRIES[COUNTRY_LABEL],"")</f>
        <v>IE</v>
      </c>
      <c r="F261" t="str" cm="1">
        <f t="array" ref="F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1" t="s">
        <v>19</v>
      </c>
      <c r="H261">
        <v>0</v>
      </c>
      <c r="I261">
        <v>8</v>
      </c>
      <c r="J261">
        <v>8</v>
      </c>
      <c r="K261" t="str" cm="1">
        <f t="array" ref="K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1">
        <f>_xlfn.XLOOKUP("LOADINGSPEEDDEF_"&amp;PROPERTIES[[#This Row],[LOADINGSPEED]],LOADINGSPEEDDEF[TYPE],LOADINGSPEEDDEF[SPEED])</f>
        <v>20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f>IF(ISNUMBER(SEARCH("passenger",PROPERTIES[[#This Row],[CARGODEF]])),1,0)</f>
        <v>0</v>
      </c>
      <c r="O261" s="32">
        <v>112</v>
      </c>
      <c r="P261">
        <v>3200</v>
      </c>
      <c r="Q261">
        <v>164</v>
      </c>
      <c r="R261" s="29">
        <v>190</v>
      </c>
      <c r="S261" s="28">
        <f>IFERROR(PROPERTIES[[#This Row],[TE_STARTING_KN]]/(PROPERTIES[[#This Row],[WEIGHT]]*9.81),0)</f>
        <v>0.172928498616572</v>
      </c>
      <c r="T261" s="28">
        <v>0.17</v>
      </c>
      <c r="U261" s="25">
        <f>ROUND(IF(IFERROR(PROPERTIES[[#This Row],[TE_COEFFICIENT_CALC]],0)=0,PROPERTIES[[#This Row],[TE_COEFFICIENT_MANUAL]],PROPERTIES[[#This Row],[TE_COEFFICIENT_CALC]]),3)</f>
        <v>0.17299999999999999</v>
      </c>
      <c r="V261" s="11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36">
        <v>0</v>
      </c>
      <c r="X261" s="9">
        <v>0</v>
      </c>
      <c r="Y261" s="10">
        <v>0</v>
      </c>
      <c r="Z261" t="s">
        <v>873</v>
      </c>
      <c r="AA261" t="s">
        <v>868</v>
      </c>
      <c r="AB261" s="2" t="s">
        <v>886</v>
      </c>
      <c r="AC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1" s="2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H261" s="10" t="b">
        <v>0</v>
      </c>
      <c r="AY261"/>
      <c r="AZ261"/>
      <c r="BA261"/>
    </row>
    <row r="262" spans="1:53">
      <c r="A262" s="2" t="s">
        <v>280</v>
      </c>
      <c r="B262">
        <v>1988</v>
      </c>
      <c r="C262" cm="1">
        <f t="array" ref="C262">_xlfn.IFS(ISNUMBER(SEARCH("wagon",PROPERTIES[[#This Row],[VEHIDCODE]])),0,OR(MID(PROPERTIES[[#This Row],[VEHIDCODE]],2,2)="mu",_xlfn.TEXTBEFORE(PROPERTIES[[#This Row],[VEHIDCODE]],"_")="mtro"),1,1=1,0)</f>
        <v>0</v>
      </c>
      <c r="D262" t="s">
        <v>1937</v>
      </c>
      <c r="E262" t="str">
        <f>_xlfn.XLOOKUP(PROPERTIES[[#This Row],[COUNTRY]],COUNTRIES[COUNTRY_DESCRIPTION],COUNTRIES[COUNTRY_LABEL],"")</f>
        <v>US</v>
      </c>
      <c r="F262" t="str" cm="1">
        <f t="array" ref="F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2" t="s">
        <v>19</v>
      </c>
      <c r="H262">
        <v>0</v>
      </c>
      <c r="I262">
        <v>8</v>
      </c>
      <c r="J262">
        <v>8</v>
      </c>
      <c r="K262" t="str" cm="1">
        <f t="array" ref="K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2">
        <f>_xlfn.XLOOKUP("LOADINGSPEEDDEF_"&amp;PROPERTIES[[#This Row],[LOADINGSPEED]],LOADINGSPEEDDEF[TYPE],LOADINGSPEEDDEF[SPEED])</f>
        <v>20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f>IF(ISNUMBER(SEARCH("passenger",PROPERTIES[[#This Row],[CARGODEF]])),1,0)</f>
        <v>0</v>
      </c>
      <c r="O262" s="32">
        <v>130</v>
      </c>
      <c r="P262">
        <v>3000</v>
      </c>
      <c r="Q262">
        <v>177</v>
      </c>
      <c r="R262" s="29">
        <v>0</v>
      </c>
      <c r="S262" s="28">
        <f>IFERROR(PROPERTIES[[#This Row],[TE_STARTING_KN]]/(PROPERTIES[[#This Row],[WEIGHT]]*9.81),0)</f>
        <v>0</v>
      </c>
      <c r="T262" s="28">
        <v>0.22</v>
      </c>
      <c r="U262" s="25">
        <f>ROUND(IF(IFERROR(PROPERTIES[[#This Row],[TE_COEFFICIENT_CALC]],0)=0,PROPERTIES[[#This Row],[TE_COEFFICIENT_MANUAL]],PROPERTIES[[#This Row],[TE_COEFFICIENT_CALC]]),3)</f>
        <v>0.22</v>
      </c>
      <c r="V262" s="11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36">
        <v>0</v>
      </c>
      <c r="X262" s="9">
        <v>0</v>
      </c>
      <c r="Y262" s="10">
        <v>0</v>
      </c>
      <c r="Z262" t="s">
        <v>874</v>
      </c>
      <c r="AA262" t="s">
        <v>868</v>
      </c>
      <c r="AB262" s="2" t="s">
        <v>886</v>
      </c>
      <c r="AC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2" s="2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H262" s="10" t="b">
        <v>0</v>
      </c>
      <c r="AY262"/>
      <c r="AZ262"/>
      <c r="BA262"/>
    </row>
    <row r="263" spans="1:53">
      <c r="A263" s="2" t="s">
        <v>281</v>
      </c>
      <c r="B263">
        <v>2002</v>
      </c>
      <c r="C263" cm="1">
        <f t="array" ref="C263">_xlfn.IFS(ISNUMBER(SEARCH("wagon",PROPERTIES[[#This Row],[VEHIDCODE]])),0,OR(MID(PROPERTIES[[#This Row],[VEHIDCODE]],2,2)="mu",_xlfn.TEXTBEFORE(PROPERTIES[[#This Row],[VEHIDCODE]],"_")="mtro"),1,1=1,0)</f>
        <v>0</v>
      </c>
      <c r="D263" t="s">
        <v>1781</v>
      </c>
      <c r="E263" t="str">
        <f>_xlfn.XLOOKUP(PROPERTIES[[#This Row],[COUNTRY]],COUNTRIES[COUNTRY_DESCRIPTION],COUNTRIES[COUNTRY_LABEL],"")</f>
        <v>FR</v>
      </c>
      <c r="F263" t="str" cm="1">
        <f t="array" ref="F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3" t="s">
        <v>19</v>
      </c>
      <c r="H263">
        <v>0</v>
      </c>
      <c r="I263">
        <v>7</v>
      </c>
      <c r="J263">
        <v>7</v>
      </c>
      <c r="K263" t="str" cm="1">
        <f t="array" ref="K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3">
        <f>_xlfn.XLOOKUP("LOADINGSPEEDDEF_"&amp;PROPERTIES[[#This Row],[LOADINGSPEED]],LOADINGSPEEDDEF[TYPE],LOADINGSPEEDDEF[SPEED])</f>
        <v>20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f>IF(ISNUMBER(SEARCH("passenger",PROPERTIES[[#This Row],[CARGODEF]])),1,0)</f>
        <v>0</v>
      </c>
      <c r="O263" s="32">
        <v>86</v>
      </c>
      <c r="P263">
        <v>2010</v>
      </c>
      <c r="Q263">
        <v>100</v>
      </c>
      <c r="R263" s="29">
        <v>0</v>
      </c>
      <c r="S263" s="28">
        <f>IFERROR(PROPERTIES[[#This Row],[TE_STARTING_KN]]/(PROPERTIES[[#This Row],[WEIGHT]]*9.81),0)</f>
        <v>0</v>
      </c>
      <c r="T263" s="28">
        <v>0.33</v>
      </c>
      <c r="U263" s="25">
        <f>ROUND(IF(IFERROR(PROPERTIES[[#This Row],[TE_COEFFICIENT_CALC]],0)=0,PROPERTIES[[#This Row],[TE_COEFFICIENT_MANUAL]],PROPERTIES[[#This Row],[TE_COEFFICIENT_CALC]]),3)</f>
        <v>0.33</v>
      </c>
      <c r="V263" s="11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36">
        <v>0</v>
      </c>
      <c r="X263" s="9">
        <v>0</v>
      </c>
      <c r="Y263" s="10">
        <v>0</v>
      </c>
      <c r="Z263" t="s">
        <v>869</v>
      </c>
      <c r="AA263" t="s">
        <v>868</v>
      </c>
      <c r="AB263" s="2" t="s">
        <v>886</v>
      </c>
      <c r="AC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3" s="2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H263" s="10" t="b">
        <v>0</v>
      </c>
      <c r="AY263"/>
      <c r="AZ263"/>
      <c r="BA263"/>
    </row>
    <row r="264" spans="1:53">
      <c r="A264" s="2" t="s">
        <v>282</v>
      </c>
      <c r="B264">
        <v>2003</v>
      </c>
      <c r="C264" cm="1">
        <f t="array" ref="C264">_xlfn.IFS(ISNUMBER(SEARCH("wagon",PROPERTIES[[#This Row],[VEHIDCODE]])),0,OR(MID(PROPERTIES[[#This Row],[VEHIDCODE]],2,2)="mu",_xlfn.TEXTBEFORE(PROPERTIES[[#This Row],[VEHIDCODE]],"_")="mtro"),1,1=1,0)</f>
        <v>0</v>
      </c>
      <c r="D264" t="s">
        <v>1815</v>
      </c>
      <c r="E264" t="str">
        <f>_xlfn.XLOOKUP(PROPERTIES[[#This Row],[COUNTRY]],COUNTRIES[COUNTRY_DESCRIPTION],COUNTRIES[COUNTRY_LABEL],"")</f>
        <v>IT</v>
      </c>
      <c r="F264" t="str" cm="1">
        <f t="array" ref="F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4" t="s">
        <v>19</v>
      </c>
      <c r="H264">
        <v>0</v>
      </c>
      <c r="I264">
        <v>7</v>
      </c>
      <c r="J264">
        <v>7</v>
      </c>
      <c r="K264" t="str" cm="1">
        <f t="array" ref="K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4">
        <f>_xlfn.XLOOKUP("LOADINGSPEEDDEF_"&amp;PROPERTIES[[#This Row],[LOADINGSPEED]],LOADINGSPEEDDEF[TYPE],LOADINGSPEEDDEF[SPEED])</f>
        <v>20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f>IF(ISNUMBER(SEARCH("passenger",PROPERTIES[[#This Row],[CARGODEF]])),1,0)</f>
        <v>0</v>
      </c>
      <c r="O264" s="32">
        <v>89</v>
      </c>
      <c r="P264">
        <v>3000</v>
      </c>
      <c r="Q264">
        <v>120</v>
      </c>
      <c r="R264" s="29">
        <v>275</v>
      </c>
      <c r="S264" s="28">
        <f>IFERROR(PROPERTIES[[#This Row],[TE_STARTING_KN]]/(PROPERTIES[[#This Row],[WEIGHT]]*9.81),0)</f>
        <v>0.31497325590718023</v>
      </c>
      <c r="T264" s="28">
        <v>0.32</v>
      </c>
      <c r="U264" s="25">
        <f>ROUND(IF(IFERROR(PROPERTIES[[#This Row],[TE_COEFFICIENT_CALC]],0)=0,PROPERTIES[[#This Row],[TE_COEFFICIENT_MANUAL]],PROPERTIES[[#This Row],[TE_COEFFICIENT_CALC]]),3)</f>
        <v>0.315</v>
      </c>
      <c r="V264" s="11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36">
        <v>0</v>
      </c>
      <c r="X264" s="9">
        <v>0</v>
      </c>
      <c r="Y264" s="10">
        <v>0</v>
      </c>
      <c r="Z264" t="s">
        <v>870</v>
      </c>
      <c r="AA264" t="s">
        <v>868</v>
      </c>
      <c r="AB264" s="2" t="s">
        <v>886</v>
      </c>
      <c r="AC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4" s="2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H264" s="10" t="b">
        <v>0</v>
      </c>
      <c r="AY264"/>
      <c r="AZ264"/>
      <c r="BA264"/>
    </row>
    <row r="265" spans="1:53">
      <c r="A265" s="2" t="s">
        <v>283</v>
      </c>
      <c r="B265">
        <v>2003</v>
      </c>
      <c r="C265" cm="1">
        <f t="array" ref="C265">_xlfn.IFS(ISNUMBER(SEARCH("wagon",PROPERTIES[[#This Row],[VEHIDCODE]])),0,OR(MID(PROPERTIES[[#This Row],[VEHIDCODE]],2,2)="mu",_xlfn.TEXTBEFORE(PROPERTIES[[#This Row],[VEHIDCODE]],"_")="mtro"),1,1=1,0)</f>
        <v>0</v>
      </c>
      <c r="D265" t="s">
        <v>1744</v>
      </c>
      <c r="E265" t="str">
        <f>_xlfn.XLOOKUP(PROPERTIES[[#This Row],[COUNTRY]],COUNTRIES[COUNTRY_DESCRIPTION],COUNTRIES[COUNTRY_LABEL],"")</f>
        <v>CA</v>
      </c>
      <c r="F265" t="str" cm="1">
        <f t="array" ref="F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5" t="s">
        <v>19</v>
      </c>
      <c r="H265">
        <v>0</v>
      </c>
      <c r="I265">
        <v>8</v>
      </c>
      <c r="J265">
        <v>8</v>
      </c>
      <c r="K265" t="str" cm="1">
        <f t="array" ref="K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5">
        <f>_xlfn.XLOOKUP("LOADINGSPEEDDEF_"&amp;PROPERTIES[[#This Row],[LOADINGSPEED]],LOADINGSPEEDDEF[TYPE],LOADINGSPEEDDEF[SPEED])</f>
        <v>20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f>IF(ISNUMBER(SEARCH("passenger",PROPERTIES[[#This Row],[CARGODEF]])),1,0)</f>
        <v>0</v>
      </c>
      <c r="O265" s="32">
        <v>134</v>
      </c>
      <c r="P265">
        <v>4000</v>
      </c>
      <c r="Q265">
        <v>150</v>
      </c>
      <c r="R265" s="29">
        <v>380</v>
      </c>
      <c r="S265" s="28">
        <f>IFERROR(PROPERTIES[[#This Row],[TE_STARTING_KN]]/(PROPERTIES[[#This Row],[WEIGHT]]*9.81),0)</f>
        <v>0.28907450515009053</v>
      </c>
      <c r="T265" s="28">
        <v>0.3</v>
      </c>
      <c r="U265" s="25">
        <f>ROUND(IF(IFERROR(PROPERTIES[[#This Row],[TE_COEFFICIENT_CALC]],0)=0,PROPERTIES[[#This Row],[TE_COEFFICIENT_MANUAL]],PROPERTIES[[#This Row],[TE_COEFFICIENT_CALC]]),3)</f>
        <v>0.28899999999999998</v>
      </c>
      <c r="V265" s="11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36">
        <v>0</v>
      </c>
      <c r="X265" s="9">
        <v>0</v>
      </c>
      <c r="Y265" s="10">
        <v>0</v>
      </c>
      <c r="Z265" t="s">
        <v>874</v>
      </c>
      <c r="AA265" t="s">
        <v>868</v>
      </c>
      <c r="AB265" s="2" t="s">
        <v>886</v>
      </c>
      <c r="AC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5" s="2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H265" s="10" t="b">
        <v>0</v>
      </c>
      <c r="AY265"/>
      <c r="AZ265"/>
      <c r="BA265"/>
    </row>
    <row r="266" spans="1:53">
      <c r="A266" s="2" t="s">
        <v>284</v>
      </c>
      <c r="B266">
        <v>2006</v>
      </c>
      <c r="C266" cm="1">
        <f t="array" ref="C266">_xlfn.IFS(ISNUMBER(SEARCH("wagon",PROPERTIES[[#This Row],[VEHIDCODE]])),0,OR(MID(PROPERTIES[[#This Row],[VEHIDCODE]],2,2)="mu",_xlfn.TEXTBEFORE(PROPERTIES[[#This Row],[VEHIDCODE]],"_")="mtro"),1,1=1,0)</f>
        <v>0</v>
      </c>
      <c r="D266" t="s">
        <v>1774</v>
      </c>
      <c r="E266" t="str">
        <f>_xlfn.XLOOKUP(PROPERTIES[[#This Row],[COUNTRY]],COUNTRIES[COUNTRY_DESCRIPTION],COUNTRIES[COUNTRY_LABEL],"")</f>
        <v>ES</v>
      </c>
      <c r="F266" t="str" cm="1">
        <f t="array" ref="F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6" t="s">
        <v>19</v>
      </c>
      <c r="H266">
        <v>0</v>
      </c>
      <c r="I266">
        <v>8</v>
      </c>
      <c r="J266">
        <v>8</v>
      </c>
      <c r="K266" t="str" cm="1">
        <f t="array" ref="K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6">
        <f>_xlfn.XLOOKUP("LOADINGSPEEDDEF_"&amp;PROPERTIES[[#This Row],[LOADINGSPEED]],LOADINGSPEEDDEF[TYPE],LOADINGSPEEDDEF[SPEED])</f>
        <v>20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f>IF(ISNUMBER(SEARCH("passenger",PROPERTIES[[#This Row],[CARGODEF]])),1,0)</f>
        <v>0</v>
      </c>
      <c r="O266" s="32">
        <v>80</v>
      </c>
      <c r="P266">
        <v>3300</v>
      </c>
      <c r="Q266">
        <v>200</v>
      </c>
      <c r="R266" s="29">
        <v>178</v>
      </c>
      <c r="S266" s="28">
        <f>IFERROR(PROPERTIES[[#This Row],[TE_STARTING_KN]]/(PROPERTIES[[#This Row],[WEIGHT]]*9.81),0)</f>
        <v>0.22680937818552496</v>
      </c>
      <c r="T266" s="28">
        <v>0.2</v>
      </c>
      <c r="U266" s="25">
        <f>ROUND(IF(IFERROR(PROPERTIES[[#This Row],[TE_COEFFICIENT_CALC]],0)=0,PROPERTIES[[#This Row],[TE_COEFFICIENT_MANUAL]],PROPERTIES[[#This Row],[TE_COEFFICIENT_CALC]]),3)</f>
        <v>0.22700000000000001</v>
      </c>
      <c r="V266" s="11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36">
        <v>0</v>
      </c>
      <c r="X266" s="9">
        <v>0</v>
      </c>
      <c r="Y266" s="10">
        <v>0</v>
      </c>
      <c r="Z266" t="s">
        <v>870</v>
      </c>
      <c r="AA266" t="s">
        <v>868</v>
      </c>
      <c r="AB266" s="2" t="s">
        <v>886</v>
      </c>
      <c r="AC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6" s="2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H266" s="10" t="b">
        <v>0</v>
      </c>
      <c r="AY266"/>
      <c r="AZ266"/>
      <c r="BA266"/>
    </row>
    <row r="267" spans="1:53">
      <c r="A267" s="2" t="s">
        <v>285</v>
      </c>
      <c r="B267">
        <v>2011</v>
      </c>
      <c r="C267" cm="1">
        <f t="array" ref="C267">_xlfn.IFS(ISNUMBER(SEARCH("wagon",PROPERTIES[[#This Row],[VEHIDCODE]])),0,OR(MID(PROPERTIES[[#This Row],[VEHIDCODE]],2,2)="mu",_xlfn.TEXTBEFORE(PROPERTIES[[#This Row],[VEHIDCODE]],"_")="mtro"),1,1=1,0)</f>
        <v>0</v>
      </c>
      <c r="D267" t="s">
        <v>1806</v>
      </c>
      <c r="E267" t="str">
        <f>_xlfn.XLOOKUP(PROPERTIES[[#This Row],[COUNTRY]],COUNTRIES[COUNTRY_DESCRIPTION],COUNTRIES[COUNTRY_LABEL],"")</f>
        <v>ID</v>
      </c>
      <c r="F267" t="str" cm="1">
        <f t="array" ref="F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7" t="s">
        <v>19</v>
      </c>
      <c r="H267">
        <v>0</v>
      </c>
      <c r="I267">
        <v>8</v>
      </c>
      <c r="J267">
        <v>8</v>
      </c>
      <c r="K267" t="str" cm="1">
        <f t="array" ref="K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7">
        <f>_xlfn.XLOOKUP("LOADINGSPEEDDEF_"&amp;PROPERTIES[[#This Row],[LOADINGSPEED]],LOADINGSPEEDDEF[TYPE],LOADINGSPEEDDEF[SPEED])</f>
        <v>20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f>IF(ISNUMBER(SEARCH("passenger",PROPERTIES[[#This Row],[CARGODEF]])),1,0)</f>
        <v>0</v>
      </c>
      <c r="O267" s="32">
        <v>76</v>
      </c>
      <c r="P267">
        <v>2500</v>
      </c>
      <c r="Q267">
        <v>120</v>
      </c>
      <c r="R267" s="29">
        <v>270</v>
      </c>
      <c r="S267" s="28">
        <f>IFERROR(PROPERTIES[[#This Row],[TE_STARTING_KN]]/(PROPERTIES[[#This Row],[WEIGHT]]*9.81),0)</f>
        <v>0.36214389183969092</v>
      </c>
      <c r="T267" s="28">
        <v>0.3</v>
      </c>
      <c r="U267" s="25">
        <f>ROUND(IF(IFERROR(PROPERTIES[[#This Row],[TE_COEFFICIENT_CALC]],0)=0,PROPERTIES[[#This Row],[TE_COEFFICIENT_MANUAL]],PROPERTIES[[#This Row],[TE_COEFFICIENT_CALC]]),3)</f>
        <v>0.36199999999999999</v>
      </c>
      <c r="V267" s="11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36">
        <v>0</v>
      </c>
      <c r="X267" s="9">
        <v>0</v>
      </c>
      <c r="Y267" s="10">
        <v>0</v>
      </c>
      <c r="Z267" t="s">
        <v>871</v>
      </c>
      <c r="AA267" t="s">
        <v>868</v>
      </c>
      <c r="AB267" s="2" t="s">
        <v>886</v>
      </c>
      <c r="AC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7" s="2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H267" s="10" t="b">
        <v>0</v>
      </c>
      <c r="AY267"/>
      <c r="AZ267"/>
      <c r="BA267"/>
    </row>
    <row r="268" spans="1:53">
      <c r="A268" s="2" t="s">
        <v>286</v>
      </c>
      <c r="B268">
        <v>1930</v>
      </c>
      <c r="C268" cm="1">
        <f t="array" ref="C268">_xlfn.IFS(ISNUMBER(SEARCH("wagon",PROPERTIES[[#This Row],[VEHIDCODE]])),0,OR(MID(PROPERTIES[[#This Row],[VEHIDCODE]],2,2)="mu",_xlfn.TEXTBEFORE(PROPERTIES[[#This Row],[VEHIDCODE]],"_")="mtro"),1,1=1,0)</f>
        <v>0</v>
      </c>
      <c r="D268" t="s">
        <v>1716</v>
      </c>
      <c r="E268" t="str">
        <f>_xlfn.XLOOKUP(PROPERTIES[[#This Row],[COUNTRY]],COUNTRIES[COUNTRY_DESCRIPTION],COUNTRIES[COUNTRY_LABEL],"")</f>
        <v>AR</v>
      </c>
      <c r="F268" t="str" cm="1">
        <f t="array" ref="F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8" t="s">
        <v>19</v>
      </c>
      <c r="H268">
        <v>0</v>
      </c>
      <c r="I268">
        <v>6</v>
      </c>
      <c r="J268">
        <v>6</v>
      </c>
      <c r="K268" t="str" cm="1">
        <f t="array" ref="K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8">
        <f>_xlfn.XLOOKUP("LOADINGSPEEDDEF_"&amp;PROPERTIES[[#This Row],[LOADINGSPEED]],LOADINGSPEEDDEF[TYPE],LOADINGSPEEDDEF[SPEED])</f>
        <v>20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f>IF(ISNUMBER(SEARCH("passenger",PROPERTIES[[#This Row],[CARGODEF]])),1,0)</f>
        <v>0</v>
      </c>
      <c r="O268" s="32">
        <v>148</v>
      </c>
      <c r="P268">
        <v>1200</v>
      </c>
      <c r="Q268">
        <v>85</v>
      </c>
      <c r="R268" s="29">
        <v>200</v>
      </c>
      <c r="S268" s="28">
        <f>IFERROR(PROPERTIES[[#This Row],[TE_STARTING_KN]]/(PROPERTIES[[#This Row],[WEIGHT]]*9.81),0)</f>
        <v>0.13775243133041298</v>
      </c>
      <c r="T268" s="28">
        <v>0.15</v>
      </c>
      <c r="U268" s="25">
        <f>ROUND(IF(IFERROR(PROPERTIES[[#This Row],[TE_COEFFICIENT_CALC]],0)=0,PROPERTIES[[#This Row],[TE_COEFFICIENT_MANUAL]],PROPERTIES[[#This Row],[TE_COEFFICIENT_CALC]]),3)</f>
        <v>0.13800000000000001</v>
      </c>
      <c r="V268" s="11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36">
        <v>0</v>
      </c>
      <c r="X268" s="9">
        <v>0</v>
      </c>
      <c r="Y268" s="10">
        <v>0</v>
      </c>
      <c r="Z268" t="s">
        <v>876</v>
      </c>
      <c r="AA268" t="s">
        <v>868</v>
      </c>
      <c r="AB268" s="2" t="s">
        <v>886</v>
      </c>
      <c r="AC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8" s="2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H268" s="10" t="b">
        <v>0</v>
      </c>
      <c r="AY268"/>
      <c r="AZ268"/>
      <c r="BA268"/>
    </row>
    <row r="269" spans="1:53">
      <c r="A269" s="2" t="s">
        <v>287</v>
      </c>
      <c r="B269">
        <v>1938</v>
      </c>
      <c r="C269" cm="1">
        <f t="array" ref="C269">_xlfn.IFS(ISNUMBER(SEARCH("wagon",PROPERTIES[[#This Row],[VEHIDCODE]])),0,OR(MID(PROPERTIES[[#This Row],[VEHIDCODE]],2,2)="mu",_xlfn.TEXTBEFORE(PROPERTIES[[#This Row],[VEHIDCODE]],"_")="mtro"),1,1=1,0)</f>
        <v>0</v>
      </c>
      <c r="D269" t="s">
        <v>1737</v>
      </c>
      <c r="E269" t="str">
        <f>_xlfn.XLOOKUP(PROPERTIES[[#This Row],[COUNTRY]],COUNTRIES[COUNTRY_DESCRIPTION],COUNTRIES[COUNTRY_LABEL],"")</f>
        <v>BR</v>
      </c>
      <c r="F269" t="str" cm="1">
        <f t="array" ref="F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9" t="s">
        <v>19</v>
      </c>
      <c r="H269">
        <v>0</v>
      </c>
      <c r="I269">
        <v>4</v>
      </c>
      <c r="J269">
        <v>4</v>
      </c>
      <c r="K269" t="str" cm="1">
        <f t="array" ref="K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9">
        <f>_xlfn.XLOOKUP("LOADINGSPEEDDEF_"&amp;PROPERTIES[[#This Row],[LOADINGSPEED]],LOADINGSPEEDDEF[TYPE],LOADINGSPEEDDEF[SPEED])</f>
        <v>20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f>IF(ISNUMBER(SEARCH("passenger",PROPERTIES[[#This Row],[CARGODEF]])),1,0)</f>
        <v>0</v>
      </c>
      <c r="O269" s="32">
        <v>52</v>
      </c>
      <c r="P269">
        <v>450</v>
      </c>
      <c r="Q269">
        <v>76</v>
      </c>
      <c r="R269" s="29">
        <v>0</v>
      </c>
      <c r="S269" s="28">
        <f>IFERROR(PROPERTIES[[#This Row],[TE_STARTING_KN]]/(PROPERTIES[[#This Row],[WEIGHT]]*9.81),0)</f>
        <v>0</v>
      </c>
      <c r="T269" s="28">
        <v>0.22</v>
      </c>
      <c r="U269" s="25">
        <f>ROUND(IF(IFERROR(PROPERTIES[[#This Row],[TE_COEFFICIENT_CALC]],0)=0,PROPERTIES[[#This Row],[TE_COEFFICIENT_MANUAL]],PROPERTIES[[#This Row],[TE_COEFFICIENT_CALC]]),3)</f>
        <v>0.22</v>
      </c>
      <c r="V269" s="11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36">
        <v>0</v>
      </c>
      <c r="X269" s="9">
        <v>0</v>
      </c>
      <c r="Y269" s="10">
        <v>0</v>
      </c>
      <c r="Z269" t="s">
        <v>876</v>
      </c>
      <c r="AA269" t="s">
        <v>868</v>
      </c>
      <c r="AB269" s="2" t="s">
        <v>886</v>
      </c>
      <c r="AC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9" s="2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H269" s="10" t="b">
        <v>0</v>
      </c>
      <c r="AY269"/>
      <c r="AZ269"/>
      <c r="BA269"/>
    </row>
    <row r="270" spans="1:53">
      <c r="A270" s="2" t="s">
        <v>288</v>
      </c>
      <c r="B270">
        <v>1961</v>
      </c>
      <c r="C270" cm="1">
        <f t="array" ref="C270">_xlfn.IFS(ISNUMBER(SEARCH("wagon",PROPERTIES[[#This Row],[VEHIDCODE]])),0,OR(MID(PROPERTIES[[#This Row],[VEHIDCODE]],2,2)="mu",_xlfn.TEXTBEFORE(PROPERTIES[[#This Row],[VEHIDCODE]],"_")="mtro"),1,1=1,0)</f>
        <v>0</v>
      </c>
      <c r="D270" t="s">
        <v>1752</v>
      </c>
      <c r="E270" t="str">
        <f>_xlfn.XLOOKUP(PROPERTIES[[#This Row],[COUNTRY]],COUNTRIES[COUNTRY_DESCRIPTION],COUNTRIES[COUNTRY_LABEL],"")</f>
        <v>CL</v>
      </c>
      <c r="F270" t="str" cm="1">
        <f t="array" ref="F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0" t="s">
        <v>19</v>
      </c>
      <c r="H270">
        <v>0</v>
      </c>
      <c r="I270">
        <v>5</v>
      </c>
      <c r="J270">
        <v>5</v>
      </c>
      <c r="K270" t="str" cm="1">
        <f t="array" ref="K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0">
        <f>_xlfn.XLOOKUP("LOADINGSPEEDDEF_"&amp;PROPERTIES[[#This Row],[LOADINGSPEED]],LOADINGSPEEDDEF[TYPE],LOADINGSPEEDDEF[SPEED])</f>
        <v>20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f>IF(ISNUMBER(SEARCH("passenger",PROPERTIES[[#This Row],[CARGODEF]])),1,0)</f>
        <v>0</v>
      </c>
      <c r="O270" s="32">
        <v>54</v>
      </c>
      <c r="P270">
        <v>600</v>
      </c>
      <c r="Q270">
        <v>64</v>
      </c>
      <c r="R270" s="29">
        <v>138</v>
      </c>
      <c r="S270" s="28">
        <f>IFERROR(PROPERTIES[[#This Row],[TE_STARTING_KN]]/(PROPERTIES[[#This Row],[WEIGHT]]*9.81),0)</f>
        <v>0.26050515347151432</v>
      </c>
      <c r="T270" s="28">
        <v>0.18</v>
      </c>
      <c r="U270" s="25">
        <f>ROUND(IF(IFERROR(PROPERTIES[[#This Row],[TE_COEFFICIENT_CALC]],0)=0,PROPERTIES[[#This Row],[TE_COEFFICIENT_MANUAL]],PROPERTIES[[#This Row],[TE_COEFFICIENT_CALC]]),3)</f>
        <v>0.26100000000000001</v>
      </c>
      <c r="V270" s="11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36">
        <v>0</v>
      </c>
      <c r="X270" s="9">
        <v>0</v>
      </c>
      <c r="Y270" s="10">
        <v>0</v>
      </c>
      <c r="Z270" t="s">
        <v>876</v>
      </c>
      <c r="AA270" t="s">
        <v>868</v>
      </c>
      <c r="AB270" s="2" t="s">
        <v>886</v>
      </c>
      <c r="AC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0" s="2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H270" s="10" t="b">
        <v>0</v>
      </c>
      <c r="AY270"/>
      <c r="AZ270"/>
      <c r="BA270"/>
    </row>
    <row r="271" spans="1:53">
      <c r="A271" s="2" t="s">
        <v>289</v>
      </c>
      <c r="B271">
        <v>1965</v>
      </c>
      <c r="C271" cm="1">
        <f t="array" ref="C271">_xlfn.IFS(ISNUMBER(SEARCH("wagon",PROPERTIES[[#This Row],[VEHIDCODE]])),0,OR(MID(PROPERTIES[[#This Row],[VEHIDCODE]],2,2)="mu",_xlfn.TEXTBEFORE(PROPERTIES[[#This Row],[VEHIDCODE]],"_")="mtro"),1,1=1,0)</f>
        <v>0</v>
      </c>
      <c r="D271" t="s">
        <v>1879</v>
      </c>
      <c r="E271" t="str">
        <f>_xlfn.XLOOKUP(PROPERTIES[[#This Row],[COUNTRY]],COUNTRIES[COUNTRY_DESCRIPTION],COUNTRIES[COUNTRY_LABEL],"")</f>
        <v>PE</v>
      </c>
      <c r="F271" t="str" cm="1">
        <f t="array" ref="F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1" t="s">
        <v>19</v>
      </c>
      <c r="H271">
        <v>0</v>
      </c>
      <c r="I271">
        <v>6</v>
      </c>
      <c r="J271">
        <v>6</v>
      </c>
      <c r="K271" t="str" cm="1">
        <f t="array" ref="K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1">
        <f>_xlfn.XLOOKUP("LOADINGSPEEDDEF_"&amp;PROPERTIES[[#This Row],[LOADINGSPEED]],LOADINGSPEEDDEF[TYPE],LOADINGSPEEDDEF[SPEED])</f>
        <v>20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f>IF(ISNUMBER(SEARCH("passenger",PROPERTIES[[#This Row],[CARGODEF]])),1,0)</f>
        <v>0</v>
      </c>
      <c r="O271" s="32">
        <v>83</v>
      </c>
      <c r="P271">
        <v>1350</v>
      </c>
      <c r="Q271">
        <v>120</v>
      </c>
      <c r="R271" s="29">
        <v>0</v>
      </c>
      <c r="S271" s="28">
        <f>IFERROR(PROPERTIES[[#This Row],[TE_STARTING_KN]]/(PROPERTIES[[#This Row],[WEIGHT]]*9.81),0)</f>
        <v>0</v>
      </c>
      <c r="T271" s="28">
        <v>0.17</v>
      </c>
      <c r="U271" s="25">
        <f>ROUND(IF(IFERROR(PROPERTIES[[#This Row],[TE_COEFFICIENT_CALC]],0)=0,PROPERTIES[[#This Row],[TE_COEFFICIENT_MANUAL]],PROPERTIES[[#This Row],[TE_COEFFICIENT_CALC]]),3)</f>
        <v>0.17</v>
      </c>
      <c r="V271" s="11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36">
        <v>0</v>
      </c>
      <c r="X271" s="9">
        <v>0</v>
      </c>
      <c r="Y271" s="10">
        <v>0</v>
      </c>
      <c r="Z271" t="s">
        <v>876</v>
      </c>
      <c r="AA271" t="s">
        <v>868</v>
      </c>
      <c r="AB271" s="2" t="s">
        <v>886</v>
      </c>
      <c r="AC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1" s="2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H271" s="10" t="b">
        <v>0</v>
      </c>
      <c r="AY271"/>
      <c r="AZ271"/>
      <c r="BA271"/>
    </row>
    <row r="272" spans="1:53">
      <c r="A272" s="2" t="s">
        <v>290</v>
      </c>
      <c r="B272">
        <v>1970</v>
      </c>
      <c r="C272" cm="1">
        <f t="array" ref="C272">_xlfn.IFS(ISNUMBER(SEARCH("wagon",PROPERTIES[[#This Row],[VEHIDCODE]])),0,OR(MID(PROPERTIES[[#This Row],[VEHIDCODE]],2,2)="mu",_xlfn.TEXTBEFORE(PROPERTIES[[#This Row],[VEHIDCODE]],"_")="mtro"),1,1=1,0)</f>
        <v>0</v>
      </c>
      <c r="D272" t="s">
        <v>1737</v>
      </c>
      <c r="E272" t="str">
        <f>_xlfn.XLOOKUP(PROPERTIES[[#This Row],[COUNTRY]],COUNTRIES[COUNTRY_DESCRIPTION],COUNTRIES[COUNTRY_LABEL],"")</f>
        <v>BR</v>
      </c>
      <c r="F272" t="str" cm="1">
        <f t="array" ref="F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2" t="s">
        <v>19</v>
      </c>
      <c r="H272">
        <v>0</v>
      </c>
      <c r="I272">
        <v>8</v>
      </c>
      <c r="J272">
        <v>8</v>
      </c>
      <c r="K272" t="str" cm="1">
        <f t="array" ref="K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2">
        <f>_xlfn.XLOOKUP("LOADINGSPEEDDEF_"&amp;PROPERTIES[[#This Row],[LOADINGSPEED]],LOADINGSPEEDDEF[TYPE],LOADINGSPEEDDEF[SPEED])</f>
        <v>20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f>IF(ISNUMBER(SEARCH("passenger",PROPERTIES[[#This Row],[CARGODEF]])),1,0)</f>
        <v>0</v>
      </c>
      <c r="O272" s="32">
        <v>162</v>
      </c>
      <c r="P272">
        <v>3600</v>
      </c>
      <c r="Q272">
        <v>85</v>
      </c>
      <c r="R272" s="29">
        <v>388.9</v>
      </c>
      <c r="S272" s="28">
        <f>IFERROR(PROPERTIES[[#This Row],[TE_STARTING_KN]]/(PROPERTIES[[#This Row],[WEIGHT]]*9.81),0)</f>
        <v>0.24471124199292732</v>
      </c>
      <c r="T272" s="28">
        <v>0.24</v>
      </c>
      <c r="U272" s="25">
        <f>ROUND(IF(IFERROR(PROPERTIES[[#This Row],[TE_COEFFICIENT_CALC]],0)=0,PROPERTIES[[#This Row],[TE_COEFFICIENT_MANUAL]],PROPERTIES[[#This Row],[TE_COEFFICIENT_CALC]]),3)</f>
        <v>0.245</v>
      </c>
      <c r="V272" s="11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36">
        <v>0</v>
      </c>
      <c r="X272" s="9">
        <v>0</v>
      </c>
      <c r="Y272" s="10">
        <v>0</v>
      </c>
      <c r="Z272" t="s">
        <v>876</v>
      </c>
      <c r="AA272" t="s">
        <v>868</v>
      </c>
      <c r="AB272" s="2" t="s">
        <v>886</v>
      </c>
      <c r="AC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2" s="2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H272" s="10" t="b">
        <v>0</v>
      </c>
      <c r="AY272"/>
      <c r="AZ272"/>
      <c r="BA272"/>
    </row>
    <row r="273" spans="1:53">
      <c r="A273" s="2" t="s">
        <v>291</v>
      </c>
      <c r="B273">
        <v>1984</v>
      </c>
      <c r="C273" cm="1">
        <f t="array" ref="C273">_xlfn.IFS(ISNUMBER(SEARCH("wagon",PROPERTIES[[#This Row],[VEHIDCODE]])),0,OR(MID(PROPERTIES[[#This Row],[VEHIDCODE]],2,2)="mu",_xlfn.TEXTBEFORE(PROPERTIES[[#This Row],[VEHIDCODE]],"_")="mtro"),1,1=1,0)</f>
        <v>0</v>
      </c>
      <c r="D273" t="s">
        <v>1879</v>
      </c>
      <c r="E273" t="str">
        <f>_xlfn.XLOOKUP(PROPERTIES[[#This Row],[COUNTRY]],COUNTRIES[COUNTRY_DESCRIPTION],COUNTRIES[COUNTRY_LABEL],"")</f>
        <v>PE</v>
      </c>
      <c r="F273" t="str" cm="1">
        <f t="array" ref="F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3" t="s">
        <v>19</v>
      </c>
      <c r="H273">
        <v>0</v>
      </c>
      <c r="I273">
        <v>8</v>
      </c>
      <c r="J273">
        <v>8</v>
      </c>
      <c r="K273" t="str" cm="1">
        <f t="array" ref="K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3">
        <f>_xlfn.XLOOKUP("LOADINGSPEEDDEF_"&amp;PROPERTIES[[#This Row],[LOADINGSPEED]],LOADINGSPEEDDEF[TYPE],LOADINGSPEEDDEF[SPEED])</f>
        <v>20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f>IF(ISNUMBER(SEARCH("passenger",PROPERTIES[[#This Row],[CARGODEF]])),1,0)</f>
        <v>0</v>
      </c>
      <c r="O273" s="32">
        <v>166</v>
      </c>
      <c r="P273">
        <v>3900</v>
      </c>
      <c r="Q273">
        <v>110</v>
      </c>
      <c r="R273" s="29">
        <v>0</v>
      </c>
      <c r="S273" s="28">
        <f>IFERROR(PROPERTIES[[#This Row],[TE_STARTING_KN]]/(PROPERTIES[[#This Row],[WEIGHT]]*9.81),0)</f>
        <v>0</v>
      </c>
      <c r="T273" s="28">
        <v>0.28999999999999998</v>
      </c>
      <c r="U273" s="25">
        <f>ROUND(IF(IFERROR(PROPERTIES[[#This Row],[TE_COEFFICIENT_CALC]],0)=0,PROPERTIES[[#This Row],[TE_COEFFICIENT_MANUAL]],PROPERTIES[[#This Row],[TE_COEFFICIENT_CALC]]),3)</f>
        <v>0.28999999999999998</v>
      </c>
      <c r="V273" s="11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36">
        <v>0</v>
      </c>
      <c r="X273" s="9">
        <v>0</v>
      </c>
      <c r="Y273" s="10">
        <v>0</v>
      </c>
      <c r="Z273" t="s">
        <v>876</v>
      </c>
      <c r="AA273" t="s">
        <v>868</v>
      </c>
      <c r="AB273" s="2" t="s">
        <v>886</v>
      </c>
      <c r="AC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3" s="2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H273" s="10" t="b">
        <v>0</v>
      </c>
      <c r="AY273"/>
      <c r="AZ273"/>
      <c r="BA273"/>
    </row>
    <row r="274" spans="1:53">
      <c r="A274" s="2" t="s">
        <v>292</v>
      </c>
      <c r="B274">
        <v>1991</v>
      </c>
      <c r="C274" cm="1">
        <f t="array" ref="C274">_xlfn.IFS(ISNUMBER(SEARCH("wagon",PROPERTIES[[#This Row],[VEHIDCODE]])),0,OR(MID(PROPERTIES[[#This Row],[VEHIDCODE]],2,2)="mu",_xlfn.TEXTBEFORE(PROPERTIES[[#This Row],[VEHIDCODE]],"_")="mtro"),1,1=1,0)</f>
        <v>0</v>
      </c>
      <c r="D274" t="s">
        <v>1716</v>
      </c>
      <c r="E274" t="str">
        <f>_xlfn.XLOOKUP(PROPERTIES[[#This Row],[COUNTRY]],COUNTRIES[COUNTRY_DESCRIPTION],COUNTRIES[COUNTRY_LABEL],"")</f>
        <v>AR</v>
      </c>
      <c r="F274" t="str" cm="1">
        <f t="array" ref="F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4" t="s">
        <v>19</v>
      </c>
      <c r="H274">
        <v>0</v>
      </c>
      <c r="I274">
        <v>7</v>
      </c>
      <c r="J274">
        <v>7</v>
      </c>
      <c r="K274" t="str" cm="1">
        <f t="array" ref="K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4">
        <f>_xlfn.XLOOKUP("LOADINGSPEEDDEF_"&amp;PROPERTIES[[#This Row],[LOADINGSPEED]],LOADINGSPEEDDEF[TYPE],LOADINGSPEEDDEF[SPEED])</f>
        <v>20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f>IF(ISNUMBER(SEARCH("passenger",PROPERTIES[[#This Row],[CARGODEF]])),1,0)</f>
        <v>0</v>
      </c>
      <c r="O274" s="32">
        <v>117</v>
      </c>
      <c r="P274">
        <v>1876</v>
      </c>
      <c r="Q274">
        <v>140</v>
      </c>
      <c r="R274" s="29">
        <v>302</v>
      </c>
      <c r="S274" s="28">
        <f>IFERROR(PROPERTIES[[#This Row],[TE_STARTING_KN]]/(PROPERTIES[[#This Row],[WEIGHT]]*9.81),0)</f>
        <v>0.2631189175531683</v>
      </c>
      <c r="T274" s="28">
        <v>0.18</v>
      </c>
      <c r="U274" s="25">
        <f>ROUND(IF(IFERROR(PROPERTIES[[#This Row],[TE_COEFFICIENT_CALC]],0)=0,PROPERTIES[[#This Row],[TE_COEFFICIENT_MANUAL]],PROPERTIES[[#This Row],[TE_COEFFICIENT_CALC]]),3)</f>
        <v>0.26300000000000001</v>
      </c>
      <c r="V274" s="11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36">
        <v>0</v>
      </c>
      <c r="X274" s="9">
        <v>0</v>
      </c>
      <c r="Y274" s="10">
        <v>0</v>
      </c>
      <c r="Z274" t="s">
        <v>876</v>
      </c>
      <c r="AA274" t="s">
        <v>868</v>
      </c>
      <c r="AB274" s="2" t="s">
        <v>886</v>
      </c>
      <c r="AC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4" s="2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H274" s="10" t="b">
        <v>0</v>
      </c>
      <c r="AY274"/>
      <c r="AZ274"/>
      <c r="BA274"/>
    </row>
    <row r="275" spans="1:53">
      <c r="A275" s="2" t="s">
        <v>293</v>
      </c>
      <c r="B275">
        <v>2013</v>
      </c>
      <c r="C275" cm="1">
        <f t="array" ref="C275">_xlfn.IFS(ISNUMBER(SEARCH("wagon",PROPERTIES[[#This Row],[VEHIDCODE]])),0,OR(MID(PROPERTIES[[#This Row],[VEHIDCODE]],2,2)="mu",_xlfn.TEXTBEFORE(PROPERTIES[[#This Row],[VEHIDCODE]],"_")="mtro"),1,1=1,0)</f>
        <v>0</v>
      </c>
      <c r="D275" t="s">
        <v>1716</v>
      </c>
      <c r="E275" t="str">
        <f>_xlfn.XLOOKUP(PROPERTIES[[#This Row],[COUNTRY]],COUNTRIES[COUNTRY_DESCRIPTION],COUNTRIES[COUNTRY_LABEL],"")</f>
        <v>AR</v>
      </c>
      <c r="F275" t="str" cm="1">
        <f t="array" ref="F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5" t="s">
        <v>19</v>
      </c>
      <c r="H275">
        <v>0</v>
      </c>
      <c r="I275">
        <v>8</v>
      </c>
      <c r="J275">
        <v>8</v>
      </c>
      <c r="K275" t="str" cm="1">
        <f t="array" ref="K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5">
        <f>_xlfn.XLOOKUP("LOADINGSPEEDDEF_"&amp;PROPERTIES[[#This Row],[LOADINGSPEED]],LOADINGSPEEDDEF[TYPE],LOADINGSPEEDDEF[SPEED])</f>
        <v>20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f>IF(ISNUMBER(SEARCH("passenger",PROPERTIES[[#This Row],[CARGODEF]])),1,0)</f>
        <v>0</v>
      </c>
      <c r="O275" s="32">
        <v>120</v>
      </c>
      <c r="P275">
        <v>2950</v>
      </c>
      <c r="Q275">
        <v>120</v>
      </c>
      <c r="R275" s="29">
        <v>384</v>
      </c>
      <c r="S275" s="28">
        <f>IFERROR(PROPERTIES[[#This Row],[TE_STARTING_KN]]/(PROPERTIES[[#This Row],[WEIGHT]]*9.81),0)</f>
        <v>0.32619775739041795</v>
      </c>
      <c r="T275" s="28">
        <v>0.32</v>
      </c>
      <c r="U275" s="25">
        <f>ROUND(IF(IFERROR(PROPERTIES[[#This Row],[TE_COEFFICIENT_CALC]],0)=0,PROPERTIES[[#This Row],[TE_COEFFICIENT_MANUAL]],PROPERTIES[[#This Row],[TE_COEFFICIENT_CALC]]),3)</f>
        <v>0.32600000000000001</v>
      </c>
      <c r="V275" s="11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36">
        <v>0</v>
      </c>
      <c r="X275" s="9">
        <v>0</v>
      </c>
      <c r="Y275" s="10">
        <v>0</v>
      </c>
      <c r="Z275" t="s">
        <v>876</v>
      </c>
      <c r="AA275" t="s">
        <v>868</v>
      </c>
      <c r="AB275" s="2" t="s">
        <v>886</v>
      </c>
      <c r="AC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5" s="2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H275" s="10" t="b">
        <v>0</v>
      </c>
      <c r="AY275"/>
      <c r="AZ275"/>
      <c r="BA275"/>
    </row>
    <row r="276" spans="1:53">
      <c r="A276" s="2" t="s">
        <v>294</v>
      </c>
      <c r="B276">
        <v>1939</v>
      </c>
      <c r="C276" cm="1">
        <f t="array" ref="C276">_xlfn.IFS(ISNUMBER(SEARCH("wagon",PROPERTIES[[#This Row],[VEHIDCODE]])),0,OR(MID(PROPERTIES[[#This Row],[VEHIDCODE]],2,2)="mu",_xlfn.TEXTBEFORE(PROPERTIES[[#This Row],[VEHIDCODE]],"_")="mtro"),1,1=1,0)</f>
        <v>0</v>
      </c>
      <c r="D276" t="s">
        <v>1951</v>
      </c>
      <c r="E276" t="str">
        <f>_xlfn.XLOOKUP(PROPERTIES[[#This Row],[COUNTRY]],COUNTRIES[COUNTRY_DESCRIPTION],COUNTRIES[COUNTRY_LABEL],"")</f>
        <v>ZA</v>
      </c>
      <c r="F276" t="str" cm="1">
        <f t="array" ref="F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6" t="s">
        <v>19</v>
      </c>
      <c r="H276">
        <v>0</v>
      </c>
      <c r="I276">
        <v>5</v>
      </c>
      <c r="J276">
        <v>5</v>
      </c>
      <c r="K276" t="str" cm="1">
        <f t="array" ref="K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6">
        <f>_xlfn.XLOOKUP("LOADINGSPEEDDEF_"&amp;PROPERTIES[[#This Row],[LOADINGSPEED]],LOADINGSPEEDDEF[TYPE],LOADINGSPEEDDEF[SPEED])</f>
        <v>20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f>IF(ISNUMBER(SEARCH("passenger",PROPERTIES[[#This Row],[CARGODEF]])),1,0)</f>
        <v>0</v>
      </c>
      <c r="O276" s="32">
        <v>68</v>
      </c>
      <c r="P276">
        <v>410</v>
      </c>
      <c r="Q276">
        <v>60</v>
      </c>
      <c r="R276" s="29">
        <v>157</v>
      </c>
      <c r="S276" s="28">
        <f>IFERROR(PROPERTIES[[#This Row],[TE_STARTING_KN]]/(PROPERTIES[[#This Row],[WEIGHT]]*9.81),0)</f>
        <v>0.23535408047010853</v>
      </c>
      <c r="T276" s="28">
        <v>0.23</v>
      </c>
      <c r="U276" s="25">
        <f>ROUND(IF(IFERROR(PROPERTIES[[#This Row],[TE_COEFFICIENT_CALC]],0)=0,PROPERTIES[[#This Row],[TE_COEFFICIENT_MANUAL]],PROPERTIES[[#This Row],[TE_COEFFICIENT_CALC]]),3)</f>
        <v>0.23499999999999999</v>
      </c>
      <c r="V276" s="11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36">
        <v>0</v>
      </c>
      <c r="X276" s="9">
        <v>0</v>
      </c>
      <c r="Y276" s="10">
        <v>0</v>
      </c>
      <c r="Z276" t="s">
        <v>872</v>
      </c>
      <c r="AA276" t="s">
        <v>868</v>
      </c>
      <c r="AB276" s="2" t="s">
        <v>886</v>
      </c>
      <c r="AC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6" s="2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H276" s="10" t="b">
        <v>0</v>
      </c>
      <c r="AY276"/>
      <c r="AZ276"/>
      <c r="BA276"/>
    </row>
    <row r="277" spans="1:53">
      <c r="A277" s="2" t="s">
        <v>295</v>
      </c>
      <c r="B277">
        <v>1950</v>
      </c>
      <c r="C277" cm="1">
        <f t="array" ref="C277">_xlfn.IFS(ISNUMBER(SEARCH("wagon",PROPERTIES[[#This Row],[VEHIDCODE]])),0,OR(MID(PROPERTIES[[#This Row],[VEHIDCODE]],2,2)="mu",_xlfn.TEXTBEFORE(PROPERTIES[[#This Row],[VEHIDCODE]],"_")="mtro"),1,1=1,0)</f>
        <v>0</v>
      </c>
      <c r="D277" t="s">
        <v>1768</v>
      </c>
      <c r="E277" t="str">
        <f>_xlfn.XLOOKUP(PROPERTIES[[#This Row],[COUNTRY]],COUNTRIES[COUNTRY_DESCRIPTION],COUNTRIES[COUNTRY_LABEL],"")</f>
        <v>DZ</v>
      </c>
      <c r="F277" t="str" cm="1">
        <f t="array" ref="F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7" t="s">
        <v>19</v>
      </c>
      <c r="H277">
        <v>0</v>
      </c>
      <c r="I277">
        <v>6</v>
      </c>
      <c r="J277">
        <v>6</v>
      </c>
      <c r="K277" t="str" cm="1">
        <f t="array" ref="K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7">
        <f>_xlfn.XLOOKUP("LOADINGSPEEDDEF_"&amp;PROPERTIES[[#This Row],[LOADINGSPEED]],LOADINGSPEEDDEF[TYPE],LOADINGSPEEDDEF[SPEED])</f>
        <v>20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f>IF(ISNUMBER(SEARCH("passenger",PROPERTIES[[#This Row],[CARGODEF]])),1,0)</f>
        <v>0</v>
      </c>
      <c r="O277" s="32">
        <v>115</v>
      </c>
      <c r="P277">
        <v>800</v>
      </c>
      <c r="Q277">
        <v>80</v>
      </c>
      <c r="R277" s="29">
        <v>0</v>
      </c>
      <c r="S277" s="28">
        <f>IFERROR(PROPERTIES[[#This Row],[TE_STARTING_KN]]/(PROPERTIES[[#This Row],[WEIGHT]]*9.81),0)</f>
        <v>0</v>
      </c>
      <c r="T277" s="28">
        <v>0.16</v>
      </c>
      <c r="U277" s="25">
        <f>ROUND(IF(IFERROR(PROPERTIES[[#This Row],[TE_COEFFICIENT_CALC]],0)=0,PROPERTIES[[#This Row],[TE_COEFFICIENT_MANUAL]],PROPERTIES[[#This Row],[TE_COEFFICIENT_CALC]]),3)</f>
        <v>0.16</v>
      </c>
      <c r="V277" s="11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36">
        <v>0</v>
      </c>
      <c r="X277" s="9">
        <v>0</v>
      </c>
      <c r="Y277" s="10">
        <v>0</v>
      </c>
      <c r="Z277" t="s">
        <v>872</v>
      </c>
      <c r="AA277" t="s">
        <v>868</v>
      </c>
      <c r="AB277" s="2" t="s">
        <v>886</v>
      </c>
      <c r="AC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7" s="2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H277" s="10" t="b">
        <v>0</v>
      </c>
      <c r="AY277"/>
      <c r="AZ277"/>
      <c r="BA277"/>
    </row>
    <row r="278" spans="1:53">
      <c r="A278" s="2" t="s">
        <v>296</v>
      </c>
      <c r="B278">
        <v>1960</v>
      </c>
      <c r="C278" cm="1">
        <f t="array" ref="C278">_xlfn.IFS(ISNUMBER(SEARCH("wagon",PROPERTIES[[#This Row],[VEHIDCODE]])),0,OR(MID(PROPERTIES[[#This Row],[VEHIDCODE]],2,2)="mu",_xlfn.TEXTBEFORE(PROPERTIES[[#This Row],[VEHIDCODE]],"_")="mtro"),1,1=1,0)</f>
        <v>0</v>
      </c>
      <c r="D278" t="s">
        <v>1928</v>
      </c>
      <c r="E278" t="str">
        <f>_xlfn.XLOOKUP(PROPERTIES[[#This Row],[COUNTRY]],COUNTRIES[COUNTRY_DESCRIPTION],COUNTRIES[COUNTRY_LABEL],"")</f>
        <v>TN</v>
      </c>
      <c r="F278" t="str" cm="1">
        <f t="array" ref="F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8" t="s">
        <v>19</v>
      </c>
      <c r="H278">
        <v>0</v>
      </c>
      <c r="I278">
        <v>5</v>
      </c>
      <c r="J278">
        <v>5</v>
      </c>
      <c r="K278" t="str" cm="1">
        <f t="array" ref="K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8">
        <f>_xlfn.XLOOKUP("LOADINGSPEEDDEF_"&amp;PROPERTIES[[#This Row],[LOADINGSPEED]],LOADINGSPEEDDEF[TYPE],LOADINGSPEEDDEF[SPEED])</f>
        <v>20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f>IF(ISNUMBER(SEARCH("passenger",PROPERTIES[[#This Row],[CARGODEF]])),1,0)</f>
        <v>0</v>
      </c>
      <c r="O278" s="32">
        <v>59</v>
      </c>
      <c r="P278">
        <v>875</v>
      </c>
      <c r="Q278">
        <v>100</v>
      </c>
      <c r="R278" s="29">
        <v>0</v>
      </c>
      <c r="S278" s="28">
        <f>IFERROR(PROPERTIES[[#This Row],[TE_STARTING_KN]]/(PROPERTIES[[#This Row],[WEIGHT]]*9.81),0)</f>
        <v>0</v>
      </c>
      <c r="T278" s="28">
        <v>0.25</v>
      </c>
      <c r="U278" s="25">
        <f>ROUND(IF(IFERROR(PROPERTIES[[#This Row],[TE_COEFFICIENT_CALC]],0)=0,PROPERTIES[[#This Row],[TE_COEFFICIENT_MANUAL]],PROPERTIES[[#This Row],[TE_COEFFICIENT_CALC]]),3)</f>
        <v>0.25</v>
      </c>
      <c r="V278" s="11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36">
        <v>0</v>
      </c>
      <c r="X278" s="9">
        <v>0</v>
      </c>
      <c r="Y278" s="10">
        <v>0</v>
      </c>
      <c r="Z278" t="s">
        <v>872</v>
      </c>
      <c r="AA278" t="s">
        <v>868</v>
      </c>
      <c r="AB278" s="2" t="s">
        <v>886</v>
      </c>
      <c r="AC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8" s="2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8" s="2" t="b">
        <v>0</v>
      </c>
      <c r="AH278" s="10" t="b">
        <v>0</v>
      </c>
      <c r="AY278"/>
      <c r="AZ278"/>
      <c r="BA278"/>
    </row>
    <row r="279" spans="1:53">
      <c r="A279" s="2" t="s">
        <v>297</v>
      </c>
      <c r="B279">
        <v>1974</v>
      </c>
      <c r="C279" cm="1">
        <f t="array" ref="C279">_xlfn.IFS(ISNUMBER(SEARCH("wagon",PROPERTIES[[#This Row],[VEHIDCODE]])),0,OR(MID(PROPERTIES[[#This Row],[VEHIDCODE]],2,2)="mu",_xlfn.TEXTBEFORE(PROPERTIES[[#This Row],[VEHIDCODE]],"_")="mtro"),1,1=1,0)</f>
        <v>0</v>
      </c>
      <c r="D279" t="s">
        <v>1771</v>
      </c>
      <c r="E279" t="str">
        <f>_xlfn.XLOOKUP(PROPERTIES[[#This Row],[COUNTRY]],COUNTRIES[COUNTRY_DESCRIPTION],COUNTRIES[COUNTRY_LABEL],"")</f>
        <v>EG</v>
      </c>
      <c r="F279" t="str" cm="1">
        <f t="array" ref="F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9" t="s">
        <v>19</v>
      </c>
      <c r="H279">
        <v>0</v>
      </c>
      <c r="I279">
        <v>7</v>
      </c>
      <c r="J279">
        <v>7</v>
      </c>
      <c r="K279" t="str" cm="1">
        <f t="array" ref="K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9">
        <f>_xlfn.XLOOKUP("LOADINGSPEEDDEF_"&amp;PROPERTIES[[#This Row],[LOADINGSPEED]],LOADINGSPEEDDEF[TYPE],LOADINGSPEEDDEF[SPEED])</f>
        <v>20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f>IF(ISNUMBER(SEARCH("passenger",PROPERTIES[[#This Row],[CARGODEF]])),1,0)</f>
        <v>0</v>
      </c>
      <c r="O279" s="32">
        <v>120</v>
      </c>
      <c r="P279">
        <v>2800</v>
      </c>
      <c r="Q279">
        <v>120</v>
      </c>
      <c r="R279" s="29">
        <v>365</v>
      </c>
      <c r="S279" s="28">
        <f>IFERROR(PROPERTIES[[#This Row],[TE_STARTING_KN]]/(PROPERTIES[[#This Row],[WEIGHT]]*9.81),0)</f>
        <v>0.31005776418620457</v>
      </c>
      <c r="T279" s="28">
        <v>0.17</v>
      </c>
      <c r="U279" s="25">
        <f>ROUND(IF(IFERROR(PROPERTIES[[#This Row],[TE_COEFFICIENT_CALC]],0)=0,PROPERTIES[[#This Row],[TE_COEFFICIENT_MANUAL]],PROPERTIES[[#This Row],[TE_COEFFICIENT_CALC]]),3)</f>
        <v>0.31</v>
      </c>
      <c r="V279" s="11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36">
        <v>0</v>
      </c>
      <c r="X279" s="9">
        <v>0</v>
      </c>
      <c r="Y279" s="10">
        <v>0</v>
      </c>
      <c r="Z279" t="s">
        <v>872</v>
      </c>
      <c r="AA279" t="s">
        <v>868</v>
      </c>
      <c r="AB279" s="2" t="s">
        <v>886</v>
      </c>
      <c r="AC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9" s="2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H279" s="10" t="b">
        <v>0</v>
      </c>
      <c r="AY279"/>
      <c r="AZ279"/>
      <c r="BA279"/>
    </row>
    <row r="280" spans="1:53">
      <c r="A280" s="2" t="s">
        <v>298</v>
      </c>
      <c r="B280">
        <v>1977</v>
      </c>
      <c r="C280" cm="1">
        <f t="array" ref="C280">_xlfn.IFS(ISNUMBER(SEARCH("wagon",PROPERTIES[[#This Row],[VEHIDCODE]])),0,OR(MID(PROPERTIES[[#This Row],[VEHIDCODE]],2,2)="mu",_xlfn.TEXTBEFORE(PROPERTIES[[#This Row],[VEHIDCODE]],"_")="mtro"),1,1=1,0)</f>
        <v>0</v>
      </c>
      <c r="D280" t="s">
        <v>1928</v>
      </c>
      <c r="E280" t="str">
        <f>_xlfn.XLOOKUP(PROPERTIES[[#This Row],[COUNTRY]],COUNTRIES[COUNTRY_DESCRIPTION],COUNTRIES[COUNTRY_LABEL],"")</f>
        <v>TN</v>
      </c>
      <c r="F280" t="str" cm="1">
        <f t="array" ref="F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0" t="s">
        <v>19</v>
      </c>
      <c r="H280">
        <v>0</v>
      </c>
      <c r="I280">
        <v>5</v>
      </c>
      <c r="J280">
        <v>5</v>
      </c>
      <c r="K280" t="str" cm="1">
        <f t="array" ref="K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0">
        <f>_xlfn.XLOOKUP("LOADINGSPEEDDEF_"&amp;PROPERTIES[[#This Row],[LOADINGSPEED]],LOADINGSPEEDDEF[TYPE],LOADINGSPEEDDEF[SPEED])</f>
        <v>20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f>IF(ISNUMBER(SEARCH("passenger",PROPERTIES[[#This Row],[CARGODEF]])),1,0)</f>
        <v>0</v>
      </c>
      <c r="O280" s="32">
        <v>53</v>
      </c>
      <c r="P280">
        <v>700</v>
      </c>
      <c r="Q280">
        <v>75</v>
      </c>
      <c r="R280" s="29">
        <v>128</v>
      </c>
      <c r="S280" s="28">
        <f>IFERROR(PROPERTIES[[#This Row],[TE_STARTING_KN]]/(PROPERTIES[[#This Row],[WEIGHT]]*9.81),0)</f>
        <v>0.24618698670974937</v>
      </c>
      <c r="T280" s="28">
        <v>0.28000000000000003</v>
      </c>
      <c r="U280" s="25">
        <f>ROUND(IF(IFERROR(PROPERTIES[[#This Row],[TE_COEFFICIENT_CALC]],0)=0,PROPERTIES[[#This Row],[TE_COEFFICIENT_MANUAL]],PROPERTIES[[#This Row],[TE_COEFFICIENT_CALC]]),3)</f>
        <v>0.246</v>
      </c>
      <c r="V280" s="11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36">
        <v>0</v>
      </c>
      <c r="X280" s="9">
        <v>0</v>
      </c>
      <c r="Y280" s="10">
        <v>0</v>
      </c>
      <c r="Z280" t="s">
        <v>872</v>
      </c>
      <c r="AA280" t="s">
        <v>868</v>
      </c>
      <c r="AB280" s="2" t="s">
        <v>886</v>
      </c>
      <c r="AC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0" s="2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H280" s="10" t="b">
        <v>0</v>
      </c>
      <c r="AY280"/>
      <c r="AZ280"/>
      <c r="BA280"/>
    </row>
    <row r="281" spans="1:53">
      <c r="A281" s="2" t="s">
        <v>299</v>
      </c>
      <c r="B281">
        <v>1989</v>
      </c>
      <c r="C281" cm="1">
        <f t="array" ref="C281">_xlfn.IFS(ISNUMBER(SEARCH("wagon",PROPERTIES[[#This Row],[VEHIDCODE]])),0,OR(MID(PROPERTIES[[#This Row],[VEHIDCODE]],2,2)="mu",_xlfn.TEXTBEFORE(PROPERTIES[[#This Row],[VEHIDCODE]],"_")="mtro"),1,1=1,0)</f>
        <v>0</v>
      </c>
      <c r="D281" t="s">
        <v>1842</v>
      </c>
      <c r="E281" t="str">
        <f>_xlfn.XLOOKUP(PROPERTIES[[#This Row],[COUNTRY]],COUNTRIES[COUNTRY_DESCRIPTION],COUNTRIES[COUNTRY_LABEL],"")</f>
        <v>MA</v>
      </c>
      <c r="F281" t="str" cm="1">
        <f t="array" ref="F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1" t="s">
        <v>19</v>
      </c>
      <c r="H281">
        <v>0</v>
      </c>
      <c r="I281">
        <v>8</v>
      </c>
      <c r="J281">
        <v>8</v>
      </c>
      <c r="K281" t="str" cm="1">
        <f t="array" ref="K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1">
        <f>_xlfn.XLOOKUP("LOADINGSPEEDDEF_"&amp;PROPERTIES[[#This Row],[LOADINGSPEED]],LOADINGSPEEDDEF[TYPE],LOADINGSPEEDDEF[SPEED])</f>
        <v>20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f>IF(ISNUMBER(SEARCH("passenger",PROPERTIES[[#This Row],[CARGODEF]])),1,0)</f>
        <v>0</v>
      </c>
      <c r="O281" s="32">
        <v>108</v>
      </c>
      <c r="P281">
        <v>3400</v>
      </c>
      <c r="Q281">
        <v>135</v>
      </c>
      <c r="R281" s="29">
        <v>360</v>
      </c>
      <c r="S281" s="28">
        <f>IFERROR(PROPERTIES[[#This Row],[TE_STARTING_KN]]/(PROPERTIES[[#This Row],[WEIGHT]]*9.81),0)</f>
        <v>0.3397893306150187</v>
      </c>
      <c r="T281" s="28">
        <v>0.33</v>
      </c>
      <c r="U281" s="25">
        <f>ROUND(IF(IFERROR(PROPERTIES[[#This Row],[TE_COEFFICIENT_CALC]],0)=0,PROPERTIES[[#This Row],[TE_COEFFICIENT_MANUAL]],PROPERTIES[[#This Row],[TE_COEFFICIENT_CALC]]),3)</f>
        <v>0.34</v>
      </c>
      <c r="V281" s="11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36">
        <v>0</v>
      </c>
      <c r="X281" s="9">
        <v>0</v>
      </c>
      <c r="Y281" s="10">
        <v>0</v>
      </c>
      <c r="Z281" t="s">
        <v>872</v>
      </c>
      <c r="AA281" t="s">
        <v>868</v>
      </c>
      <c r="AB281" s="2" t="s">
        <v>886</v>
      </c>
      <c r="AC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1" s="2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H281" s="10" t="b">
        <v>0</v>
      </c>
      <c r="AY281"/>
      <c r="AZ281"/>
      <c r="BA281"/>
    </row>
    <row r="282" spans="1:53">
      <c r="A282" s="2" t="s">
        <v>300</v>
      </c>
      <c r="B282">
        <v>1964</v>
      </c>
      <c r="C282" cm="1">
        <f t="array" ref="C282">_xlfn.IFS(ISNUMBER(SEARCH("wagon",PROPERTIES[[#This Row],[VEHIDCODE]])),0,OR(MID(PROPERTIES[[#This Row],[VEHIDCODE]],2,2)="mu",_xlfn.TEXTBEFORE(PROPERTIES[[#This Row],[VEHIDCODE]],"_")="mtro"),1,1=1,0)</f>
        <v>0</v>
      </c>
      <c r="D282" t="s">
        <v>1934</v>
      </c>
      <c r="E282" t="str">
        <f>_xlfn.XLOOKUP(PROPERTIES[[#This Row],[COUNTRY]],COUNTRIES[COUNTRY_DESCRIPTION],COUNTRIES[COUNTRY_LABEL],"")</f>
        <v>UA</v>
      </c>
      <c r="F282" t="str" cm="1">
        <f t="array" ref="F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2" t="s">
        <v>19</v>
      </c>
      <c r="H282">
        <v>0</v>
      </c>
      <c r="I282">
        <v>8</v>
      </c>
      <c r="J282">
        <v>8</v>
      </c>
      <c r="K282" t="str" cm="1">
        <f t="array" ref="K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2">
        <f>_xlfn.XLOOKUP("LOADINGSPEEDDEF_"&amp;PROPERTIES[[#This Row],[LOADINGSPEED]],LOADINGSPEEDDEF[TYPE],LOADINGSPEEDDEF[SPEED])</f>
        <v>20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f>IF(ISNUMBER(SEARCH("passenger",PROPERTIES[[#This Row],[CARGODEF]])),1,0)</f>
        <v>0</v>
      </c>
      <c r="O282" s="32">
        <v>129</v>
      </c>
      <c r="P282">
        <v>2290</v>
      </c>
      <c r="Q282">
        <v>140</v>
      </c>
      <c r="R282" s="29">
        <v>245</v>
      </c>
      <c r="S282" s="28">
        <f>IFERROR(PROPERTIES[[#This Row],[TE_STARTING_KN]]/(PROPERTIES[[#This Row],[WEIGHT]]*9.81),0)</f>
        <v>0.19360089767599903</v>
      </c>
      <c r="T282" s="28">
        <v>0.13</v>
      </c>
      <c r="U282" s="25">
        <f>ROUND(IF(IFERROR(PROPERTIES[[#This Row],[TE_COEFFICIENT_CALC]],0)=0,PROPERTIES[[#This Row],[TE_COEFFICIENT_MANUAL]],PROPERTIES[[#This Row],[TE_COEFFICIENT_CALC]]),3)</f>
        <v>0.19400000000000001</v>
      </c>
      <c r="V282" s="11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36">
        <v>0</v>
      </c>
      <c r="X282" s="9">
        <v>0</v>
      </c>
      <c r="Y282" s="10">
        <v>0</v>
      </c>
      <c r="Z282" t="s">
        <v>875</v>
      </c>
      <c r="AA282" t="s">
        <v>868</v>
      </c>
      <c r="AB282" s="2" t="s">
        <v>886</v>
      </c>
      <c r="AC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2" s="2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H282" s="10" t="b">
        <v>0</v>
      </c>
      <c r="AY282"/>
      <c r="AZ282"/>
      <c r="BA282"/>
    </row>
    <row r="283" spans="1:53">
      <c r="A283" s="2" t="s">
        <v>301</v>
      </c>
      <c r="B283">
        <v>1981</v>
      </c>
      <c r="C283" cm="1">
        <f t="array" ref="C283">_xlfn.IFS(ISNUMBER(SEARCH("wagon",PROPERTIES[[#This Row],[VEHIDCODE]])),0,OR(MID(PROPERTIES[[#This Row],[VEHIDCODE]],2,2)="mu",_xlfn.TEXTBEFORE(PROPERTIES[[#This Row],[VEHIDCODE]],"_")="mtro"),1,1=1,0)</f>
        <v>0</v>
      </c>
      <c r="D283" t="s">
        <v>1896</v>
      </c>
      <c r="E283" t="str">
        <f>_xlfn.XLOOKUP(PROPERTIES[[#This Row],[COUNTRY]],COUNTRIES[COUNTRY_DESCRIPTION],COUNTRIES[COUNTRY_LABEL],"")</f>
        <v>RU</v>
      </c>
      <c r="F283" t="str" cm="1">
        <f t="array" ref="F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3" t="s">
        <v>19</v>
      </c>
      <c r="H283">
        <v>0</v>
      </c>
      <c r="I283">
        <v>8</v>
      </c>
      <c r="J283">
        <v>16</v>
      </c>
      <c r="K283" t="str" cm="1">
        <f t="array" ref="K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3">
        <f>_xlfn.XLOOKUP("LOADINGSPEEDDEF_"&amp;PROPERTIES[[#This Row],[LOADINGSPEED]],LOADINGSPEEDDEF[TYPE],LOADINGSPEEDDEF[SPEED])</f>
        <v>20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f>IF(ISNUMBER(SEARCH("passenger",PROPERTIES[[#This Row],[CARGODEF]])),1,0)</f>
        <v>0</v>
      </c>
      <c r="O283" s="32">
        <v>276</v>
      </c>
      <c r="P283">
        <v>6160</v>
      </c>
      <c r="Q283">
        <v>100</v>
      </c>
      <c r="R283" s="29">
        <v>784</v>
      </c>
      <c r="S283" s="28">
        <f>IFERROR(PROPERTIES[[#This Row],[TE_STARTING_KN]]/(PROPERTIES[[#This Row],[WEIGHT]]*9.81),0)</f>
        <v>0.28955960348062465</v>
      </c>
      <c r="T283" s="28">
        <v>0.18</v>
      </c>
      <c r="U283" s="25">
        <f>ROUND(IF(IFERROR(PROPERTIES[[#This Row],[TE_COEFFICIENT_CALC]],0)=0,PROPERTIES[[#This Row],[TE_COEFFICIENT_MANUAL]],PROPERTIES[[#This Row],[TE_COEFFICIENT_CALC]]),3)</f>
        <v>0.28999999999999998</v>
      </c>
      <c r="V283" s="11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36">
        <v>0</v>
      </c>
      <c r="X283" s="9">
        <v>0</v>
      </c>
      <c r="Y283" s="10">
        <v>0</v>
      </c>
      <c r="Z283" t="s">
        <v>875</v>
      </c>
      <c r="AA283" t="s">
        <v>868</v>
      </c>
      <c r="AB283" s="2" t="s">
        <v>886</v>
      </c>
      <c r="AC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3" s="2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H283" s="10" t="b">
        <v>0</v>
      </c>
      <c r="AY283"/>
      <c r="AZ283"/>
      <c r="BA283"/>
    </row>
    <row r="284" spans="1:53">
      <c r="A284" s="2" t="s">
        <v>302</v>
      </c>
      <c r="B284">
        <v>1985</v>
      </c>
      <c r="C284" cm="1">
        <f t="array" ref="C284">_xlfn.IFS(ISNUMBER(SEARCH("wagon",PROPERTIES[[#This Row],[VEHIDCODE]])),0,OR(MID(PROPERTIES[[#This Row],[VEHIDCODE]],2,2)="mu",_xlfn.TEXTBEFORE(PROPERTIES[[#This Row],[VEHIDCODE]],"_")="mtro"),1,1=1,0)</f>
        <v>0</v>
      </c>
      <c r="D284" t="s">
        <v>1884</v>
      </c>
      <c r="E284" t="str">
        <f>_xlfn.XLOOKUP(PROPERTIES[[#This Row],[COUNTRY]],COUNTRIES[COUNTRY_DESCRIPTION],COUNTRIES[COUNTRY_LABEL],"")</f>
        <v>PL</v>
      </c>
      <c r="F284" t="str" cm="1">
        <f t="array" ref="F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4" t="s">
        <v>19</v>
      </c>
      <c r="H284">
        <v>0</v>
      </c>
      <c r="I284">
        <v>6</v>
      </c>
      <c r="J284">
        <v>6</v>
      </c>
      <c r="K284" t="str" cm="1">
        <f t="array" ref="K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4">
        <f>_xlfn.XLOOKUP("LOADINGSPEEDDEF_"&amp;PROPERTIES[[#This Row],[LOADINGSPEED]],LOADINGSPEEDDEF[TYPE],LOADINGSPEEDDEF[SPEED])</f>
        <v>20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f>IF(ISNUMBER(SEARCH("passenger",PROPERTIES[[#This Row],[CARGODEF]])),1,0)</f>
        <v>0</v>
      </c>
      <c r="O284" s="32">
        <v>74</v>
      </c>
      <c r="P284">
        <v>1015</v>
      </c>
      <c r="Q284">
        <v>100</v>
      </c>
      <c r="R284" s="29">
        <v>181.42</v>
      </c>
      <c r="S284" s="28">
        <f>IFERROR(PROPERTIES[[#This Row],[TE_STARTING_KN]]/(PROPERTIES[[#This Row],[WEIGHT]]*9.81),0)</f>
        <v>0.2499104609196352</v>
      </c>
      <c r="T284" s="28">
        <v>0.25</v>
      </c>
      <c r="U284" s="25">
        <f>ROUND(IF(IFERROR(PROPERTIES[[#This Row],[TE_COEFFICIENT_CALC]],0)=0,PROPERTIES[[#This Row],[TE_COEFFICIENT_MANUAL]],PROPERTIES[[#This Row],[TE_COEFFICIENT_CALC]]),3)</f>
        <v>0.25</v>
      </c>
      <c r="V284" s="11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36">
        <v>0</v>
      </c>
      <c r="X284" s="9">
        <v>0</v>
      </c>
      <c r="Y284" s="10">
        <v>0</v>
      </c>
      <c r="Z284" t="s">
        <v>875</v>
      </c>
      <c r="AA284" t="s">
        <v>868</v>
      </c>
      <c r="AB284" s="2" t="s">
        <v>886</v>
      </c>
      <c r="AC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4" s="2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H284" s="10" t="b">
        <v>0</v>
      </c>
      <c r="AY284"/>
      <c r="AZ284"/>
      <c r="BA284"/>
    </row>
    <row r="285" spans="1:53">
      <c r="A285" s="2" t="s">
        <v>303</v>
      </c>
      <c r="B285">
        <v>1987</v>
      </c>
      <c r="C285" cm="1">
        <f t="array" ref="C285">_xlfn.IFS(ISNUMBER(SEARCH("wagon",PROPERTIES[[#This Row],[VEHIDCODE]])),0,OR(MID(PROPERTIES[[#This Row],[VEHIDCODE]],2,2)="mu",_xlfn.TEXTBEFORE(PROPERTIES[[#This Row],[VEHIDCODE]],"_")="mtro"),1,1=1,0)</f>
        <v>0</v>
      </c>
      <c r="D285" t="s">
        <v>1934</v>
      </c>
      <c r="E285" t="str">
        <f>_xlfn.XLOOKUP(PROPERTIES[[#This Row],[COUNTRY]],COUNTRIES[COUNTRY_DESCRIPTION],COUNTRIES[COUNTRY_LABEL],"")</f>
        <v>UA</v>
      </c>
      <c r="F285" t="str" cm="1">
        <f t="array" ref="F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5" t="s">
        <v>19</v>
      </c>
      <c r="H285">
        <v>0</v>
      </c>
      <c r="I285">
        <v>8</v>
      </c>
      <c r="J285">
        <v>8</v>
      </c>
      <c r="K285" t="str" cm="1">
        <f t="array" ref="K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5">
        <f>_xlfn.XLOOKUP("LOADINGSPEEDDEF_"&amp;PROPERTIES[[#This Row],[LOADINGSPEED]],LOADINGSPEEDDEF[TYPE],LOADINGSPEEDDEF[SPEED])</f>
        <v>20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f>IF(ISNUMBER(SEARCH("passenger",PROPERTIES[[#This Row],[CARGODEF]])),1,0)</f>
        <v>0</v>
      </c>
      <c r="O285" s="32">
        <v>272</v>
      </c>
      <c r="P285">
        <v>6035</v>
      </c>
      <c r="Q285">
        <v>100</v>
      </c>
      <c r="R285" s="29">
        <f>2*255</f>
        <v>510</v>
      </c>
      <c r="S285" s="28">
        <f>IFERROR(PROPERTIES[[#This Row],[TE_STARTING_KN]]/(PROPERTIES[[#This Row],[WEIGHT]]*9.81),0)</f>
        <v>0.19113149847094801</v>
      </c>
      <c r="T285" s="28">
        <v>0.2</v>
      </c>
      <c r="U285" s="25">
        <f>ROUND(IF(IFERROR(PROPERTIES[[#This Row],[TE_COEFFICIENT_CALC]],0)=0,PROPERTIES[[#This Row],[TE_COEFFICIENT_MANUAL]],PROPERTIES[[#This Row],[TE_COEFFICIENT_CALC]]),3)</f>
        <v>0.191</v>
      </c>
      <c r="V285" s="11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36">
        <v>0</v>
      </c>
      <c r="X285" s="9">
        <v>0</v>
      </c>
      <c r="Y285" s="10">
        <v>0</v>
      </c>
      <c r="Z285" t="s">
        <v>875</v>
      </c>
      <c r="AA285" t="s">
        <v>868</v>
      </c>
      <c r="AB285" s="2" t="s">
        <v>886</v>
      </c>
      <c r="AC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5" s="2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H285" s="10" t="b">
        <v>0</v>
      </c>
      <c r="AY285"/>
      <c r="AZ285"/>
      <c r="BA285"/>
    </row>
    <row r="286" spans="1:53">
      <c r="A286" s="2" t="s">
        <v>304</v>
      </c>
      <c r="B286">
        <v>1989</v>
      </c>
      <c r="C286" cm="1">
        <f t="array" ref="C286">_xlfn.IFS(ISNUMBER(SEARCH("wagon",PROPERTIES[[#This Row],[VEHIDCODE]])),0,OR(MID(PROPERTIES[[#This Row],[VEHIDCODE]],2,2)="mu",_xlfn.TEXTBEFORE(PROPERTIES[[#This Row],[VEHIDCODE]],"_")="mtro"),1,1=1,0)</f>
        <v>0</v>
      </c>
      <c r="D286" t="s">
        <v>1934</v>
      </c>
      <c r="E286" t="str">
        <f>_xlfn.XLOOKUP(PROPERTIES[[#This Row],[COUNTRY]],COUNTRIES[COUNTRY_DESCRIPTION],COUNTRIES[COUNTRY_LABEL],"")</f>
        <v>UA</v>
      </c>
      <c r="F286" t="str" cm="1">
        <f t="array" ref="F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6" t="s">
        <v>19</v>
      </c>
      <c r="H286">
        <v>0</v>
      </c>
      <c r="I286">
        <v>8</v>
      </c>
      <c r="J286">
        <v>16</v>
      </c>
      <c r="K286" t="str" cm="1">
        <f t="array" ref="K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6">
        <f>_xlfn.XLOOKUP("LOADINGSPEEDDEF_"&amp;PROPERTIES[[#This Row],[LOADINGSPEED]],LOADINGSPEEDDEF[TYPE],LOADINGSPEEDDEF[SPEED])</f>
        <v>20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f>IF(ISNUMBER(SEARCH("passenger",PROPERTIES[[#This Row],[CARGODEF]])),1,0)</f>
        <v>0</v>
      </c>
      <c r="O286" s="32">
        <v>276</v>
      </c>
      <c r="P286">
        <v>4560</v>
      </c>
      <c r="Q286">
        <v>120</v>
      </c>
      <c r="R286" s="29">
        <v>0</v>
      </c>
      <c r="S286" s="28">
        <f>IFERROR(PROPERTIES[[#This Row],[TE_STARTING_KN]]/(PROPERTIES[[#This Row],[WEIGHT]]*9.81),0)</f>
        <v>0</v>
      </c>
      <c r="T286" s="28">
        <v>0.15</v>
      </c>
      <c r="U286" s="25">
        <f>ROUND(IF(IFERROR(PROPERTIES[[#This Row],[TE_COEFFICIENT_CALC]],0)=0,PROPERTIES[[#This Row],[TE_COEFFICIENT_MANUAL]],PROPERTIES[[#This Row],[TE_COEFFICIENT_CALC]]),3)</f>
        <v>0.15</v>
      </c>
      <c r="V286" s="11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36">
        <v>0</v>
      </c>
      <c r="X286" s="9">
        <v>0</v>
      </c>
      <c r="Y286" s="10">
        <v>0</v>
      </c>
      <c r="Z286" t="s">
        <v>875</v>
      </c>
      <c r="AA286" t="s">
        <v>868</v>
      </c>
      <c r="AB286" s="2" t="s">
        <v>886</v>
      </c>
      <c r="AC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6" s="2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H286" s="10" t="b">
        <v>0</v>
      </c>
      <c r="AY286"/>
      <c r="AZ286"/>
      <c r="BA286"/>
    </row>
    <row r="287" spans="1:53">
      <c r="A287" s="2" t="s">
        <v>305</v>
      </c>
      <c r="B287">
        <v>1992</v>
      </c>
      <c r="C287" cm="1">
        <f t="array" ref="C287">_xlfn.IFS(ISNUMBER(SEARCH("wagon",PROPERTIES[[#This Row],[VEHIDCODE]])),0,OR(MID(PROPERTIES[[#This Row],[VEHIDCODE]],2,2)="mu",_xlfn.TEXTBEFORE(PROPERTIES[[#This Row],[VEHIDCODE]],"_")="mtro"),1,1=1,0)</f>
        <v>0</v>
      </c>
      <c r="D287" t="s">
        <v>1895</v>
      </c>
      <c r="E287" t="str">
        <f>_xlfn.XLOOKUP(PROPERTIES[[#This Row],[COUNTRY]],COUNTRIES[COUNTRY_DESCRIPTION],COUNTRIES[COUNTRY_LABEL],"")</f>
        <v>RS</v>
      </c>
      <c r="F287" t="str" cm="1">
        <f t="array" ref="F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7" t="s">
        <v>19</v>
      </c>
      <c r="H287">
        <v>0</v>
      </c>
      <c r="I287">
        <v>4</v>
      </c>
      <c r="J287">
        <v>4</v>
      </c>
      <c r="K287" t="str" cm="1">
        <f t="array" ref="K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7">
        <f>_xlfn.XLOOKUP("LOADINGSPEEDDEF_"&amp;PROPERTIES[[#This Row],[LOADINGSPEED]],LOADINGSPEEDDEF[TYPE],LOADINGSPEEDDEF[SPEED])</f>
        <v>20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f>IF(ISNUMBER(SEARCH("passenger",PROPERTIES[[#This Row],[CARGODEF]])),1,0)</f>
        <v>0</v>
      </c>
      <c r="O287" s="32">
        <v>36</v>
      </c>
      <c r="P287">
        <v>530</v>
      </c>
      <c r="Q287">
        <v>80</v>
      </c>
      <c r="R287" s="29">
        <v>108</v>
      </c>
      <c r="S287" s="28">
        <f>IFERROR(PROPERTIES[[#This Row],[TE_STARTING_KN]]/(PROPERTIES[[#This Row],[WEIGHT]]*9.81),0)</f>
        <v>0.3058103975535168</v>
      </c>
      <c r="T287" s="28">
        <v>0.3</v>
      </c>
      <c r="U287" s="25">
        <f>ROUND(IF(IFERROR(PROPERTIES[[#This Row],[TE_COEFFICIENT_CALC]],0)=0,PROPERTIES[[#This Row],[TE_COEFFICIENT_MANUAL]],PROPERTIES[[#This Row],[TE_COEFFICIENT_CALC]]),3)</f>
        <v>0.30599999999999999</v>
      </c>
      <c r="V287" s="11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36">
        <v>0</v>
      </c>
      <c r="X287" s="9">
        <v>0</v>
      </c>
      <c r="Y287" s="10">
        <v>0</v>
      </c>
      <c r="Z287" t="s">
        <v>875</v>
      </c>
      <c r="AA287" t="s">
        <v>868</v>
      </c>
      <c r="AB287" s="2" t="s">
        <v>886</v>
      </c>
      <c r="AC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7" s="2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H287" s="10" t="b">
        <v>0</v>
      </c>
      <c r="AY287"/>
      <c r="AZ287"/>
      <c r="BA287"/>
    </row>
    <row r="288" spans="1:53">
      <c r="A288" s="2" t="s">
        <v>306</v>
      </c>
      <c r="B288">
        <v>1931</v>
      </c>
      <c r="C288" cm="1">
        <f t="array" ref="C288">_xlfn.IFS(ISNUMBER(SEARCH("wagon",PROPERTIES[[#This Row],[VEHIDCODE]])),0,OR(MID(PROPERTIES[[#This Row],[VEHIDCODE]],2,2)="mu",_xlfn.TEXTBEFORE(PROPERTIES[[#This Row],[VEHIDCODE]],"_")="mtro"),1,1=1,0)</f>
        <v>0</v>
      </c>
      <c r="D288" t="s">
        <v>1815</v>
      </c>
      <c r="E288" t="str">
        <f>_xlfn.XLOOKUP(PROPERTIES[[#This Row],[COUNTRY]],COUNTRIES[COUNTRY_DESCRIPTION],COUNTRIES[COUNTRY_LABEL],"")</f>
        <v>IT</v>
      </c>
      <c r="F288" t="str" cm="1">
        <f t="array" ref="F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8" t="s">
        <v>19</v>
      </c>
      <c r="H288">
        <v>0</v>
      </c>
      <c r="I288">
        <v>2</v>
      </c>
      <c r="J288">
        <v>2</v>
      </c>
      <c r="K288" t="str" cm="1">
        <f t="array" ref="K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8">
        <f>_xlfn.XLOOKUP("LOADINGSPEEDDEF_"&amp;PROPERTIES[[#This Row],[LOADINGSPEED]],LOADINGSPEEDDEF[TYPE],LOADINGSPEEDDEF[SPEED])</f>
        <v>20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f>IF(ISNUMBER(SEARCH("passenger",PROPERTIES[[#This Row],[CARGODEF]])),1,0)</f>
        <v>0</v>
      </c>
      <c r="O288" s="32">
        <v>6</v>
      </c>
      <c r="P288">
        <v>75</v>
      </c>
      <c r="Q288">
        <v>30</v>
      </c>
      <c r="R288" s="29">
        <v>13</v>
      </c>
      <c r="S288" s="28">
        <f>IFERROR(PROPERTIES[[#This Row],[TE_STARTING_KN]]/(PROPERTIES[[#This Row],[WEIGHT]]*9.81),0)</f>
        <v>0.22086306489976215</v>
      </c>
      <c r="T288" s="28">
        <v>0.27</v>
      </c>
      <c r="U288" s="25">
        <f>ROUND(IF(IFERROR(PROPERTIES[[#This Row],[TE_COEFFICIENT_CALC]],0)=0,PROPERTIES[[#This Row],[TE_COEFFICIENT_MANUAL]],PROPERTIES[[#This Row],[TE_COEFFICIENT_CALC]]),3)</f>
        <v>0.221</v>
      </c>
      <c r="V288" s="11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36">
        <v>0</v>
      </c>
      <c r="X288" s="9">
        <v>0</v>
      </c>
      <c r="Y288" s="10">
        <v>0</v>
      </c>
      <c r="Z288" t="s">
        <v>870</v>
      </c>
      <c r="AA288" t="s">
        <v>868</v>
      </c>
      <c r="AB288" s="2" t="s">
        <v>886</v>
      </c>
      <c r="AC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8" s="2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H288" s="10" t="b">
        <v>0</v>
      </c>
      <c r="AY288"/>
      <c r="AZ288"/>
      <c r="BA288"/>
    </row>
    <row r="289" spans="1:53">
      <c r="A289" s="2" t="s">
        <v>307</v>
      </c>
      <c r="B289">
        <v>1945</v>
      </c>
      <c r="C289" cm="1">
        <f t="array" ref="C289">_xlfn.IFS(ISNUMBER(SEARCH("wagon",PROPERTIES[[#This Row],[VEHIDCODE]])),0,OR(MID(PROPERTIES[[#This Row],[VEHIDCODE]],2,2)="mu",_xlfn.TEXTBEFORE(PROPERTIES[[#This Row],[VEHIDCODE]],"_")="mtro"),1,1=1,0)</f>
        <v>0</v>
      </c>
      <c r="D289" t="s">
        <v>1896</v>
      </c>
      <c r="E289" t="str">
        <f>_xlfn.XLOOKUP(PROPERTIES[[#This Row],[COUNTRY]],COUNTRIES[COUNTRY_DESCRIPTION],COUNTRIES[COUNTRY_LABEL],"")</f>
        <v>RU</v>
      </c>
      <c r="F289" t="str" cm="1">
        <f t="array" ref="F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9" t="s">
        <v>19</v>
      </c>
      <c r="H289">
        <v>0</v>
      </c>
      <c r="I289">
        <v>8</v>
      </c>
      <c r="J289">
        <v>8</v>
      </c>
      <c r="K289" t="str" cm="1">
        <f t="array" ref="K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9">
        <f>_xlfn.XLOOKUP("LOADINGSPEEDDEF_"&amp;PROPERTIES[[#This Row],[LOADINGSPEED]],LOADINGSPEEDDEF[TYPE],LOADINGSPEEDDEF[SPEED])</f>
        <v>20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f>IF(ISNUMBER(SEARCH("passenger",PROPERTIES[[#This Row],[CARGODEF]])),1,0)</f>
        <v>0</v>
      </c>
      <c r="O289" s="32">
        <v>122</v>
      </c>
      <c r="P289">
        <v>1000</v>
      </c>
      <c r="Q289">
        <v>97</v>
      </c>
      <c r="R289" s="29">
        <v>310</v>
      </c>
      <c r="S289" s="28">
        <f>IFERROR(PROPERTIES[[#This Row],[TE_STARTING_KN]]/(PROPERTIES[[#This Row],[WEIGHT]]*9.81),0)</f>
        <v>0.2590197356327601</v>
      </c>
      <c r="T289" s="28">
        <v>0.15</v>
      </c>
      <c r="U289" s="25">
        <f>ROUND(IF(IFERROR(PROPERTIES[[#This Row],[TE_COEFFICIENT_CALC]],0)=0,PROPERTIES[[#This Row],[TE_COEFFICIENT_MANUAL]],PROPERTIES[[#This Row],[TE_COEFFICIENT_CALC]]),3)</f>
        <v>0.25900000000000001</v>
      </c>
      <c r="V289" s="11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36">
        <v>0</v>
      </c>
      <c r="X289" s="9">
        <v>0</v>
      </c>
      <c r="Y289" s="10">
        <v>0</v>
      </c>
      <c r="Z289" t="s">
        <v>877</v>
      </c>
      <c r="AA289" t="s">
        <v>868</v>
      </c>
      <c r="AB289" s="2" t="s">
        <v>886</v>
      </c>
      <c r="AC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9" s="2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H289" s="10" t="b">
        <v>0</v>
      </c>
      <c r="AY289"/>
      <c r="AZ289"/>
      <c r="BA289"/>
    </row>
    <row r="290" spans="1:53">
      <c r="A290" s="2" t="s">
        <v>308</v>
      </c>
      <c r="B290">
        <v>1948</v>
      </c>
      <c r="C290" cm="1">
        <f t="array" ref="C290">_xlfn.IFS(ISNUMBER(SEARCH("wagon",PROPERTIES[[#This Row],[VEHIDCODE]])),0,OR(MID(PROPERTIES[[#This Row],[VEHIDCODE]],2,2)="mu",_xlfn.TEXTBEFORE(PROPERTIES[[#This Row],[VEHIDCODE]],"_")="mtro"),1,1=1,0)</f>
        <v>0</v>
      </c>
      <c r="D290" t="s">
        <v>1889</v>
      </c>
      <c r="E290" t="str">
        <f>_xlfn.XLOOKUP(PROPERTIES[[#This Row],[COUNTRY]],COUNTRIES[COUNTRY_DESCRIPTION],COUNTRIES[COUNTRY_LABEL],"")</f>
        <v>PT</v>
      </c>
      <c r="F290" t="str" cm="1">
        <f t="array" ref="F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0" t="s">
        <v>19</v>
      </c>
      <c r="H290">
        <v>0</v>
      </c>
      <c r="I290">
        <v>6</v>
      </c>
      <c r="J290">
        <v>6</v>
      </c>
      <c r="K290" t="str" cm="1">
        <f t="array" ref="K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0">
        <f>_xlfn.XLOOKUP("LOADINGSPEEDDEF_"&amp;PROPERTIES[[#This Row],[LOADINGSPEED]],LOADINGSPEEDDEF[TYPE],LOADINGSPEEDDEF[SPEED])</f>
        <v>20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f>IF(ISNUMBER(SEARCH("passenger",PROPERTIES[[#This Row],[CARGODEF]])),1,0)</f>
        <v>0</v>
      </c>
      <c r="O290" s="32">
        <v>111</v>
      </c>
      <c r="P290">
        <v>1500</v>
      </c>
      <c r="Q290">
        <v>120</v>
      </c>
      <c r="R290" s="29">
        <v>0</v>
      </c>
      <c r="S290" s="28">
        <f>IFERROR(PROPERTIES[[#This Row],[TE_STARTING_KN]]/(PROPERTIES[[#This Row],[WEIGHT]]*9.81),0)</f>
        <v>0</v>
      </c>
      <c r="T290" s="28">
        <v>0.15</v>
      </c>
      <c r="U290" s="25">
        <f>ROUND(IF(IFERROR(PROPERTIES[[#This Row],[TE_COEFFICIENT_CALC]],0)=0,PROPERTIES[[#This Row],[TE_COEFFICIENT_MANUAL]],PROPERTIES[[#This Row],[TE_COEFFICIENT_CALC]]),3)</f>
        <v>0.15</v>
      </c>
      <c r="V290" s="11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36">
        <v>0</v>
      </c>
      <c r="X290" s="9">
        <v>0</v>
      </c>
      <c r="Y290" s="10">
        <v>0</v>
      </c>
      <c r="Z290" t="s">
        <v>870</v>
      </c>
      <c r="AA290" t="s">
        <v>868</v>
      </c>
      <c r="AB290" s="2" t="s">
        <v>886</v>
      </c>
      <c r="AC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0" s="2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H290" s="10" t="b">
        <v>0</v>
      </c>
      <c r="AY290"/>
      <c r="AZ290"/>
      <c r="BA290"/>
    </row>
    <row r="291" spans="1:53">
      <c r="A291" s="2" t="s">
        <v>309</v>
      </c>
      <c r="B291">
        <v>1969</v>
      </c>
      <c r="C291" cm="1">
        <f t="array" ref="C291">_xlfn.IFS(ISNUMBER(SEARCH("wagon",PROPERTIES[[#This Row],[VEHIDCODE]])),0,OR(MID(PROPERTIES[[#This Row],[VEHIDCODE]],2,2)="mu",_xlfn.TEXTBEFORE(PROPERTIES[[#This Row],[VEHIDCODE]],"_")="mtro"),1,1=1,0)</f>
        <v>0</v>
      </c>
      <c r="D291" t="s">
        <v>1781</v>
      </c>
      <c r="E291" t="str">
        <f>_xlfn.XLOOKUP(PROPERTIES[[#This Row],[COUNTRY]],COUNTRIES[COUNTRY_DESCRIPTION],COUNTRIES[COUNTRY_LABEL],"")</f>
        <v>FR</v>
      </c>
      <c r="F291" t="str" cm="1">
        <f t="array" ref="F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1" t="s">
        <v>19</v>
      </c>
      <c r="H291">
        <v>0</v>
      </c>
      <c r="I291">
        <v>8</v>
      </c>
      <c r="J291">
        <v>8</v>
      </c>
      <c r="K291" t="str" cm="1">
        <f t="array" ref="K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1">
        <f>_xlfn.XLOOKUP("LOADINGSPEEDDEF_"&amp;PROPERTIES[[#This Row],[LOADINGSPEED]],LOADINGSPEEDDEF[TYPE],LOADINGSPEEDDEF[SPEED])</f>
        <v>20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f>IF(ISNUMBER(SEARCH("passenger",PROPERTIES[[#This Row],[CARGODEF]])),1,0)</f>
        <v>0</v>
      </c>
      <c r="O291" s="32">
        <v>83</v>
      </c>
      <c r="P291">
        <v>2367</v>
      </c>
      <c r="Q291">
        <v>140</v>
      </c>
      <c r="R291" s="29">
        <v>250</v>
      </c>
      <c r="S291" s="28">
        <f>IFERROR(PROPERTIES[[#This Row],[TE_STARTING_KN]]/(PROPERTIES[[#This Row],[WEIGHT]]*9.81),0)</f>
        <v>0.30703855176055905</v>
      </c>
      <c r="T291" s="28">
        <v>0.34</v>
      </c>
      <c r="U291" s="25">
        <f>ROUND(IF(IFERROR(PROPERTIES[[#This Row],[TE_COEFFICIENT_CALC]],0)=0,PROPERTIES[[#This Row],[TE_COEFFICIENT_MANUAL]],PROPERTIES[[#This Row],[TE_COEFFICIENT_CALC]]),3)</f>
        <v>0.307</v>
      </c>
      <c r="V291" s="11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36">
        <v>0</v>
      </c>
      <c r="X291" s="9">
        <v>0</v>
      </c>
      <c r="Y291" s="10">
        <v>0</v>
      </c>
      <c r="Z291" t="s">
        <v>869</v>
      </c>
      <c r="AA291" t="s">
        <v>868</v>
      </c>
      <c r="AB291" s="2" t="s">
        <v>886</v>
      </c>
      <c r="AC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1" s="2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H291" s="10" t="b">
        <v>0</v>
      </c>
      <c r="AY291"/>
      <c r="AZ291"/>
      <c r="BA291"/>
    </row>
    <row r="292" spans="1:53">
      <c r="A292" s="2" t="s">
        <v>310</v>
      </c>
      <c r="B292">
        <v>1988</v>
      </c>
      <c r="C292" cm="1">
        <f t="array" ref="C292">_xlfn.IFS(ISNUMBER(SEARCH("wagon",PROPERTIES[[#This Row],[VEHIDCODE]])),0,OR(MID(PROPERTIES[[#This Row],[VEHIDCODE]],2,2)="mu",_xlfn.TEXTBEFORE(PROPERTIES[[#This Row],[VEHIDCODE]],"_")="mtro"),1,1=1,0)</f>
        <v>0</v>
      </c>
      <c r="D292" t="s">
        <v>1871</v>
      </c>
      <c r="E292" t="str">
        <f>_xlfn.XLOOKUP(PROPERTIES[[#This Row],[COUNTRY]],COUNTRIES[COUNTRY_DESCRIPTION],COUNTRIES[COUNTRY_LABEL],"")</f>
        <v>NL</v>
      </c>
      <c r="F292" t="str" cm="1">
        <f t="array" ref="F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2" t="s">
        <v>19</v>
      </c>
      <c r="H292">
        <v>0</v>
      </c>
      <c r="I292">
        <v>6</v>
      </c>
      <c r="J292">
        <v>6</v>
      </c>
      <c r="K292" t="str" cm="1">
        <f t="array" ref="K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2">
        <f>_xlfn.XLOOKUP("LOADINGSPEEDDEF_"&amp;PROPERTIES[[#This Row],[LOADINGSPEED]],LOADINGSPEEDDEF[TYPE],LOADINGSPEEDDEF[SPEED])</f>
        <v>20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f>IF(ISNUMBER(SEARCH("passenger",PROPERTIES[[#This Row],[CARGODEF]])),1,0)</f>
        <v>0</v>
      </c>
      <c r="O292" s="32">
        <v>80</v>
      </c>
      <c r="P292">
        <v>1580</v>
      </c>
      <c r="Q292">
        <v>120</v>
      </c>
      <c r="R292" s="29">
        <v>290</v>
      </c>
      <c r="S292" s="28">
        <f>IFERROR(PROPERTIES[[#This Row],[TE_STARTING_KN]]/(PROPERTIES[[#This Row],[WEIGHT]]*9.81),0)</f>
        <v>0.36952089704383279</v>
      </c>
      <c r="T292" s="28">
        <v>0.38</v>
      </c>
      <c r="U292" s="25">
        <f>ROUND(IF(IFERROR(PROPERTIES[[#This Row],[TE_COEFFICIENT_CALC]],0)=0,PROPERTIES[[#This Row],[TE_COEFFICIENT_MANUAL]],PROPERTIES[[#This Row],[TE_COEFFICIENT_CALC]]),3)</f>
        <v>0.37</v>
      </c>
      <c r="V292" s="11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36">
        <v>0</v>
      </c>
      <c r="X292" s="9">
        <v>0</v>
      </c>
      <c r="Y292" s="10">
        <v>0</v>
      </c>
      <c r="Z292" t="s">
        <v>869</v>
      </c>
      <c r="AA292" t="s">
        <v>868</v>
      </c>
      <c r="AB292" s="2" t="s">
        <v>886</v>
      </c>
      <c r="AC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2" s="2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H292" s="10" t="b">
        <v>0</v>
      </c>
      <c r="AY292"/>
      <c r="AZ292"/>
      <c r="BA292"/>
    </row>
    <row r="293" spans="1:53">
      <c r="A293" s="2" t="s">
        <v>311</v>
      </c>
      <c r="B293">
        <v>2009</v>
      </c>
      <c r="C293" cm="1">
        <f t="array" ref="C293">_xlfn.IFS(ISNUMBER(SEARCH("wagon",PROPERTIES[[#This Row],[VEHIDCODE]])),0,OR(MID(PROPERTIES[[#This Row],[VEHIDCODE]],2,2)="mu",_xlfn.TEXTBEFORE(PROPERTIES[[#This Row],[VEHIDCODE]],"_")="mtro"),1,1=1,0)</f>
        <v>0</v>
      </c>
      <c r="D293" t="s">
        <v>1771</v>
      </c>
      <c r="E293" t="str">
        <f>_xlfn.XLOOKUP(PROPERTIES[[#This Row],[COUNTRY]],COUNTRIES[COUNTRY_DESCRIPTION],COUNTRIES[COUNTRY_LABEL],"")</f>
        <v>EG</v>
      </c>
      <c r="F293" t="str" cm="1">
        <f t="array" ref="F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3" t="s">
        <v>19</v>
      </c>
      <c r="H293">
        <v>0</v>
      </c>
      <c r="I293">
        <v>8</v>
      </c>
      <c r="J293">
        <v>8</v>
      </c>
      <c r="K293" t="str" cm="1">
        <f t="array" ref="K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3">
        <f>_xlfn.XLOOKUP("LOADINGSPEEDDEF_"&amp;PROPERTIES[[#This Row],[LOADINGSPEED]],LOADINGSPEEDDEF[TYPE],LOADINGSPEEDDEF[SPEED])</f>
        <v>20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f>IF(ISNUMBER(SEARCH("passenger",PROPERTIES[[#This Row],[CARGODEF]])),1,0)</f>
        <v>0</v>
      </c>
      <c r="O293" s="32">
        <v>140</v>
      </c>
      <c r="P293">
        <v>4250</v>
      </c>
      <c r="Q293">
        <v>121</v>
      </c>
      <c r="R293" s="29">
        <v>810</v>
      </c>
      <c r="S293" s="28">
        <f>IFERROR(PROPERTIES[[#This Row],[TE_STARTING_KN]]/(PROPERTIES[[#This Row],[WEIGHT]]*9.81),0)</f>
        <v>0.58977719528178241</v>
      </c>
      <c r="T293" s="28">
        <v>0.53</v>
      </c>
      <c r="U293" s="25">
        <f>ROUND(IF(IFERROR(PROPERTIES[[#This Row],[TE_COEFFICIENT_CALC]],0)=0,PROPERTIES[[#This Row],[TE_COEFFICIENT_MANUAL]],PROPERTIES[[#This Row],[TE_COEFFICIENT_CALC]]),3)</f>
        <v>0.59</v>
      </c>
      <c r="V293" s="11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36">
        <v>0</v>
      </c>
      <c r="X293" s="9">
        <v>0</v>
      </c>
      <c r="Y293" s="10">
        <v>0</v>
      </c>
      <c r="Z293" t="s">
        <v>872</v>
      </c>
      <c r="AA293" t="s">
        <v>868</v>
      </c>
      <c r="AB293" s="2" t="s">
        <v>886</v>
      </c>
      <c r="AC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3" s="2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H293" s="10" t="b">
        <v>0</v>
      </c>
      <c r="AY293"/>
      <c r="AZ293"/>
      <c r="BA293"/>
    </row>
    <row r="294" spans="1:53">
      <c r="A294" s="2" t="s">
        <v>312</v>
      </c>
      <c r="B294">
        <v>2014</v>
      </c>
      <c r="C294" cm="1">
        <f t="array" ref="C294">_xlfn.IFS(ISNUMBER(SEARCH("wagon",PROPERTIES[[#This Row],[VEHIDCODE]])),0,OR(MID(PROPERTIES[[#This Row],[VEHIDCODE]],2,2)="mu",_xlfn.TEXTBEFORE(PROPERTIES[[#This Row],[VEHIDCODE]],"_")="mtro"),1,1=1,0)</f>
        <v>0</v>
      </c>
      <c r="D294" t="s">
        <v>1951</v>
      </c>
      <c r="E294" t="str">
        <f>_xlfn.XLOOKUP(PROPERTIES[[#This Row],[COUNTRY]],COUNTRIES[COUNTRY_DESCRIPTION],COUNTRIES[COUNTRY_LABEL],"")</f>
        <v>ZA</v>
      </c>
      <c r="F294" t="str" cm="1">
        <f t="array" ref="F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4" t="s">
        <v>19</v>
      </c>
      <c r="H294">
        <v>0</v>
      </c>
      <c r="I294">
        <v>8</v>
      </c>
      <c r="J294">
        <v>8</v>
      </c>
      <c r="K294" t="str" cm="1">
        <f t="array" ref="K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4">
        <f>_xlfn.XLOOKUP("LOADINGSPEEDDEF_"&amp;PROPERTIES[[#This Row],[LOADINGSPEED]],LOADINGSPEEDDEF[TYPE],LOADINGSPEEDDEF[SPEED])</f>
        <v>20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f>IF(ISNUMBER(SEARCH("passenger",PROPERTIES[[#This Row],[CARGODEF]])),1,0)</f>
        <v>0</v>
      </c>
      <c r="O294" s="32">
        <v>123</v>
      </c>
      <c r="P294">
        <v>4262</v>
      </c>
      <c r="Q294">
        <v>130</v>
      </c>
      <c r="R294" s="29">
        <v>0</v>
      </c>
      <c r="S294" s="28">
        <f>IFERROR(PROPERTIES[[#This Row],[TE_STARTING_KN]]/(PROPERTIES[[#This Row],[WEIGHT]]*9.81),0)</f>
        <v>0</v>
      </c>
      <c r="T294" s="28">
        <v>0.26</v>
      </c>
      <c r="U294" s="25">
        <f>ROUND(IF(IFERROR(PROPERTIES[[#This Row],[TE_COEFFICIENT_CALC]],0)=0,PROPERTIES[[#This Row],[TE_COEFFICIENT_MANUAL]],PROPERTIES[[#This Row],[TE_COEFFICIENT_CALC]]),3)</f>
        <v>0.26</v>
      </c>
      <c r="V294" s="11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36">
        <v>0</v>
      </c>
      <c r="X294" s="9">
        <v>0</v>
      </c>
      <c r="Y294" s="10">
        <v>0</v>
      </c>
      <c r="Z294" t="s">
        <v>872</v>
      </c>
      <c r="AA294" t="s">
        <v>868</v>
      </c>
      <c r="AB294" s="2" t="s">
        <v>886</v>
      </c>
      <c r="AC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4" s="2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H294" s="10" t="b">
        <v>0</v>
      </c>
      <c r="AY294"/>
      <c r="AZ294"/>
      <c r="BA294"/>
    </row>
    <row r="295" spans="1:53">
      <c r="A295" s="2" t="s">
        <v>313</v>
      </c>
      <c r="B295">
        <v>1966</v>
      </c>
      <c r="C295" cm="1">
        <f t="array" ref="C295">_xlfn.IFS(ISNUMBER(SEARCH("wagon",PROPERTIES[[#This Row],[VEHIDCODE]])),0,OR(MID(PROPERTIES[[#This Row],[VEHIDCODE]],2,2)="mu",_xlfn.TEXTBEFORE(PROPERTIES[[#This Row],[VEHIDCODE]],"_")="mtro"),1,1=1,0)</f>
        <v>0</v>
      </c>
      <c r="D295" t="s">
        <v>1774</v>
      </c>
      <c r="E295" t="str">
        <f>_xlfn.XLOOKUP(PROPERTIES[[#This Row],[COUNTRY]],COUNTRIES[COUNTRY_DESCRIPTION],COUNTRIES[COUNTRY_LABEL],"")</f>
        <v>ES</v>
      </c>
      <c r="F295" t="str" cm="1">
        <f t="array" ref="F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5" t="s">
        <v>19</v>
      </c>
      <c r="H295">
        <v>0</v>
      </c>
      <c r="I295">
        <v>5</v>
      </c>
      <c r="J295">
        <v>5</v>
      </c>
      <c r="K295" t="str" cm="1">
        <f t="array" ref="K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5">
        <f>_xlfn.XLOOKUP("LOADINGSPEEDDEF_"&amp;PROPERTIES[[#This Row],[LOADINGSPEED]],LOADINGSPEEDDEF[TYPE],LOADINGSPEEDDEF[SPEED])</f>
        <v>20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f>IF(ISNUMBER(SEARCH("passenger",PROPERTIES[[#This Row],[CARGODEF]])),1,0)</f>
        <v>0</v>
      </c>
      <c r="O295" s="32">
        <v>64</v>
      </c>
      <c r="P295">
        <v>710</v>
      </c>
      <c r="Q295">
        <v>120</v>
      </c>
      <c r="R295" s="29">
        <v>126</v>
      </c>
      <c r="S295" s="28">
        <f>IFERROR(PROPERTIES[[#This Row],[TE_STARTING_KN]]/(PROPERTIES[[#This Row],[WEIGHT]]*9.81),0)</f>
        <v>0.2006880733944954</v>
      </c>
      <c r="T295" s="28">
        <v>0.2</v>
      </c>
      <c r="U295" s="25">
        <f>ROUND(IF(IFERROR(PROPERTIES[[#This Row],[TE_COEFFICIENT_CALC]],0)=0,PROPERTIES[[#This Row],[TE_COEFFICIENT_MANUAL]],PROPERTIES[[#This Row],[TE_COEFFICIENT_CALC]]),3)</f>
        <v>0.20100000000000001</v>
      </c>
      <c r="V295" s="11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36">
        <v>0</v>
      </c>
      <c r="X295" s="9">
        <v>0</v>
      </c>
      <c r="Y295" s="10">
        <v>0</v>
      </c>
      <c r="Z295" t="s">
        <v>870</v>
      </c>
      <c r="AA295" t="s">
        <v>868</v>
      </c>
      <c r="AB295" s="2" t="s">
        <v>886</v>
      </c>
      <c r="AC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5" s="2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H295" s="10" t="b">
        <v>0</v>
      </c>
      <c r="AY295"/>
      <c r="AZ295"/>
      <c r="BA295"/>
    </row>
    <row r="296" spans="1:53">
      <c r="A296" s="2" t="s">
        <v>314</v>
      </c>
      <c r="B296">
        <v>2002</v>
      </c>
      <c r="C296" cm="1">
        <f t="array" ref="C296">_xlfn.IFS(ISNUMBER(SEARCH("wagon",PROPERTIES[[#This Row],[VEHIDCODE]])),0,OR(MID(PROPERTIES[[#This Row],[VEHIDCODE]],2,2)="mu",_xlfn.TEXTBEFORE(PROPERTIES[[#This Row],[VEHIDCODE]],"_")="mtro"),1,1=1,0)</f>
        <v>0</v>
      </c>
      <c r="D296" t="s">
        <v>1719</v>
      </c>
      <c r="E296" t="str">
        <f>_xlfn.XLOOKUP(PROPERTIES[[#This Row],[COUNTRY]],COUNTRIES[COUNTRY_DESCRIPTION],COUNTRIES[COUNTRY_LABEL],"")</f>
        <v>AU</v>
      </c>
      <c r="F296" t="str" cm="1">
        <f t="array" ref="F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6" t="s">
        <v>19</v>
      </c>
      <c r="H296">
        <v>0</v>
      </c>
      <c r="I296">
        <v>7</v>
      </c>
      <c r="J296">
        <v>7</v>
      </c>
      <c r="K296" t="str" cm="1">
        <f t="array" ref="K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6">
        <f>_xlfn.XLOOKUP("LOADINGSPEEDDEF_"&amp;PROPERTIES[[#This Row],[LOADINGSPEED]],LOADINGSPEEDDEF[TYPE],LOADINGSPEEDDEF[SPEED])</f>
        <v>20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f>IF(ISNUMBER(SEARCH("passenger",PROPERTIES[[#This Row],[CARGODEF]])),1,0)</f>
        <v>0</v>
      </c>
      <c r="O296" s="32">
        <v>124</v>
      </c>
      <c r="P296">
        <v>3300</v>
      </c>
      <c r="Q296">
        <v>115</v>
      </c>
      <c r="R296" s="29">
        <v>385</v>
      </c>
      <c r="S296" s="28">
        <f>IFERROR(PROPERTIES[[#This Row],[TE_STARTING_KN]]/(PROPERTIES[[#This Row],[WEIGHT]]*9.81),0)</f>
        <v>0.3164973200486666</v>
      </c>
      <c r="T296" s="28">
        <v>0.34</v>
      </c>
      <c r="U296" s="25">
        <f>ROUND(IF(IFERROR(PROPERTIES[[#This Row],[TE_COEFFICIENT_CALC]],0)=0,PROPERTIES[[#This Row],[TE_COEFFICIENT_MANUAL]],PROPERTIES[[#This Row],[TE_COEFFICIENT_CALC]]),3)</f>
        <v>0.316</v>
      </c>
      <c r="V296" s="11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36">
        <v>0</v>
      </c>
      <c r="X296" s="9">
        <v>0</v>
      </c>
      <c r="Y296" s="10">
        <v>0</v>
      </c>
      <c r="Z296" t="s">
        <v>871</v>
      </c>
      <c r="AA296" t="s">
        <v>868</v>
      </c>
      <c r="AB296" s="2" t="s">
        <v>886</v>
      </c>
      <c r="AC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6" s="2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6" s="2" t="b">
        <v>0</v>
      </c>
      <c r="AH296" s="10" t="b">
        <v>0</v>
      </c>
      <c r="AY296"/>
      <c r="AZ296"/>
      <c r="BA296"/>
    </row>
    <row r="297" spans="1:53">
      <c r="A297" s="2" t="s">
        <v>315</v>
      </c>
      <c r="B297">
        <v>2006</v>
      </c>
      <c r="C297" cm="1">
        <f t="array" ref="C297">_xlfn.IFS(ISNUMBER(SEARCH("wagon",PROPERTIES[[#This Row],[VEHIDCODE]])),0,OR(MID(PROPERTIES[[#This Row],[VEHIDCODE]],2,2)="mu",_xlfn.TEXTBEFORE(PROPERTIES[[#This Row],[VEHIDCODE]],"_")="mtro"),1,1=1,0)</f>
        <v>0</v>
      </c>
      <c r="D297" t="s">
        <v>1872</v>
      </c>
      <c r="E297" t="str">
        <f>_xlfn.XLOOKUP(PROPERTIES[[#This Row],[COUNTRY]],COUNTRIES[COUNTRY_DESCRIPTION],COUNTRIES[COUNTRY_LABEL],"")</f>
        <v>NO</v>
      </c>
      <c r="F297" t="str" cm="1">
        <f t="array" ref="F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7" t="s">
        <v>19</v>
      </c>
      <c r="H297">
        <v>0</v>
      </c>
      <c r="I297">
        <v>8</v>
      </c>
      <c r="J297">
        <v>8</v>
      </c>
      <c r="K297" t="str" cm="1">
        <f t="array" ref="K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7">
        <f>_xlfn.XLOOKUP("LOADINGSPEEDDEF_"&amp;PROPERTIES[[#This Row],[LOADINGSPEED]],LOADINGSPEEDDEF[TYPE],LOADINGSPEEDDEF[SPEED])</f>
        <v>20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f>IF(ISNUMBER(SEARCH("passenger",PROPERTIES[[#This Row],[CARGODEF]])),1,0)</f>
        <v>0</v>
      </c>
      <c r="O297" s="32">
        <v>123</v>
      </c>
      <c r="P297">
        <v>4262</v>
      </c>
      <c r="Q297">
        <v>120</v>
      </c>
      <c r="R297" s="29">
        <v>400</v>
      </c>
      <c r="S297" s="28">
        <f>IFERROR(PROPERTIES[[#This Row],[TE_STARTING_KN]]/(PROPERTIES[[#This Row],[WEIGHT]]*9.81),0)</f>
        <v>0.33150178596587188</v>
      </c>
      <c r="T297" s="28">
        <v>0.33</v>
      </c>
      <c r="U297" s="25">
        <f>ROUND(IF(IFERROR(PROPERTIES[[#This Row],[TE_COEFFICIENT_CALC]],0)=0,PROPERTIES[[#This Row],[TE_COEFFICIENT_MANUAL]],PROPERTIES[[#This Row],[TE_COEFFICIENT_CALC]]),3)</f>
        <v>0.33200000000000002</v>
      </c>
      <c r="V297" s="11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36">
        <v>0</v>
      </c>
      <c r="X297" s="9">
        <v>0</v>
      </c>
      <c r="Y297" s="10">
        <v>0</v>
      </c>
      <c r="Z297" t="s">
        <v>873</v>
      </c>
      <c r="AA297" t="s">
        <v>868</v>
      </c>
      <c r="AB297" s="2" t="s">
        <v>886</v>
      </c>
      <c r="AC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7" s="2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H297" s="10" t="b">
        <v>0</v>
      </c>
      <c r="AY297"/>
      <c r="AZ297"/>
      <c r="BA297"/>
    </row>
    <row r="298" spans="1:53">
      <c r="A298" s="2" t="s">
        <v>316</v>
      </c>
      <c r="B298">
        <v>2008</v>
      </c>
      <c r="C298" cm="1">
        <f t="array" ref="C298">_xlfn.IFS(ISNUMBER(SEARCH("wagon",PROPERTIES[[#This Row],[VEHIDCODE]])),0,OR(MID(PROPERTIES[[#This Row],[VEHIDCODE]],2,2)="mu",_xlfn.TEXTBEFORE(PROPERTIES[[#This Row],[VEHIDCODE]],"_")="mtro"),1,1=1,0)</f>
        <v>0</v>
      </c>
      <c r="D298" t="s">
        <v>1719</v>
      </c>
      <c r="E298" t="str">
        <f>_xlfn.XLOOKUP(PROPERTIES[[#This Row],[COUNTRY]],COUNTRIES[COUNTRY_DESCRIPTION],COUNTRIES[COUNTRY_LABEL],"")</f>
        <v>AU</v>
      </c>
      <c r="F298" t="str" cm="1">
        <f t="array" ref="F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8" t="s">
        <v>19</v>
      </c>
      <c r="H298">
        <v>0</v>
      </c>
      <c r="I298">
        <v>8</v>
      </c>
      <c r="J298">
        <v>8</v>
      </c>
      <c r="K298" t="str" cm="1">
        <f t="array" ref="K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8">
        <f>_xlfn.XLOOKUP("LOADINGSPEEDDEF_"&amp;PROPERTIES[[#This Row],[LOADINGSPEED]],LOADINGSPEEDDEF[TYPE],LOADINGSPEEDDEF[SPEED])</f>
        <v>20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f>IF(ISNUMBER(SEARCH("passenger",PROPERTIES[[#This Row],[CARGODEF]])),1,0)</f>
        <v>0</v>
      </c>
      <c r="O298" s="32">
        <v>140</v>
      </c>
      <c r="P298">
        <v>4520</v>
      </c>
      <c r="Q298">
        <v>115</v>
      </c>
      <c r="R298" s="29">
        <v>535</v>
      </c>
      <c r="S298" s="28">
        <f>IFERROR(PROPERTIES[[#This Row],[TE_STARTING_KN]]/(PROPERTIES[[#This Row],[WEIGHT]]*9.81),0)</f>
        <v>0.38954419688364639</v>
      </c>
      <c r="T298" s="28">
        <v>0.38</v>
      </c>
      <c r="U298" s="25">
        <f>ROUND(IF(IFERROR(PROPERTIES[[#This Row],[TE_COEFFICIENT_CALC]],0)=0,PROPERTIES[[#This Row],[TE_COEFFICIENT_MANUAL]],PROPERTIES[[#This Row],[TE_COEFFICIENT_CALC]]),3)</f>
        <v>0.39</v>
      </c>
      <c r="V298" s="11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36">
        <v>0</v>
      </c>
      <c r="X298" s="9">
        <v>0</v>
      </c>
      <c r="Y298" s="10">
        <v>0</v>
      </c>
      <c r="Z298" t="s">
        <v>871</v>
      </c>
      <c r="AA298" t="s">
        <v>868</v>
      </c>
      <c r="AB298" s="2" t="s">
        <v>886</v>
      </c>
      <c r="AC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8" s="2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8" s="2" t="b">
        <v>0</v>
      </c>
      <c r="AH298" s="10" t="b">
        <v>0</v>
      </c>
      <c r="AY298"/>
      <c r="AZ298"/>
      <c r="BA298"/>
    </row>
    <row r="299" spans="1:53">
      <c r="A299" s="2" t="s">
        <v>317</v>
      </c>
      <c r="B299">
        <v>2014</v>
      </c>
      <c r="C299" cm="1">
        <f t="array" ref="C299">_xlfn.IFS(ISNUMBER(SEARCH("wagon",PROPERTIES[[#This Row],[VEHIDCODE]])),0,OR(MID(PROPERTIES[[#This Row],[VEHIDCODE]],2,2)="mu",_xlfn.TEXTBEFORE(PROPERTIES[[#This Row],[VEHIDCODE]],"_")="mtro"),1,1=1,0)</f>
        <v>0</v>
      </c>
      <c r="D299" t="s">
        <v>1782</v>
      </c>
      <c r="E299" t="str">
        <f>_xlfn.XLOOKUP(PROPERTIES[[#This Row],[COUNTRY]],COUNTRIES[COUNTRY_DESCRIPTION],COUNTRIES[COUNTRY_LABEL],"")</f>
        <v>GB</v>
      </c>
      <c r="F299" t="str" cm="1">
        <f t="array" ref="F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9" t="s">
        <v>19</v>
      </c>
      <c r="H299">
        <v>0</v>
      </c>
      <c r="I299">
        <v>8</v>
      </c>
      <c r="J299">
        <v>8</v>
      </c>
      <c r="K299" t="str" cm="1">
        <f t="array" ref="K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9">
        <f>_xlfn.XLOOKUP("LOADINGSPEEDDEF_"&amp;PROPERTIES[[#This Row],[LOADINGSPEED]],LOADINGSPEEDDEF[TYPE],LOADINGSPEEDDEF[SPEED])</f>
        <v>20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f>IF(ISNUMBER(SEARCH("passenger",PROPERTIES[[#This Row],[CARGODEF]])),1,0)</f>
        <v>0</v>
      </c>
      <c r="O299" s="32">
        <v>85</v>
      </c>
      <c r="P299">
        <v>3800</v>
      </c>
      <c r="Q299">
        <v>160</v>
      </c>
      <c r="R299" s="29">
        <v>317</v>
      </c>
      <c r="S299" s="28">
        <f>IFERROR(PROPERTIES[[#This Row],[TE_STARTING_KN]]/(PROPERTIES[[#This Row],[WEIGHT]]*9.81),0)</f>
        <v>0.38016429813515618</v>
      </c>
      <c r="T299" s="28">
        <v>0.37</v>
      </c>
      <c r="U299" s="25">
        <f>ROUND(IF(IFERROR(PROPERTIES[[#This Row],[TE_COEFFICIENT_CALC]],0)=0,PROPERTIES[[#This Row],[TE_COEFFICIENT_MANUAL]],PROPERTIES[[#This Row],[TE_COEFFICIENT_CALC]]),3)</f>
        <v>0.38</v>
      </c>
      <c r="V299" s="11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36">
        <v>0</v>
      </c>
      <c r="X299" s="9">
        <v>0</v>
      </c>
      <c r="Y299" s="10">
        <v>0</v>
      </c>
      <c r="Z299" t="s">
        <v>873</v>
      </c>
      <c r="AA299" t="s">
        <v>868</v>
      </c>
      <c r="AB299" s="2" t="s">
        <v>886</v>
      </c>
      <c r="AC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9" s="2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H299" s="10" t="b">
        <v>0</v>
      </c>
      <c r="AY299"/>
      <c r="AZ299"/>
      <c r="BA299"/>
    </row>
    <row r="300" spans="1:53">
      <c r="A300" s="2" t="s">
        <v>318</v>
      </c>
      <c r="B300">
        <v>2015</v>
      </c>
      <c r="C300" cm="1">
        <f t="array" ref="C300">_xlfn.IFS(ISNUMBER(SEARCH("wagon",PROPERTIES[[#This Row],[VEHIDCODE]])),0,OR(MID(PROPERTIES[[#This Row],[VEHIDCODE]],2,2)="mu",_xlfn.TEXTBEFORE(PROPERTIES[[#This Row],[VEHIDCODE]],"_")="mtro"),1,1=1,0)</f>
        <v>0</v>
      </c>
      <c r="D300" t="s">
        <v>1937</v>
      </c>
      <c r="E300" t="str">
        <f>_xlfn.XLOOKUP(PROPERTIES[[#This Row],[COUNTRY]],COUNTRIES[COUNTRY_DESCRIPTION],COUNTRIES[COUNTRY_LABEL],"")</f>
        <v>US</v>
      </c>
      <c r="F300" t="str" cm="1">
        <f t="array" ref="F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0" t="s">
        <v>19</v>
      </c>
      <c r="H300">
        <v>0</v>
      </c>
      <c r="I300">
        <v>8</v>
      </c>
      <c r="J300">
        <v>8</v>
      </c>
      <c r="K300" t="str" cm="1">
        <f t="array" ref="K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00">
        <f>_xlfn.XLOOKUP("LOADINGSPEEDDEF_"&amp;PROPERTIES[[#This Row],[LOADINGSPEED]],LOADINGSPEEDDEF[TYPE],LOADINGSPEEDDEF[SPEED])</f>
        <v>20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f>IF(ISNUMBER(SEARCH("passenger",PROPERTIES[[#This Row],[CARGODEF]])),1,0)</f>
        <v>0</v>
      </c>
      <c r="O300" s="32">
        <v>120</v>
      </c>
      <c r="P300">
        <v>4200</v>
      </c>
      <c r="Q300">
        <v>201</v>
      </c>
      <c r="R300" s="29">
        <v>290</v>
      </c>
      <c r="S300" s="28">
        <f>IFERROR(PROPERTIES[[#This Row],[TE_STARTING_KN]]/(PROPERTIES[[#This Row],[WEIGHT]]*9.81),0)</f>
        <v>0.24634726469588855</v>
      </c>
      <c r="T300" s="28">
        <v>0.24</v>
      </c>
      <c r="U300" s="25">
        <f>ROUND(IF(IFERROR(PROPERTIES[[#This Row],[TE_COEFFICIENT_CALC]],0)=0,PROPERTIES[[#This Row],[TE_COEFFICIENT_MANUAL]],PROPERTIES[[#This Row],[TE_COEFFICIENT_CALC]]),3)</f>
        <v>0.246</v>
      </c>
      <c r="V300" s="11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36">
        <v>0</v>
      </c>
      <c r="X300" s="9">
        <v>0</v>
      </c>
      <c r="Y300" s="10">
        <v>0</v>
      </c>
      <c r="Z300" t="s">
        <v>874</v>
      </c>
      <c r="AA300" t="s">
        <v>868</v>
      </c>
      <c r="AB300" s="2" t="s">
        <v>886</v>
      </c>
      <c r="AC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300" s="2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H300" s="10" t="b">
        <v>0</v>
      </c>
      <c r="AY300"/>
      <c r="AZ300"/>
      <c r="BA300"/>
    </row>
    <row r="301" spans="1:53">
      <c r="A301" s="2" t="s">
        <v>319</v>
      </c>
      <c r="B301">
        <v>1911</v>
      </c>
      <c r="C301" cm="1">
        <f t="array" ref="C301">_xlfn.IFS(ISNUMBER(SEARCH("wagon",PROPERTIES[[#This Row],[VEHIDCODE]])),0,OR(MID(PROPERTIES[[#This Row],[VEHIDCODE]],2,2)="mu",_xlfn.TEXTBEFORE(PROPERTIES[[#This Row],[VEHIDCODE]],"_")="mtro"),1,1=1,0)</f>
        <v>1</v>
      </c>
      <c r="D301" t="s">
        <v>1716</v>
      </c>
      <c r="E301" t="str">
        <f>_xlfn.XLOOKUP(PROPERTIES[[#This Row],[COUNTRY]],COUNTRIES[COUNTRY_DESCRIPTION],COUNTRIES[COUNTRY_LABEL],"")</f>
        <v>AR</v>
      </c>
      <c r="F301" t="str" cm="1">
        <f t="array" ref="F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1" t="s">
        <v>320</v>
      </c>
      <c r="H301">
        <v>84</v>
      </c>
      <c r="I301">
        <v>7</v>
      </c>
      <c r="J301">
        <v>7</v>
      </c>
      <c r="K301" t="str" cm="1">
        <f t="array" ref="K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f>IF(ISNUMBER(SEARCH("passenger",PROPERTIES[[#This Row],[CARGODEF]])),1,0)</f>
        <v>1</v>
      </c>
      <c r="O301" s="32">
        <v>13.5</v>
      </c>
      <c r="P301">
        <v>310</v>
      </c>
      <c r="Q301">
        <v>50</v>
      </c>
      <c r="R301" s="29">
        <v>0</v>
      </c>
      <c r="S301" s="28">
        <f>IFERROR(PROPERTIES[[#This Row],[TE_STARTING_KN]]/(PROPERTIES[[#This Row],[WEIGHT]]*9.81),0)</f>
        <v>0</v>
      </c>
      <c r="T301" s="28">
        <v>0.2</v>
      </c>
      <c r="U301" s="25">
        <f>ROUND(IF(IFERROR(PROPERTIES[[#This Row],[TE_COEFFICIENT_CALC]],0)=0,PROPERTIES[[#This Row],[TE_COEFFICIENT_MANUAL]],PROPERTIES[[#This Row],[TE_COEFFICIENT_CALC]]),3)</f>
        <v>0.2</v>
      </c>
      <c r="V301" s="11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36">
        <v>142</v>
      </c>
      <c r="X301" s="9">
        <v>7</v>
      </c>
      <c r="Y301" s="10">
        <v>0</v>
      </c>
      <c r="Z301" t="s">
        <v>876</v>
      </c>
      <c r="AA301" t="s">
        <v>868</v>
      </c>
      <c r="AB301" s="2" t="s">
        <v>886</v>
      </c>
      <c r="AC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1" s="2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H301" s="10" t="b">
        <v>0</v>
      </c>
      <c r="AY301"/>
      <c r="AZ301"/>
      <c r="BA301"/>
    </row>
    <row r="302" spans="1:53">
      <c r="A302" s="2" t="s">
        <v>322</v>
      </c>
      <c r="B302">
        <v>1930</v>
      </c>
      <c r="C302" cm="1">
        <f t="array" ref="C302">_xlfn.IFS(ISNUMBER(SEARCH("wagon",PROPERTIES[[#This Row],[VEHIDCODE]])),0,OR(MID(PROPERTIES[[#This Row],[VEHIDCODE]],2,2)="mu",_xlfn.TEXTBEFORE(PROPERTIES[[#This Row],[VEHIDCODE]],"_")="mtro"),1,1=1,0)</f>
        <v>1</v>
      </c>
      <c r="D302" t="s">
        <v>1937</v>
      </c>
      <c r="E302" t="str">
        <f>_xlfn.XLOOKUP(PROPERTIES[[#This Row],[COUNTRY]],COUNTRIES[COUNTRY_DESCRIPTION],COUNTRIES[COUNTRY_LABEL],"")</f>
        <v>US</v>
      </c>
      <c r="F302" t="str" cm="1">
        <f t="array" ref="F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2" t="s">
        <v>320</v>
      </c>
      <c r="H302">
        <v>105</v>
      </c>
      <c r="I302">
        <v>8</v>
      </c>
      <c r="J302">
        <v>8</v>
      </c>
      <c r="K302" t="str" cm="1">
        <f t="array" ref="K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f>IF(ISNUMBER(SEARCH("passenger",PROPERTIES[[#This Row],[CARGODEF]])),1,0)</f>
        <v>1</v>
      </c>
      <c r="O302" s="32">
        <v>42</v>
      </c>
      <c r="P302">
        <v>760</v>
      </c>
      <c r="Q302">
        <v>90</v>
      </c>
      <c r="R302" s="29">
        <v>0</v>
      </c>
      <c r="S302" s="28">
        <f>IFERROR(PROPERTIES[[#This Row],[TE_STARTING_KN]]/(PROPERTIES[[#This Row],[WEIGHT]]*9.81),0)</f>
        <v>0</v>
      </c>
      <c r="T302" s="28">
        <v>0.24</v>
      </c>
      <c r="U302" s="25">
        <f>ROUND(IF(IFERROR(PROPERTIES[[#This Row],[TE_COEFFICIENT_CALC]],0)=0,PROPERTIES[[#This Row],[TE_COEFFICIENT_MANUAL]],PROPERTIES[[#This Row],[TE_COEFFICIENT_CALC]]),3)</f>
        <v>0.24</v>
      </c>
      <c r="V302" s="11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36">
        <v>156</v>
      </c>
      <c r="X302" s="9">
        <v>8</v>
      </c>
      <c r="Y302" s="10">
        <v>0</v>
      </c>
      <c r="Z302" t="s">
        <v>874</v>
      </c>
      <c r="AA302" t="s">
        <v>868</v>
      </c>
      <c r="AB302" s="2" t="s">
        <v>886</v>
      </c>
      <c r="AC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2" s="2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H302" s="10" t="b">
        <v>0</v>
      </c>
      <c r="AY302"/>
      <c r="AZ302"/>
      <c r="BA302"/>
    </row>
    <row r="303" spans="1:53">
      <c r="A303" s="2" t="s">
        <v>323</v>
      </c>
      <c r="B303">
        <v>1942</v>
      </c>
      <c r="C303" cm="1">
        <f t="array" ref="C303">_xlfn.IFS(ISNUMBER(SEARCH("wagon",PROPERTIES[[#This Row],[VEHIDCODE]])),0,OR(MID(PROPERTIES[[#This Row],[VEHIDCODE]],2,2)="mu",_xlfn.TEXTBEFORE(PROPERTIES[[#This Row],[VEHIDCODE]],"_")="mtro"),1,1=1,0)</f>
        <v>1</v>
      </c>
      <c r="D303" t="s">
        <v>1763</v>
      </c>
      <c r="E303" t="str">
        <f>_xlfn.XLOOKUP(PROPERTIES[[#This Row],[COUNTRY]],COUNTRIES[COUNTRY_DESCRIPTION],COUNTRIES[COUNTRY_LABEL],"")</f>
        <v>DE</v>
      </c>
      <c r="F303" t="str" cm="1">
        <f t="array" ref="F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3" t="s">
        <v>320</v>
      </c>
      <c r="H303">
        <v>95</v>
      </c>
      <c r="I303">
        <v>8</v>
      </c>
      <c r="J303">
        <v>8</v>
      </c>
      <c r="K303" t="str" cm="1">
        <f t="array" ref="K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f>IF(ISNUMBER(SEARCH("passenger",PROPERTIES[[#This Row],[CARGODEF]])),1,0)</f>
        <v>1</v>
      </c>
      <c r="O303" s="32">
        <v>48</v>
      </c>
      <c r="P303">
        <v>800</v>
      </c>
      <c r="Q303">
        <v>80</v>
      </c>
      <c r="R303" s="29">
        <v>0</v>
      </c>
      <c r="S303" s="28">
        <f>IFERROR(PROPERTIES[[#This Row],[TE_STARTING_KN]]/(PROPERTIES[[#This Row],[WEIGHT]]*9.81),0)</f>
        <v>0</v>
      </c>
      <c r="T303" s="28">
        <v>0.22</v>
      </c>
      <c r="U303" s="25">
        <f>ROUND(IF(IFERROR(PROPERTIES[[#This Row],[TE_COEFFICIENT_CALC]],0)=0,PROPERTIES[[#This Row],[TE_COEFFICIENT_MANUAL]],PROPERTIES[[#This Row],[TE_COEFFICIENT_CALC]]),3)</f>
        <v>0.22</v>
      </c>
      <c r="V303" s="11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36">
        <v>160</v>
      </c>
      <c r="X303" s="9">
        <v>8</v>
      </c>
      <c r="Y303" s="10">
        <v>0</v>
      </c>
      <c r="Z303" t="s">
        <v>869</v>
      </c>
      <c r="AA303" t="s">
        <v>868</v>
      </c>
      <c r="AB303" s="2" t="s">
        <v>886</v>
      </c>
      <c r="AC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3" s="2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H303" s="10" t="b">
        <v>0</v>
      </c>
      <c r="AY303"/>
      <c r="AZ303"/>
      <c r="BA303"/>
    </row>
    <row r="304" spans="1:53">
      <c r="A304" s="2" t="s">
        <v>324</v>
      </c>
      <c r="B304">
        <v>1957</v>
      </c>
      <c r="C304" cm="1">
        <f t="array" ref="C304">_xlfn.IFS(ISNUMBER(SEARCH("wagon",PROPERTIES[[#This Row],[VEHIDCODE]])),0,OR(MID(PROPERTIES[[#This Row],[VEHIDCODE]],2,2)="mu",_xlfn.TEXTBEFORE(PROPERTIES[[#This Row],[VEHIDCODE]],"_")="mtro"),1,1=1,0)</f>
        <v>1</v>
      </c>
      <c r="D304" t="s">
        <v>1781</v>
      </c>
      <c r="E304" t="str">
        <f>_xlfn.XLOOKUP(PROPERTIES[[#This Row],[COUNTRY]],COUNTRIES[COUNTRY_DESCRIPTION],COUNTRIES[COUNTRY_LABEL],"")</f>
        <v>FR</v>
      </c>
      <c r="F304" t="str" cm="1">
        <f t="array" ref="F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4" t="s">
        <v>320</v>
      </c>
      <c r="H304">
        <v>65</v>
      </c>
      <c r="I304">
        <v>7</v>
      </c>
      <c r="J304">
        <v>7</v>
      </c>
      <c r="K304" t="str" cm="1">
        <f t="array" ref="K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f>IF(ISNUMBER(SEARCH("passenger",PROPERTIES[[#This Row],[CARGODEF]])),1,0)</f>
        <v>1</v>
      </c>
      <c r="O304" s="32">
        <v>10</v>
      </c>
      <c r="P304">
        <v>140</v>
      </c>
      <c r="Q304">
        <v>45</v>
      </c>
      <c r="R304" s="29">
        <v>0</v>
      </c>
      <c r="S304" s="28">
        <f>IFERROR(PROPERTIES[[#This Row],[TE_STARTING_KN]]/(PROPERTIES[[#This Row],[WEIGHT]]*9.81),0)</f>
        <v>0</v>
      </c>
      <c r="T304" s="28">
        <v>0.18</v>
      </c>
      <c r="U304" s="25">
        <f>ROUND(IF(IFERROR(PROPERTIES[[#This Row],[TE_COEFFICIENT_CALC]],0)=0,PROPERTIES[[#This Row],[TE_COEFFICIENT_MANUAL]],PROPERTIES[[#This Row],[TE_COEFFICIENT_CALC]]),3)</f>
        <v>0.18</v>
      </c>
      <c r="V304" s="11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36">
        <v>140</v>
      </c>
      <c r="X304" s="9">
        <v>7</v>
      </c>
      <c r="Y304" s="10">
        <v>0</v>
      </c>
      <c r="Z304" t="s">
        <v>869</v>
      </c>
      <c r="AA304" t="s">
        <v>868</v>
      </c>
      <c r="AB304" s="2" t="s">
        <v>886</v>
      </c>
      <c r="AC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4" s="2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H304" s="10" t="b">
        <v>0</v>
      </c>
      <c r="AY304"/>
      <c r="AZ304"/>
      <c r="BA304"/>
    </row>
    <row r="305" spans="1:53">
      <c r="A305" s="2" t="s">
        <v>325</v>
      </c>
      <c r="B305">
        <v>1959</v>
      </c>
      <c r="C305" cm="1">
        <f t="array" ref="C305">_xlfn.IFS(ISNUMBER(SEARCH("wagon",PROPERTIES[[#This Row],[VEHIDCODE]])),0,OR(MID(PROPERTIES[[#This Row],[VEHIDCODE]],2,2)="mu",_xlfn.TEXTBEFORE(PROPERTIES[[#This Row],[VEHIDCODE]],"_")="mtro"),1,1=1,0)</f>
        <v>1</v>
      </c>
      <c r="D305" t="s">
        <v>1889</v>
      </c>
      <c r="E305" t="str">
        <f>_xlfn.XLOOKUP(PROPERTIES[[#This Row],[COUNTRY]],COUNTRIES[COUNTRY_DESCRIPTION],COUNTRIES[COUNTRY_LABEL],"")</f>
        <v>PT</v>
      </c>
      <c r="F305" t="str" cm="1">
        <f t="array" ref="F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5" t="s">
        <v>320</v>
      </c>
      <c r="H305">
        <v>85</v>
      </c>
      <c r="I305">
        <v>8</v>
      </c>
      <c r="J305">
        <v>8</v>
      </c>
      <c r="K305" t="str" cm="1">
        <f t="array" ref="K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f>IF(ISNUMBER(SEARCH("passenger",PROPERTIES[[#This Row],[CARGODEF]])),1,0)</f>
        <v>1</v>
      </c>
      <c r="O305" s="32">
        <v>19</v>
      </c>
      <c r="P305">
        <v>430</v>
      </c>
      <c r="Q305">
        <v>60</v>
      </c>
      <c r="R305" s="29">
        <v>0</v>
      </c>
      <c r="S305" s="28">
        <f>IFERROR(PROPERTIES[[#This Row],[TE_STARTING_KN]]/(PROPERTIES[[#This Row],[WEIGHT]]*9.81),0)</f>
        <v>0</v>
      </c>
      <c r="T305" s="28">
        <v>0.24</v>
      </c>
      <c r="U305" s="25">
        <f>ROUND(IF(IFERROR(PROPERTIES[[#This Row],[TE_COEFFICIENT_CALC]],0)=0,PROPERTIES[[#This Row],[TE_COEFFICIENT_MANUAL]],PROPERTIES[[#This Row],[TE_COEFFICIENT_CALC]]),3)</f>
        <v>0.24</v>
      </c>
      <c r="V305" s="11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36">
        <v>160</v>
      </c>
      <c r="X305" s="9">
        <v>8</v>
      </c>
      <c r="Y305" s="10">
        <v>0</v>
      </c>
      <c r="Z305" t="s">
        <v>870</v>
      </c>
      <c r="AA305" t="s">
        <v>868</v>
      </c>
      <c r="AB305" s="2" t="s">
        <v>886</v>
      </c>
      <c r="AC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5" s="2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H305" s="10" t="b">
        <v>0</v>
      </c>
      <c r="AY305"/>
      <c r="AZ305"/>
      <c r="BA305"/>
    </row>
    <row r="306" spans="1:53">
      <c r="A306" s="2" t="s">
        <v>326</v>
      </c>
      <c r="B306">
        <v>1975</v>
      </c>
      <c r="C306" cm="1">
        <f t="array" ref="C306">_xlfn.IFS(ISNUMBER(SEARCH("wagon",PROPERTIES[[#This Row],[VEHIDCODE]])),0,OR(MID(PROPERTIES[[#This Row],[VEHIDCODE]],2,2)="mu",_xlfn.TEXTBEFORE(PROPERTIES[[#This Row],[VEHIDCODE]],"_")="mtro"),1,1=1,0)</f>
        <v>1</v>
      </c>
      <c r="D306" t="s">
        <v>1805</v>
      </c>
      <c r="E306" t="str">
        <f>_xlfn.XLOOKUP(PROPERTIES[[#This Row],[COUNTRY]],COUNTRIES[COUNTRY_DESCRIPTION],COUNTRIES[COUNTRY_LABEL],"")</f>
        <v>HU</v>
      </c>
      <c r="F306" t="str" cm="1">
        <f t="array" ref="F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6" t="s">
        <v>320</v>
      </c>
      <c r="H306">
        <v>132</v>
      </c>
      <c r="I306">
        <v>8</v>
      </c>
      <c r="J306">
        <v>8</v>
      </c>
      <c r="K306" t="str" cm="1">
        <f t="array" ref="K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f>IF(ISNUMBER(SEARCH("passenger",PROPERTIES[[#This Row],[CARGODEF]])),1,0)</f>
        <v>1</v>
      </c>
      <c r="O306" s="32">
        <v>32.5</v>
      </c>
      <c r="P306">
        <v>770</v>
      </c>
      <c r="Q306">
        <v>90</v>
      </c>
      <c r="R306" s="29">
        <v>0</v>
      </c>
      <c r="S306" s="28">
        <f>IFERROR(PROPERTIES[[#This Row],[TE_STARTING_KN]]/(PROPERTIES[[#This Row],[WEIGHT]]*9.81),0)</f>
        <v>0</v>
      </c>
      <c r="T306" s="28">
        <v>0.25</v>
      </c>
      <c r="U306" s="25">
        <f>ROUND(IF(IFERROR(PROPERTIES[[#This Row],[TE_COEFFICIENT_CALC]],0)=0,PROPERTIES[[#This Row],[TE_COEFFICIENT_MANUAL]],PROPERTIES[[#This Row],[TE_COEFFICIENT_CALC]]),3)</f>
        <v>0.25</v>
      </c>
      <c r="V306" s="11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36">
        <v>150</v>
      </c>
      <c r="X306" s="9">
        <v>8</v>
      </c>
      <c r="Y306" s="10">
        <v>0</v>
      </c>
      <c r="Z306" t="s">
        <v>875</v>
      </c>
      <c r="AA306" t="s">
        <v>868</v>
      </c>
      <c r="AB306" s="2" t="s">
        <v>886</v>
      </c>
      <c r="AC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6" s="2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H306" s="10" t="b">
        <v>0</v>
      </c>
      <c r="AY306"/>
      <c r="AZ306"/>
      <c r="BA306"/>
    </row>
    <row r="307" spans="1:53">
      <c r="A307" s="2" t="s">
        <v>327</v>
      </c>
      <c r="B307">
        <v>1964</v>
      </c>
      <c r="C307" cm="1">
        <f t="array" ref="C307">_xlfn.IFS(ISNUMBER(SEARCH("wagon",PROPERTIES[[#This Row],[VEHIDCODE]])),0,OR(MID(PROPERTIES[[#This Row],[VEHIDCODE]],2,2)="mu",_xlfn.TEXTBEFORE(PROPERTIES[[#This Row],[VEHIDCODE]],"_")="mtro"),1,1=1,0)</f>
        <v>1</v>
      </c>
      <c r="D307" t="s">
        <v>1872</v>
      </c>
      <c r="E307" t="str">
        <f>_xlfn.XLOOKUP(PROPERTIES[[#This Row],[COUNTRY]],COUNTRIES[COUNTRY_DESCRIPTION],COUNTRIES[COUNTRY_LABEL],"")</f>
        <v>NO</v>
      </c>
      <c r="F307" t="str" cm="1">
        <f t="array" ref="F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7" t="s">
        <v>320</v>
      </c>
      <c r="H307">
        <v>135</v>
      </c>
      <c r="I307">
        <v>7</v>
      </c>
      <c r="J307">
        <v>7</v>
      </c>
      <c r="K307" t="str" cm="1">
        <f t="array" ref="K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f>IF(ISNUMBER(SEARCH("passenger",PROPERTIES[[#This Row],[CARGODEF]])),1,0)</f>
        <v>1</v>
      </c>
      <c r="O307" s="32">
        <v>29.7</v>
      </c>
      <c r="P307">
        <v>1050</v>
      </c>
      <c r="Q307">
        <v>70</v>
      </c>
      <c r="R307" s="29">
        <v>0</v>
      </c>
      <c r="S307" s="28">
        <f>IFERROR(PROPERTIES[[#This Row],[TE_STARTING_KN]]/(PROPERTIES[[#This Row],[WEIGHT]]*9.81),0)</f>
        <v>0</v>
      </c>
      <c r="T307" s="28">
        <v>0.25</v>
      </c>
      <c r="U307" s="25">
        <f>ROUND(IF(IFERROR(PROPERTIES[[#This Row],[TE_COEFFICIENT_CALC]],0)=0,PROPERTIES[[#This Row],[TE_COEFFICIENT_MANUAL]],PROPERTIES[[#This Row],[TE_COEFFICIENT_CALC]]),3)</f>
        <v>0.25</v>
      </c>
      <c r="V307" s="11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36">
        <v>180</v>
      </c>
      <c r="X307" s="9">
        <v>7</v>
      </c>
      <c r="Y307" s="10">
        <v>0</v>
      </c>
      <c r="Z307" t="s">
        <v>873</v>
      </c>
      <c r="AA307" t="s">
        <v>868</v>
      </c>
      <c r="AB307" s="2" t="s">
        <v>886</v>
      </c>
      <c r="AC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7" s="2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H307" s="10" t="b">
        <v>0</v>
      </c>
      <c r="AY307"/>
      <c r="AZ307"/>
      <c r="BA307"/>
    </row>
    <row r="308" spans="1:53">
      <c r="A308" s="2" t="s">
        <v>328</v>
      </c>
      <c r="B308">
        <v>1965</v>
      </c>
      <c r="C308" cm="1">
        <f t="array" ref="C308">_xlfn.IFS(ISNUMBER(SEARCH("wagon",PROPERTIES[[#This Row],[VEHIDCODE]])),0,OR(MID(PROPERTIES[[#This Row],[VEHIDCODE]],2,2)="mu",_xlfn.TEXTBEFORE(PROPERTIES[[#This Row],[VEHIDCODE]],"_")="mtro"),1,1=1,0)</f>
        <v>1</v>
      </c>
      <c r="D308" t="s">
        <v>1744</v>
      </c>
      <c r="E308" t="str">
        <f>_xlfn.XLOOKUP(PROPERTIES[[#This Row],[COUNTRY]],COUNTRIES[COUNTRY_DESCRIPTION],COUNTRIES[COUNTRY_LABEL],"")</f>
        <v>CA</v>
      </c>
      <c r="F308" t="str" cm="1">
        <f t="array" ref="F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8" t="s">
        <v>320</v>
      </c>
      <c r="H308">
        <v>150</v>
      </c>
      <c r="I308">
        <v>8</v>
      </c>
      <c r="J308">
        <v>8</v>
      </c>
      <c r="K308" t="str" cm="1">
        <f t="array" ref="K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f>IF(ISNUMBER(SEARCH("passenger",PROPERTIES[[#This Row],[CARGODEF]])),1,0)</f>
        <v>1</v>
      </c>
      <c r="O308" s="32">
        <v>27.5</v>
      </c>
      <c r="P308">
        <v>960</v>
      </c>
      <c r="Q308">
        <v>80</v>
      </c>
      <c r="R308" s="29">
        <v>0</v>
      </c>
      <c r="S308" s="28">
        <f>IFERROR(PROPERTIES[[#This Row],[TE_STARTING_KN]]/(PROPERTIES[[#This Row],[WEIGHT]]*9.81),0)</f>
        <v>0</v>
      </c>
      <c r="T308" s="28">
        <v>0.25</v>
      </c>
      <c r="U308" s="25">
        <f>ROUND(IF(IFERROR(PROPERTIES[[#This Row],[TE_COEFFICIENT_CALC]],0)=0,PROPERTIES[[#This Row],[TE_COEFFICIENT_MANUAL]],PROPERTIES[[#This Row],[TE_COEFFICIENT_CALC]]),3)</f>
        <v>0.25</v>
      </c>
      <c r="V308" s="11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36">
        <v>210</v>
      </c>
      <c r="X308" s="9">
        <v>8</v>
      </c>
      <c r="Y308" s="10">
        <v>0</v>
      </c>
      <c r="Z308" t="s">
        <v>874</v>
      </c>
      <c r="AA308" t="s">
        <v>868</v>
      </c>
      <c r="AB308" s="2" t="s">
        <v>886</v>
      </c>
      <c r="AC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8" s="2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H308" s="10" t="b">
        <v>0</v>
      </c>
      <c r="AY308"/>
      <c r="AZ308"/>
      <c r="BA308"/>
    </row>
    <row r="309" spans="1:53">
      <c r="A309" s="2" t="s">
        <v>329</v>
      </c>
      <c r="B309">
        <v>1971</v>
      </c>
      <c r="C309" cm="1">
        <f t="array" ref="C309">_xlfn.IFS(ISNUMBER(SEARCH("wagon",PROPERTIES[[#This Row],[VEHIDCODE]])),0,OR(MID(PROPERTIES[[#This Row],[VEHIDCODE]],2,2)="mu",_xlfn.TEXTBEFORE(PROPERTIES[[#This Row],[VEHIDCODE]],"_")="mtro"),1,1=1,0)</f>
        <v>1</v>
      </c>
      <c r="D309" t="s">
        <v>1763</v>
      </c>
      <c r="E309" t="str">
        <f>_xlfn.XLOOKUP(PROPERTIES[[#This Row],[COUNTRY]],COUNTRIES[COUNTRY_DESCRIPTION],COUNTRIES[COUNTRY_LABEL],"")</f>
        <v>DE</v>
      </c>
      <c r="F309" t="str" cm="1">
        <f t="array" ref="F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9" t="s">
        <v>320</v>
      </c>
      <c r="H309">
        <v>145</v>
      </c>
      <c r="I309">
        <v>8</v>
      </c>
      <c r="J309">
        <v>8</v>
      </c>
      <c r="K309" t="str" cm="1">
        <f t="array" ref="K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f>IF(ISNUMBER(SEARCH("passenger",PROPERTIES[[#This Row],[CARGODEF]])),1,0)</f>
        <v>1</v>
      </c>
      <c r="O309" s="32">
        <v>25.8</v>
      </c>
      <c r="P309">
        <v>965</v>
      </c>
      <c r="Q309">
        <v>80</v>
      </c>
      <c r="R309" s="29">
        <v>0</v>
      </c>
      <c r="S309" s="28">
        <f>IFERROR(PROPERTIES[[#This Row],[TE_STARTING_KN]]/(PROPERTIES[[#This Row],[WEIGHT]]*9.81),0)</f>
        <v>0</v>
      </c>
      <c r="T309" s="28">
        <v>0.26</v>
      </c>
      <c r="U309" s="25">
        <f>ROUND(IF(IFERROR(PROPERTIES[[#This Row],[TE_COEFFICIENT_CALC]],0)=0,PROPERTIES[[#This Row],[TE_COEFFICIENT_MANUAL]],PROPERTIES[[#This Row],[TE_COEFFICIENT_CALC]]),3)</f>
        <v>0.26</v>
      </c>
      <c r="V309" s="11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36">
        <v>195</v>
      </c>
      <c r="X309" s="9">
        <v>8</v>
      </c>
      <c r="Y309" s="10">
        <v>0</v>
      </c>
      <c r="Z309" t="s">
        <v>869</v>
      </c>
      <c r="AA309" t="s">
        <v>868</v>
      </c>
      <c r="AB309" s="2" t="s">
        <v>886</v>
      </c>
      <c r="AC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9" s="2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H309" s="10" t="b">
        <v>0</v>
      </c>
      <c r="AY309"/>
      <c r="AZ309"/>
      <c r="BA309"/>
    </row>
    <row r="310" spans="1:53">
      <c r="A310" s="2" t="s">
        <v>330</v>
      </c>
      <c r="B310">
        <v>1971</v>
      </c>
      <c r="C310" cm="1">
        <f t="array" ref="C310">_xlfn.IFS(ISNUMBER(SEARCH("wagon",PROPERTIES[[#This Row],[VEHIDCODE]])),0,OR(MID(PROPERTIES[[#This Row],[VEHIDCODE]],2,2)="mu",_xlfn.TEXTBEFORE(PROPERTIES[[#This Row],[VEHIDCODE]],"_")="mtro"),1,1=1,0)</f>
        <v>1</v>
      </c>
      <c r="D310" t="s">
        <v>1937</v>
      </c>
      <c r="E310" t="str">
        <f>_xlfn.XLOOKUP(PROPERTIES[[#This Row],[COUNTRY]],COUNTRIES[COUNTRY_DESCRIPTION],COUNTRIES[COUNTRY_LABEL],"")</f>
        <v>US</v>
      </c>
      <c r="F310" t="str" cm="1">
        <f t="array" ref="F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0" t="s">
        <v>320</v>
      </c>
      <c r="H310">
        <v>150</v>
      </c>
      <c r="I310">
        <v>8</v>
      </c>
      <c r="J310">
        <v>8</v>
      </c>
      <c r="K310" t="str" cm="1">
        <f t="array" ref="K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f>IF(ISNUMBER(SEARCH("passenger",PROPERTIES[[#This Row],[CARGODEF]])),1,0)</f>
        <v>1</v>
      </c>
      <c r="O310" s="32">
        <v>37</v>
      </c>
      <c r="P310">
        <v>920</v>
      </c>
      <c r="Q310">
        <v>110</v>
      </c>
      <c r="R310" s="29">
        <v>0</v>
      </c>
      <c r="S310" s="28">
        <f>IFERROR(PROPERTIES[[#This Row],[TE_STARTING_KN]]/(PROPERTIES[[#This Row],[WEIGHT]]*9.81),0)</f>
        <v>0</v>
      </c>
      <c r="T310" s="28">
        <v>0.26</v>
      </c>
      <c r="U310" s="25">
        <f>ROUND(IF(IFERROR(PROPERTIES[[#This Row],[TE_COEFFICIENT_CALC]],0)=0,PROPERTIES[[#This Row],[TE_COEFFICIENT_MANUAL]],PROPERTIES[[#This Row],[TE_COEFFICIENT_CALC]]),3)</f>
        <v>0.26</v>
      </c>
      <c r="V310" s="11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36">
        <v>162</v>
      </c>
      <c r="X310" s="9">
        <v>8</v>
      </c>
      <c r="Y310" s="10">
        <v>0</v>
      </c>
      <c r="Z310" t="s">
        <v>874</v>
      </c>
      <c r="AA310" t="s">
        <v>868</v>
      </c>
      <c r="AB310" s="2" t="s">
        <v>886</v>
      </c>
      <c r="AC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0" s="2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H310" s="10" t="b">
        <v>0</v>
      </c>
      <c r="AY310"/>
      <c r="AZ310"/>
      <c r="BA310"/>
    </row>
    <row r="311" spans="1:53">
      <c r="A311" s="2" t="s">
        <v>331</v>
      </c>
      <c r="B311">
        <v>1973</v>
      </c>
      <c r="C311" cm="1">
        <f t="array" ref="C311">_xlfn.IFS(ISNUMBER(SEARCH("wagon",PROPERTIES[[#This Row],[VEHIDCODE]])),0,OR(MID(PROPERTIES[[#This Row],[VEHIDCODE]],2,2)="mu",_xlfn.TEXTBEFORE(PROPERTIES[[#This Row],[VEHIDCODE]],"_")="mtro"),1,1=1,0)</f>
        <v>1</v>
      </c>
      <c r="D311" t="s">
        <v>1871</v>
      </c>
      <c r="E311" t="str">
        <f>_xlfn.XLOOKUP(PROPERTIES[[#This Row],[COUNTRY]],COUNTRIES[COUNTRY_DESCRIPTION],COUNTRIES[COUNTRY_LABEL],"")</f>
        <v>NL</v>
      </c>
      <c r="F311" t="str" cm="1">
        <f t="array" ref="F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1" t="s">
        <v>320</v>
      </c>
      <c r="H311">
        <v>150</v>
      </c>
      <c r="I311">
        <v>8</v>
      </c>
      <c r="J311">
        <v>8</v>
      </c>
      <c r="K311" t="str" cm="1">
        <f t="array" ref="K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f>IF(ISNUMBER(SEARCH("passenger",PROPERTIES[[#This Row],[CARGODEF]])),1,0)</f>
        <v>1</v>
      </c>
      <c r="O311" s="32">
        <v>27</v>
      </c>
      <c r="P311">
        <v>1050</v>
      </c>
      <c r="Q311">
        <v>80</v>
      </c>
      <c r="R311" s="29">
        <v>0</v>
      </c>
      <c r="S311" s="28">
        <f>IFERROR(PROPERTIES[[#This Row],[TE_STARTING_KN]]/(PROPERTIES[[#This Row],[WEIGHT]]*9.81),0)</f>
        <v>0</v>
      </c>
      <c r="T311" s="28">
        <v>0.26</v>
      </c>
      <c r="U311" s="25">
        <f>ROUND(IF(IFERROR(PROPERTIES[[#This Row],[TE_COEFFICIENT_CALC]],0)=0,PROPERTIES[[#This Row],[TE_COEFFICIENT_MANUAL]],PROPERTIES[[#This Row],[TE_COEFFICIENT_CALC]]),3)</f>
        <v>0.26</v>
      </c>
      <c r="V311" s="11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36">
        <v>174</v>
      </c>
      <c r="X311" s="9">
        <v>7</v>
      </c>
      <c r="Y311" s="10">
        <v>0</v>
      </c>
      <c r="Z311" t="s">
        <v>869</v>
      </c>
      <c r="AA311" t="s">
        <v>868</v>
      </c>
      <c r="AB311" s="2" t="s">
        <v>886</v>
      </c>
      <c r="AC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1" s="2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H311" s="10" t="b">
        <v>0</v>
      </c>
      <c r="AY311"/>
      <c r="AZ311"/>
      <c r="BA311"/>
    </row>
    <row r="312" spans="1:53">
      <c r="A312" s="2" t="s">
        <v>332</v>
      </c>
      <c r="B312">
        <v>1974</v>
      </c>
      <c r="C312" cm="1">
        <f t="array" ref="C312">_xlfn.IFS(ISNUMBER(SEARCH("wagon",PROPERTIES[[#This Row],[VEHIDCODE]])),0,OR(MID(PROPERTIES[[#This Row],[VEHIDCODE]],2,2)="mu",_xlfn.TEXTBEFORE(PROPERTIES[[#This Row],[VEHIDCODE]],"_")="mtro"),1,1=1,0)</f>
        <v>1</v>
      </c>
      <c r="D312" t="s">
        <v>1902</v>
      </c>
      <c r="E312" t="str">
        <f>_xlfn.XLOOKUP(PROPERTIES[[#This Row],[COUNTRY]],COUNTRIES[COUNTRY_DESCRIPTION],COUNTRIES[COUNTRY_LABEL],"")</f>
        <v>SE</v>
      </c>
      <c r="F312" t="str" cm="1">
        <f t="array" ref="F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2" t="s">
        <v>320</v>
      </c>
      <c r="H312">
        <v>150</v>
      </c>
      <c r="I312">
        <v>8</v>
      </c>
      <c r="J312">
        <v>8</v>
      </c>
      <c r="K312" t="str" cm="1">
        <f t="array" ref="K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f>IF(ISNUMBER(SEARCH("passenger",PROPERTIES[[#This Row],[CARGODEF]])),1,0)</f>
        <v>1</v>
      </c>
      <c r="O312" s="32">
        <v>23.5</v>
      </c>
      <c r="P312">
        <v>860</v>
      </c>
      <c r="Q312">
        <v>90</v>
      </c>
      <c r="R312" s="29">
        <v>0</v>
      </c>
      <c r="S312" s="28">
        <f>IFERROR(PROPERTIES[[#This Row],[TE_STARTING_KN]]/(PROPERTIES[[#This Row],[WEIGHT]]*9.81),0)</f>
        <v>0</v>
      </c>
      <c r="T312" s="28">
        <v>0.27</v>
      </c>
      <c r="U312" s="25">
        <f>ROUND(IF(IFERROR(PROPERTIES[[#This Row],[TE_COEFFICIENT_CALC]],0)=0,PROPERTIES[[#This Row],[TE_COEFFICIENT_MANUAL]],PROPERTIES[[#This Row],[TE_COEFFICIENT_CALC]]),3)</f>
        <v>0.27</v>
      </c>
      <c r="V312" s="11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36">
        <v>158</v>
      </c>
      <c r="X312" s="9">
        <v>8</v>
      </c>
      <c r="Y312" s="10">
        <v>0</v>
      </c>
      <c r="Z312" t="s">
        <v>873</v>
      </c>
      <c r="AA312" t="s">
        <v>868</v>
      </c>
      <c r="AB312" s="2" t="s">
        <v>886</v>
      </c>
      <c r="AC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2" s="2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H312" s="10" t="b">
        <v>0</v>
      </c>
      <c r="AY312"/>
      <c r="AZ312"/>
      <c r="BA312"/>
    </row>
    <row r="313" spans="1:53">
      <c r="A313" s="2" t="s">
        <v>333</v>
      </c>
      <c r="B313">
        <v>1999</v>
      </c>
      <c r="C313" cm="1">
        <f t="array" ref="C313">_xlfn.IFS(ISNUMBER(SEARCH("wagon",PROPERTIES[[#This Row],[VEHIDCODE]])),0,OR(MID(PROPERTIES[[#This Row],[VEHIDCODE]],2,2)="mu",_xlfn.TEXTBEFORE(PROPERTIES[[#This Row],[VEHIDCODE]],"_")="mtro"),1,1=1,0)</f>
        <v>1</v>
      </c>
      <c r="D313" t="s">
        <v>1826</v>
      </c>
      <c r="E313" t="str">
        <f>_xlfn.XLOOKUP(PROPERTIES[[#This Row],[COUNTRY]],COUNTRIES[COUNTRY_DESCRIPTION],COUNTRIES[COUNTRY_LABEL],"")</f>
        <v>KP</v>
      </c>
      <c r="F313" t="str" cm="1">
        <f t="array" ref="F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3" t="s">
        <v>320</v>
      </c>
      <c r="H313">
        <v>160</v>
      </c>
      <c r="I313">
        <v>8</v>
      </c>
      <c r="J313">
        <v>8</v>
      </c>
      <c r="K313" t="str" cm="1">
        <f t="array" ref="K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f>IF(ISNUMBER(SEARCH("passenger",PROPERTIES[[#This Row],[CARGODEF]])),1,0)</f>
        <v>1</v>
      </c>
      <c r="O313" s="32">
        <v>28.5</v>
      </c>
      <c r="P313">
        <v>800</v>
      </c>
      <c r="Q313">
        <v>70</v>
      </c>
      <c r="R313" s="29">
        <v>0</v>
      </c>
      <c r="S313" s="28">
        <f>IFERROR(PROPERTIES[[#This Row],[TE_STARTING_KN]]/(PROPERTIES[[#This Row],[WEIGHT]]*9.81),0)</f>
        <v>0</v>
      </c>
      <c r="T313" s="28">
        <v>0.23</v>
      </c>
      <c r="U313" s="25">
        <f>ROUND(IF(IFERROR(PROPERTIES[[#This Row],[TE_COEFFICIENT_CALC]],0)=0,PROPERTIES[[#This Row],[TE_COEFFICIENT_MANUAL]],PROPERTIES[[#This Row],[TE_COEFFICIENT_CALC]]),3)</f>
        <v>0.23</v>
      </c>
      <c r="V313" s="11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36">
        <v>180</v>
      </c>
      <c r="X313" s="9">
        <v>8</v>
      </c>
      <c r="Y313" s="10">
        <v>0</v>
      </c>
      <c r="Z313" t="s">
        <v>877</v>
      </c>
      <c r="AA313" t="s">
        <v>868</v>
      </c>
      <c r="AB313" s="2" t="s">
        <v>886</v>
      </c>
      <c r="AC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3" s="2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H313" s="10" t="b">
        <v>0</v>
      </c>
      <c r="AY313"/>
      <c r="AZ313"/>
      <c r="BA313"/>
    </row>
    <row r="314" spans="1:53">
      <c r="A314" s="2" t="s">
        <v>334</v>
      </c>
      <c r="B314">
        <v>1977</v>
      </c>
      <c r="C314" cm="1">
        <f t="array" ref="C314">_xlfn.IFS(ISNUMBER(SEARCH("wagon",PROPERTIES[[#This Row],[VEHIDCODE]])),0,OR(MID(PROPERTIES[[#This Row],[VEHIDCODE]],2,2)="mu",_xlfn.TEXTBEFORE(PROPERTIES[[#This Row],[VEHIDCODE]],"_")="mtro"),1,1=1,0)</f>
        <v>1</v>
      </c>
      <c r="D314" t="s">
        <v>1776</v>
      </c>
      <c r="E314" t="str">
        <f>_xlfn.XLOOKUP(PROPERTIES[[#This Row],[COUNTRY]],COUNTRIES[COUNTRY_DESCRIPTION],COUNTRIES[COUNTRY_LABEL],"")</f>
        <v>FI</v>
      </c>
      <c r="F314" t="str" cm="1">
        <f t="array" ref="F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4" t="s">
        <v>320</v>
      </c>
      <c r="H314">
        <v>144</v>
      </c>
      <c r="I314">
        <v>8</v>
      </c>
      <c r="J314">
        <v>8</v>
      </c>
      <c r="K314" t="str" cm="1">
        <f t="array" ref="K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f>IF(ISNUMBER(SEARCH("passenger",PROPERTIES[[#This Row],[CARGODEF]])),1,0)</f>
        <v>1</v>
      </c>
      <c r="O314" s="32">
        <v>30.8</v>
      </c>
      <c r="P314">
        <v>1340</v>
      </c>
      <c r="Q314">
        <v>90</v>
      </c>
      <c r="R314" s="29">
        <v>0</v>
      </c>
      <c r="S314" s="28">
        <f>IFERROR(PROPERTIES[[#This Row],[TE_STARTING_KN]]/(PROPERTIES[[#This Row],[WEIGHT]]*9.81),0)</f>
        <v>0</v>
      </c>
      <c r="T314" s="28">
        <v>0.3</v>
      </c>
      <c r="U314" s="25">
        <f>ROUND(IF(IFERROR(PROPERTIES[[#This Row],[TE_COEFFICIENT_CALC]],0)=0,PROPERTIES[[#This Row],[TE_COEFFICIENT_MANUAL]],PROPERTIES[[#This Row],[TE_COEFFICIENT_CALC]]),3)</f>
        <v>0.3</v>
      </c>
      <c r="V314" s="11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36">
        <v>165</v>
      </c>
      <c r="X314" s="9">
        <v>8</v>
      </c>
      <c r="Y314" s="10">
        <v>0</v>
      </c>
      <c r="Z314" t="s">
        <v>873</v>
      </c>
      <c r="AA314" t="s">
        <v>868</v>
      </c>
      <c r="AB314" s="2" t="s">
        <v>886</v>
      </c>
      <c r="AC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4" s="2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H314" s="10" t="b">
        <v>0</v>
      </c>
      <c r="AY314"/>
      <c r="AZ314"/>
      <c r="BA314"/>
    </row>
    <row r="315" spans="1:53">
      <c r="A315" s="2" t="s">
        <v>335</v>
      </c>
      <c r="B315">
        <v>1979</v>
      </c>
      <c r="C315" cm="1">
        <f t="array" ref="C315">_xlfn.IFS(ISNUMBER(SEARCH("wagon",PROPERTIES[[#This Row],[VEHIDCODE]])),0,OR(MID(PROPERTIES[[#This Row],[VEHIDCODE]],2,2)="mu",_xlfn.TEXTBEFORE(PROPERTIES[[#This Row],[VEHIDCODE]],"_")="mtro"),1,1=1,0)</f>
        <v>1</v>
      </c>
      <c r="D315" t="s">
        <v>1737</v>
      </c>
      <c r="E315" t="str">
        <f>_xlfn.XLOOKUP(PROPERTIES[[#This Row],[COUNTRY]],COUNTRIES[COUNTRY_DESCRIPTION],COUNTRIES[COUNTRY_LABEL],"")</f>
        <v>BR</v>
      </c>
      <c r="F315" t="str" cm="1">
        <f t="array" ref="F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5" t="s">
        <v>320</v>
      </c>
      <c r="H315">
        <v>160</v>
      </c>
      <c r="I315">
        <v>8</v>
      </c>
      <c r="J315">
        <v>8</v>
      </c>
      <c r="K315" t="str" cm="1">
        <f t="array" ref="K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f>IF(ISNUMBER(SEARCH("passenger",PROPERTIES[[#This Row],[CARGODEF]])),1,0)</f>
        <v>1</v>
      </c>
      <c r="O315" s="32">
        <v>52</v>
      </c>
      <c r="P315">
        <v>1530</v>
      </c>
      <c r="Q315">
        <v>100</v>
      </c>
      <c r="R315" s="29">
        <v>0</v>
      </c>
      <c r="S315" s="28">
        <f>IFERROR(PROPERTIES[[#This Row],[TE_STARTING_KN]]/(PROPERTIES[[#This Row],[WEIGHT]]*9.81),0)</f>
        <v>0</v>
      </c>
      <c r="T315" s="28">
        <v>0.25</v>
      </c>
      <c r="U315" s="25">
        <f>ROUND(IF(IFERROR(PROPERTIES[[#This Row],[TE_COEFFICIENT_CALC]],0)=0,PROPERTIES[[#This Row],[TE_COEFFICIENT_MANUAL]],PROPERTIES[[#This Row],[TE_COEFFICIENT_CALC]]),3)</f>
        <v>0.25</v>
      </c>
      <c r="V315" s="11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36">
        <v>230</v>
      </c>
      <c r="X315" s="9">
        <v>8</v>
      </c>
      <c r="Y315" s="10">
        <v>0</v>
      </c>
      <c r="Z315" t="s">
        <v>876</v>
      </c>
      <c r="AA315" t="s">
        <v>868</v>
      </c>
      <c r="AB315" s="2" t="s">
        <v>886</v>
      </c>
      <c r="AC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5" s="2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H315" s="10" t="b">
        <v>0</v>
      </c>
      <c r="AY315"/>
      <c r="AZ315"/>
      <c r="BA315"/>
    </row>
    <row r="316" spans="1:53">
      <c r="A316" s="2" t="s">
        <v>336</v>
      </c>
      <c r="B316">
        <v>1981</v>
      </c>
      <c r="C316" cm="1">
        <f t="array" ref="C316">_xlfn.IFS(ISNUMBER(SEARCH("wagon",PROPERTIES[[#This Row],[VEHIDCODE]])),0,OR(MID(PROPERTIES[[#This Row],[VEHIDCODE]],2,2)="mu",_xlfn.TEXTBEFORE(PROPERTIES[[#This Row],[VEHIDCODE]],"_")="mtro"),1,1=1,0)</f>
        <v>1</v>
      </c>
      <c r="D316" t="s">
        <v>1896</v>
      </c>
      <c r="E316" t="str">
        <f>_xlfn.XLOOKUP(PROPERTIES[[#This Row],[COUNTRY]],COUNTRIES[COUNTRY_DESCRIPTION],COUNTRIES[COUNTRY_LABEL],"")</f>
        <v>RU</v>
      </c>
      <c r="F316" t="str" cm="1">
        <f t="array" ref="F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6" t="s">
        <v>320</v>
      </c>
      <c r="H316">
        <v>144</v>
      </c>
      <c r="I316">
        <v>8</v>
      </c>
      <c r="J316">
        <v>8</v>
      </c>
      <c r="K316" t="str" cm="1">
        <f t="array" ref="K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f>IF(ISNUMBER(SEARCH("passenger",PROPERTIES[[#This Row],[CARGODEF]])),1,0)</f>
        <v>1</v>
      </c>
      <c r="O316" s="32">
        <v>36</v>
      </c>
      <c r="P316">
        <v>1115</v>
      </c>
      <c r="Q316">
        <v>100</v>
      </c>
      <c r="R316" s="29">
        <v>0</v>
      </c>
      <c r="S316" s="28">
        <f>IFERROR(PROPERTIES[[#This Row],[TE_STARTING_KN]]/(PROPERTIES[[#This Row],[WEIGHT]]*9.81),0)</f>
        <v>0</v>
      </c>
      <c r="T316" s="28">
        <v>0.3</v>
      </c>
      <c r="U316" s="25">
        <f>ROUND(IF(IFERROR(PROPERTIES[[#This Row],[TE_COEFFICIENT_CALC]],0)=0,PROPERTIES[[#This Row],[TE_COEFFICIENT_MANUAL]],PROPERTIES[[#This Row],[TE_COEFFICIENT_CALC]]),3)</f>
        <v>0.3</v>
      </c>
      <c r="V316" s="11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36">
        <v>144</v>
      </c>
      <c r="X316" s="9">
        <v>8</v>
      </c>
      <c r="Y316" s="10">
        <v>0</v>
      </c>
      <c r="Z316" t="s">
        <v>877</v>
      </c>
      <c r="AA316" t="s">
        <v>868</v>
      </c>
      <c r="AB316" s="2" t="s">
        <v>886</v>
      </c>
      <c r="AC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6" s="2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H316" s="10" t="b">
        <v>0</v>
      </c>
      <c r="AY316"/>
      <c r="AZ316"/>
      <c r="BA316"/>
    </row>
    <row r="317" spans="1:53">
      <c r="A317" s="2" t="s">
        <v>337</v>
      </c>
      <c r="B317">
        <v>1985</v>
      </c>
      <c r="C317" cm="1">
        <f t="array" ref="C317">_xlfn.IFS(ISNUMBER(SEARCH("wagon",PROPERTIES[[#This Row],[VEHIDCODE]])),0,OR(MID(PROPERTIES[[#This Row],[VEHIDCODE]],2,2)="mu",_xlfn.TEXTBEFORE(PROPERTIES[[#This Row],[VEHIDCODE]],"_")="mtro"),1,1=1,0)</f>
        <v>1</v>
      </c>
      <c r="D317" t="s">
        <v>1819</v>
      </c>
      <c r="E317" t="str">
        <f>_xlfn.XLOOKUP(PROPERTIES[[#This Row],[COUNTRY]],COUNTRIES[COUNTRY_DESCRIPTION],COUNTRIES[COUNTRY_LABEL],"")</f>
        <v>JP</v>
      </c>
      <c r="F317" t="str" cm="1">
        <f t="array" ref="F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7" t="s">
        <v>320</v>
      </c>
      <c r="H317">
        <v>100</v>
      </c>
      <c r="I317">
        <v>8</v>
      </c>
      <c r="J317">
        <v>8</v>
      </c>
      <c r="K317" t="str" cm="1">
        <f t="array" ref="K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f>IF(ISNUMBER(SEARCH("passenger",PROPERTIES[[#This Row],[CARGODEF]])),1,0)</f>
        <v>1</v>
      </c>
      <c r="O317" s="32">
        <v>23.5</v>
      </c>
      <c r="P317">
        <v>640</v>
      </c>
      <c r="Q317">
        <v>80</v>
      </c>
      <c r="R317" s="29">
        <v>0</v>
      </c>
      <c r="S317" s="28">
        <f>IFERROR(PROPERTIES[[#This Row],[TE_STARTING_KN]]/(PROPERTIES[[#This Row],[WEIGHT]]*9.81),0)</f>
        <v>0</v>
      </c>
      <c r="T317" s="28">
        <v>0.28000000000000003</v>
      </c>
      <c r="U317" s="25">
        <f>ROUND(IF(IFERROR(PROPERTIES[[#This Row],[TE_COEFFICIENT_CALC]],0)=0,PROPERTIES[[#This Row],[TE_COEFFICIENT_MANUAL]],PROPERTIES[[#This Row],[TE_COEFFICIENT_CALC]]),3)</f>
        <v>0.28000000000000003</v>
      </c>
      <c r="V317" s="11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36">
        <v>120</v>
      </c>
      <c r="X317" s="9">
        <v>8</v>
      </c>
      <c r="Y317" s="10">
        <v>0</v>
      </c>
      <c r="Z317" t="s">
        <v>877</v>
      </c>
      <c r="AA317" t="s">
        <v>868</v>
      </c>
      <c r="AB317" s="2" t="s">
        <v>886</v>
      </c>
      <c r="AC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7" s="2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H317" s="10" t="b">
        <v>0</v>
      </c>
      <c r="AY317"/>
      <c r="AZ317"/>
      <c r="BA317"/>
    </row>
    <row r="318" spans="1:53">
      <c r="A318" s="2" t="s">
        <v>338</v>
      </c>
      <c r="B318">
        <v>1987</v>
      </c>
      <c r="C318" cm="1">
        <f t="array" ref="C318">_xlfn.IFS(ISNUMBER(SEARCH("wagon",PROPERTIES[[#This Row],[VEHIDCODE]])),0,OR(MID(PROPERTIES[[#This Row],[VEHIDCODE]],2,2)="mu",_xlfn.TEXTBEFORE(PROPERTIES[[#This Row],[VEHIDCODE]],"_")="mtro"),1,1=1,0)</f>
        <v>1</v>
      </c>
      <c r="D318" t="s">
        <v>1771</v>
      </c>
      <c r="E318" t="str">
        <f>_xlfn.XLOOKUP(PROPERTIES[[#This Row],[COUNTRY]],COUNTRIES[COUNTRY_DESCRIPTION],COUNTRIES[COUNTRY_LABEL],"")</f>
        <v>EG</v>
      </c>
      <c r="F318" t="str" cm="1">
        <f t="array" ref="F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8" t="s">
        <v>320</v>
      </c>
      <c r="H318">
        <v>165</v>
      </c>
      <c r="I318">
        <v>8</v>
      </c>
      <c r="J318">
        <v>8</v>
      </c>
      <c r="K318" t="str" cm="1">
        <f t="array" ref="K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f>IF(ISNUMBER(SEARCH("passenger",PROPERTIES[[#This Row],[CARGODEF]])),1,0)</f>
        <v>1</v>
      </c>
      <c r="O318" s="32">
        <v>37.5</v>
      </c>
      <c r="P318">
        <v>1450</v>
      </c>
      <c r="Q318">
        <v>100</v>
      </c>
      <c r="R318" s="29">
        <v>0</v>
      </c>
      <c r="S318" s="28">
        <f>IFERROR(PROPERTIES[[#This Row],[TE_STARTING_KN]]/(PROPERTIES[[#This Row],[WEIGHT]]*9.81),0)</f>
        <v>0</v>
      </c>
      <c r="T318" s="28">
        <v>0.26</v>
      </c>
      <c r="U318" s="25">
        <f>ROUND(IF(IFERROR(PROPERTIES[[#This Row],[TE_COEFFICIENT_CALC]],0)=0,PROPERTIES[[#This Row],[TE_COEFFICIENT_MANUAL]],PROPERTIES[[#This Row],[TE_COEFFICIENT_CALC]]),3)</f>
        <v>0.26</v>
      </c>
      <c r="V318" s="11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36">
        <v>250</v>
      </c>
      <c r="X318" s="9">
        <v>8</v>
      </c>
      <c r="Y318" s="10">
        <v>0</v>
      </c>
      <c r="Z318" t="s">
        <v>872</v>
      </c>
      <c r="AA318" t="s">
        <v>868</v>
      </c>
      <c r="AB318" s="2" t="s">
        <v>886</v>
      </c>
      <c r="AC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8" s="2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H318" s="10" t="b">
        <v>0</v>
      </c>
      <c r="AY318"/>
      <c r="AZ318"/>
      <c r="BA318"/>
    </row>
    <row r="319" spans="1:53">
      <c r="A319" s="2" t="s">
        <v>339</v>
      </c>
      <c r="B319">
        <v>1986</v>
      </c>
      <c r="C319" cm="1">
        <f t="array" ref="C319">_xlfn.IFS(ISNUMBER(SEARCH("wagon",PROPERTIES[[#This Row],[VEHIDCODE]])),0,OR(MID(PROPERTIES[[#This Row],[VEHIDCODE]],2,2)="mu",_xlfn.TEXTBEFORE(PROPERTIES[[#This Row],[VEHIDCODE]],"_")="mtro"),1,1=1,0)</f>
        <v>1</v>
      </c>
      <c r="D319" t="s">
        <v>1782</v>
      </c>
      <c r="E319" t="str">
        <f>_xlfn.XLOOKUP(PROPERTIES[[#This Row],[COUNTRY]],COUNTRIES[COUNTRY_DESCRIPTION],COUNTRIES[COUNTRY_LABEL],"")</f>
        <v>GB</v>
      </c>
      <c r="F319" t="str" cm="1">
        <f t="array" ref="F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9" t="s">
        <v>320</v>
      </c>
      <c r="H319">
        <v>142</v>
      </c>
      <c r="I319">
        <v>6</v>
      </c>
      <c r="J319">
        <v>6</v>
      </c>
      <c r="K319" t="str" cm="1">
        <f t="array" ref="K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f>IF(ISNUMBER(SEARCH("passenger",PROPERTIES[[#This Row],[CARGODEF]])),1,0)</f>
        <v>1</v>
      </c>
      <c r="O319" s="32">
        <v>33</v>
      </c>
      <c r="P319">
        <v>640</v>
      </c>
      <c r="Q319">
        <v>80</v>
      </c>
      <c r="R319" s="29">
        <v>0</v>
      </c>
      <c r="S319" s="28">
        <f>IFERROR(PROPERTIES[[#This Row],[TE_STARTING_KN]]/(PROPERTIES[[#This Row],[WEIGHT]]*9.81),0)</f>
        <v>0</v>
      </c>
      <c r="T319" s="28">
        <v>0.25</v>
      </c>
      <c r="U319" s="25">
        <f>ROUND(IF(IFERROR(PROPERTIES[[#This Row],[TE_COEFFICIENT_CALC]],0)=0,PROPERTIES[[#This Row],[TE_COEFFICIENT_MANUAL]],PROPERTIES[[#This Row],[TE_COEFFICIENT_CALC]]),3)</f>
        <v>0.25</v>
      </c>
      <c r="V319" s="11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36">
        <v>200</v>
      </c>
      <c r="X319" s="9">
        <v>6</v>
      </c>
      <c r="Y319" s="10">
        <v>0</v>
      </c>
      <c r="Z319" t="s">
        <v>873</v>
      </c>
      <c r="AA319" t="s">
        <v>868</v>
      </c>
      <c r="AB319" s="2" t="s">
        <v>886</v>
      </c>
      <c r="AC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9" s="2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H319" s="10" t="b">
        <v>0</v>
      </c>
      <c r="AY319"/>
      <c r="AZ319"/>
      <c r="BA319"/>
    </row>
    <row r="320" spans="1:53">
      <c r="A320" s="2" t="s">
        <v>340</v>
      </c>
      <c r="B320">
        <v>1993</v>
      </c>
      <c r="C320" cm="1">
        <f t="array" ref="C320">_xlfn.IFS(ISNUMBER(SEARCH("wagon",PROPERTIES[[#This Row],[VEHIDCODE]])),0,OR(MID(PROPERTIES[[#This Row],[VEHIDCODE]],2,2)="mu",_xlfn.TEXTBEFORE(PROPERTIES[[#This Row],[VEHIDCODE]],"_")="mtro"),1,1=1,0)</f>
        <v>1</v>
      </c>
      <c r="D320" t="s">
        <v>1896</v>
      </c>
      <c r="E320" t="str">
        <f>_xlfn.XLOOKUP(PROPERTIES[[#This Row],[COUNTRY]],COUNTRIES[COUNTRY_DESCRIPTION],COUNTRIES[COUNTRY_LABEL],"")</f>
        <v>RU</v>
      </c>
      <c r="F320" t="str" cm="1">
        <f t="array" ref="F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0" t="s">
        <v>320</v>
      </c>
      <c r="H320">
        <v>144</v>
      </c>
      <c r="I320">
        <v>8</v>
      </c>
      <c r="J320">
        <v>8</v>
      </c>
      <c r="K320" t="str" cm="1">
        <f t="array" ref="K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f>IF(ISNUMBER(SEARCH("passenger",PROPERTIES[[#This Row],[CARGODEF]])),1,0)</f>
        <v>1</v>
      </c>
      <c r="O320" s="32">
        <v>34</v>
      </c>
      <c r="P320">
        <v>1180</v>
      </c>
      <c r="Q320">
        <v>90</v>
      </c>
      <c r="R320" s="29">
        <v>0</v>
      </c>
      <c r="S320" s="28">
        <f>IFERROR(PROPERTIES[[#This Row],[TE_STARTING_KN]]/(PROPERTIES[[#This Row],[WEIGHT]]*9.81),0)</f>
        <v>0</v>
      </c>
      <c r="T320" s="28">
        <v>0.27</v>
      </c>
      <c r="U320" s="25">
        <f>ROUND(IF(IFERROR(PROPERTIES[[#This Row],[TE_COEFFICIENT_CALC]],0)=0,PROPERTIES[[#This Row],[TE_COEFFICIENT_MANUAL]],PROPERTIES[[#This Row],[TE_COEFFICIENT_CALC]]),3)</f>
        <v>0.27</v>
      </c>
      <c r="V320" s="11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36">
        <v>147</v>
      </c>
      <c r="X320" s="9">
        <v>8</v>
      </c>
      <c r="Y320" s="10">
        <v>0</v>
      </c>
      <c r="Z320" t="s">
        <v>877</v>
      </c>
      <c r="AA320" t="s">
        <v>868</v>
      </c>
      <c r="AB320" s="2" t="s">
        <v>886</v>
      </c>
      <c r="AC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0" s="2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H320" s="10" t="b">
        <v>0</v>
      </c>
      <c r="AY320"/>
      <c r="AZ320"/>
      <c r="BA320"/>
    </row>
    <row r="321" spans="1:53">
      <c r="A321" s="2" t="s">
        <v>341</v>
      </c>
      <c r="B321">
        <v>1993</v>
      </c>
      <c r="C321" cm="1">
        <f t="array" ref="C321">_xlfn.IFS(ISNUMBER(SEARCH("wagon",PROPERTIES[[#This Row],[VEHIDCODE]])),0,OR(MID(PROPERTIES[[#This Row],[VEHIDCODE]],2,2)="mu",_xlfn.TEXTBEFORE(PROPERTIES[[#This Row],[VEHIDCODE]],"_")="mtro"),1,1=1,0)</f>
        <v>1</v>
      </c>
      <c r="D321" t="s">
        <v>1937</v>
      </c>
      <c r="E321" t="str">
        <f>_xlfn.XLOOKUP(PROPERTIES[[#This Row],[COUNTRY]],COUNTRIES[COUNTRY_DESCRIPTION],COUNTRIES[COUNTRY_LABEL],"")</f>
        <v>US</v>
      </c>
      <c r="F321" t="str" cm="1">
        <f t="array" ref="F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1" t="s">
        <v>320</v>
      </c>
      <c r="H321">
        <v>155</v>
      </c>
      <c r="I321">
        <v>8</v>
      </c>
      <c r="J321">
        <v>8</v>
      </c>
      <c r="K321" t="str" cm="1">
        <f t="array" ref="K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f>IF(ISNUMBER(SEARCH("passenger",PROPERTIES[[#This Row],[CARGODEF]])),1,0)</f>
        <v>1</v>
      </c>
      <c r="O321" s="32">
        <v>36.5</v>
      </c>
      <c r="P321">
        <v>910</v>
      </c>
      <c r="Q321">
        <v>80</v>
      </c>
      <c r="R321" s="29">
        <v>0</v>
      </c>
      <c r="S321" s="28">
        <f>IFERROR(PROPERTIES[[#This Row],[TE_STARTING_KN]]/(PROPERTIES[[#This Row],[WEIGHT]]*9.81),0)</f>
        <v>0</v>
      </c>
      <c r="T321" s="28">
        <v>0.26</v>
      </c>
      <c r="U321" s="25">
        <f>ROUND(IF(IFERROR(PROPERTIES[[#This Row],[TE_COEFFICIENT_CALC]],0)=0,PROPERTIES[[#This Row],[TE_COEFFICIENT_MANUAL]],PROPERTIES[[#This Row],[TE_COEFFICIENT_CALC]]),3)</f>
        <v>0.26</v>
      </c>
      <c r="V321" s="11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36">
        <v>150</v>
      </c>
      <c r="X321" s="9">
        <v>8</v>
      </c>
      <c r="Y321" s="10">
        <v>0</v>
      </c>
      <c r="Z321" t="s">
        <v>874</v>
      </c>
      <c r="AA321" t="s">
        <v>868</v>
      </c>
      <c r="AB321" s="2" t="s">
        <v>886</v>
      </c>
      <c r="AC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1" s="2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H321" s="10" t="b">
        <v>0</v>
      </c>
      <c r="AY321"/>
      <c r="AZ321"/>
      <c r="BA321"/>
    </row>
    <row r="322" spans="1:53">
      <c r="A322" s="2" t="s">
        <v>342</v>
      </c>
      <c r="B322">
        <v>1993</v>
      </c>
      <c r="C322" cm="1">
        <f t="array" ref="C322">_xlfn.IFS(ISNUMBER(SEARCH("wagon",PROPERTIES[[#This Row],[VEHIDCODE]])),0,OR(MID(PROPERTIES[[#This Row],[VEHIDCODE]],2,2)="mu",_xlfn.TEXTBEFORE(PROPERTIES[[#This Row],[VEHIDCODE]],"_")="mtro"),1,1=1,0)</f>
        <v>1</v>
      </c>
      <c r="D322" t="s">
        <v>1937</v>
      </c>
      <c r="E322" t="str">
        <f>_xlfn.XLOOKUP(PROPERTIES[[#This Row],[COUNTRY]],COUNTRIES[COUNTRY_DESCRIPTION],COUNTRIES[COUNTRY_LABEL],"")</f>
        <v>US</v>
      </c>
      <c r="F322" t="str" cm="1">
        <f t="array" ref="F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2" t="s">
        <v>320</v>
      </c>
      <c r="H322">
        <v>150</v>
      </c>
      <c r="I322">
        <v>8</v>
      </c>
      <c r="J322">
        <v>8</v>
      </c>
      <c r="K322" t="str" cm="1">
        <f t="array" ref="K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f>IF(ISNUMBER(SEARCH("passenger",PROPERTIES[[#This Row],[CARGODEF]])),1,0)</f>
        <v>1</v>
      </c>
      <c r="O322" s="32">
        <v>36.5</v>
      </c>
      <c r="P322">
        <v>1250</v>
      </c>
      <c r="Q322">
        <v>70</v>
      </c>
      <c r="R322" s="29">
        <v>0</v>
      </c>
      <c r="S322" s="28">
        <f>IFERROR(PROPERTIES[[#This Row],[TE_STARTING_KN]]/(PROPERTIES[[#This Row],[WEIGHT]]*9.81),0)</f>
        <v>0</v>
      </c>
      <c r="T322" s="28">
        <v>0.28000000000000003</v>
      </c>
      <c r="U322" s="25">
        <f>ROUND(IF(IFERROR(PROPERTIES[[#This Row],[TE_COEFFICIENT_CALC]],0)=0,PROPERTIES[[#This Row],[TE_COEFFICIENT_MANUAL]],PROPERTIES[[#This Row],[TE_COEFFICIENT_CALC]]),3)</f>
        <v>0.28000000000000003</v>
      </c>
      <c r="V322" s="11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36">
        <v>170</v>
      </c>
      <c r="X322" s="9">
        <v>8</v>
      </c>
      <c r="Y322" s="10">
        <v>0</v>
      </c>
      <c r="Z322" t="s">
        <v>874</v>
      </c>
      <c r="AA322" t="s">
        <v>868</v>
      </c>
      <c r="AB322" s="2" t="s">
        <v>886</v>
      </c>
      <c r="AC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2" s="2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H322" s="10" t="b">
        <v>0</v>
      </c>
      <c r="AY322"/>
      <c r="AZ322"/>
      <c r="BA322"/>
    </row>
    <row r="323" spans="1:53">
      <c r="A323" s="2" t="s">
        <v>343</v>
      </c>
      <c r="B323">
        <v>1992</v>
      </c>
      <c r="C323" cm="1">
        <f t="array" ref="C323">_xlfn.IFS(ISNUMBER(SEARCH("wagon",PROPERTIES[[#This Row],[VEHIDCODE]])),0,OR(MID(PROPERTIES[[#This Row],[VEHIDCODE]],2,2)="mu",_xlfn.TEXTBEFORE(PROPERTIES[[#This Row],[VEHIDCODE]],"_")="mtro"),1,1=1,0)</f>
        <v>1</v>
      </c>
      <c r="D323" t="s">
        <v>1932</v>
      </c>
      <c r="E323" t="str">
        <f>_xlfn.XLOOKUP(PROPERTIES[[#This Row],[COUNTRY]],COUNTRIES[COUNTRY_DESCRIPTION],COUNTRIES[COUNTRY_LABEL],"")</f>
        <v>TW</v>
      </c>
      <c r="F323" t="str" cm="1">
        <f t="array" ref="F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3" t="s">
        <v>320</v>
      </c>
      <c r="H323">
        <v>155</v>
      </c>
      <c r="I323">
        <v>8</v>
      </c>
      <c r="J323">
        <v>8</v>
      </c>
      <c r="K323" t="str" cm="1">
        <f t="array" ref="K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f>IF(ISNUMBER(SEARCH("passenger",PROPERTIES[[#This Row],[CARGODEF]])),1,0)</f>
        <v>1</v>
      </c>
      <c r="O323" s="32">
        <v>39.5</v>
      </c>
      <c r="P323">
        <v>1550</v>
      </c>
      <c r="Q323">
        <v>80</v>
      </c>
      <c r="R323" s="29">
        <v>0</v>
      </c>
      <c r="S323" s="28">
        <f>IFERROR(PROPERTIES[[#This Row],[TE_STARTING_KN]]/(PROPERTIES[[#This Row],[WEIGHT]]*9.81),0)</f>
        <v>0</v>
      </c>
      <c r="T323" s="28">
        <v>0.3</v>
      </c>
      <c r="U323" s="25">
        <f>ROUND(IF(IFERROR(PROPERTIES[[#This Row],[TE_COEFFICIENT_CALC]],0)=0,PROPERTIES[[#This Row],[TE_COEFFICIENT_MANUAL]],PROPERTIES[[#This Row],[TE_COEFFICIENT_CALC]]),3)</f>
        <v>0.3</v>
      </c>
      <c r="V323" s="11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36">
        <v>250</v>
      </c>
      <c r="X323" s="9">
        <v>8</v>
      </c>
      <c r="Y323" s="10">
        <v>0</v>
      </c>
      <c r="Z323" t="s">
        <v>877</v>
      </c>
      <c r="AA323" t="s">
        <v>868</v>
      </c>
      <c r="AB323" s="2" t="s">
        <v>886</v>
      </c>
      <c r="AC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3" s="2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H323" s="10" t="b">
        <v>0</v>
      </c>
      <c r="AY323"/>
      <c r="AZ323"/>
      <c r="BA323"/>
    </row>
    <row r="324" spans="1:53">
      <c r="A324" s="2" t="s">
        <v>344</v>
      </c>
      <c r="B324">
        <v>1997</v>
      </c>
      <c r="C324" cm="1">
        <f t="array" ref="C324">_xlfn.IFS(ISNUMBER(SEARCH("wagon",PROPERTIES[[#This Row],[VEHIDCODE]])),0,OR(MID(PROPERTIES[[#This Row],[VEHIDCODE]],2,2)="mu",_xlfn.TEXTBEFORE(PROPERTIES[[#This Row],[VEHIDCODE]],"_")="mtro"),1,1=1,0)</f>
        <v>1</v>
      </c>
      <c r="D324" t="s">
        <v>1871</v>
      </c>
      <c r="E324" t="str">
        <f>_xlfn.XLOOKUP(PROPERTIES[[#This Row],[COUNTRY]],COUNTRIES[COUNTRY_DESCRIPTION],COUNTRIES[COUNTRY_LABEL],"")</f>
        <v>NL</v>
      </c>
      <c r="F324" t="str" cm="1">
        <f t="array" ref="F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4" t="s">
        <v>320</v>
      </c>
      <c r="H324">
        <v>125</v>
      </c>
      <c r="I324">
        <v>8</v>
      </c>
      <c r="J324">
        <v>8</v>
      </c>
      <c r="K324" t="str" cm="1">
        <f t="array" ref="K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f>IF(ISNUMBER(SEARCH("passenger",PROPERTIES[[#This Row],[CARGODEF]])),1,0)</f>
        <v>1</v>
      </c>
      <c r="O324" s="32">
        <v>24</v>
      </c>
      <c r="P324">
        <v>1020</v>
      </c>
      <c r="Q324">
        <v>70</v>
      </c>
      <c r="R324" s="29">
        <v>0</v>
      </c>
      <c r="S324" s="28">
        <f>IFERROR(PROPERTIES[[#This Row],[TE_STARTING_KN]]/(PROPERTIES[[#This Row],[WEIGHT]]*9.81),0)</f>
        <v>0</v>
      </c>
      <c r="T324" s="28">
        <v>0.28000000000000003</v>
      </c>
      <c r="U324" s="25">
        <f>ROUND(IF(IFERROR(PROPERTIES[[#This Row],[TE_COEFFICIENT_CALC]],0)=0,PROPERTIES[[#This Row],[TE_COEFFICIENT_MANUAL]],PROPERTIES[[#This Row],[TE_COEFFICIENT_CALC]]),3)</f>
        <v>0.28000000000000003</v>
      </c>
      <c r="V324" s="11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36">
        <v>250</v>
      </c>
      <c r="X324" s="9">
        <v>8</v>
      </c>
      <c r="Y324" s="10">
        <v>0</v>
      </c>
      <c r="Z324" t="s">
        <v>869</v>
      </c>
      <c r="AA324" t="s">
        <v>868</v>
      </c>
      <c r="AB324" s="2" t="s">
        <v>886</v>
      </c>
      <c r="AC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4" s="2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H324" s="10" t="b">
        <v>0</v>
      </c>
      <c r="AY324"/>
      <c r="AZ324"/>
      <c r="BA324"/>
    </row>
    <row r="325" spans="1:53">
      <c r="A325" s="2" t="s">
        <v>345</v>
      </c>
      <c r="B325">
        <v>1997</v>
      </c>
      <c r="C325" cm="1">
        <f t="array" ref="C325">_xlfn.IFS(ISNUMBER(SEARCH("wagon",PROPERTIES[[#This Row],[VEHIDCODE]])),0,OR(MID(PROPERTIES[[#This Row],[VEHIDCODE]],2,2)="mu",_xlfn.TEXTBEFORE(PROPERTIES[[#This Row],[VEHIDCODE]],"_")="mtro"),1,1=1,0)</f>
        <v>1</v>
      </c>
      <c r="D325" t="s">
        <v>1781</v>
      </c>
      <c r="E325" t="str">
        <f>_xlfn.XLOOKUP(PROPERTIES[[#This Row],[COUNTRY]],COUNTRIES[COUNTRY_DESCRIPTION],COUNTRIES[COUNTRY_LABEL],"")</f>
        <v>FR</v>
      </c>
      <c r="F325" t="str" cm="1">
        <f t="array" ref="F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5" t="s">
        <v>320</v>
      </c>
      <c r="H325">
        <v>120</v>
      </c>
      <c r="I325">
        <v>7</v>
      </c>
      <c r="J325">
        <v>7</v>
      </c>
      <c r="K325" t="str" cm="1">
        <f t="array" ref="K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f>IF(ISNUMBER(SEARCH("passenger",PROPERTIES[[#This Row],[CARGODEF]])),1,0)</f>
        <v>1</v>
      </c>
      <c r="O325" s="32">
        <v>24</v>
      </c>
      <c r="P325">
        <v>2680</v>
      </c>
      <c r="Q325">
        <v>80</v>
      </c>
      <c r="R325" s="29">
        <v>0</v>
      </c>
      <c r="S325" s="28">
        <f>IFERROR(PROPERTIES[[#This Row],[TE_STARTING_KN]]/(PROPERTIES[[#This Row],[WEIGHT]]*9.81),0)</f>
        <v>0</v>
      </c>
      <c r="T325" s="28">
        <v>0.35</v>
      </c>
      <c r="U325" s="25">
        <f>ROUND(IF(IFERROR(PROPERTIES[[#This Row],[TE_COEFFICIENT_CALC]],0)=0,PROPERTIES[[#This Row],[TE_COEFFICIENT_MANUAL]],PROPERTIES[[#This Row],[TE_COEFFICIENT_CALC]]),3)</f>
        <v>0.35</v>
      </c>
      <c r="V325" s="11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36">
        <v>120</v>
      </c>
      <c r="X325" s="9">
        <v>7</v>
      </c>
      <c r="Y325" s="10">
        <v>0</v>
      </c>
      <c r="Z325" t="s">
        <v>869</v>
      </c>
      <c r="AA325" t="s">
        <v>868</v>
      </c>
      <c r="AB325" s="2" t="s">
        <v>886</v>
      </c>
      <c r="AC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5" s="2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H325" s="10" t="b">
        <v>0</v>
      </c>
      <c r="AY325"/>
      <c r="AZ325"/>
      <c r="BA325"/>
    </row>
    <row r="326" spans="1:53">
      <c r="A326" s="2" t="s">
        <v>346</v>
      </c>
      <c r="B326">
        <v>2003</v>
      </c>
      <c r="C326" cm="1">
        <f t="array" ref="C326">_xlfn.IFS(ISNUMBER(SEARCH("wagon",PROPERTIES[[#This Row],[VEHIDCODE]])),0,OR(MID(PROPERTIES[[#This Row],[VEHIDCODE]],2,2)="mu",_xlfn.TEXTBEFORE(PROPERTIES[[#This Row],[VEHIDCODE]],"_")="mtro"),1,1=1,0)</f>
        <v>1</v>
      </c>
      <c r="D326" t="s">
        <v>1896</v>
      </c>
      <c r="E326" t="str">
        <f>_xlfn.XLOOKUP(PROPERTIES[[#This Row],[COUNTRY]],COUNTRIES[COUNTRY_DESCRIPTION],COUNTRIES[COUNTRY_LABEL],"")</f>
        <v>RU</v>
      </c>
      <c r="F326" t="str" cm="1">
        <f t="array" ref="F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6" t="s">
        <v>320</v>
      </c>
      <c r="H326">
        <v>172</v>
      </c>
      <c r="I326">
        <v>7</v>
      </c>
      <c r="J326">
        <v>7</v>
      </c>
      <c r="K326" t="str" cm="1">
        <f t="array" ref="K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f>IF(ISNUMBER(SEARCH("passenger",PROPERTIES[[#This Row],[CARGODEF]])),1,0)</f>
        <v>1</v>
      </c>
      <c r="O326" s="32">
        <v>47</v>
      </c>
      <c r="P326">
        <v>1400</v>
      </c>
      <c r="Q326">
        <v>90</v>
      </c>
      <c r="R326" s="29">
        <v>0</v>
      </c>
      <c r="S326" s="28">
        <f>IFERROR(PROPERTIES[[#This Row],[TE_STARTING_KN]]/(PROPERTIES[[#This Row],[WEIGHT]]*9.81),0)</f>
        <v>0</v>
      </c>
      <c r="T326" s="28">
        <v>0.3</v>
      </c>
      <c r="U326" s="25">
        <f>ROUND(IF(IFERROR(PROPERTIES[[#This Row],[TE_COEFFICIENT_CALC]],0)=0,PROPERTIES[[#This Row],[TE_COEFFICIENT_MANUAL]],PROPERTIES[[#This Row],[TE_COEFFICIENT_CALC]]),3)</f>
        <v>0.3</v>
      </c>
      <c r="V326" s="11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36">
        <v>120</v>
      </c>
      <c r="X326" s="9">
        <v>6</v>
      </c>
      <c r="Y326" s="10">
        <v>0</v>
      </c>
      <c r="Z326" t="s">
        <v>877</v>
      </c>
      <c r="AA326" t="s">
        <v>868</v>
      </c>
      <c r="AB326" s="2" t="s">
        <v>886</v>
      </c>
      <c r="AC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6" s="2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H326" s="10" t="b">
        <v>0</v>
      </c>
      <c r="AY326"/>
      <c r="AZ326"/>
      <c r="BA326"/>
    </row>
    <row r="327" spans="1:53">
      <c r="A327" s="2" t="s">
        <v>347</v>
      </c>
      <c r="B327">
        <v>2003</v>
      </c>
      <c r="C327" cm="1">
        <f t="array" ref="C327">_xlfn.IFS(ISNUMBER(SEARCH("wagon",PROPERTIES[[#This Row],[VEHIDCODE]])),0,OR(MID(PROPERTIES[[#This Row],[VEHIDCODE]],2,2)="mu",_xlfn.TEXTBEFORE(PROPERTIES[[#This Row],[VEHIDCODE]],"_")="mtro"),1,1=1,0)</f>
        <v>1</v>
      </c>
      <c r="D327" t="s">
        <v>1903</v>
      </c>
      <c r="E327" t="str">
        <f>_xlfn.XLOOKUP(PROPERTIES[[#This Row],[COUNTRY]],COUNTRIES[COUNTRY_DESCRIPTION],COUNTRIES[COUNTRY_LABEL],"")</f>
        <v>SG</v>
      </c>
      <c r="F327" t="str" cm="1">
        <f t="array" ref="F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7" t="s">
        <v>320</v>
      </c>
      <c r="H327">
        <v>150</v>
      </c>
      <c r="I327">
        <v>8</v>
      </c>
      <c r="J327">
        <v>8</v>
      </c>
      <c r="K327" t="str" cm="1">
        <f t="array" ref="K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f>IF(ISNUMBER(SEARCH("passenger",PROPERTIES[[#This Row],[CARGODEF]])),1,0)</f>
        <v>1</v>
      </c>
      <c r="O327" s="32">
        <v>35</v>
      </c>
      <c r="P327">
        <v>1500</v>
      </c>
      <c r="Q327">
        <v>90</v>
      </c>
      <c r="R327" s="29">
        <v>0</v>
      </c>
      <c r="S327" s="28">
        <f>IFERROR(PROPERTIES[[#This Row],[TE_STARTING_KN]]/(PROPERTIES[[#This Row],[WEIGHT]]*9.81),0)</f>
        <v>0</v>
      </c>
      <c r="T327" s="28">
        <v>0.3</v>
      </c>
      <c r="U327" s="25">
        <f>ROUND(IF(IFERROR(PROPERTIES[[#This Row],[TE_COEFFICIENT_CALC]],0)=0,PROPERTIES[[#This Row],[TE_COEFFICIENT_MANUAL]],PROPERTIES[[#This Row],[TE_COEFFICIENT_CALC]]),3)</f>
        <v>0.3</v>
      </c>
      <c r="V327" s="11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36">
        <v>250</v>
      </c>
      <c r="X327" s="9">
        <v>8</v>
      </c>
      <c r="Y327" s="10">
        <v>0</v>
      </c>
      <c r="Z327" t="s">
        <v>877</v>
      </c>
      <c r="AA327" t="s">
        <v>868</v>
      </c>
      <c r="AB327" s="2" t="s">
        <v>886</v>
      </c>
      <c r="AC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7" s="2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H327" s="10" t="b">
        <v>0</v>
      </c>
      <c r="AY327"/>
      <c r="AZ327"/>
      <c r="BA327"/>
    </row>
    <row r="328" spans="1:53">
      <c r="A328" s="2" t="s">
        <v>348</v>
      </c>
      <c r="B328">
        <v>2007</v>
      </c>
      <c r="C328" cm="1">
        <f t="array" ref="C328">_xlfn.IFS(ISNUMBER(SEARCH("wagon",PROPERTIES[[#This Row],[VEHIDCODE]])),0,OR(MID(PROPERTIES[[#This Row],[VEHIDCODE]],2,2)="mu",_xlfn.TEXTBEFORE(PROPERTIES[[#This Row],[VEHIDCODE]],"_")="mtro"),1,1=1,0)</f>
        <v>1</v>
      </c>
      <c r="D328" t="s">
        <v>1872</v>
      </c>
      <c r="E328" t="str">
        <f>_xlfn.XLOOKUP(PROPERTIES[[#This Row],[COUNTRY]],COUNTRIES[COUNTRY_DESCRIPTION],COUNTRIES[COUNTRY_LABEL],"")</f>
        <v>NO</v>
      </c>
      <c r="F328" t="str" cm="1">
        <f t="array" ref="F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8" t="s">
        <v>320</v>
      </c>
      <c r="H328">
        <v>164</v>
      </c>
      <c r="I328">
        <v>7</v>
      </c>
      <c r="J328">
        <v>7</v>
      </c>
      <c r="K328" t="str" cm="1">
        <f t="array" ref="K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f>IF(ISNUMBER(SEARCH("passenger",PROPERTIES[[#This Row],[CARGODEF]])),1,0)</f>
        <v>1</v>
      </c>
      <c r="O328" s="32">
        <v>31.3</v>
      </c>
      <c r="P328">
        <v>1500</v>
      </c>
      <c r="Q328">
        <v>80</v>
      </c>
      <c r="R328" s="29">
        <v>0</v>
      </c>
      <c r="S328" s="28">
        <f>IFERROR(PROPERTIES[[#This Row],[TE_STARTING_KN]]/(PROPERTIES[[#This Row],[WEIGHT]]*9.81),0)</f>
        <v>0</v>
      </c>
      <c r="T328" s="28">
        <v>0.32</v>
      </c>
      <c r="U328" s="25">
        <f>ROUND(IF(IFERROR(PROPERTIES[[#This Row],[TE_COEFFICIENT_CALC]],0)=0,PROPERTIES[[#This Row],[TE_COEFFICIENT_MANUAL]],PROPERTIES[[#This Row],[TE_COEFFICIENT_CALC]]),3)</f>
        <v>0.32</v>
      </c>
      <c r="V328" s="11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36">
        <v>164</v>
      </c>
      <c r="X328" s="9">
        <v>7</v>
      </c>
      <c r="Y328" s="10">
        <v>0</v>
      </c>
      <c r="Z328" t="s">
        <v>873</v>
      </c>
      <c r="AA328" t="s">
        <v>868</v>
      </c>
      <c r="AB328" s="2" t="s">
        <v>886</v>
      </c>
      <c r="AC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8" s="2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H328" s="10" t="b">
        <v>0</v>
      </c>
      <c r="AY328"/>
      <c r="AZ328"/>
      <c r="BA328"/>
    </row>
    <row r="329" spans="1:53">
      <c r="A329" s="2" t="s">
        <v>349</v>
      </c>
      <c r="B329">
        <v>2009</v>
      </c>
      <c r="C329" cm="1">
        <f t="array" ref="C329">_xlfn.IFS(ISNUMBER(SEARCH("wagon",PROPERTIES[[#This Row],[VEHIDCODE]])),0,OR(MID(PROPERTIES[[#This Row],[VEHIDCODE]],2,2)="mu",_xlfn.TEXTBEFORE(PROPERTIES[[#This Row],[VEHIDCODE]],"_")="mtro"),1,1=1,0)</f>
        <v>1</v>
      </c>
      <c r="D329" t="s">
        <v>1819</v>
      </c>
      <c r="E329" t="str">
        <f>_xlfn.XLOOKUP(PROPERTIES[[#This Row],[COUNTRY]],COUNTRIES[COUNTRY_DESCRIPTION],COUNTRIES[COUNTRY_LABEL],"")</f>
        <v>JP</v>
      </c>
      <c r="F329" t="str" cm="1">
        <f t="array" ref="F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9" t="s">
        <v>320</v>
      </c>
      <c r="H329">
        <v>140</v>
      </c>
      <c r="I329">
        <v>8</v>
      </c>
      <c r="J329">
        <v>8</v>
      </c>
      <c r="K329" t="str" cm="1">
        <f t="array" ref="K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f>IF(ISNUMBER(SEARCH("passenger",PROPERTIES[[#This Row],[CARGODEF]])),1,0)</f>
        <v>1</v>
      </c>
      <c r="O329" s="32">
        <v>31.5</v>
      </c>
      <c r="P329">
        <v>1820</v>
      </c>
      <c r="Q329">
        <v>70</v>
      </c>
      <c r="R329" s="29">
        <v>0</v>
      </c>
      <c r="S329" s="28">
        <f>IFERROR(PROPERTIES[[#This Row],[TE_STARTING_KN]]/(PROPERTIES[[#This Row],[WEIGHT]]*9.81),0)</f>
        <v>0</v>
      </c>
      <c r="T329" s="28">
        <v>0.3</v>
      </c>
      <c r="U329" s="25">
        <f>ROUND(IF(IFERROR(PROPERTIES[[#This Row],[TE_COEFFICIENT_CALC]],0)=0,PROPERTIES[[#This Row],[TE_COEFFICIENT_MANUAL]],PROPERTIES[[#This Row],[TE_COEFFICIENT_CALC]]),3)</f>
        <v>0.3</v>
      </c>
      <c r="V329" s="11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36">
        <v>140</v>
      </c>
      <c r="X329" s="9">
        <v>8</v>
      </c>
      <c r="Y329" s="10">
        <v>0</v>
      </c>
      <c r="Z329" t="s">
        <v>877</v>
      </c>
      <c r="AA329" t="s">
        <v>868</v>
      </c>
      <c r="AB329" s="2" t="s">
        <v>886</v>
      </c>
      <c r="AC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9" s="2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H329" s="10" t="b">
        <v>0</v>
      </c>
      <c r="AY329"/>
      <c r="AZ329"/>
      <c r="BA329"/>
    </row>
    <row r="330" spans="1:53">
      <c r="A330" s="2" t="s">
        <v>350</v>
      </c>
      <c r="B330">
        <v>2012</v>
      </c>
      <c r="C330" cm="1">
        <f t="array" ref="C330">_xlfn.IFS(ISNUMBER(SEARCH("wagon",PROPERTIES[[#This Row],[VEHIDCODE]])),0,OR(MID(PROPERTIES[[#This Row],[VEHIDCODE]],2,2)="mu",_xlfn.TEXTBEFORE(PROPERTIES[[#This Row],[VEHIDCODE]],"_")="mtro"),1,1=1,0)</f>
        <v>1</v>
      </c>
      <c r="D330" t="s">
        <v>1903</v>
      </c>
      <c r="E330" t="str">
        <f>_xlfn.XLOOKUP(PROPERTIES[[#This Row],[COUNTRY]],COUNTRIES[COUNTRY_DESCRIPTION],COUNTRIES[COUNTRY_LABEL],"")</f>
        <v>SG</v>
      </c>
      <c r="F330" t="str" cm="1">
        <f t="array" ref="F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0" t="s">
        <v>320</v>
      </c>
      <c r="H330">
        <v>162</v>
      </c>
      <c r="I330">
        <v>8</v>
      </c>
      <c r="J330">
        <v>8</v>
      </c>
      <c r="K330" t="str" cm="1">
        <f t="array" ref="K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f>IF(ISNUMBER(SEARCH("passenger",PROPERTIES[[#This Row],[CARGODEF]])),1,0)</f>
        <v>1</v>
      </c>
      <c r="O330" s="32">
        <v>35</v>
      </c>
      <c r="P330">
        <v>1580</v>
      </c>
      <c r="Q330">
        <v>90</v>
      </c>
      <c r="R330" s="29">
        <v>0</v>
      </c>
      <c r="S330" s="28">
        <f>IFERROR(PROPERTIES[[#This Row],[TE_STARTING_KN]]/(PROPERTIES[[#This Row],[WEIGHT]]*9.81),0)</f>
        <v>0</v>
      </c>
      <c r="T330" s="28">
        <v>0.3</v>
      </c>
      <c r="U330" s="25">
        <f>ROUND(IF(IFERROR(PROPERTIES[[#This Row],[TE_COEFFICIENT_CALC]],0)=0,PROPERTIES[[#This Row],[TE_COEFFICIENT_MANUAL]],PROPERTIES[[#This Row],[TE_COEFFICIENT_CALC]]),3)</f>
        <v>0.3</v>
      </c>
      <c r="V330" s="11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36">
        <v>250</v>
      </c>
      <c r="X330" s="9">
        <v>8</v>
      </c>
      <c r="Y330" s="10">
        <v>0</v>
      </c>
      <c r="Z330" t="s">
        <v>877</v>
      </c>
      <c r="AA330" t="s">
        <v>868</v>
      </c>
      <c r="AB330" s="2" t="s">
        <v>886</v>
      </c>
      <c r="AC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0" s="2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H330" s="10" t="b">
        <v>0</v>
      </c>
      <c r="AY330"/>
      <c r="AZ330"/>
      <c r="BA330"/>
    </row>
    <row r="331" spans="1:53">
      <c r="A331" s="2" t="s">
        <v>351</v>
      </c>
      <c r="B331">
        <v>2013</v>
      </c>
      <c r="C331" cm="1">
        <f t="array" ref="C331">_xlfn.IFS(ISNUMBER(SEARCH("wagon",PROPERTIES[[#This Row],[VEHIDCODE]])),0,OR(MID(PROPERTIES[[#This Row],[VEHIDCODE]],2,2)="mu",_xlfn.TEXTBEFORE(PROPERTIES[[#This Row],[VEHIDCODE]],"_")="mtro"),1,1=1,0)</f>
        <v>1</v>
      </c>
      <c r="D331" t="s">
        <v>1937</v>
      </c>
      <c r="E331" t="str">
        <f>_xlfn.XLOOKUP(PROPERTIES[[#This Row],[COUNTRY]],COUNTRIES[COUNTRY_DESCRIPTION],COUNTRIES[COUNTRY_LABEL],"")</f>
        <v>US</v>
      </c>
      <c r="F331" t="str" cm="1">
        <f t="array" ref="F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1" t="s">
        <v>320</v>
      </c>
      <c r="H331">
        <v>175</v>
      </c>
      <c r="I331">
        <v>8</v>
      </c>
      <c r="J331">
        <v>8</v>
      </c>
      <c r="K331" t="str" cm="1">
        <f t="array" ref="K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f>IF(ISNUMBER(SEARCH("passenger",PROPERTIES[[#This Row],[CARGODEF]])),1,0)</f>
        <v>1</v>
      </c>
      <c r="O331" s="32">
        <v>36.5</v>
      </c>
      <c r="P331">
        <v>1520</v>
      </c>
      <c r="Q331">
        <v>90</v>
      </c>
      <c r="R331" s="29">
        <v>0</v>
      </c>
      <c r="S331" s="28">
        <f>IFERROR(PROPERTIES[[#This Row],[TE_STARTING_KN]]/(PROPERTIES[[#This Row],[WEIGHT]]*9.81),0)</f>
        <v>0</v>
      </c>
      <c r="T331" s="28">
        <v>0.3</v>
      </c>
      <c r="U331" s="25">
        <f>ROUND(IF(IFERROR(PROPERTIES[[#This Row],[TE_COEFFICIENT_CALC]],0)=0,PROPERTIES[[#This Row],[TE_COEFFICIENT_MANUAL]],PROPERTIES[[#This Row],[TE_COEFFICIENT_CALC]]),3)</f>
        <v>0.3</v>
      </c>
      <c r="V331" s="11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36">
        <v>184</v>
      </c>
      <c r="X331" s="9">
        <v>8</v>
      </c>
      <c r="Y331" s="10">
        <v>0</v>
      </c>
      <c r="Z331" t="s">
        <v>874</v>
      </c>
      <c r="AA331" t="s">
        <v>868</v>
      </c>
      <c r="AB331" s="2" t="s">
        <v>886</v>
      </c>
      <c r="AC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1" s="2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H331" s="10" t="b">
        <v>0</v>
      </c>
      <c r="AY331"/>
      <c r="AZ331"/>
      <c r="BA331"/>
    </row>
    <row r="332" spans="1:53">
      <c r="A332" s="2" t="s">
        <v>352</v>
      </c>
      <c r="B332">
        <v>2024</v>
      </c>
      <c r="C332" cm="1">
        <f t="array" ref="C332">_xlfn.IFS(ISNUMBER(SEARCH("wagon",PROPERTIES[[#This Row],[VEHIDCODE]])),0,OR(MID(PROPERTIES[[#This Row],[VEHIDCODE]],2,2)="mu",_xlfn.TEXTBEFORE(PROPERTIES[[#This Row],[VEHIDCODE]],"_")="mtro"),1,1=1,0)</f>
        <v>1</v>
      </c>
      <c r="D332" t="s">
        <v>1794</v>
      </c>
      <c r="E332" t="str">
        <f>_xlfn.XLOOKUP(PROPERTIES[[#This Row],[COUNTRY]],COUNTRIES[COUNTRY_DESCRIPTION],COUNTRIES[COUNTRY_LABEL],"")</f>
        <v>GR</v>
      </c>
      <c r="F332" t="str" cm="1">
        <f t="array" ref="F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2" t="s">
        <v>320</v>
      </c>
      <c r="H332">
        <v>115</v>
      </c>
      <c r="I332">
        <v>6</v>
      </c>
      <c r="J332">
        <v>6</v>
      </c>
      <c r="K332" t="str" cm="1">
        <f t="array" ref="K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f>IF(ISNUMBER(SEARCH("passenger",PROPERTIES[[#This Row],[CARGODEF]])),1,0)</f>
        <v>1</v>
      </c>
      <c r="O332" s="32">
        <v>27.5</v>
      </c>
      <c r="P332">
        <v>1360</v>
      </c>
      <c r="Q332">
        <v>80</v>
      </c>
      <c r="R332" s="29">
        <v>0</v>
      </c>
      <c r="S332" s="28">
        <f>IFERROR(PROPERTIES[[#This Row],[TE_STARTING_KN]]/(PROPERTIES[[#This Row],[WEIGHT]]*9.81),0)</f>
        <v>0</v>
      </c>
      <c r="T332" s="28">
        <v>0.3</v>
      </c>
      <c r="U332" s="25">
        <f>ROUND(IF(IFERROR(PROPERTIES[[#This Row],[TE_COEFFICIENT_CALC]],0)=0,PROPERTIES[[#This Row],[TE_COEFFICIENT_MANUAL]],PROPERTIES[[#This Row],[TE_COEFFICIENT_CALC]]),3)</f>
        <v>0.3</v>
      </c>
      <c r="V332" s="11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36">
        <v>110</v>
      </c>
      <c r="X332" s="9">
        <v>6</v>
      </c>
      <c r="Y332" s="10">
        <v>0</v>
      </c>
      <c r="Z332" t="s">
        <v>870</v>
      </c>
      <c r="AA332" t="s">
        <v>868</v>
      </c>
      <c r="AB332" s="2" t="s">
        <v>886</v>
      </c>
      <c r="AC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2" s="2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H332" s="10" t="b">
        <v>0</v>
      </c>
      <c r="AY332"/>
      <c r="AZ332"/>
      <c r="BA332"/>
    </row>
    <row r="333" spans="1:53">
      <c r="A333" s="2" t="s">
        <v>353</v>
      </c>
      <c r="B333">
        <v>1901</v>
      </c>
      <c r="C333" cm="1">
        <f t="array" ref="C333">_xlfn.IFS(ISNUMBER(SEARCH("wagon",PROPERTIES[[#This Row],[VEHIDCODE]])),0,OR(MID(PROPERTIES[[#This Row],[VEHIDCODE]],2,2)="mu",_xlfn.TEXTBEFORE(PROPERTIES[[#This Row],[VEHIDCODE]],"_")="mtro"),1,1=1,0)</f>
        <v>1</v>
      </c>
      <c r="D333" t="s">
        <v>1763</v>
      </c>
      <c r="E333" t="str">
        <f>_xlfn.XLOOKUP(PROPERTIES[[#This Row],[COUNTRY]],COUNTRIES[COUNTRY_DESCRIPTION],COUNTRIES[COUNTRY_LABEL],"")</f>
        <v>DE</v>
      </c>
      <c r="F333" t="str" cm="1">
        <f t="array" ref="F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3" t="s">
        <v>320</v>
      </c>
      <c r="H333">
        <v>85</v>
      </c>
      <c r="I333">
        <v>5</v>
      </c>
      <c r="J333">
        <v>5</v>
      </c>
      <c r="K333" t="str" cm="1">
        <f t="array" ref="K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f>IF(ISNUMBER(SEARCH("passenger",PROPERTIES[[#This Row],[CARGODEF]])),1,0)</f>
        <v>1</v>
      </c>
      <c r="O333" s="32">
        <v>18.5</v>
      </c>
      <c r="P333">
        <v>320</v>
      </c>
      <c r="Q333">
        <v>50</v>
      </c>
      <c r="R333" s="29">
        <v>0</v>
      </c>
      <c r="S333" s="28">
        <f>IFERROR(PROPERTIES[[#This Row],[TE_STARTING_KN]]/(PROPERTIES[[#This Row],[WEIGHT]]*9.81),0)</f>
        <v>0</v>
      </c>
      <c r="T333" s="28">
        <v>0.18</v>
      </c>
      <c r="U333" s="25">
        <f>ROUND(IF(IFERROR(PROPERTIES[[#This Row],[TE_COEFFICIENT_CALC]],0)=0,PROPERTIES[[#This Row],[TE_COEFFICIENT_MANUAL]],PROPERTIES[[#This Row],[TE_COEFFICIENT_CALC]]),3)</f>
        <v>0.18</v>
      </c>
      <c r="V333" s="11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36">
        <v>88</v>
      </c>
      <c r="X333" s="9">
        <v>5</v>
      </c>
      <c r="Y333" s="10">
        <v>0</v>
      </c>
      <c r="Z333" t="s">
        <v>869</v>
      </c>
      <c r="AA333" t="s">
        <v>868</v>
      </c>
      <c r="AB333" s="2" t="s">
        <v>886</v>
      </c>
      <c r="AC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3" s="2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H333" s="10" t="b">
        <v>0</v>
      </c>
      <c r="AY333"/>
      <c r="AZ333"/>
      <c r="BA333"/>
    </row>
    <row r="334" spans="1:53">
      <c r="A334" s="2" t="s">
        <v>354</v>
      </c>
      <c r="B334">
        <v>1910</v>
      </c>
      <c r="C334" cm="1">
        <f t="array" ref="C334">_xlfn.IFS(ISNUMBER(SEARCH("wagon",PROPERTIES[[#This Row],[VEHIDCODE]])),0,OR(MID(PROPERTIES[[#This Row],[VEHIDCODE]],2,2)="mu",_xlfn.TEXTBEFORE(PROPERTIES[[#This Row],[VEHIDCODE]],"_")="mtro"),1,1=1,0)</f>
        <v>1</v>
      </c>
      <c r="D334" t="s">
        <v>1937</v>
      </c>
      <c r="E334" t="str">
        <f>_xlfn.XLOOKUP(PROPERTIES[[#This Row],[COUNTRY]],COUNTRIES[COUNTRY_DESCRIPTION],COUNTRIES[COUNTRY_LABEL],"")</f>
        <v>US</v>
      </c>
      <c r="F334" t="str" cm="1">
        <f t="array" ref="F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4" t="s">
        <v>320</v>
      </c>
      <c r="H334">
        <v>100</v>
      </c>
      <c r="I334">
        <v>8</v>
      </c>
      <c r="J334">
        <v>8</v>
      </c>
      <c r="K334" t="str" cm="1">
        <f t="array" ref="K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f>IF(ISNUMBER(SEARCH("passenger",PROPERTIES[[#This Row],[CARGODEF]])),1,0)</f>
        <v>1</v>
      </c>
      <c r="O334" s="32">
        <v>38.5</v>
      </c>
      <c r="P334">
        <v>400</v>
      </c>
      <c r="Q334">
        <v>72</v>
      </c>
      <c r="R334" s="29">
        <v>0</v>
      </c>
      <c r="S334" s="28">
        <f>IFERROR(PROPERTIES[[#This Row],[TE_STARTING_KN]]/(PROPERTIES[[#This Row],[WEIGHT]]*9.81),0)</f>
        <v>0</v>
      </c>
      <c r="T334" s="28">
        <v>0.18</v>
      </c>
      <c r="U334" s="25">
        <f>ROUND(IF(IFERROR(PROPERTIES[[#This Row],[TE_COEFFICIENT_CALC]],0)=0,PROPERTIES[[#This Row],[TE_COEFFICIENT_MANUAL]],PROPERTIES[[#This Row],[TE_COEFFICIENT_CALC]]),3)</f>
        <v>0.18</v>
      </c>
      <c r="V334" s="11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36">
        <v>128</v>
      </c>
      <c r="X334" s="9">
        <v>8</v>
      </c>
      <c r="Y334" s="10">
        <v>0</v>
      </c>
      <c r="Z334" t="s">
        <v>874</v>
      </c>
      <c r="AA334" t="s">
        <v>868</v>
      </c>
      <c r="AB334" s="2" t="s">
        <v>886</v>
      </c>
      <c r="AC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4" s="2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H334" s="10" t="b">
        <v>0</v>
      </c>
      <c r="AY334"/>
      <c r="AZ334"/>
      <c r="BA334"/>
    </row>
    <row r="335" spans="1:53">
      <c r="A335" s="2" t="s">
        <v>355</v>
      </c>
      <c r="B335">
        <v>1933</v>
      </c>
      <c r="C335" cm="1">
        <f t="array" ref="C335">_xlfn.IFS(ISNUMBER(SEARCH("wagon",PROPERTIES[[#This Row],[VEHIDCODE]])),0,OR(MID(PROPERTIES[[#This Row],[VEHIDCODE]],2,2)="mu",_xlfn.TEXTBEFORE(PROPERTIES[[#This Row],[VEHIDCODE]],"_")="mtro"),1,1=1,0)</f>
        <v>1</v>
      </c>
      <c r="D335" t="s">
        <v>1819</v>
      </c>
      <c r="E335" t="str">
        <f>_xlfn.XLOOKUP(PROPERTIES[[#This Row],[COUNTRY]],COUNTRIES[COUNTRY_DESCRIPTION],COUNTRIES[COUNTRY_LABEL],"")</f>
        <v>JP</v>
      </c>
      <c r="F335" t="str" cm="1">
        <f t="array" ref="F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5" t="s">
        <v>320</v>
      </c>
      <c r="H335">
        <v>120</v>
      </c>
      <c r="I335">
        <v>7</v>
      </c>
      <c r="J335">
        <v>7</v>
      </c>
      <c r="K335" t="str" cm="1">
        <f t="array" ref="K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f>IF(ISNUMBER(SEARCH("passenger",PROPERTIES[[#This Row],[CARGODEF]])),1,0)</f>
        <v>1</v>
      </c>
      <c r="O335" s="32">
        <v>40</v>
      </c>
      <c r="P335">
        <v>615</v>
      </c>
      <c r="Q335">
        <v>65</v>
      </c>
      <c r="R335" s="29">
        <v>0</v>
      </c>
      <c r="S335" s="28">
        <f>IFERROR(PROPERTIES[[#This Row],[TE_STARTING_KN]]/(PROPERTIES[[#This Row],[WEIGHT]]*9.81),0)</f>
        <v>0</v>
      </c>
      <c r="T335" s="28">
        <v>0.2</v>
      </c>
      <c r="U335" s="25">
        <f>ROUND(IF(IFERROR(PROPERTIES[[#This Row],[TE_COEFFICIENT_CALC]],0)=0,PROPERTIES[[#This Row],[TE_COEFFICIENT_MANUAL]],PROPERTIES[[#This Row],[TE_COEFFICIENT_CALC]]),3)</f>
        <v>0.2</v>
      </c>
      <c r="V335" s="11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36">
        <v>145</v>
      </c>
      <c r="X335" s="9">
        <v>7</v>
      </c>
      <c r="Y335" s="10">
        <v>0</v>
      </c>
      <c r="Z335" t="s">
        <v>877</v>
      </c>
      <c r="AA335" t="s">
        <v>868</v>
      </c>
      <c r="AB335" s="2" t="s">
        <v>886</v>
      </c>
      <c r="AC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5" s="2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H335" s="10" t="b">
        <v>0</v>
      </c>
      <c r="AY335"/>
      <c r="AZ335"/>
      <c r="BA335"/>
    </row>
    <row r="336" spans="1:53">
      <c r="A336" s="2" t="s">
        <v>356</v>
      </c>
      <c r="B336">
        <v>1934</v>
      </c>
      <c r="C336" cm="1">
        <f t="array" ref="C336">_xlfn.IFS(ISNUMBER(SEARCH("wagon",PROPERTIES[[#This Row],[VEHIDCODE]])),0,OR(MID(PROPERTIES[[#This Row],[VEHIDCODE]],2,2)="mu",_xlfn.TEXTBEFORE(PROPERTIES[[#This Row],[VEHIDCODE]],"_")="mtro"),1,1=1,0)</f>
        <v>1</v>
      </c>
      <c r="D336" t="s">
        <v>1896</v>
      </c>
      <c r="E336" t="str">
        <f>_xlfn.XLOOKUP(PROPERTIES[[#This Row],[COUNTRY]],COUNTRIES[COUNTRY_DESCRIPTION],COUNTRIES[COUNTRY_LABEL],"")</f>
        <v>RU</v>
      </c>
      <c r="F336" t="str" cm="1">
        <f t="array" ref="F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6" t="s">
        <v>320</v>
      </c>
      <c r="H336">
        <v>135</v>
      </c>
      <c r="I336">
        <v>7</v>
      </c>
      <c r="J336">
        <v>7</v>
      </c>
      <c r="K336" t="str" cm="1">
        <f t="array" ref="K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f>IF(ISNUMBER(SEARCH("passenger",PROPERTIES[[#This Row],[CARGODEF]])),1,0)</f>
        <v>1</v>
      </c>
      <c r="O336" s="32">
        <v>41</v>
      </c>
      <c r="P336">
        <v>535</v>
      </c>
      <c r="Q336">
        <v>65</v>
      </c>
      <c r="R336" s="29">
        <v>0</v>
      </c>
      <c r="S336" s="28">
        <f>IFERROR(PROPERTIES[[#This Row],[TE_STARTING_KN]]/(PROPERTIES[[#This Row],[WEIGHT]]*9.81),0)</f>
        <v>0</v>
      </c>
      <c r="T336" s="28">
        <v>0.19</v>
      </c>
      <c r="U336" s="25">
        <f>ROUND(IF(IFERROR(PROPERTIES[[#This Row],[TE_COEFFICIENT_CALC]],0)=0,PROPERTIES[[#This Row],[TE_COEFFICIENT_MANUAL]],PROPERTIES[[#This Row],[TE_COEFFICIENT_CALC]]),3)</f>
        <v>0.19</v>
      </c>
      <c r="V336" s="11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36">
        <v>131</v>
      </c>
      <c r="X336" s="9">
        <v>7</v>
      </c>
      <c r="Y336" s="10">
        <v>0</v>
      </c>
      <c r="Z336" t="s">
        <v>877</v>
      </c>
      <c r="AA336" t="s">
        <v>868</v>
      </c>
      <c r="AB336" s="2" t="s">
        <v>886</v>
      </c>
      <c r="AC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6" s="2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H336" s="10" t="b">
        <v>0</v>
      </c>
      <c r="AY336"/>
      <c r="AZ336"/>
      <c r="BA336"/>
    </row>
    <row r="337" spans="1:53">
      <c r="A337" s="2" t="s">
        <v>357</v>
      </c>
      <c r="B337">
        <v>1948</v>
      </c>
      <c r="C337" cm="1">
        <f t="array" ref="C337">_xlfn.IFS(ISNUMBER(SEARCH("wagon",PROPERTIES[[#This Row],[VEHIDCODE]])),0,OR(MID(PROPERTIES[[#This Row],[VEHIDCODE]],2,2)="mu",_xlfn.TEXTBEFORE(PROPERTIES[[#This Row],[VEHIDCODE]],"_")="mtro"),1,1=1,0)</f>
        <v>1</v>
      </c>
      <c r="D337" t="s">
        <v>1937</v>
      </c>
      <c r="E337" t="str">
        <f>_xlfn.XLOOKUP(PROPERTIES[[#This Row],[COUNTRY]],COUNTRIES[COUNTRY_DESCRIPTION],COUNTRIES[COUNTRY_LABEL],"")</f>
        <v>US</v>
      </c>
      <c r="F337" t="str" cm="1">
        <f t="array" ref="F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7" t="s">
        <v>320</v>
      </c>
      <c r="H337">
        <v>145</v>
      </c>
      <c r="I337">
        <v>8</v>
      </c>
      <c r="J337">
        <v>8</v>
      </c>
      <c r="K337" t="str" cm="1">
        <f t="array" ref="K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f>IF(ISNUMBER(SEARCH("passenger",PROPERTIES[[#This Row],[CARGODEF]])),1,0)</f>
        <v>1</v>
      </c>
      <c r="O337" s="32">
        <v>36.5</v>
      </c>
      <c r="P337">
        <v>800</v>
      </c>
      <c r="Q337">
        <v>88</v>
      </c>
      <c r="R337" s="29">
        <v>0</v>
      </c>
      <c r="S337" s="28">
        <f>IFERROR(PROPERTIES[[#This Row],[TE_STARTING_KN]]/(PROPERTIES[[#This Row],[WEIGHT]]*9.81),0)</f>
        <v>0</v>
      </c>
      <c r="T337" s="28">
        <v>0.21</v>
      </c>
      <c r="U337" s="25">
        <f>ROUND(IF(IFERROR(PROPERTIES[[#This Row],[TE_COEFFICIENT_CALC]],0)=0,PROPERTIES[[#This Row],[TE_COEFFICIENT_MANUAL]],PROPERTIES[[#This Row],[TE_COEFFICIENT_CALC]]),3)</f>
        <v>0.21</v>
      </c>
      <c r="V337" s="11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36">
        <v>160</v>
      </c>
      <c r="X337" s="9">
        <v>8</v>
      </c>
      <c r="Y337" s="10">
        <v>0</v>
      </c>
      <c r="Z337" t="s">
        <v>874</v>
      </c>
      <c r="AA337" t="s">
        <v>868</v>
      </c>
      <c r="AB337" s="2" t="s">
        <v>886</v>
      </c>
      <c r="AC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7" s="2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H337" s="10" t="b">
        <v>0</v>
      </c>
      <c r="AY337"/>
      <c r="AZ337"/>
      <c r="BA337"/>
    </row>
    <row r="338" spans="1:53">
      <c r="A338" s="2" t="s">
        <v>358</v>
      </c>
      <c r="B338">
        <v>1954</v>
      </c>
      <c r="C338" cm="1">
        <f t="array" ref="C338">_xlfn.IFS(ISNUMBER(SEARCH("wagon",PROPERTIES[[#This Row],[VEHIDCODE]])),0,OR(MID(PROPERTIES[[#This Row],[VEHIDCODE]],2,2)="mu",_xlfn.TEXTBEFORE(PROPERTIES[[#This Row],[VEHIDCODE]],"_")="mtro"),1,1=1,0)</f>
        <v>1</v>
      </c>
      <c r="D338" t="s">
        <v>1815</v>
      </c>
      <c r="E338" t="str">
        <f>_xlfn.XLOOKUP(PROPERTIES[[#This Row],[COUNTRY]],COUNTRIES[COUNTRY_DESCRIPTION],COUNTRIES[COUNTRY_LABEL],"")</f>
        <v>IT</v>
      </c>
      <c r="F338" t="str" cm="1">
        <f t="array" ref="F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8" t="s">
        <v>320</v>
      </c>
      <c r="H338">
        <v>140</v>
      </c>
      <c r="I338">
        <v>7</v>
      </c>
      <c r="J338">
        <v>7</v>
      </c>
      <c r="K338" t="str" cm="1">
        <f t="array" ref="K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f>IF(ISNUMBER(SEARCH("passenger",PROPERTIES[[#This Row],[CARGODEF]])),1,0)</f>
        <v>1</v>
      </c>
      <c r="O338" s="32">
        <v>40</v>
      </c>
      <c r="P338">
        <v>830</v>
      </c>
      <c r="Q338">
        <v>100</v>
      </c>
      <c r="R338" s="29">
        <v>0</v>
      </c>
      <c r="S338" s="28">
        <f>IFERROR(PROPERTIES[[#This Row],[TE_STARTING_KN]]/(PROPERTIES[[#This Row],[WEIGHT]]*9.81),0)</f>
        <v>0</v>
      </c>
      <c r="T338" s="28">
        <v>0.21</v>
      </c>
      <c r="U338" s="25">
        <f>ROUND(IF(IFERROR(PROPERTIES[[#This Row],[TE_COEFFICIENT_CALC]],0)=0,PROPERTIES[[#This Row],[TE_COEFFICIENT_MANUAL]],PROPERTIES[[#This Row],[TE_COEFFICIENT_CALC]]),3)</f>
        <v>0.21</v>
      </c>
      <c r="V338" s="11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36">
        <v>156</v>
      </c>
      <c r="X338" s="9">
        <v>7</v>
      </c>
      <c r="Y338" s="10">
        <v>0</v>
      </c>
      <c r="Z338" t="s">
        <v>870</v>
      </c>
      <c r="AA338" t="s">
        <v>868</v>
      </c>
      <c r="AB338" s="2" t="s">
        <v>886</v>
      </c>
      <c r="AC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8" s="2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H338" s="10" t="b">
        <v>0</v>
      </c>
      <c r="AY338"/>
      <c r="AZ338"/>
      <c r="BA338"/>
    </row>
    <row r="339" spans="1:53">
      <c r="A339" s="2" t="s">
        <v>359</v>
      </c>
      <c r="B339">
        <v>1955</v>
      </c>
      <c r="C339" cm="1">
        <f t="array" ref="C339">_xlfn.IFS(ISNUMBER(SEARCH("wagon",PROPERTIES[[#This Row],[VEHIDCODE]])),0,OR(MID(PROPERTIES[[#This Row],[VEHIDCODE]],2,2)="mu",_xlfn.TEXTBEFORE(PROPERTIES[[#This Row],[VEHIDCODE]],"_")="mtro"),1,1=1,0)</f>
        <v>1</v>
      </c>
      <c r="D339" t="s">
        <v>1896</v>
      </c>
      <c r="E339" t="str">
        <f>_xlfn.XLOOKUP(PROPERTIES[[#This Row],[COUNTRY]],COUNTRIES[COUNTRY_DESCRIPTION],COUNTRIES[COUNTRY_LABEL],"")</f>
        <v>RU</v>
      </c>
      <c r="F339" t="str" cm="1">
        <f t="array" ref="F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9" t="s">
        <v>320</v>
      </c>
      <c r="H339">
        <v>140</v>
      </c>
      <c r="I339">
        <v>8</v>
      </c>
      <c r="J339">
        <v>8</v>
      </c>
      <c r="K339" t="str" cm="1">
        <f t="array" ref="K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f>IF(ISNUMBER(SEARCH("passenger",PROPERTIES[[#This Row],[CARGODEF]])),1,0)</f>
        <v>1</v>
      </c>
      <c r="O339" s="32">
        <v>36.200000000000003</v>
      </c>
      <c r="P339">
        <v>760</v>
      </c>
      <c r="Q339">
        <v>75</v>
      </c>
      <c r="R339" s="29">
        <v>0</v>
      </c>
      <c r="S339" s="28">
        <f>IFERROR(PROPERTIES[[#This Row],[TE_STARTING_KN]]/(PROPERTIES[[#This Row],[WEIGHT]]*9.81),0)</f>
        <v>0</v>
      </c>
      <c r="T339" s="28">
        <v>0.21</v>
      </c>
      <c r="U339" s="25">
        <f>ROUND(IF(IFERROR(PROPERTIES[[#This Row],[TE_COEFFICIENT_CALC]],0)=0,PROPERTIES[[#This Row],[TE_COEFFICIENT_MANUAL]],PROPERTIES[[#This Row],[TE_COEFFICIENT_CALC]]),3)</f>
        <v>0.21</v>
      </c>
      <c r="V339" s="11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36">
        <v>132</v>
      </c>
      <c r="X339" s="9">
        <v>8</v>
      </c>
      <c r="Y339" s="10">
        <v>0</v>
      </c>
      <c r="Z339" t="s">
        <v>877</v>
      </c>
      <c r="AA339" t="s">
        <v>868</v>
      </c>
      <c r="AB339" s="2" t="s">
        <v>886</v>
      </c>
      <c r="AC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9" s="2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H339" s="10" t="b">
        <v>0</v>
      </c>
      <c r="AY339"/>
      <c r="AZ339"/>
      <c r="BA339"/>
    </row>
    <row r="340" spans="1:53">
      <c r="A340" s="2" t="s">
        <v>360</v>
      </c>
      <c r="B340">
        <v>1968</v>
      </c>
      <c r="C340" cm="1">
        <f t="array" ref="C340">_xlfn.IFS(ISNUMBER(SEARCH("wagon",PROPERTIES[[#This Row],[VEHIDCODE]])),0,OR(MID(PROPERTIES[[#This Row],[VEHIDCODE]],2,2)="mu",_xlfn.TEXTBEFORE(PROPERTIES[[#This Row],[VEHIDCODE]],"_")="mtro"),1,1=1,0)</f>
        <v>1</v>
      </c>
      <c r="D340" t="s">
        <v>1871</v>
      </c>
      <c r="E340" t="str">
        <f>_xlfn.XLOOKUP(PROPERTIES[[#This Row],[COUNTRY]],COUNTRIES[COUNTRY_DESCRIPTION],COUNTRIES[COUNTRY_LABEL],"")</f>
        <v>NL</v>
      </c>
      <c r="F340" t="str" cm="1">
        <f t="array" ref="F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0" t="s">
        <v>320</v>
      </c>
      <c r="H340">
        <v>140</v>
      </c>
      <c r="I340">
        <v>7</v>
      </c>
      <c r="J340">
        <v>7</v>
      </c>
      <c r="K340" t="str" cm="1">
        <f t="array" ref="K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f>IF(ISNUMBER(SEARCH("passenger",PROPERTIES[[#This Row],[CARGODEF]])),1,0)</f>
        <v>1</v>
      </c>
      <c r="O340" s="32">
        <v>25</v>
      </c>
      <c r="P340">
        <v>630</v>
      </c>
      <c r="Q340">
        <v>80</v>
      </c>
      <c r="R340" s="29">
        <v>0</v>
      </c>
      <c r="S340" s="28">
        <f>IFERROR(PROPERTIES[[#This Row],[TE_STARTING_KN]]/(PROPERTIES[[#This Row],[WEIGHT]]*9.81),0)</f>
        <v>0</v>
      </c>
      <c r="T340" s="28">
        <v>0.23</v>
      </c>
      <c r="U340" s="25">
        <f>ROUND(IF(IFERROR(PROPERTIES[[#This Row],[TE_COEFFICIENT_CALC]],0)=0,PROPERTIES[[#This Row],[TE_COEFFICIENT_MANUAL]],PROPERTIES[[#This Row],[TE_COEFFICIENT_CALC]]),3)</f>
        <v>0.23</v>
      </c>
      <c r="V340" s="11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36">
        <v>235</v>
      </c>
      <c r="X340" s="9">
        <v>7</v>
      </c>
      <c r="Y340" s="10">
        <v>0</v>
      </c>
      <c r="Z340" t="s">
        <v>869</v>
      </c>
      <c r="AA340" t="s">
        <v>868</v>
      </c>
      <c r="AB340" s="2" t="s">
        <v>886</v>
      </c>
      <c r="AC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0" s="2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H340" s="10" t="b">
        <v>0</v>
      </c>
      <c r="AY340"/>
      <c r="AZ340"/>
      <c r="BA340"/>
    </row>
    <row r="341" spans="1:53">
      <c r="A341" s="2" t="s">
        <v>361</v>
      </c>
      <c r="B341">
        <v>1972</v>
      </c>
      <c r="C341" cm="1">
        <f t="array" ref="C341">_xlfn.IFS(ISNUMBER(SEARCH("wagon",PROPERTIES[[#This Row],[VEHIDCODE]])),0,OR(MID(PROPERTIES[[#This Row],[VEHIDCODE]],2,2)="mu",_xlfn.TEXTBEFORE(PROPERTIES[[#This Row],[VEHIDCODE]],"_")="mtro"),1,1=1,0)</f>
        <v>1</v>
      </c>
      <c r="D341" t="s">
        <v>1762</v>
      </c>
      <c r="E341" t="str">
        <f>_xlfn.XLOOKUP(PROPERTIES[[#This Row],[COUNTRY]],COUNTRIES[COUNTRY_DESCRIPTION],COUNTRIES[COUNTRY_LABEL],"")</f>
        <v>CZ</v>
      </c>
      <c r="F341" t="str" cm="1">
        <f t="array" ref="F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1" t="s">
        <v>320</v>
      </c>
      <c r="H341">
        <v>131</v>
      </c>
      <c r="I341">
        <v>8</v>
      </c>
      <c r="J341">
        <v>8</v>
      </c>
      <c r="K341" t="str" cm="1">
        <f t="array" ref="K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f>IF(ISNUMBER(SEARCH("passenger",PROPERTIES[[#This Row],[CARGODEF]])),1,0)</f>
        <v>1</v>
      </c>
      <c r="O341" s="32">
        <v>32.5</v>
      </c>
      <c r="P341">
        <v>910</v>
      </c>
      <c r="Q341">
        <v>80</v>
      </c>
      <c r="R341" s="29">
        <v>0</v>
      </c>
      <c r="S341" s="28">
        <f>IFERROR(PROPERTIES[[#This Row],[TE_STARTING_KN]]/(PROPERTIES[[#This Row],[WEIGHT]]*9.81),0)</f>
        <v>0</v>
      </c>
      <c r="T341" s="28">
        <v>0.25</v>
      </c>
      <c r="U341" s="25">
        <f>ROUND(IF(IFERROR(PROPERTIES[[#This Row],[TE_COEFFICIENT_CALC]],0)=0,PROPERTIES[[#This Row],[TE_COEFFICIENT_MANUAL]],PROPERTIES[[#This Row],[TE_COEFFICIENT_CALC]]),3)</f>
        <v>0.25</v>
      </c>
      <c r="V341" s="11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36">
        <v>150</v>
      </c>
      <c r="X341" s="9">
        <v>8</v>
      </c>
      <c r="Y341" s="10">
        <v>0</v>
      </c>
      <c r="Z341" t="s">
        <v>875</v>
      </c>
      <c r="AA341" t="s">
        <v>868</v>
      </c>
      <c r="AB341" s="2" t="s">
        <v>886</v>
      </c>
      <c r="AC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1" s="2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H341" s="10" t="b">
        <v>0</v>
      </c>
      <c r="AY341"/>
      <c r="AZ341"/>
      <c r="BA341"/>
    </row>
    <row r="342" spans="1:53">
      <c r="A342" s="2" t="s">
        <v>362</v>
      </c>
      <c r="B342">
        <v>1999</v>
      </c>
      <c r="C342" cm="1">
        <f t="array" ref="C342">_xlfn.IFS(ISNUMBER(SEARCH("wagon",PROPERTIES[[#This Row],[VEHIDCODE]])),0,OR(MID(PROPERTIES[[#This Row],[VEHIDCODE]],2,2)="mu",_xlfn.TEXTBEFORE(PROPERTIES[[#This Row],[VEHIDCODE]],"_")="mtro"),1,1=1,0)</f>
        <v>1</v>
      </c>
      <c r="D342" t="s">
        <v>1716</v>
      </c>
      <c r="E342" t="str">
        <f>_xlfn.XLOOKUP(PROPERTIES[[#This Row],[COUNTRY]],COUNTRIES[COUNTRY_DESCRIPTION],COUNTRIES[COUNTRY_LABEL],"")</f>
        <v>AR</v>
      </c>
      <c r="F342" t="str" cm="1">
        <f t="array" ref="F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2" t="s">
        <v>320</v>
      </c>
      <c r="H342">
        <v>115</v>
      </c>
      <c r="I342">
        <v>7</v>
      </c>
      <c r="J342">
        <v>7</v>
      </c>
      <c r="K342" t="str" cm="1">
        <f t="array" ref="K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f>IF(ISNUMBER(SEARCH("passenger",PROPERTIES[[#This Row],[CARGODEF]])),1,0)</f>
        <v>1</v>
      </c>
      <c r="O342" s="32">
        <v>23.5</v>
      </c>
      <c r="P342">
        <v>640</v>
      </c>
      <c r="Q342">
        <v>75</v>
      </c>
      <c r="R342" s="29">
        <v>0</v>
      </c>
      <c r="S342" s="28">
        <f>IFERROR(PROPERTIES[[#This Row],[TE_STARTING_KN]]/(PROPERTIES[[#This Row],[WEIGHT]]*9.81),0)</f>
        <v>0</v>
      </c>
      <c r="T342" s="28">
        <v>0.23</v>
      </c>
      <c r="U342" s="25">
        <f>ROUND(IF(IFERROR(PROPERTIES[[#This Row],[TE_COEFFICIENT_CALC]],0)=0,PROPERTIES[[#This Row],[TE_COEFFICIENT_MANUAL]],PROPERTIES[[#This Row],[TE_COEFFICIENT_CALC]]),3)</f>
        <v>0.23</v>
      </c>
      <c r="V342" s="11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36">
        <v>162</v>
      </c>
      <c r="X342" s="9">
        <v>7</v>
      </c>
      <c r="Y342" s="10">
        <v>0</v>
      </c>
      <c r="Z342" t="s">
        <v>876</v>
      </c>
      <c r="AA342" t="s">
        <v>868</v>
      </c>
      <c r="AB342" s="2" t="s">
        <v>886</v>
      </c>
      <c r="AC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2" s="2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H342" s="10" t="b">
        <v>0</v>
      </c>
      <c r="AY342"/>
      <c r="AZ342"/>
      <c r="BA342"/>
    </row>
    <row r="343" spans="1:53">
      <c r="A343" s="2" t="s">
        <v>363</v>
      </c>
      <c r="B343">
        <v>1996</v>
      </c>
      <c r="C343" cm="1">
        <f t="array" ref="C343">_xlfn.IFS(ISNUMBER(SEARCH("wagon",PROPERTIES[[#This Row],[VEHIDCODE]])),0,OR(MID(PROPERTIES[[#This Row],[VEHIDCODE]],2,2)="mu",_xlfn.TEXTBEFORE(PROPERTIES[[#This Row],[VEHIDCODE]],"_")="mtro"),1,1=1,0)</f>
        <v>1</v>
      </c>
      <c r="D343" t="s">
        <v>1752</v>
      </c>
      <c r="E343" t="str">
        <f>_xlfn.XLOOKUP(PROPERTIES[[#This Row],[COUNTRY]],COUNTRIES[COUNTRY_DESCRIPTION],COUNTRIES[COUNTRY_LABEL],"")</f>
        <v>CL</v>
      </c>
      <c r="F343" t="str" cm="1">
        <f t="array" ref="F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3" t="s">
        <v>320</v>
      </c>
      <c r="H343">
        <v>160</v>
      </c>
      <c r="I343">
        <v>7</v>
      </c>
      <c r="J343">
        <v>7</v>
      </c>
      <c r="K343" t="str" cm="1">
        <f t="array" ref="K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f>IF(ISNUMBER(SEARCH("passenger",PROPERTIES[[#This Row],[CARGODEF]])),1,0)</f>
        <v>1</v>
      </c>
      <c r="O343" s="32">
        <v>24.5</v>
      </c>
      <c r="P343">
        <v>2400</v>
      </c>
      <c r="Q343">
        <v>100</v>
      </c>
      <c r="R343" s="29">
        <v>0</v>
      </c>
      <c r="S343" s="28">
        <f>IFERROR(PROPERTIES[[#This Row],[TE_STARTING_KN]]/(PROPERTIES[[#This Row],[WEIGHT]]*9.81),0)</f>
        <v>0</v>
      </c>
      <c r="T343" s="28">
        <v>0.35</v>
      </c>
      <c r="U343" s="25">
        <f>ROUND(IF(IFERROR(PROPERTIES[[#This Row],[TE_COEFFICIENT_CALC]],0)=0,PROPERTIES[[#This Row],[TE_COEFFICIENT_MANUAL]],PROPERTIES[[#This Row],[TE_COEFFICIENT_CALC]]),3)</f>
        <v>0.35</v>
      </c>
      <c r="V343" s="11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36">
        <v>116</v>
      </c>
      <c r="X343" s="9">
        <v>7</v>
      </c>
      <c r="Y343" s="10">
        <v>0</v>
      </c>
      <c r="Z343" t="s">
        <v>876</v>
      </c>
      <c r="AA343" t="s">
        <v>868</v>
      </c>
      <c r="AB343" s="2" t="s">
        <v>886</v>
      </c>
      <c r="AC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3" s="2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H343" s="10" t="b">
        <v>0</v>
      </c>
      <c r="AY343"/>
      <c r="AZ343"/>
      <c r="BA343"/>
    </row>
    <row r="344" spans="1:53">
      <c r="A344" s="2" t="s">
        <v>364</v>
      </c>
      <c r="B344">
        <v>2004</v>
      </c>
      <c r="C344" cm="1">
        <f t="array" ref="C344">_xlfn.IFS(ISNUMBER(SEARCH("wagon",PROPERTIES[[#This Row],[VEHIDCODE]])),0,OR(MID(PROPERTIES[[#This Row],[VEHIDCODE]],2,2)="mu",_xlfn.TEXTBEFORE(PROPERTIES[[#This Row],[VEHIDCODE]],"_")="mtro"),1,1=1,0)</f>
        <v>1</v>
      </c>
      <c r="D344" t="s">
        <v>1752</v>
      </c>
      <c r="E344" t="str">
        <f>_xlfn.XLOOKUP(PROPERTIES[[#This Row],[COUNTRY]],COUNTRIES[COUNTRY_DESCRIPTION],COUNTRIES[COUNTRY_LABEL],"")</f>
        <v>CL</v>
      </c>
      <c r="F344" t="str" cm="1">
        <f t="array" ref="F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4" t="s">
        <v>320</v>
      </c>
      <c r="H344">
        <v>175</v>
      </c>
      <c r="I344">
        <v>8</v>
      </c>
      <c r="J344">
        <v>8</v>
      </c>
      <c r="K344" t="str" cm="1">
        <f t="array" ref="K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f>IF(ISNUMBER(SEARCH("passenger",PROPERTIES[[#This Row],[CARGODEF]])),1,0)</f>
        <v>1</v>
      </c>
      <c r="O344" s="32">
        <v>32</v>
      </c>
      <c r="P344">
        <v>1550</v>
      </c>
      <c r="Q344">
        <v>100</v>
      </c>
      <c r="R344" s="29">
        <v>0</v>
      </c>
      <c r="S344" s="28">
        <f>IFERROR(PROPERTIES[[#This Row],[TE_STARTING_KN]]/(PROPERTIES[[#This Row],[WEIGHT]]*9.81),0)</f>
        <v>0</v>
      </c>
      <c r="T344" s="28">
        <v>0.28000000000000003</v>
      </c>
      <c r="U344" s="25">
        <f>ROUND(IF(IFERROR(PROPERTIES[[#This Row],[TE_COEFFICIENT_CALC]],0)=0,PROPERTIES[[#This Row],[TE_COEFFICIENT_MANUAL]],PROPERTIES[[#This Row],[TE_COEFFICIENT_CALC]]),3)</f>
        <v>0.28000000000000003</v>
      </c>
      <c r="V344" s="11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36">
        <v>196</v>
      </c>
      <c r="X344" s="9">
        <v>8</v>
      </c>
      <c r="Y344" s="10">
        <v>0</v>
      </c>
      <c r="Z344" t="s">
        <v>876</v>
      </c>
      <c r="AA344" t="s">
        <v>868</v>
      </c>
      <c r="AB344" s="2" t="s">
        <v>886</v>
      </c>
      <c r="AC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4" s="2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H344" s="10" t="b">
        <v>0</v>
      </c>
      <c r="AY344"/>
      <c r="AZ344"/>
      <c r="BA344"/>
    </row>
    <row r="345" spans="1:53">
      <c r="A345" s="2" t="s">
        <v>365</v>
      </c>
      <c r="B345">
        <v>2008</v>
      </c>
      <c r="C345" cm="1">
        <f t="array" ref="C345">_xlfn.IFS(ISNUMBER(SEARCH("wagon",PROPERTIES[[#This Row],[VEHIDCODE]])),0,OR(MID(PROPERTIES[[#This Row],[VEHIDCODE]],2,2)="mu",_xlfn.TEXTBEFORE(PROPERTIES[[#This Row],[VEHIDCODE]],"_")="mtro"),1,1=1,0)</f>
        <v>1</v>
      </c>
      <c r="D345" t="s">
        <v>1737</v>
      </c>
      <c r="E345" t="str">
        <f>_xlfn.XLOOKUP(PROPERTIES[[#This Row],[COUNTRY]],COUNTRIES[COUNTRY_DESCRIPTION],COUNTRIES[COUNTRY_LABEL],"")</f>
        <v>BR</v>
      </c>
      <c r="F345" t="str" cm="1">
        <f t="array" ref="F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5" t="s">
        <v>320</v>
      </c>
      <c r="H345">
        <v>150</v>
      </c>
      <c r="I345">
        <v>8</v>
      </c>
      <c r="J345">
        <v>8</v>
      </c>
      <c r="K345" t="str" cm="1">
        <f t="array" ref="K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f>IF(ISNUMBER(SEARCH("passenger",PROPERTIES[[#This Row],[CARGODEF]])),1,0)</f>
        <v>1</v>
      </c>
      <c r="O345" s="32">
        <v>28</v>
      </c>
      <c r="P345">
        <v>1000</v>
      </c>
      <c r="Q345">
        <v>80</v>
      </c>
      <c r="R345" s="29">
        <v>0</v>
      </c>
      <c r="S345" s="28">
        <f>IFERROR(PROPERTIES[[#This Row],[TE_STARTING_KN]]/(PROPERTIES[[#This Row],[WEIGHT]]*9.81),0)</f>
        <v>0</v>
      </c>
      <c r="T345" s="28">
        <v>0.24</v>
      </c>
      <c r="U345" s="25">
        <f>ROUND(IF(IFERROR(PROPERTIES[[#This Row],[TE_COEFFICIENT_CALC]],0)=0,PROPERTIES[[#This Row],[TE_COEFFICIENT_MANUAL]],PROPERTIES[[#This Row],[TE_COEFFICIENT_CALC]]),3)</f>
        <v>0.24</v>
      </c>
      <c r="V345" s="11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36">
        <v>182</v>
      </c>
      <c r="X345" s="9">
        <v>8</v>
      </c>
      <c r="Y345" s="10">
        <v>0</v>
      </c>
      <c r="Z345" t="s">
        <v>876</v>
      </c>
      <c r="AA345" t="s">
        <v>868</v>
      </c>
      <c r="AB345" s="2" t="s">
        <v>886</v>
      </c>
      <c r="AC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5" s="2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H345" s="10" t="b">
        <v>0</v>
      </c>
      <c r="AY345"/>
      <c r="AZ345"/>
      <c r="BA345"/>
    </row>
    <row r="346" spans="1:53">
      <c r="A346" s="2" t="s">
        <v>366</v>
      </c>
      <c r="B346">
        <v>1974</v>
      </c>
      <c r="C346" cm="1">
        <f t="array" ref="C346">_xlfn.IFS(ISNUMBER(SEARCH("wagon",PROPERTIES[[#This Row],[VEHIDCODE]])),0,OR(MID(PROPERTIES[[#This Row],[VEHIDCODE]],2,2)="mu",_xlfn.TEXTBEFORE(PROPERTIES[[#This Row],[VEHIDCODE]],"_")="mtro"),1,1=1,0)</f>
        <v>1</v>
      </c>
      <c r="D346" t="s">
        <v>1774</v>
      </c>
      <c r="E346" t="str">
        <f>_xlfn.XLOOKUP(PROPERTIES[[#This Row],[COUNTRY]],COUNTRIES[COUNTRY_DESCRIPTION],COUNTRIES[COUNTRY_LABEL],"")</f>
        <v>ES</v>
      </c>
      <c r="F346" t="str" cm="1">
        <f t="array" ref="F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6" t="s">
        <v>320</v>
      </c>
      <c r="H346">
        <v>160</v>
      </c>
      <c r="I346">
        <v>8</v>
      </c>
      <c r="J346">
        <v>8</v>
      </c>
      <c r="K346" t="str" cm="1">
        <f t="array" ref="K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6">
        <f>_xlfn.XLOOKUP("LOADINGSPEEDDEF_"&amp;PROPERTIES[[#This Row],[LOADINGSPEED]],LOADINGSPEEDDEF[TYPE],LOADINGSPEEDDEF[SPEED])</f>
        <v>120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f>IF(ISNUMBER(SEARCH("passenger",PROPERTIES[[#This Row],[CARGODEF]])),1,0)</f>
        <v>1</v>
      </c>
      <c r="O346" s="32">
        <v>32</v>
      </c>
      <c r="P346">
        <v>1100</v>
      </c>
      <c r="Q346">
        <v>80</v>
      </c>
      <c r="R346" s="29">
        <v>0</v>
      </c>
      <c r="S346" s="28">
        <f>IFERROR(PROPERTIES[[#This Row],[TE_STARTING_KN]]/(PROPERTIES[[#This Row],[WEIGHT]]*9.81),0)</f>
        <v>0</v>
      </c>
      <c r="T346" s="28">
        <v>0.24</v>
      </c>
      <c r="U346" s="25">
        <f>ROUND(IF(IFERROR(PROPERTIES[[#This Row],[TE_COEFFICIENT_CALC]],0)=0,PROPERTIES[[#This Row],[TE_COEFFICIENT_MANUAL]],PROPERTIES[[#This Row],[TE_COEFFICIENT_CALC]]),3)</f>
        <v>0.24</v>
      </c>
      <c r="V346" s="11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36">
        <v>192</v>
      </c>
      <c r="X346" s="9">
        <v>8</v>
      </c>
      <c r="Y346" s="10">
        <v>0</v>
      </c>
      <c r="Z346" t="s">
        <v>870</v>
      </c>
      <c r="AA346" t="s">
        <v>868</v>
      </c>
      <c r="AB346" s="2" t="s">
        <v>886</v>
      </c>
      <c r="AC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6" s="2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H346" s="10" t="b">
        <v>0</v>
      </c>
      <c r="AY346"/>
      <c r="AZ346"/>
      <c r="BA346"/>
    </row>
    <row r="347" spans="1:53">
      <c r="A347" s="2" t="s">
        <v>367</v>
      </c>
      <c r="B347">
        <v>1999</v>
      </c>
      <c r="C347" cm="1">
        <f t="array" ref="C347">_xlfn.IFS(ISNUMBER(SEARCH("wagon",PROPERTIES[[#This Row],[VEHIDCODE]])),0,OR(MID(PROPERTIES[[#This Row],[VEHIDCODE]],2,2)="mu",_xlfn.TEXTBEFORE(PROPERTIES[[#This Row],[VEHIDCODE]],"_")="mtro"),1,1=1,0)</f>
        <v>1</v>
      </c>
      <c r="D347" t="s">
        <v>1815</v>
      </c>
      <c r="E347" t="str">
        <f>_xlfn.XLOOKUP(PROPERTIES[[#This Row],[COUNTRY]],COUNTRIES[COUNTRY_DESCRIPTION],COUNTRIES[COUNTRY_LABEL],"")</f>
        <v>IT</v>
      </c>
      <c r="F347" t="str" cm="1">
        <f t="array" ref="F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7" t="s">
        <v>320</v>
      </c>
      <c r="H347">
        <v>210</v>
      </c>
      <c r="I347">
        <v>8</v>
      </c>
      <c r="J347">
        <v>8</v>
      </c>
      <c r="K347" t="str" cm="1">
        <f t="array" ref="K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7">
        <f>_xlfn.XLOOKUP("LOADINGSPEEDDEF_"&amp;PROPERTIES[[#This Row],[LOADINGSPEED]],LOADINGSPEEDDEF[TYPE],LOADINGSPEEDDEF[SPEED])</f>
        <v>120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f>IF(ISNUMBER(SEARCH("passenger",PROPERTIES[[#This Row],[CARGODEF]])),1,0)</f>
        <v>1</v>
      </c>
      <c r="O347" s="32">
        <v>31.5</v>
      </c>
      <c r="P347">
        <v>1650</v>
      </c>
      <c r="Q347">
        <v>80</v>
      </c>
      <c r="R347" s="29">
        <v>0</v>
      </c>
      <c r="S347" s="28">
        <f>IFERROR(PROPERTIES[[#This Row],[TE_STARTING_KN]]/(PROPERTIES[[#This Row],[WEIGHT]]*9.81),0)</f>
        <v>0</v>
      </c>
      <c r="T347" s="28">
        <v>0.3</v>
      </c>
      <c r="U347" s="25">
        <f>ROUND(IF(IFERROR(PROPERTIES[[#This Row],[TE_COEFFICIENT_CALC]],0)=0,PROPERTIES[[#This Row],[TE_COEFFICIENT_MANUAL]],PROPERTIES[[#This Row],[TE_COEFFICIENT_CALC]]),3)</f>
        <v>0.3</v>
      </c>
      <c r="V347" s="11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36">
        <v>194</v>
      </c>
      <c r="X347" s="9">
        <v>8</v>
      </c>
      <c r="Y347" s="10">
        <v>0</v>
      </c>
      <c r="Z347" t="s">
        <v>870</v>
      </c>
      <c r="AA347" t="s">
        <v>868</v>
      </c>
      <c r="AB347" s="2" t="s">
        <v>886</v>
      </c>
      <c r="AC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7" s="2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H347" s="10" t="b">
        <v>0</v>
      </c>
      <c r="AY347"/>
      <c r="AZ347"/>
      <c r="BA347"/>
    </row>
    <row r="348" spans="1:53">
      <c r="A348" s="2" t="s">
        <v>368</v>
      </c>
      <c r="B348">
        <v>2011</v>
      </c>
      <c r="C348" cm="1">
        <f t="array" ref="C348">_xlfn.IFS(ISNUMBER(SEARCH("wagon",PROPERTIES[[#This Row],[VEHIDCODE]])),0,OR(MID(PROPERTIES[[#This Row],[VEHIDCODE]],2,2)="mu",_xlfn.TEXTBEFORE(PROPERTIES[[#This Row],[VEHIDCODE]],"_")="mtro"),1,1=1,0)</f>
        <v>1</v>
      </c>
      <c r="D348" t="s">
        <v>1768</v>
      </c>
      <c r="E348" t="str">
        <f>_xlfn.XLOOKUP(PROPERTIES[[#This Row],[COUNTRY]],COUNTRIES[COUNTRY_DESCRIPTION],COUNTRIES[COUNTRY_LABEL],"")</f>
        <v>DZ</v>
      </c>
      <c r="F348" t="str" cm="1">
        <f t="array" ref="F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8" t="s">
        <v>320</v>
      </c>
      <c r="H348">
        <v>165</v>
      </c>
      <c r="I348">
        <v>7</v>
      </c>
      <c r="J348">
        <v>7</v>
      </c>
      <c r="K348" t="str" cm="1">
        <f t="array" ref="K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8">
        <f>_xlfn.XLOOKUP("LOADINGSPEEDDEF_"&amp;PROPERTIES[[#This Row],[LOADINGSPEED]],LOADINGSPEEDDEF[TYPE],LOADINGSPEEDDEF[SPEED])</f>
        <v>120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f>IF(ISNUMBER(SEARCH("passenger",PROPERTIES[[#This Row],[CARGODEF]])),1,0)</f>
        <v>1</v>
      </c>
      <c r="O348" s="32">
        <v>25.5</v>
      </c>
      <c r="P348">
        <v>1450</v>
      </c>
      <c r="Q348">
        <v>80</v>
      </c>
      <c r="R348" s="29">
        <v>0</v>
      </c>
      <c r="S348" s="28">
        <f>IFERROR(PROPERTIES[[#This Row],[TE_STARTING_KN]]/(PROPERTIES[[#This Row],[WEIGHT]]*9.81),0)</f>
        <v>0</v>
      </c>
      <c r="T348" s="28">
        <v>0.3</v>
      </c>
      <c r="U348" s="25">
        <f>ROUND(IF(IFERROR(PROPERTIES[[#This Row],[TE_COEFFICIENT_CALC]],0)=0,PROPERTIES[[#This Row],[TE_COEFFICIENT_MANUAL]],PROPERTIES[[#This Row],[TE_COEFFICIENT_CALC]]),3)</f>
        <v>0.3</v>
      </c>
      <c r="V348" s="11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36">
        <v>215</v>
      </c>
      <c r="X348" s="9">
        <v>7</v>
      </c>
      <c r="Y348" s="10">
        <v>0</v>
      </c>
      <c r="Z348" t="s">
        <v>872</v>
      </c>
      <c r="AA348" t="s">
        <v>868</v>
      </c>
      <c r="AB348" s="2" t="s">
        <v>886</v>
      </c>
      <c r="AC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8" s="2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H348" s="10" t="b">
        <v>0</v>
      </c>
      <c r="AY348"/>
      <c r="AZ348"/>
      <c r="BA348"/>
    </row>
    <row r="349" spans="1:53">
      <c r="A349" s="2" t="s">
        <v>369</v>
      </c>
      <c r="B349">
        <v>2015</v>
      </c>
      <c r="C349" cm="1">
        <f t="array" ref="C349">_xlfn.IFS(ISNUMBER(SEARCH("wagon",PROPERTIES[[#This Row],[VEHIDCODE]])),0,OR(MID(PROPERTIES[[#This Row],[VEHIDCODE]],2,2)="mu",_xlfn.TEXTBEFORE(PROPERTIES[[#This Row],[VEHIDCODE]],"_")="mtro"),1,1=1,0)</f>
        <v>1</v>
      </c>
      <c r="D349" t="s">
        <v>1763</v>
      </c>
      <c r="E349" t="str">
        <f>_xlfn.XLOOKUP(PROPERTIES[[#This Row],[COUNTRY]],COUNTRIES[COUNTRY_DESCRIPTION],COUNTRIES[COUNTRY_LABEL],"")</f>
        <v>DE</v>
      </c>
      <c r="F349" t="str" cm="1">
        <f t="array" ref="F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9" t="s">
        <v>320</v>
      </c>
      <c r="H349">
        <v>125</v>
      </c>
      <c r="I349">
        <v>8</v>
      </c>
      <c r="J349">
        <v>8</v>
      </c>
      <c r="K349" t="str" cm="1">
        <f t="array" ref="K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9">
        <f>_xlfn.XLOOKUP("LOADINGSPEEDDEF_"&amp;PROPERTIES[[#This Row],[LOADINGSPEED]],LOADINGSPEEDDEF[TYPE],LOADINGSPEEDDEF[SPEED])</f>
        <v>120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f>IF(ISNUMBER(SEARCH("passenger",PROPERTIES[[#This Row],[CARGODEF]])),1,0)</f>
        <v>1</v>
      </c>
      <c r="O349" s="32">
        <v>21.5</v>
      </c>
      <c r="P349">
        <v>440</v>
      </c>
      <c r="Q349">
        <v>80</v>
      </c>
      <c r="R349" s="29">
        <v>0</v>
      </c>
      <c r="S349" s="28">
        <f>IFERROR(PROPERTIES[[#This Row],[TE_STARTING_KN]]/(PROPERTIES[[#This Row],[WEIGHT]]*9.81),0)</f>
        <v>0</v>
      </c>
      <c r="T349" s="28">
        <v>0.22</v>
      </c>
      <c r="U349" s="25">
        <f>ROUND(IF(IFERROR(PROPERTIES[[#This Row],[TE_COEFFICIENT_CALC]],0)=0,PROPERTIES[[#This Row],[TE_COEFFICIENT_MANUAL]],PROPERTIES[[#This Row],[TE_COEFFICIENT_CALC]]),3)</f>
        <v>0.22</v>
      </c>
      <c r="V349" s="11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36">
        <v>145</v>
      </c>
      <c r="X349" s="9">
        <v>8</v>
      </c>
      <c r="Y349" s="10">
        <v>0</v>
      </c>
      <c r="Z349" t="s">
        <v>869</v>
      </c>
      <c r="AA349" t="s">
        <v>868</v>
      </c>
      <c r="AB349" s="2" t="s">
        <v>886</v>
      </c>
      <c r="AC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9" s="2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H349" s="10" t="b">
        <v>0</v>
      </c>
      <c r="AY349"/>
      <c r="AZ349"/>
      <c r="BA349"/>
    </row>
    <row r="350" spans="1:53">
      <c r="A350" s="2" t="s">
        <v>370</v>
      </c>
      <c r="B350">
        <v>1950</v>
      </c>
      <c r="C350" cm="1">
        <f t="array" ref="C350">_xlfn.IFS(ISNUMBER(SEARCH("wagon",PROPERTIES[[#This Row],[VEHIDCODE]])),0,OR(MID(PROPERTIES[[#This Row],[VEHIDCODE]],2,2)="mu",_xlfn.TEXTBEFORE(PROPERTIES[[#This Row],[VEHIDCODE]],"_")="mtro"),1,1=1,0)</f>
        <v>1</v>
      </c>
      <c r="D350" t="s">
        <v>1937</v>
      </c>
      <c r="E350" t="str">
        <f>_xlfn.XLOOKUP(PROPERTIES[[#This Row],[COUNTRY]],COUNTRIES[COUNTRY_DESCRIPTION],COUNTRIES[COUNTRY_LABEL],"")</f>
        <v>US</v>
      </c>
      <c r="F350" t="str" cm="1">
        <f t="array" ref="F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0" t="s">
        <v>320</v>
      </c>
      <c r="H350">
        <v>125</v>
      </c>
      <c r="I350">
        <v>7</v>
      </c>
      <c r="J350">
        <v>7</v>
      </c>
      <c r="K350" t="str" cm="1">
        <f t="array" ref="K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f>IF(ISNUMBER(SEARCH("passenger",PROPERTIES[[#This Row],[CARGODEF]])),1,0)</f>
        <v>1</v>
      </c>
      <c r="O350" s="32">
        <v>21.5</v>
      </c>
      <c r="P350">
        <v>440</v>
      </c>
      <c r="Q350">
        <v>80</v>
      </c>
      <c r="R350" s="29">
        <v>0</v>
      </c>
      <c r="S350" s="28">
        <f>IFERROR(PROPERTIES[[#This Row],[TE_STARTING_KN]]/(PROPERTIES[[#This Row],[WEIGHT]]*9.81),0)</f>
        <v>0</v>
      </c>
      <c r="T350" s="28">
        <v>0.22</v>
      </c>
      <c r="U350" s="25">
        <f>ROUND(IF(IFERROR(PROPERTIES[[#This Row],[TE_COEFFICIENT_CALC]],0)=0,PROPERTIES[[#This Row],[TE_COEFFICIENT_MANUAL]],PROPERTIES[[#This Row],[TE_COEFFICIENT_CALC]]),3)</f>
        <v>0.22</v>
      </c>
      <c r="V350" s="11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36">
        <v>130</v>
      </c>
      <c r="X350" s="9">
        <v>7</v>
      </c>
      <c r="Y350" s="10">
        <v>0</v>
      </c>
      <c r="Z350" t="s">
        <v>874</v>
      </c>
      <c r="AA350" t="s">
        <v>868</v>
      </c>
      <c r="AB350" s="2" t="s">
        <v>886</v>
      </c>
      <c r="AC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0" s="2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H350" s="10" t="b">
        <v>0</v>
      </c>
      <c r="AY350"/>
      <c r="AZ350"/>
      <c r="BA350"/>
    </row>
    <row r="351" spans="1:53">
      <c r="A351" s="2" t="s">
        <v>371</v>
      </c>
      <c r="B351">
        <v>1903</v>
      </c>
      <c r="C351" cm="1">
        <f t="array" ref="C351">_xlfn.IFS(ISNUMBER(SEARCH("wagon",PROPERTIES[[#This Row],[VEHIDCODE]])),0,OR(MID(PROPERTIES[[#This Row],[VEHIDCODE]],2,2)="mu",_xlfn.TEXTBEFORE(PROPERTIES[[#This Row],[VEHIDCODE]],"_")="mtro"),1,1=1,0)</f>
        <v>1</v>
      </c>
      <c r="D351" t="s">
        <v>1782</v>
      </c>
      <c r="E351" t="str">
        <f>_xlfn.XLOOKUP(PROPERTIES[[#This Row],[COUNTRY]],COUNTRIES[COUNTRY_DESCRIPTION],COUNTRIES[COUNTRY_LABEL],"")</f>
        <v>GB</v>
      </c>
      <c r="F351" t="str" cm="1">
        <f t="array" ref="F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1" t="s">
        <v>320</v>
      </c>
      <c r="H351">
        <v>90</v>
      </c>
      <c r="I351">
        <v>8</v>
      </c>
      <c r="J351">
        <v>8</v>
      </c>
      <c r="K351" t="str" cm="1">
        <f t="array" ref="K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f>IF(ISNUMBER(SEARCH("passenger",PROPERTIES[[#This Row],[CARGODEF]])),1,0)</f>
        <v>1</v>
      </c>
      <c r="O351" s="32">
        <v>29.5</v>
      </c>
      <c r="P351">
        <v>400</v>
      </c>
      <c r="Q351">
        <v>55</v>
      </c>
      <c r="R351" s="29">
        <v>0</v>
      </c>
      <c r="S351" s="28">
        <f>IFERROR(PROPERTIES[[#This Row],[TE_STARTING_KN]]/(PROPERTIES[[#This Row],[WEIGHT]]*9.81),0)</f>
        <v>0</v>
      </c>
      <c r="T351" s="28">
        <v>0.18</v>
      </c>
      <c r="U351" s="25">
        <f>ROUND(IF(IFERROR(PROPERTIES[[#This Row],[TE_COEFFICIENT_CALC]],0)=0,PROPERTIES[[#This Row],[TE_COEFFICIENT_MANUAL]],PROPERTIES[[#This Row],[TE_COEFFICIENT_CALC]]),3)</f>
        <v>0.18</v>
      </c>
      <c r="V351" s="11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36">
        <v>125</v>
      </c>
      <c r="X351" s="9">
        <v>8</v>
      </c>
      <c r="Y351" s="10">
        <v>0</v>
      </c>
      <c r="Z351" t="s">
        <v>873</v>
      </c>
      <c r="AA351" t="s">
        <v>868</v>
      </c>
      <c r="AB351" s="2" t="s">
        <v>886</v>
      </c>
      <c r="AC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1" s="2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H351" s="10" t="b">
        <v>0</v>
      </c>
      <c r="AY351"/>
      <c r="AZ351"/>
      <c r="BA351"/>
    </row>
    <row r="352" spans="1:53">
      <c r="A352" s="2" t="s">
        <v>372</v>
      </c>
      <c r="B352">
        <v>1938</v>
      </c>
      <c r="C352" cm="1">
        <f t="array" ref="C352">_xlfn.IFS(ISNUMBER(SEARCH("wagon",PROPERTIES[[#This Row],[VEHIDCODE]])),0,OR(MID(PROPERTIES[[#This Row],[VEHIDCODE]],2,2)="mu",_xlfn.TEXTBEFORE(PROPERTIES[[#This Row],[VEHIDCODE]],"_")="mtro"),1,1=1,0)</f>
        <v>1</v>
      </c>
      <c r="D352" t="s">
        <v>1782</v>
      </c>
      <c r="E352" t="str">
        <f>_xlfn.XLOOKUP(PROPERTIES[[#This Row],[COUNTRY]],COUNTRIES[COUNTRY_DESCRIPTION],COUNTRIES[COUNTRY_LABEL],"")</f>
        <v>GB</v>
      </c>
      <c r="F352" t="str" cm="1">
        <f t="array" ref="F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2" t="s">
        <v>320</v>
      </c>
      <c r="H352">
        <v>105</v>
      </c>
      <c r="I352">
        <v>7</v>
      </c>
      <c r="J352">
        <v>7</v>
      </c>
      <c r="K352" t="str" cm="1">
        <f t="array" ref="K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f>IF(ISNUMBER(SEARCH("passenger",PROPERTIES[[#This Row],[CARGODEF]])),1,0)</f>
        <v>1</v>
      </c>
      <c r="O352" s="32">
        <v>25.5</v>
      </c>
      <c r="P352">
        <v>600</v>
      </c>
      <c r="Q352">
        <v>72</v>
      </c>
      <c r="R352" s="29">
        <v>0</v>
      </c>
      <c r="S352" s="28">
        <f>IFERROR(PROPERTIES[[#This Row],[TE_STARTING_KN]]/(PROPERTIES[[#This Row],[WEIGHT]]*9.81),0)</f>
        <v>0</v>
      </c>
      <c r="T352" s="28">
        <v>0.2</v>
      </c>
      <c r="U352" s="25">
        <f>ROUND(IF(IFERROR(PROPERTIES[[#This Row],[TE_COEFFICIENT_CALC]],0)=0,PROPERTIES[[#This Row],[TE_COEFFICIENT_MANUAL]],PROPERTIES[[#This Row],[TE_COEFFICIENT_CALC]]),3)</f>
        <v>0.2</v>
      </c>
      <c r="V352" s="11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36">
        <v>120</v>
      </c>
      <c r="X352" s="9">
        <v>7</v>
      </c>
      <c r="Y352" s="10">
        <v>0</v>
      </c>
      <c r="Z352" t="s">
        <v>873</v>
      </c>
      <c r="AA352" t="s">
        <v>868</v>
      </c>
      <c r="AB352" s="2" t="s">
        <v>886</v>
      </c>
      <c r="AC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2" s="2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H352" s="10" t="b">
        <v>0</v>
      </c>
      <c r="AY352"/>
      <c r="AZ352"/>
      <c r="BA352"/>
    </row>
    <row r="353" spans="1:53">
      <c r="A353" s="2" t="s">
        <v>373</v>
      </c>
      <c r="B353">
        <v>1914</v>
      </c>
      <c r="C353" cm="1">
        <f t="array" ref="C353">_xlfn.IFS(ISNUMBER(SEARCH("wagon",PROPERTIES[[#This Row],[VEHIDCODE]])),0,OR(MID(PROPERTIES[[#This Row],[VEHIDCODE]],2,2)="mu",_xlfn.TEXTBEFORE(PROPERTIES[[#This Row],[VEHIDCODE]],"_")="mtro"),1,1=1,0)</f>
        <v>0</v>
      </c>
      <c r="D353" t="s">
        <v>1782</v>
      </c>
      <c r="E353" t="str">
        <f>_xlfn.XLOOKUP(PROPERTIES[[#This Row],[COUNTRY]],COUNTRIES[COUNTRY_DESCRIPTION],COUNTRIES[COUNTRY_LABEL],"")</f>
        <v>GB</v>
      </c>
      <c r="F353" t="str" cm="1">
        <f t="array" ref="F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3" t="s">
        <v>19</v>
      </c>
      <c r="H353">
        <v>0</v>
      </c>
      <c r="I353">
        <v>7</v>
      </c>
      <c r="J353">
        <v>7</v>
      </c>
      <c r="K353" t="str" cm="1">
        <f t="array" ref="K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3">
        <f>_xlfn.XLOOKUP("LOADINGSPEEDDEF_"&amp;PROPERTIES[[#This Row],[LOADINGSPEED]],LOADINGSPEEDDEF[TYPE],LOADINGSPEEDDEF[SPEED])</f>
        <v>20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f>IF(ISNUMBER(SEARCH("passenger",PROPERTIES[[#This Row],[CARGODEF]])),1,0)</f>
        <v>0</v>
      </c>
      <c r="O353" s="32">
        <v>74</v>
      </c>
      <c r="P353">
        <v>1100</v>
      </c>
      <c r="Q353">
        <v>40</v>
      </c>
      <c r="R353" s="29">
        <v>125</v>
      </c>
      <c r="S353" s="28">
        <f>IFERROR(PROPERTIES[[#This Row],[TE_STARTING_KN]]/(PROPERTIES[[#This Row],[WEIGHT]]*9.81),0)</f>
        <v>0.17219053916301622</v>
      </c>
      <c r="T353" s="28">
        <v>0.18</v>
      </c>
      <c r="U353" s="25">
        <f>ROUND(IF(IFERROR(PROPERTIES[[#This Row],[TE_COEFFICIENT_CALC]],0)=0,PROPERTIES[[#This Row],[TE_COEFFICIENT_MANUAL]],PROPERTIES[[#This Row],[TE_COEFFICIENT_CALC]]),3)</f>
        <v>0.17199999999999999</v>
      </c>
      <c r="V353" s="11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36">
        <v>0</v>
      </c>
      <c r="X353" s="9">
        <v>0</v>
      </c>
      <c r="Y353" s="10">
        <v>0</v>
      </c>
      <c r="Z353" t="s">
        <v>873</v>
      </c>
      <c r="AA353" t="s">
        <v>868</v>
      </c>
      <c r="AB353" s="2" t="s">
        <v>886</v>
      </c>
      <c r="AC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3" s="2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H353" s="10" t="b">
        <v>0</v>
      </c>
      <c r="AY353"/>
      <c r="AZ353"/>
      <c r="BA353"/>
    </row>
    <row r="354" spans="1:53">
      <c r="A354" s="2" t="s">
        <v>374</v>
      </c>
      <c r="B354">
        <v>1931</v>
      </c>
      <c r="C354" cm="1">
        <f t="array" ref="C354">_xlfn.IFS(ISNUMBER(SEARCH("wagon",PROPERTIES[[#This Row],[VEHIDCODE]])),0,OR(MID(PROPERTIES[[#This Row],[VEHIDCODE]],2,2)="mu",_xlfn.TEXTBEFORE(PROPERTIES[[#This Row],[VEHIDCODE]],"_")="mtro"),1,1=1,0)</f>
        <v>0</v>
      </c>
      <c r="D354" t="s">
        <v>1819</v>
      </c>
      <c r="E354" t="str">
        <f>_xlfn.XLOOKUP(PROPERTIES[[#This Row],[COUNTRY]],COUNTRIES[COUNTRY_DESCRIPTION],COUNTRIES[COUNTRY_LABEL],"")</f>
        <v>JP</v>
      </c>
      <c r="F354" t="str" cm="1">
        <f t="array" ref="F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4" t="s">
        <v>19</v>
      </c>
      <c r="H354">
        <v>0</v>
      </c>
      <c r="I354">
        <v>5</v>
      </c>
      <c r="J354">
        <v>5</v>
      </c>
      <c r="K354" t="str" cm="1">
        <f t="array" ref="K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4">
        <f>_xlfn.XLOOKUP("LOADINGSPEEDDEF_"&amp;PROPERTIES[[#This Row],[LOADINGSPEED]],LOADINGSPEEDDEF[TYPE],LOADINGSPEEDDEF[SPEED])</f>
        <v>20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f>IF(ISNUMBER(SEARCH("passenger",PROPERTIES[[#This Row],[CARGODEF]])),1,0)</f>
        <v>0</v>
      </c>
      <c r="O354" s="32">
        <v>22.64</v>
      </c>
      <c r="P354">
        <v>360</v>
      </c>
      <c r="Q354">
        <v>19</v>
      </c>
      <c r="R354" s="29">
        <v>38</v>
      </c>
      <c r="S354" s="28">
        <f>IFERROR(PROPERTIES[[#This Row],[TE_STARTING_KN]]/(PROPERTIES[[#This Row],[WEIGHT]]*9.81),0)</f>
        <v>0.17109533432028323</v>
      </c>
      <c r="T354" s="28">
        <v>0.3</v>
      </c>
      <c r="U354" s="25">
        <f>ROUND(IF(IFERROR(PROPERTIES[[#This Row],[TE_COEFFICIENT_CALC]],0)=0,PROPERTIES[[#This Row],[TE_COEFFICIENT_MANUAL]],PROPERTIES[[#This Row],[TE_COEFFICIENT_CALC]]),3)</f>
        <v>0.17100000000000001</v>
      </c>
      <c r="V354" s="11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36">
        <v>0</v>
      </c>
      <c r="X354" s="9">
        <v>0</v>
      </c>
      <c r="Y354" s="10">
        <v>0</v>
      </c>
      <c r="Z354" t="s">
        <v>877</v>
      </c>
      <c r="AA354" t="s">
        <v>868</v>
      </c>
      <c r="AB354" s="2" t="s">
        <v>886</v>
      </c>
      <c r="AC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4" s="2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H354" s="10" t="b">
        <v>0</v>
      </c>
      <c r="AY354"/>
      <c r="AZ354"/>
      <c r="BA354"/>
    </row>
    <row r="355" spans="1:53">
      <c r="A355" s="2" t="s">
        <v>375</v>
      </c>
      <c r="B355">
        <v>1936</v>
      </c>
      <c r="C355" cm="1">
        <f t="array" ref="C355">_xlfn.IFS(ISNUMBER(SEARCH("wagon",PROPERTIES[[#This Row],[VEHIDCODE]])),0,OR(MID(PROPERTIES[[#This Row],[VEHIDCODE]],2,2)="mu",_xlfn.TEXTBEFORE(PROPERTIES[[#This Row],[VEHIDCODE]],"_")="mtro"),1,1=1,0)</f>
        <v>0</v>
      </c>
      <c r="D355" t="s">
        <v>1819</v>
      </c>
      <c r="E355" t="str">
        <f>_xlfn.XLOOKUP(PROPERTIES[[#This Row],[COUNTRY]],COUNTRIES[COUNTRY_DESCRIPTION],COUNTRIES[COUNTRY_LABEL],"")</f>
        <v>JP</v>
      </c>
      <c r="F355" t="str" cm="1">
        <f t="array" ref="F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5" t="s">
        <v>19</v>
      </c>
      <c r="H355">
        <v>0</v>
      </c>
      <c r="I355">
        <v>8</v>
      </c>
      <c r="J355">
        <v>8</v>
      </c>
      <c r="K355" t="str" cm="1">
        <f t="array" ref="K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5">
        <f>_xlfn.XLOOKUP("LOADINGSPEEDDEF_"&amp;PROPERTIES[[#This Row],[LOADINGSPEED]],LOADINGSPEEDDEF[TYPE],LOADINGSPEEDDEF[SPEED])</f>
        <v>20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f>IF(ISNUMBER(SEARCH("passenger",PROPERTIES[[#This Row],[CARGODEF]])),1,0)</f>
        <v>0</v>
      </c>
      <c r="O355" s="32">
        <v>100</v>
      </c>
      <c r="P355">
        <v>1810</v>
      </c>
      <c r="Q355">
        <v>75</v>
      </c>
      <c r="R355" s="29">
        <v>61.7</v>
      </c>
      <c r="S355" s="28">
        <f>IFERROR(PROPERTIES[[#This Row],[TE_STARTING_KN]]/(PROPERTIES[[#This Row],[WEIGHT]]*9.81),0)</f>
        <v>6.2895005096839957E-2</v>
      </c>
      <c r="T355" s="28">
        <v>0.06</v>
      </c>
      <c r="U355" s="25">
        <f>ROUND(IF(IFERROR(PROPERTIES[[#This Row],[TE_COEFFICIENT_CALC]],0)=0,PROPERTIES[[#This Row],[TE_COEFFICIENT_MANUAL]],PROPERTIES[[#This Row],[TE_COEFFICIENT_CALC]]),3)</f>
        <v>6.3E-2</v>
      </c>
      <c r="V355" s="11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36">
        <v>0</v>
      </c>
      <c r="X355" s="9">
        <v>0</v>
      </c>
      <c r="Y355" s="10">
        <v>0</v>
      </c>
      <c r="Z355" t="s">
        <v>877</v>
      </c>
      <c r="AA355" t="s">
        <v>868</v>
      </c>
      <c r="AB355" s="2" t="s">
        <v>886</v>
      </c>
      <c r="AC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5" s="2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H355" s="10" t="b">
        <v>0</v>
      </c>
      <c r="AY355"/>
      <c r="AZ355"/>
      <c r="BA355"/>
    </row>
    <row r="356" spans="1:53">
      <c r="A356" s="2" t="s">
        <v>376</v>
      </c>
      <c r="B356">
        <v>1948</v>
      </c>
      <c r="C356" cm="1">
        <f t="array" ref="C356">_xlfn.IFS(ISNUMBER(SEARCH("wagon",PROPERTIES[[#This Row],[VEHIDCODE]])),0,OR(MID(PROPERTIES[[#This Row],[VEHIDCODE]],2,2)="mu",_xlfn.TEXTBEFORE(PROPERTIES[[#This Row],[VEHIDCODE]],"_")="mtro"),1,1=1,0)</f>
        <v>0</v>
      </c>
      <c r="D356" t="s">
        <v>1871</v>
      </c>
      <c r="E356" t="str">
        <f>_xlfn.XLOOKUP(PROPERTIES[[#This Row],[COUNTRY]],COUNTRIES[COUNTRY_DESCRIPTION],COUNTRIES[COUNTRY_LABEL],"")</f>
        <v>NL</v>
      </c>
      <c r="F356" t="str" cm="1">
        <f t="array" ref="F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6" t="s">
        <v>19</v>
      </c>
      <c r="H356">
        <v>0</v>
      </c>
      <c r="I356">
        <v>8</v>
      </c>
      <c r="J356">
        <v>8</v>
      </c>
      <c r="K356" t="str" cm="1">
        <f t="array" ref="K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6">
        <f>_xlfn.XLOOKUP("LOADINGSPEEDDEF_"&amp;PROPERTIES[[#This Row],[LOADINGSPEED]],LOADINGSPEEDDEF[TYPE],LOADINGSPEEDDEF[SPEED])</f>
        <v>20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f>IF(ISNUMBER(SEARCH("passenger",PROPERTIES[[#This Row],[CARGODEF]])),1,0)</f>
        <v>0</v>
      </c>
      <c r="O356" s="32">
        <v>100</v>
      </c>
      <c r="P356">
        <v>3749</v>
      </c>
      <c r="Q356">
        <v>100</v>
      </c>
      <c r="R356" s="29">
        <v>177</v>
      </c>
      <c r="S356" s="28">
        <f>IFERROR(PROPERTIES[[#This Row],[TE_STARTING_KN]]/(PROPERTIES[[#This Row],[WEIGHT]]*9.81),0)</f>
        <v>0.18042813455657492</v>
      </c>
      <c r="T356" s="28">
        <v>0.18</v>
      </c>
      <c r="U356" s="25">
        <f>ROUND(IF(IFERROR(PROPERTIES[[#This Row],[TE_COEFFICIENT_CALC]],0)=0,PROPERTIES[[#This Row],[TE_COEFFICIENT_MANUAL]],PROPERTIES[[#This Row],[TE_COEFFICIENT_CALC]]),3)</f>
        <v>0.18</v>
      </c>
      <c r="V356" s="11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36">
        <v>0</v>
      </c>
      <c r="X356" s="9">
        <v>0</v>
      </c>
      <c r="Y356" s="10">
        <v>0</v>
      </c>
      <c r="Z356" t="s">
        <v>869</v>
      </c>
      <c r="AA356" t="s">
        <v>868</v>
      </c>
      <c r="AB356" s="2" t="s">
        <v>886</v>
      </c>
      <c r="AC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6" s="2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H356" s="10" t="b">
        <v>0</v>
      </c>
      <c r="AY356"/>
      <c r="AZ356"/>
      <c r="BA356"/>
    </row>
    <row r="357" spans="1:53">
      <c r="A357" s="2" t="s">
        <v>377</v>
      </c>
      <c r="B357">
        <v>1980</v>
      </c>
      <c r="C357" cm="1">
        <f t="array" ref="C357">_xlfn.IFS(ISNUMBER(SEARCH("wagon",PROPERTIES[[#This Row],[VEHIDCODE]])),0,OR(MID(PROPERTIES[[#This Row],[VEHIDCODE]],2,2)="mu",_xlfn.TEXTBEFORE(PROPERTIES[[#This Row],[VEHIDCODE]],"_")="mtro"),1,1=1,0)</f>
        <v>0</v>
      </c>
      <c r="D357" t="s">
        <v>1871</v>
      </c>
      <c r="E357" t="str">
        <f>_xlfn.XLOOKUP(PROPERTIES[[#This Row],[COUNTRY]],COUNTRIES[COUNTRY_DESCRIPTION],COUNTRIES[COUNTRY_LABEL],"")</f>
        <v>NL</v>
      </c>
      <c r="F357" t="str" cm="1">
        <f t="array" ref="F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7" t="s">
        <v>19</v>
      </c>
      <c r="H357">
        <v>0</v>
      </c>
      <c r="I357">
        <v>8</v>
      </c>
      <c r="J357">
        <v>8</v>
      </c>
      <c r="K357" t="str" cm="1">
        <f t="array" ref="K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7">
        <f>_xlfn.XLOOKUP("LOADINGSPEEDDEF_"&amp;PROPERTIES[[#This Row],[LOADINGSPEED]],LOADINGSPEEDDEF[TYPE],LOADINGSPEEDDEF[SPEED])</f>
        <v>20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f>IF(ISNUMBER(SEARCH("passenger",PROPERTIES[[#This Row],[CARGODEF]])),1,0)</f>
        <v>0</v>
      </c>
      <c r="O357" s="32">
        <v>83</v>
      </c>
      <c r="P357">
        <v>6200</v>
      </c>
      <c r="Q357">
        <v>160</v>
      </c>
      <c r="R357" s="29">
        <v>294</v>
      </c>
      <c r="S357" s="28">
        <f>IFERROR(PROPERTIES[[#This Row],[TE_STARTING_KN]]/(PROPERTIES[[#This Row],[WEIGHT]]*9.81),0)</f>
        <v>0.36107733687041743</v>
      </c>
      <c r="T357" s="28">
        <v>0.31</v>
      </c>
      <c r="U357" s="25">
        <f>ROUND(IF(IFERROR(PROPERTIES[[#This Row],[TE_COEFFICIENT_CALC]],0)=0,PROPERTIES[[#This Row],[TE_COEFFICIENT_MANUAL]],PROPERTIES[[#This Row],[TE_COEFFICIENT_CALC]]),3)</f>
        <v>0.36099999999999999</v>
      </c>
      <c r="V357" s="11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36">
        <v>0</v>
      </c>
      <c r="X357" s="9">
        <v>0</v>
      </c>
      <c r="Y357" s="10">
        <v>0</v>
      </c>
      <c r="Z357" t="s">
        <v>869</v>
      </c>
      <c r="AA357" t="s">
        <v>868</v>
      </c>
      <c r="AB357" s="2" t="s">
        <v>886</v>
      </c>
      <c r="AC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7" s="2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H357" s="10" t="b">
        <v>0</v>
      </c>
      <c r="AY357"/>
      <c r="AZ357"/>
      <c r="BA357"/>
    </row>
    <row r="358" spans="1:53">
      <c r="A358" s="2" t="s">
        <v>378</v>
      </c>
      <c r="B358">
        <v>1923</v>
      </c>
      <c r="C358" cm="1">
        <f t="array" ref="C358">_xlfn.IFS(ISNUMBER(SEARCH("wagon",PROPERTIES[[#This Row],[VEHIDCODE]])),0,OR(MID(PROPERTIES[[#This Row],[VEHIDCODE]],2,2)="mu",_xlfn.TEXTBEFORE(PROPERTIES[[#This Row],[VEHIDCODE]],"_")="mtro"),1,1=1,0)</f>
        <v>0</v>
      </c>
      <c r="D358" t="s">
        <v>1719</v>
      </c>
      <c r="E358" t="str">
        <f>_xlfn.XLOOKUP(PROPERTIES[[#This Row],[COUNTRY]],COUNTRIES[COUNTRY_DESCRIPTION],COUNTRIES[COUNTRY_LABEL],"")</f>
        <v>AU</v>
      </c>
      <c r="F358" t="str" cm="1">
        <f t="array" ref="F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8" t="s">
        <v>19</v>
      </c>
      <c r="H358">
        <v>0</v>
      </c>
      <c r="I358">
        <v>7</v>
      </c>
      <c r="J358">
        <v>7</v>
      </c>
      <c r="K358" t="str" cm="1">
        <f t="array" ref="K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8">
        <f>_xlfn.XLOOKUP("LOADINGSPEEDDEF_"&amp;PROPERTIES[[#This Row],[LOADINGSPEED]],LOADINGSPEEDDEF[TYPE],LOADINGSPEEDDEF[SPEED])</f>
        <v>20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f>IF(ISNUMBER(SEARCH("passenger",PROPERTIES[[#This Row],[CARGODEF]])),1,0)</f>
        <v>0</v>
      </c>
      <c r="O358" s="32">
        <v>56</v>
      </c>
      <c r="P358">
        <v>620</v>
      </c>
      <c r="Q358">
        <v>65</v>
      </c>
      <c r="R358" s="29">
        <v>109</v>
      </c>
      <c r="S358" s="28">
        <f>IFERROR(PROPERTIES[[#This Row],[TE_STARTING_KN]]/(PROPERTIES[[#This Row],[WEIGHT]]*9.81),0)</f>
        <v>0.1984126984126984</v>
      </c>
      <c r="T358" s="28">
        <v>0.11</v>
      </c>
      <c r="U358" s="25">
        <f>ROUND(IF(IFERROR(PROPERTIES[[#This Row],[TE_COEFFICIENT_CALC]],0)=0,PROPERTIES[[#This Row],[TE_COEFFICIENT_MANUAL]],PROPERTIES[[#This Row],[TE_COEFFICIENT_CALC]]),3)</f>
        <v>0.19800000000000001</v>
      </c>
      <c r="V358" s="11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36">
        <v>0</v>
      </c>
      <c r="X358" s="9">
        <v>0</v>
      </c>
      <c r="Y358" s="10">
        <v>0</v>
      </c>
      <c r="Z358" t="s">
        <v>871</v>
      </c>
      <c r="AA358" t="s">
        <v>868</v>
      </c>
      <c r="AB358" s="2" t="s">
        <v>886</v>
      </c>
      <c r="AC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8" s="2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H358" s="10" t="b">
        <v>0</v>
      </c>
      <c r="AY358"/>
      <c r="AZ358"/>
      <c r="BA358"/>
    </row>
    <row r="359" spans="1:53">
      <c r="A359" s="2" t="s">
        <v>379</v>
      </c>
      <c r="B359">
        <v>1903</v>
      </c>
      <c r="C359" cm="1">
        <f t="array" ref="C359">_xlfn.IFS(ISNUMBER(SEARCH("wagon",PROPERTIES[[#This Row],[VEHIDCODE]])),0,OR(MID(PROPERTIES[[#This Row],[VEHIDCODE]],2,2)="mu",_xlfn.TEXTBEFORE(PROPERTIES[[#This Row],[VEHIDCODE]],"_")="mtro"),1,1=1,0)</f>
        <v>0</v>
      </c>
      <c r="D359" t="s">
        <v>1782</v>
      </c>
      <c r="E359" t="str">
        <f>_xlfn.XLOOKUP(PROPERTIES[[#This Row],[COUNTRY]],COUNTRIES[COUNTRY_DESCRIPTION],COUNTRIES[COUNTRY_LABEL],"")</f>
        <v>GB</v>
      </c>
      <c r="F359" t="str" cm="1">
        <f t="array" ref="F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9" t="s">
        <v>19</v>
      </c>
      <c r="H359">
        <v>0</v>
      </c>
      <c r="I359">
        <v>6</v>
      </c>
      <c r="J359">
        <v>6</v>
      </c>
      <c r="K359" t="str" cm="1">
        <f t="array" ref="K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9">
        <f>_xlfn.XLOOKUP("LOADINGSPEEDDEF_"&amp;PROPERTIES[[#This Row],[LOADINGSPEED]],LOADINGSPEEDDEF[TYPE],LOADINGSPEEDDEF[SPEED])</f>
        <v>20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f>IF(ISNUMBER(SEARCH("passenger",PROPERTIES[[#This Row],[CARGODEF]])),1,0)</f>
        <v>0</v>
      </c>
      <c r="O359" s="32">
        <v>57</v>
      </c>
      <c r="P359">
        <v>640</v>
      </c>
      <c r="Q359">
        <v>43</v>
      </c>
      <c r="R359" s="29">
        <v>111.2</v>
      </c>
      <c r="S359" s="28">
        <f>IFERROR(PROPERTIES[[#This Row],[TE_STARTING_KN]]/(PROPERTIES[[#This Row],[WEIGHT]]*9.81),0)</f>
        <v>0.19886617665468459</v>
      </c>
      <c r="T359" s="28">
        <v>0.19</v>
      </c>
      <c r="U359" s="25">
        <f>ROUND(IF(IFERROR(PROPERTIES[[#This Row],[TE_COEFFICIENT_CALC]],0)=0,PROPERTIES[[#This Row],[TE_COEFFICIENT_MANUAL]],PROPERTIES[[#This Row],[TE_COEFFICIENT_CALC]]),3)</f>
        <v>0.19900000000000001</v>
      </c>
      <c r="V359" s="11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36">
        <v>0</v>
      </c>
      <c r="X359" s="9">
        <v>0</v>
      </c>
      <c r="Y359" s="10">
        <v>0</v>
      </c>
      <c r="Z359" t="s">
        <v>873</v>
      </c>
      <c r="AA359" t="s">
        <v>868</v>
      </c>
      <c r="AB359" s="2" t="s">
        <v>886</v>
      </c>
      <c r="AC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9" s="2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H359" s="10" t="b">
        <v>0</v>
      </c>
      <c r="AY359"/>
      <c r="AZ359"/>
      <c r="BA359"/>
    </row>
    <row r="360" spans="1:53">
      <c r="A360" s="2" t="s">
        <v>380</v>
      </c>
      <c r="B360">
        <v>1903</v>
      </c>
      <c r="C360" cm="1">
        <f t="array" ref="C360">_xlfn.IFS(ISNUMBER(SEARCH("wagon",PROPERTIES[[#This Row],[VEHIDCODE]])),0,OR(MID(PROPERTIES[[#This Row],[VEHIDCODE]],2,2)="mu",_xlfn.TEXTBEFORE(PROPERTIES[[#This Row],[VEHIDCODE]],"_")="mtro"),1,1=1,0)</f>
        <v>0</v>
      </c>
      <c r="D360" t="s">
        <v>1937</v>
      </c>
      <c r="E360" t="str">
        <f>_xlfn.XLOOKUP(PROPERTIES[[#This Row],[COUNTRY]],COUNTRIES[COUNTRY_DESCRIPTION],COUNTRIES[COUNTRY_LABEL],"")</f>
        <v>US</v>
      </c>
      <c r="F360" t="str" cm="1">
        <f t="array" ref="F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0" t="s">
        <v>19</v>
      </c>
      <c r="H360">
        <v>0</v>
      </c>
      <c r="I360">
        <v>7</v>
      </c>
      <c r="J360">
        <v>7</v>
      </c>
      <c r="K360" t="str" cm="1">
        <f t="array" ref="K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0">
        <f>_xlfn.XLOOKUP("LOADINGSPEEDDEF_"&amp;PROPERTIES[[#This Row],[LOADINGSPEED]],LOADINGSPEEDDEF[TYPE],LOADINGSPEEDDEF[SPEED])</f>
        <v>20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f>IF(ISNUMBER(SEARCH("passenger",PROPERTIES[[#This Row],[CARGODEF]])),1,0)</f>
        <v>0</v>
      </c>
      <c r="O360" s="32">
        <v>103</v>
      </c>
      <c r="P360">
        <v>2200</v>
      </c>
      <c r="Q360">
        <v>97</v>
      </c>
      <c r="R360" s="29">
        <v>160</v>
      </c>
      <c r="S360" s="28">
        <f>IFERROR(PROPERTIES[[#This Row],[TE_STARTING_KN]]/(PROPERTIES[[#This Row],[WEIGHT]]*9.81),0)</f>
        <v>0.15834842591767861</v>
      </c>
      <c r="T360" s="28">
        <v>0.16</v>
      </c>
      <c r="U360" s="25">
        <f>ROUND(IF(IFERROR(PROPERTIES[[#This Row],[TE_COEFFICIENT_CALC]],0)=0,PROPERTIES[[#This Row],[TE_COEFFICIENT_MANUAL]],PROPERTIES[[#This Row],[TE_COEFFICIENT_CALC]]),3)</f>
        <v>0.158</v>
      </c>
      <c r="V360" s="11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36">
        <v>0</v>
      </c>
      <c r="X360" s="9">
        <v>0</v>
      </c>
      <c r="Y360" s="10">
        <v>0</v>
      </c>
      <c r="Z360" t="s">
        <v>874</v>
      </c>
      <c r="AA360" t="s">
        <v>868</v>
      </c>
      <c r="AB360" s="2" t="s">
        <v>886</v>
      </c>
      <c r="AC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0" s="2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H360" s="10" t="b">
        <v>0</v>
      </c>
      <c r="AY360"/>
      <c r="AZ360"/>
      <c r="BA360"/>
    </row>
    <row r="361" spans="1:53">
      <c r="A361" s="2" t="s">
        <v>381</v>
      </c>
      <c r="B361">
        <v>1930</v>
      </c>
      <c r="C361" cm="1">
        <f t="array" ref="C361">_xlfn.IFS(ISNUMBER(SEARCH("wagon",PROPERTIES[[#This Row],[VEHIDCODE]])),0,OR(MID(PROPERTIES[[#This Row],[VEHIDCODE]],2,2)="mu",_xlfn.TEXTBEFORE(PROPERTIES[[#This Row],[VEHIDCODE]],"_")="mtro"),1,1=1,0)</f>
        <v>0</v>
      </c>
      <c r="D361" t="s">
        <v>1819</v>
      </c>
      <c r="E361" t="str">
        <f>_xlfn.XLOOKUP(PROPERTIES[[#This Row],[COUNTRY]],COUNTRIES[COUNTRY_DESCRIPTION],COUNTRIES[COUNTRY_LABEL],"")</f>
        <v>JP</v>
      </c>
      <c r="F361" t="str" cm="1">
        <f t="array" ref="F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1" t="s">
        <v>19</v>
      </c>
      <c r="H361">
        <v>0</v>
      </c>
      <c r="I361">
        <v>6</v>
      </c>
      <c r="J361">
        <v>6</v>
      </c>
      <c r="K361" t="str" cm="1">
        <f t="array" ref="K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1">
        <f>_xlfn.XLOOKUP("LOADINGSPEEDDEF_"&amp;PROPERTIES[[#This Row],[LOADINGSPEED]],LOADINGSPEEDDEF[TYPE],LOADINGSPEEDDEF[SPEED])</f>
        <v>20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f>IF(ISNUMBER(SEARCH("passenger",PROPERTIES[[#This Row],[CARGODEF]])),1,0)</f>
        <v>0</v>
      </c>
      <c r="O361" s="32">
        <v>40</v>
      </c>
      <c r="P361">
        <v>482</v>
      </c>
      <c r="Q361">
        <v>28</v>
      </c>
      <c r="R361" s="29">
        <v>78</v>
      </c>
      <c r="S361" s="28">
        <f>IFERROR(PROPERTIES[[#This Row],[TE_STARTING_KN]]/(PROPERTIES[[#This Row],[WEIGHT]]*9.81),0)</f>
        <v>0.19877675840978593</v>
      </c>
      <c r="T361" s="28">
        <v>0.12</v>
      </c>
      <c r="U361" s="25">
        <f>ROUND(IF(IFERROR(PROPERTIES[[#This Row],[TE_COEFFICIENT_CALC]],0)=0,PROPERTIES[[#This Row],[TE_COEFFICIENT_MANUAL]],PROPERTIES[[#This Row],[TE_COEFFICIENT_CALC]]),3)</f>
        <v>0.19900000000000001</v>
      </c>
      <c r="V361" s="11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36">
        <v>0</v>
      </c>
      <c r="X361" s="9">
        <v>0</v>
      </c>
      <c r="Y361" s="10">
        <v>0</v>
      </c>
      <c r="Z361" t="s">
        <v>877</v>
      </c>
      <c r="AA361" t="s">
        <v>868</v>
      </c>
      <c r="AB361" s="2" t="s">
        <v>886</v>
      </c>
      <c r="AC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1" s="2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H361" s="10" t="b">
        <v>0</v>
      </c>
      <c r="AY361"/>
      <c r="AZ361"/>
      <c r="BA361"/>
    </row>
    <row r="362" spans="1:53">
      <c r="A362" s="2" t="s">
        <v>382</v>
      </c>
      <c r="B362">
        <v>1928</v>
      </c>
      <c r="C362" cm="1">
        <f t="array" ref="C362">_xlfn.IFS(ISNUMBER(SEARCH("wagon",PROPERTIES[[#This Row],[VEHIDCODE]])),0,OR(MID(PROPERTIES[[#This Row],[VEHIDCODE]],2,2)="mu",_xlfn.TEXTBEFORE(PROPERTIES[[#This Row],[VEHIDCODE]],"_")="mtro"),1,1=1,0)</f>
        <v>0</v>
      </c>
      <c r="D362" t="s">
        <v>1810</v>
      </c>
      <c r="E362" t="str">
        <f>_xlfn.XLOOKUP(PROPERTIES[[#This Row],[COUNTRY]],COUNTRIES[COUNTRY_DESCRIPTION],COUNTRIES[COUNTRY_LABEL],"")</f>
        <v>IN</v>
      </c>
      <c r="F362" t="str" cm="1">
        <f t="array" ref="F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2" t="s">
        <v>19</v>
      </c>
      <c r="H362">
        <v>0</v>
      </c>
      <c r="I362">
        <v>8</v>
      </c>
      <c r="J362">
        <v>8</v>
      </c>
      <c r="K362" t="str" cm="1">
        <f t="array" ref="K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2">
        <f>_xlfn.XLOOKUP("LOADINGSPEEDDEF_"&amp;PROPERTIES[[#This Row],[LOADINGSPEED]],LOADINGSPEEDDEF[TYPE],LOADINGSPEEDDEF[SPEED])</f>
        <v>20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f>IF(ISNUMBER(SEARCH("passenger",PROPERTIES[[#This Row],[CARGODEF]])),1,0)</f>
        <v>0</v>
      </c>
      <c r="O362" s="32">
        <v>123</v>
      </c>
      <c r="P362">
        <v>2600</v>
      </c>
      <c r="Q362">
        <v>80</v>
      </c>
      <c r="R362" s="29">
        <v>300</v>
      </c>
      <c r="S362" s="28">
        <f>IFERROR(PROPERTIES[[#This Row],[TE_STARTING_KN]]/(PROPERTIES[[#This Row],[WEIGHT]]*9.81),0)</f>
        <v>0.24862633947440391</v>
      </c>
      <c r="T362" s="28">
        <v>0.6</v>
      </c>
      <c r="U362" s="25">
        <f>ROUND(IF(IFERROR(PROPERTIES[[#This Row],[TE_COEFFICIENT_CALC]],0)=0,PROPERTIES[[#This Row],[TE_COEFFICIENT_MANUAL]],PROPERTIES[[#This Row],[TE_COEFFICIENT_CALC]]),3)</f>
        <v>0.249</v>
      </c>
      <c r="V362" s="11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36">
        <v>0</v>
      </c>
      <c r="X362" s="9">
        <v>0</v>
      </c>
      <c r="Y362" s="10">
        <v>0</v>
      </c>
      <c r="Z362" t="s">
        <v>877</v>
      </c>
      <c r="AA362" t="s">
        <v>868</v>
      </c>
      <c r="AB362" s="2" t="s">
        <v>886</v>
      </c>
      <c r="AC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2" s="2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H362" s="10" t="b">
        <v>0</v>
      </c>
      <c r="AY362"/>
      <c r="AZ362"/>
      <c r="BA362"/>
    </row>
    <row r="363" spans="1:53">
      <c r="A363" s="2" t="s">
        <v>383</v>
      </c>
      <c r="B363">
        <v>1954</v>
      </c>
      <c r="C363" cm="1">
        <f t="array" ref="C363">_xlfn.IFS(ISNUMBER(SEARCH("wagon",PROPERTIES[[#This Row],[VEHIDCODE]])),0,OR(MID(PROPERTIES[[#This Row],[VEHIDCODE]],2,2)="mu",_xlfn.TEXTBEFORE(PROPERTIES[[#This Row],[VEHIDCODE]],"_")="mtro"),1,1=1,0)</f>
        <v>0</v>
      </c>
      <c r="D363" t="s">
        <v>1781</v>
      </c>
      <c r="E363" t="str">
        <f>_xlfn.XLOOKUP(PROPERTIES[[#This Row],[COUNTRY]],COUNTRIES[COUNTRY_DESCRIPTION],COUNTRIES[COUNTRY_LABEL],"")</f>
        <v>FR</v>
      </c>
      <c r="F363" t="str" cm="1">
        <f t="array" ref="F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3" t="s">
        <v>19</v>
      </c>
      <c r="H363">
        <v>0</v>
      </c>
      <c r="I363">
        <v>8</v>
      </c>
      <c r="J363">
        <v>8</v>
      </c>
      <c r="K363" t="str" cm="1">
        <f t="array" ref="K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3">
        <f>_xlfn.XLOOKUP("LOADINGSPEEDDEF_"&amp;PROPERTIES[[#This Row],[LOADINGSPEED]],LOADINGSPEEDDEF[TYPE],LOADINGSPEEDDEF[SPEED])</f>
        <v>20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f>IF(ISNUMBER(SEARCH("passenger",PROPERTIES[[#This Row],[CARGODEF]])),1,0)</f>
        <v>0</v>
      </c>
      <c r="O363" s="32">
        <v>83</v>
      </c>
      <c r="P363">
        <v>4260</v>
      </c>
      <c r="Q363">
        <v>140</v>
      </c>
      <c r="R363" s="29">
        <v>235</v>
      </c>
      <c r="S363" s="28">
        <f>IFERROR(PROPERTIES[[#This Row],[TE_STARTING_KN]]/(PROPERTIES[[#This Row],[WEIGHT]]*9.81),0)</f>
        <v>0.28861623865492553</v>
      </c>
      <c r="T363" s="28">
        <v>0.25</v>
      </c>
      <c r="U363" s="25">
        <f>ROUND(IF(IFERROR(PROPERTIES[[#This Row],[TE_COEFFICIENT_CALC]],0)=0,PROPERTIES[[#This Row],[TE_COEFFICIENT_MANUAL]],PROPERTIES[[#This Row],[TE_COEFFICIENT_CALC]]),3)</f>
        <v>0.28899999999999998</v>
      </c>
      <c r="V363" s="11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36">
        <v>0</v>
      </c>
      <c r="X363" s="9">
        <v>0</v>
      </c>
      <c r="Y363" s="10">
        <v>0</v>
      </c>
      <c r="Z363" t="s">
        <v>869</v>
      </c>
      <c r="AA363" t="s">
        <v>868</v>
      </c>
      <c r="AB363" s="2" t="s">
        <v>886</v>
      </c>
      <c r="AC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3" s="2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H363" s="10" t="b">
        <v>0</v>
      </c>
      <c r="AY363"/>
      <c r="AZ363"/>
      <c r="BA363"/>
    </row>
    <row r="364" spans="1:53">
      <c r="A364" s="2" t="s">
        <v>384</v>
      </c>
      <c r="B364">
        <v>1925</v>
      </c>
      <c r="C364" cm="1">
        <f t="array" ref="C364">_xlfn.IFS(ISNUMBER(SEARCH("wagon",PROPERTIES[[#This Row],[VEHIDCODE]])),0,OR(MID(PROPERTIES[[#This Row],[VEHIDCODE]],2,2)="mu",_xlfn.TEXTBEFORE(PROPERTIES[[#This Row],[VEHIDCODE]],"_")="mtro"),1,1=1,0)</f>
        <v>0</v>
      </c>
      <c r="D364" t="s">
        <v>1806</v>
      </c>
      <c r="E364" t="str">
        <f>_xlfn.XLOOKUP(PROPERTIES[[#This Row],[COUNTRY]],COUNTRIES[COUNTRY_DESCRIPTION],COUNTRIES[COUNTRY_LABEL],"")</f>
        <v>ID</v>
      </c>
      <c r="F364" t="str" cm="1">
        <f t="array" ref="F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4" t="s">
        <v>19</v>
      </c>
      <c r="H364">
        <v>0</v>
      </c>
      <c r="I364">
        <v>6</v>
      </c>
      <c r="J364">
        <v>6</v>
      </c>
      <c r="K364" t="str" cm="1">
        <f t="array" ref="K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4">
        <f>_xlfn.XLOOKUP("LOADINGSPEEDDEF_"&amp;PROPERTIES[[#This Row],[LOADINGSPEED]],LOADINGSPEEDDEF[TYPE],LOADINGSPEEDDEF[SPEED])</f>
        <v>20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f>IF(ISNUMBER(SEARCH("passenger",PROPERTIES[[#This Row],[CARGODEF]])),1,0)</f>
        <v>0</v>
      </c>
      <c r="O364" s="32">
        <v>69</v>
      </c>
      <c r="P364">
        <v>1026</v>
      </c>
      <c r="Q364">
        <v>120</v>
      </c>
      <c r="R364" s="29">
        <v>0</v>
      </c>
      <c r="S364" s="28">
        <f>IFERROR(PROPERTIES[[#This Row],[TE_STARTING_KN]]/(PROPERTIES[[#This Row],[WEIGHT]]*9.81),0)</f>
        <v>0</v>
      </c>
      <c r="T364" s="28">
        <v>0.23</v>
      </c>
      <c r="U364" s="25">
        <f>ROUND(IF(IFERROR(PROPERTIES[[#This Row],[TE_COEFFICIENT_CALC]],0)=0,PROPERTIES[[#This Row],[TE_COEFFICIENT_MANUAL]],PROPERTIES[[#This Row],[TE_COEFFICIENT_CALC]]),3)</f>
        <v>0.23</v>
      </c>
      <c r="V364" s="11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36">
        <v>0</v>
      </c>
      <c r="X364" s="9">
        <v>0</v>
      </c>
      <c r="Y364" s="10">
        <v>0</v>
      </c>
      <c r="Z364" t="s">
        <v>871</v>
      </c>
      <c r="AA364" t="s">
        <v>868</v>
      </c>
      <c r="AB364" s="2" t="s">
        <v>886</v>
      </c>
      <c r="AC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4" s="2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H364" s="10" t="b">
        <v>0</v>
      </c>
      <c r="AY364"/>
      <c r="AZ364"/>
      <c r="BA364"/>
    </row>
    <row r="365" spans="1:53">
      <c r="A365" s="2" t="s">
        <v>385</v>
      </c>
      <c r="B365">
        <v>1953</v>
      </c>
      <c r="C365" cm="1">
        <f t="array" ref="C365">_xlfn.IFS(ISNUMBER(SEARCH("wagon",PROPERTIES[[#This Row],[VEHIDCODE]])),0,OR(MID(PROPERTIES[[#This Row],[VEHIDCODE]],2,2)="mu",_xlfn.TEXTBEFORE(PROPERTIES[[#This Row],[VEHIDCODE]],"_")="mtro"),1,1=1,0)</f>
        <v>0</v>
      </c>
      <c r="D365" t="s">
        <v>1782</v>
      </c>
      <c r="E365" t="str">
        <f>_xlfn.XLOOKUP(PROPERTIES[[#This Row],[COUNTRY]],COUNTRIES[COUNTRY_DESCRIPTION],COUNTRIES[COUNTRY_LABEL],"")</f>
        <v>GB</v>
      </c>
      <c r="F365" t="str" cm="1">
        <f t="array" ref="F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5" t="s">
        <v>19</v>
      </c>
      <c r="H365">
        <v>0</v>
      </c>
      <c r="I365">
        <v>8</v>
      </c>
      <c r="J365">
        <v>8</v>
      </c>
      <c r="K365" t="str" cm="1">
        <f t="array" ref="K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5">
        <f>_xlfn.XLOOKUP("LOADINGSPEEDDEF_"&amp;PROPERTIES[[#This Row],[LOADINGSPEED]],LOADINGSPEEDDEF[TYPE],LOADINGSPEEDDEF[SPEED])</f>
        <v>20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f>IF(ISNUMBER(SEARCH("passenger",PROPERTIES[[#This Row],[CARGODEF]])),1,0)</f>
        <v>0</v>
      </c>
      <c r="O365" s="32">
        <v>104</v>
      </c>
      <c r="P365">
        <v>2490</v>
      </c>
      <c r="Q365">
        <v>145</v>
      </c>
      <c r="R365" s="29">
        <v>200</v>
      </c>
      <c r="S365" s="28">
        <f>IFERROR(PROPERTIES[[#This Row],[TE_STARTING_KN]]/(PROPERTIES[[#This Row],[WEIGHT]]*9.81),0)</f>
        <v>0.19603230612404923</v>
      </c>
      <c r="T365" s="28">
        <v>0.2</v>
      </c>
      <c r="U365" s="25">
        <f>ROUND(IF(IFERROR(PROPERTIES[[#This Row],[TE_COEFFICIENT_CALC]],0)=0,PROPERTIES[[#This Row],[TE_COEFFICIENT_MANUAL]],PROPERTIES[[#This Row],[TE_COEFFICIENT_CALC]]),3)</f>
        <v>0.19600000000000001</v>
      </c>
      <c r="V365" s="11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36">
        <v>0</v>
      </c>
      <c r="X365" s="9">
        <v>0</v>
      </c>
      <c r="Y365" s="10">
        <v>0</v>
      </c>
      <c r="Z365" t="s">
        <v>873</v>
      </c>
      <c r="AA365" t="s">
        <v>868</v>
      </c>
      <c r="AB365" s="2" t="s">
        <v>886</v>
      </c>
      <c r="AC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5" s="2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H365" s="10" t="b">
        <v>0</v>
      </c>
      <c r="AY365"/>
      <c r="AZ365"/>
      <c r="BA365"/>
    </row>
    <row r="366" spans="1:53">
      <c r="A366" s="2" t="s">
        <v>386</v>
      </c>
      <c r="B366">
        <v>1922</v>
      </c>
      <c r="C366" cm="1">
        <f t="array" ref="C366">_xlfn.IFS(ISNUMBER(SEARCH("wagon",PROPERTIES[[#This Row],[VEHIDCODE]])),0,OR(MID(PROPERTIES[[#This Row],[VEHIDCODE]],2,2)="mu",_xlfn.TEXTBEFORE(PROPERTIES[[#This Row],[VEHIDCODE]],"_")="mtro"),1,1=1,0)</f>
        <v>0</v>
      </c>
      <c r="D366" t="s">
        <v>1782</v>
      </c>
      <c r="E366" t="str">
        <f>_xlfn.XLOOKUP(PROPERTIES[[#This Row],[COUNTRY]],COUNTRIES[COUNTRY_DESCRIPTION],COUNTRIES[COUNTRY_LABEL],"")</f>
        <v>GB</v>
      </c>
      <c r="F366" t="str" cm="1">
        <f t="array" ref="F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6" t="s">
        <v>19</v>
      </c>
      <c r="H366">
        <v>0</v>
      </c>
      <c r="I366">
        <v>8</v>
      </c>
      <c r="J366">
        <v>8</v>
      </c>
      <c r="K366" t="str" cm="1">
        <f t="array" ref="K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6">
        <f>_xlfn.XLOOKUP("LOADINGSPEEDDEF_"&amp;PROPERTIES[[#This Row],[LOADINGSPEED]],LOADINGSPEEDDEF[TYPE],LOADINGSPEEDDEF[SPEED])</f>
        <v>20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f>IF(ISNUMBER(SEARCH("passenger",PROPERTIES[[#This Row],[CARGODEF]])),1,0)</f>
        <v>0</v>
      </c>
      <c r="O366" s="32">
        <v>111</v>
      </c>
      <c r="P366">
        <v>1800</v>
      </c>
      <c r="Q366">
        <v>105</v>
      </c>
      <c r="R366" s="29">
        <v>126.4</v>
      </c>
      <c r="S366" s="28">
        <f>IFERROR(PROPERTIES[[#This Row],[TE_STARTING_KN]]/(PROPERTIES[[#This Row],[WEIGHT]]*9.81),0)</f>
        <v>0.11607938213442801</v>
      </c>
      <c r="T366" s="28">
        <v>0.11</v>
      </c>
      <c r="U366" s="25">
        <f>ROUND(IF(IFERROR(PROPERTIES[[#This Row],[TE_COEFFICIENT_CALC]],0)=0,PROPERTIES[[#This Row],[TE_COEFFICIENT_MANUAL]],PROPERTIES[[#This Row],[TE_COEFFICIENT_CALC]]),3)</f>
        <v>0.11600000000000001</v>
      </c>
      <c r="V366" s="11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36">
        <v>0</v>
      </c>
      <c r="X366" s="9">
        <v>0</v>
      </c>
      <c r="Y366" s="10">
        <v>0</v>
      </c>
      <c r="Z366" t="s">
        <v>873</v>
      </c>
      <c r="AA366" t="s">
        <v>868</v>
      </c>
      <c r="AB366" s="2" t="s">
        <v>886</v>
      </c>
      <c r="AC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6" s="2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H366" s="10" t="b">
        <v>0</v>
      </c>
      <c r="AY366"/>
      <c r="AZ366"/>
      <c r="BA366"/>
    </row>
    <row r="367" spans="1:53">
      <c r="A367" s="2" t="s">
        <v>387</v>
      </c>
      <c r="B367">
        <v>1916</v>
      </c>
      <c r="C367" cm="1">
        <f t="array" ref="C367">_xlfn.IFS(ISNUMBER(SEARCH("wagon",PROPERTIES[[#This Row],[VEHIDCODE]])),0,OR(MID(PROPERTIES[[#This Row],[VEHIDCODE]],2,2)="mu",_xlfn.TEXTBEFORE(PROPERTIES[[#This Row],[VEHIDCODE]],"_")="mtro"),1,1=1,0)</f>
        <v>0</v>
      </c>
      <c r="D367" t="s">
        <v>1937</v>
      </c>
      <c r="E367" t="str">
        <f>_xlfn.XLOOKUP(PROPERTIES[[#This Row],[COUNTRY]],COUNTRIES[COUNTRY_DESCRIPTION],COUNTRIES[COUNTRY_LABEL],"")</f>
        <v>US</v>
      </c>
      <c r="F367" t="str" cm="1">
        <f t="array" ref="F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7" t="s">
        <v>19</v>
      </c>
      <c r="H367">
        <v>0</v>
      </c>
      <c r="I367">
        <v>6</v>
      </c>
      <c r="J367">
        <v>6</v>
      </c>
      <c r="K367" t="str" cm="1">
        <f t="array" ref="K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7">
        <f>_xlfn.XLOOKUP("LOADINGSPEEDDEF_"&amp;PROPERTIES[[#This Row],[LOADINGSPEED]],LOADINGSPEEDDEF[TYPE],LOADINGSPEEDDEF[SPEED])</f>
        <v>20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f>IF(ISNUMBER(SEARCH("passenger",PROPERTIES[[#This Row],[CARGODEF]])),1,0)</f>
        <v>0</v>
      </c>
      <c r="O367" s="32">
        <v>74</v>
      </c>
      <c r="P367">
        <v>670</v>
      </c>
      <c r="Q367">
        <v>72</v>
      </c>
      <c r="R367" s="29">
        <v>0</v>
      </c>
      <c r="S367" s="28">
        <f>IFERROR(PROPERTIES[[#This Row],[TE_STARTING_KN]]/(PROPERTIES[[#This Row],[WEIGHT]]*9.81),0)</f>
        <v>0</v>
      </c>
      <c r="T367" s="28">
        <v>0.18</v>
      </c>
      <c r="U367" s="25">
        <f>ROUND(IF(IFERROR(PROPERTIES[[#This Row],[TE_COEFFICIENT_CALC]],0)=0,PROPERTIES[[#This Row],[TE_COEFFICIENT_MANUAL]],PROPERTIES[[#This Row],[TE_COEFFICIENT_CALC]]),3)</f>
        <v>0.18</v>
      </c>
      <c r="V367" s="11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36">
        <v>0</v>
      </c>
      <c r="X367" s="9">
        <v>0</v>
      </c>
      <c r="Y367" s="10">
        <v>0</v>
      </c>
      <c r="Z367" t="s">
        <v>874</v>
      </c>
      <c r="AA367" t="s">
        <v>868</v>
      </c>
      <c r="AB367" s="2" t="s">
        <v>886</v>
      </c>
      <c r="AC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7" s="2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H367" s="10" t="b">
        <v>0</v>
      </c>
      <c r="AY367"/>
      <c r="AZ367"/>
      <c r="BA367"/>
    </row>
    <row r="368" spans="1:53">
      <c r="A368" s="2" t="s">
        <v>388</v>
      </c>
      <c r="B368">
        <v>1919</v>
      </c>
      <c r="C368" cm="1">
        <f t="array" ref="C368">_xlfn.IFS(ISNUMBER(SEARCH("wagon",PROPERTIES[[#This Row],[VEHIDCODE]])),0,OR(MID(PROPERTIES[[#This Row],[VEHIDCODE]],2,2)="mu",_xlfn.TEXTBEFORE(PROPERTIES[[#This Row],[VEHIDCODE]],"_")="mtro"),1,1=1,0)</f>
        <v>0</v>
      </c>
      <c r="D368" t="s">
        <v>1937</v>
      </c>
      <c r="E368" t="str">
        <f>_xlfn.XLOOKUP(PROPERTIES[[#This Row],[COUNTRY]],COUNTRIES[COUNTRY_DESCRIPTION],COUNTRIES[COUNTRY_LABEL],"")</f>
        <v>US</v>
      </c>
      <c r="F368" t="str" cm="1">
        <f t="array" ref="F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8" t="s">
        <v>19</v>
      </c>
      <c r="H368">
        <v>0</v>
      </c>
      <c r="I368">
        <v>8</v>
      </c>
      <c r="J368">
        <v>4</v>
      </c>
      <c r="K368" t="str" cm="1">
        <f t="array" ref="K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8">
        <f>_xlfn.XLOOKUP("LOADINGSPEEDDEF_"&amp;PROPERTIES[[#This Row],[LOADINGSPEED]],LOADINGSPEEDDEF[TYPE],LOADINGSPEEDDEF[SPEED])</f>
        <v>20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f>IF(ISNUMBER(SEARCH("passenger",PROPERTIES[[#This Row],[CARGODEF]])),1,0)</f>
        <v>0</v>
      </c>
      <c r="O368" s="32">
        <v>240</v>
      </c>
      <c r="P368">
        <v>4440</v>
      </c>
      <c r="Q368">
        <v>113</v>
      </c>
      <c r="R368" s="29">
        <v>516</v>
      </c>
      <c r="S368" s="28">
        <f>IFERROR(PROPERTIES[[#This Row],[TE_STARTING_KN]]/(PROPERTIES[[#This Row],[WEIGHT]]*9.81),0)</f>
        <v>0.21916411824668705</v>
      </c>
      <c r="T368" s="28">
        <v>0.17</v>
      </c>
      <c r="U368" s="25">
        <f>ROUND(IF(IFERROR(PROPERTIES[[#This Row],[TE_COEFFICIENT_CALC]],0)=0,PROPERTIES[[#This Row],[TE_COEFFICIENT_MANUAL]],PROPERTIES[[#This Row],[TE_COEFFICIENT_CALC]]),3)</f>
        <v>0.219</v>
      </c>
      <c r="V368" s="11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36">
        <v>0</v>
      </c>
      <c r="X368" s="9">
        <v>2</v>
      </c>
      <c r="Y368" s="10">
        <v>0</v>
      </c>
      <c r="Z368" t="s">
        <v>874</v>
      </c>
      <c r="AA368" t="s">
        <v>868</v>
      </c>
      <c r="AB368" s="2" t="s">
        <v>886</v>
      </c>
      <c r="AC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8" s="2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H368" s="10" t="b">
        <v>0</v>
      </c>
      <c r="AY368"/>
      <c r="AZ368"/>
      <c r="BA368"/>
    </row>
    <row r="369" spans="1:53">
      <c r="A369" s="2" t="s">
        <v>389</v>
      </c>
      <c r="B369">
        <v>1922</v>
      </c>
      <c r="C369" cm="1">
        <f t="array" ref="C369">_xlfn.IFS(ISNUMBER(SEARCH("wagon",PROPERTIES[[#This Row],[VEHIDCODE]])),0,OR(MID(PROPERTIES[[#This Row],[VEHIDCODE]],2,2)="mu",_xlfn.TEXTBEFORE(PROPERTIES[[#This Row],[VEHIDCODE]],"_")="mtro"),1,1=1,0)</f>
        <v>0</v>
      </c>
      <c r="D369" t="s">
        <v>1752</v>
      </c>
      <c r="E369" t="str">
        <f>_xlfn.XLOOKUP(PROPERTIES[[#This Row],[COUNTRY]],COUNTRIES[COUNTRY_DESCRIPTION],COUNTRIES[COUNTRY_LABEL],"")</f>
        <v>CL</v>
      </c>
      <c r="F369" t="str" cm="1">
        <f t="array" ref="F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9" t="s">
        <v>19</v>
      </c>
      <c r="H369">
        <v>0</v>
      </c>
      <c r="I369">
        <v>8</v>
      </c>
      <c r="J369">
        <v>8</v>
      </c>
      <c r="K369" t="str" cm="1">
        <f t="array" ref="K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9">
        <f>_xlfn.XLOOKUP("LOADINGSPEEDDEF_"&amp;PROPERTIES[[#This Row],[LOADINGSPEED]],LOADINGSPEEDDEF[TYPE],LOADINGSPEEDDEF[SPEED])</f>
        <v>20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f>IF(ISNUMBER(SEARCH("passenger",PROPERTIES[[#This Row],[CARGODEF]])),1,0)</f>
        <v>0</v>
      </c>
      <c r="O369" s="32">
        <v>80</v>
      </c>
      <c r="P369">
        <v>2450</v>
      </c>
      <c r="Q369">
        <v>80</v>
      </c>
      <c r="R369" s="29">
        <v>200</v>
      </c>
      <c r="S369" s="28">
        <f>IFERROR(PROPERTIES[[#This Row],[TE_STARTING_KN]]/(PROPERTIES[[#This Row],[WEIGHT]]*9.81),0)</f>
        <v>0.254841997961264</v>
      </c>
      <c r="T369" s="28">
        <v>0.19</v>
      </c>
      <c r="U369" s="25">
        <f>ROUND(IF(IFERROR(PROPERTIES[[#This Row],[TE_COEFFICIENT_CALC]],0)=0,PROPERTIES[[#This Row],[TE_COEFFICIENT_MANUAL]],PROPERTIES[[#This Row],[TE_COEFFICIENT_CALC]]),3)</f>
        <v>0.255</v>
      </c>
      <c r="V369" s="11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36">
        <v>0</v>
      </c>
      <c r="X369" s="9">
        <v>0</v>
      </c>
      <c r="Y369" s="10">
        <v>0</v>
      </c>
      <c r="Z369" t="s">
        <v>876</v>
      </c>
      <c r="AA369" t="s">
        <v>868</v>
      </c>
      <c r="AB369" s="2" t="s">
        <v>886</v>
      </c>
      <c r="AC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9" s="2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H369" s="10" t="b">
        <v>0</v>
      </c>
      <c r="AY369"/>
      <c r="AZ369"/>
      <c r="BA369"/>
    </row>
    <row r="370" spans="1:53">
      <c r="A370" s="2" t="s">
        <v>390</v>
      </c>
      <c r="B370">
        <v>1934</v>
      </c>
      <c r="C370" cm="1">
        <f t="array" ref="C370">_xlfn.IFS(ISNUMBER(SEARCH("wagon",PROPERTIES[[#This Row],[VEHIDCODE]])),0,OR(MID(PROPERTIES[[#This Row],[VEHIDCODE]],2,2)="mu",_xlfn.TEXTBEFORE(PROPERTIES[[#This Row],[VEHIDCODE]],"_")="mtro"),1,1=1,0)</f>
        <v>0</v>
      </c>
      <c r="D370" t="s">
        <v>1815</v>
      </c>
      <c r="E370" t="str">
        <f>_xlfn.XLOOKUP(PROPERTIES[[#This Row],[COUNTRY]],COUNTRIES[COUNTRY_DESCRIPTION],COUNTRIES[COUNTRY_LABEL],"")</f>
        <v>IT</v>
      </c>
      <c r="F370" t="str" cm="1">
        <f t="array" ref="F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0" t="s">
        <v>19</v>
      </c>
      <c r="H370">
        <v>0</v>
      </c>
      <c r="I370">
        <v>8</v>
      </c>
      <c r="J370">
        <v>8</v>
      </c>
      <c r="K370" t="str" cm="1">
        <f t="array" ref="K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0">
        <f>_xlfn.XLOOKUP("LOADINGSPEEDDEF_"&amp;PROPERTIES[[#This Row],[LOADINGSPEED]],LOADINGSPEEDDEF[TYPE],LOADINGSPEEDDEF[SPEED])</f>
        <v>20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f>IF(ISNUMBER(SEARCH("passenger",PROPERTIES[[#This Row],[CARGODEF]])),1,0)</f>
        <v>0</v>
      </c>
      <c r="O370" s="32">
        <v>130</v>
      </c>
      <c r="P370">
        <v>3800</v>
      </c>
      <c r="Q370">
        <v>130</v>
      </c>
      <c r="R370" s="29">
        <v>180</v>
      </c>
      <c r="S370" s="28">
        <f>IFERROR(PROPERTIES[[#This Row],[TE_STARTING_KN]]/(PROPERTIES[[#This Row],[WEIGHT]]*9.81),0)</f>
        <v>0.14114326040931546</v>
      </c>
      <c r="T370" s="28">
        <v>0.1</v>
      </c>
      <c r="U370" s="25">
        <f>ROUND(IF(IFERROR(PROPERTIES[[#This Row],[TE_COEFFICIENT_CALC]],0)=0,PROPERTIES[[#This Row],[TE_COEFFICIENT_MANUAL]],PROPERTIES[[#This Row],[TE_COEFFICIENT_CALC]]),3)</f>
        <v>0.14099999999999999</v>
      </c>
      <c r="V370" s="11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36">
        <v>0</v>
      </c>
      <c r="X370" s="9">
        <v>0</v>
      </c>
      <c r="Y370" s="10">
        <v>0</v>
      </c>
      <c r="Z370" t="s">
        <v>870</v>
      </c>
      <c r="AA370" t="s">
        <v>868</v>
      </c>
      <c r="AB370" s="2" t="s">
        <v>886</v>
      </c>
      <c r="AC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0" s="2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H370" s="10" t="b">
        <v>0</v>
      </c>
      <c r="AY370"/>
      <c r="AZ370"/>
      <c r="BA370"/>
    </row>
    <row r="371" spans="1:53">
      <c r="A371" s="2" t="s">
        <v>391</v>
      </c>
      <c r="B371">
        <v>1936</v>
      </c>
      <c r="C371" cm="1">
        <f t="array" ref="C371">_xlfn.IFS(ISNUMBER(SEARCH("wagon",PROPERTIES[[#This Row],[VEHIDCODE]])),0,OR(MID(PROPERTIES[[#This Row],[VEHIDCODE]],2,2)="mu",_xlfn.TEXTBEFORE(PROPERTIES[[#This Row],[VEHIDCODE]],"_")="mtro"),1,1=1,0)</f>
        <v>0</v>
      </c>
      <c r="D371" t="s">
        <v>1951</v>
      </c>
      <c r="E371" t="str">
        <f>_xlfn.XLOOKUP(PROPERTIES[[#This Row],[COUNTRY]],COUNTRIES[COUNTRY_DESCRIPTION],COUNTRIES[COUNTRY_LABEL],"")</f>
        <v>ZA</v>
      </c>
      <c r="F371" t="str" cm="1">
        <f t="array" ref="F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1" t="s">
        <v>19</v>
      </c>
      <c r="H371">
        <v>0</v>
      </c>
      <c r="I371">
        <v>8</v>
      </c>
      <c r="J371">
        <v>8</v>
      </c>
      <c r="K371" t="str" cm="1">
        <f t="array" ref="K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1">
        <f>_xlfn.XLOOKUP("LOADINGSPEEDDEF_"&amp;PROPERTIES[[#This Row],[LOADINGSPEED]],LOADINGSPEEDDEF[TYPE],LOADINGSPEEDDEF[SPEED])</f>
        <v>20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f>IF(ISNUMBER(SEARCH("passenger",PROPERTIES[[#This Row],[CARGODEF]])),1,0)</f>
        <v>0</v>
      </c>
      <c r="O371" s="32">
        <v>68</v>
      </c>
      <c r="P371">
        <v>1202</v>
      </c>
      <c r="Q371">
        <v>40</v>
      </c>
      <c r="R371" s="29">
        <v>176</v>
      </c>
      <c r="S371" s="28">
        <f>IFERROR(PROPERTIES[[#This Row],[TE_STARTING_KN]]/(PROPERTIES[[#This Row],[WEIGHT]]*9.81),0)</f>
        <v>0.26383642141872038</v>
      </c>
      <c r="T371" s="28">
        <v>0.11</v>
      </c>
      <c r="U371" s="25">
        <f>ROUND(IF(IFERROR(PROPERTIES[[#This Row],[TE_COEFFICIENT_CALC]],0)=0,PROPERTIES[[#This Row],[TE_COEFFICIENT_MANUAL]],PROPERTIES[[#This Row],[TE_COEFFICIENT_CALC]]),3)</f>
        <v>0.26400000000000001</v>
      </c>
      <c r="V371" s="11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36">
        <v>0</v>
      </c>
      <c r="X371" s="9">
        <v>0</v>
      </c>
      <c r="Y371" s="10">
        <v>0</v>
      </c>
      <c r="Z371" t="s">
        <v>872</v>
      </c>
      <c r="AA371" t="s">
        <v>868</v>
      </c>
      <c r="AB371" s="2" t="s">
        <v>886</v>
      </c>
      <c r="AC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1" s="2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H371" s="10" t="b">
        <v>0</v>
      </c>
      <c r="AY371"/>
      <c r="AZ371"/>
      <c r="BA371"/>
    </row>
    <row r="372" spans="1:53">
      <c r="A372" s="2" t="s">
        <v>392</v>
      </c>
      <c r="B372">
        <v>1962</v>
      </c>
      <c r="C372" cm="1">
        <f t="array" ref="C372">_xlfn.IFS(ISNUMBER(SEARCH("wagon",PROPERTIES[[#This Row],[VEHIDCODE]])),0,OR(MID(PROPERTIES[[#This Row],[VEHIDCODE]],2,2)="mu",_xlfn.TEXTBEFORE(PROPERTIES[[#This Row],[VEHIDCODE]],"_")="mtro"),1,1=1,0)</f>
        <v>0</v>
      </c>
      <c r="D372" t="s">
        <v>1884</v>
      </c>
      <c r="E372" t="str">
        <f>_xlfn.XLOOKUP(PROPERTIES[[#This Row],[COUNTRY]],COUNTRIES[COUNTRY_DESCRIPTION],COUNTRIES[COUNTRY_LABEL],"")</f>
        <v>PL</v>
      </c>
      <c r="F372" t="str" cm="1">
        <f t="array" ref="F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2" t="s">
        <v>19</v>
      </c>
      <c r="H372">
        <v>0</v>
      </c>
      <c r="I372">
        <v>7</v>
      </c>
      <c r="J372">
        <v>7</v>
      </c>
      <c r="K372" t="str" cm="1">
        <f t="array" ref="K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2">
        <f>_xlfn.XLOOKUP("LOADINGSPEEDDEF_"&amp;PROPERTIES[[#This Row],[LOADINGSPEED]],LOADINGSPEEDDEF[TYPE],LOADINGSPEEDDEF[SPEED])</f>
        <v>20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f>IF(ISNUMBER(SEARCH("passenger",PROPERTIES[[#This Row],[CARGODEF]])),1,0)</f>
        <v>0</v>
      </c>
      <c r="O372" s="32">
        <v>81</v>
      </c>
      <c r="P372">
        <v>1500</v>
      </c>
      <c r="Q372">
        <v>126</v>
      </c>
      <c r="R372" s="29">
        <v>280</v>
      </c>
      <c r="S372" s="28">
        <f>IFERROR(PROPERTIES[[#This Row],[TE_STARTING_KN]]/(PROPERTIES[[#This Row],[WEIGHT]]*9.81),0)</f>
        <v>0.35237412063779716</v>
      </c>
      <c r="T372" s="28">
        <v>0.35</v>
      </c>
      <c r="U372" s="25">
        <f>ROUND(IF(IFERROR(PROPERTIES[[#This Row],[TE_COEFFICIENT_CALC]],0)=0,PROPERTIES[[#This Row],[TE_COEFFICIENT_MANUAL]],PROPERTIES[[#This Row],[TE_COEFFICIENT_CALC]]),3)</f>
        <v>0.35199999999999998</v>
      </c>
      <c r="V372" s="11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36">
        <v>0</v>
      </c>
      <c r="X372" s="9">
        <v>0</v>
      </c>
      <c r="Y372" s="10">
        <v>0</v>
      </c>
      <c r="Z372" t="s">
        <v>875</v>
      </c>
      <c r="AA372" t="s">
        <v>868</v>
      </c>
      <c r="AB372" s="2" t="s">
        <v>886</v>
      </c>
      <c r="AC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2" s="2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H372" s="10" t="b">
        <v>0</v>
      </c>
      <c r="AY372"/>
      <c r="AZ372"/>
      <c r="BA372"/>
    </row>
    <row r="373" spans="1:53">
      <c r="A373" s="2" t="s">
        <v>393</v>
      </c>
      <c r="B373">
        <v>1977</v>
      </c>
      <c r="C373" cm="1">
        <f t="array" ref="C373">_xlfn.IFS(ISNUMBER(SEARCH("wagon",PROPERTIES[[#This Row],[VEHIDCODE]])),0,OR(MID(PROPERTIES[[#This Row],[VEHIDCODE]],2,2)="mu",_xlfn.TEXTBEFORE(PROPERTIES[[#This Row],[VEHIDCODE]],"_")="mtro"),1,1=1,0)</f>
        <v>0</v>
      </c>
      <c r="D373" t="s">
        <v>1884</v>
      </c>
      <c r="E373" t="str">
        <f>_xlfn.XLOOKUP(PROPERTIES[[#This Row],[COUNTRY]],COUNTRIES[COUNTRY_DESCRIPTION],COUNTRIES[COUNTRY_LABEL],"")</f>
        <v>PL</v>
      </c>
      <c r="F373" t="str" cm="1">
        <f t="array" ref="F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3" t="s">
        <v>19</v>
      </c>
      <c r="H373">
        <v>0</v>
      </c>
      <c r="I373">
        <v>7</v>
      </c>
      <c r="J373">
        <v>14</v>
      </c>
      <c r="K373" t="str" cm="1">
        <f t="array" ref="K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3">
        <f>_xlfn.XLOOKUP("LOADINGSPEEDDEF_"&amp;PROPERTIES[[#This Row],[LOADINGSPEED]],LOADINGSPEEDDEF[TYPE],LOADINGSPEEDDEF[SPEED])</f>
        <v>20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f>IF(ISNUMBER(SEARCH("passenger",PROPERTIES[[#This Row],[CARGODEF]])),1,0)</f>
        <v>0</v>
      </c>
      <c r="O373" s="32">
        <v>167</v>
      </c>
      <c r="P373">
        <v>5400</v>
      </c>
      <c r="Q373">
        <v>125</v>
      </c>
      <c r="R373" s="29">
        <v>500</v>
      </c>
      <c r="S373" s="28">
        <f>IFERROR(PROPERTIES[[#This Row],[TE_STARTING_KN]]/(PROPERTIES[[#This Row],[WEIGHT]]*9.81),0)</f>
        <v>0.30519999755840005</v>
      </c>
      <c r="T373" s="28">
        <v>0.6</v>
      </c>
      <c r="U373" s="25">
        <f>ROUND(IF(IFERROR(PROPERTIES[[#This Row],[TE_COEFFICIENT_CALC]],0)=0,PROPERTIES[[#This Row],[TE_COEFFICIENT_MANUAL]],PROPERTIES[[#This Row],[TE_COEFFICIENT_CALC]]),3)</f>
        <v>0.30499999999999999</v>
      </c>
      <c r="V373" s="11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36">
        <v>0</v>
      </c>
      <c r="X373" s="9">
        <v>7</v>
      </c>
      <c r="Y373" s="10">
        <v>0</v>
      </c>
      <c r="Z373" t="s">
        <v>875</v>
      </c>
      <c r="AA373" t="s">
        <v>868</v>
      </c>
      <c r="AB373" s="2" t="s">
        <v>886</v>
      </c>
      <c r="AC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3" s="2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H373" s="10" t="b">
        <v>0</v>
      </c>
      <c r="AY373"/>
      <c r="AZ373"/>
      <c r="BA373"/>
    </row>
    <row r="374" spans="1:53">
      <c r="A374" s="2" t="s">
        <v>394</v>
      </c>
      <c r="B374">
        <v>1986</v>
      </c>
      <c r="C374" cm="1">
        <f t="array" ref="C374">_xlfn.IFS(ISNUMBER(SEARCH("wagon",PROPERTIES[[#This Row],[VEHIDCODE]])),0,OR(MID(PROPERTIES[[#This Row],[VEHIDCODE]],2,2)="mu",_xlfn.TEXTBEFORE(PROPERTIES[[#This Row],[VEHIDCODE]],"_")="mtro"),1,1=1,0)</f>
        <v>0</v>
      </c>
      <c r="D374" t="s">
        <v>1884</v>
      </c>
      <c r="E374" t="str">
        <f>_xlfn.XLOOKUP(PROPERTIES[[#This Row],[COUNTRY]],COUNTRIES[COUNTRY_DESCRIPTION],COUNTRIES[COUNTRY_LABEL],"")</f>
        <v>PL</v>
      </c>
      <c r="F374" t="str" cm="1">
        <f t="array" ref="F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4" t="s">
        <v>19</v>
      </c>
      <c r="H374">
        <v>0</v>
      </c>
      <c r="I374">
        <v>7</v>
      </c>
      <c r="J374">
        <v>7</v>
      </c>
      <c r="K374" t="str" cm="1">
        <f t="array" ref="K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4">
        <f>_xlfn.XLOOKUP("LOADINGSPEEDDEF_"&amp;PROPERTIES[[#This Row],[LOADINGSPEED]],LOADINGSPEEDDEF[TYPE],LOADINGSPEEDDEF[SPEED])</f>
        <v>20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f>IF(ISNUMBER(SEARCH("passenger",PROPERTIES[[#This Row],[CARGODEF]])),1,0)</f>
        <v>0</v>
      </c>
      <c r="O374" s="32">
        <v>83.5</v>
      </c>
      <c r="P374">
        <v>3916</v>
      </c>
      <c r="Q374">
        <v>160</v>
      </c>
      <c r="R374" s="29">
        <v>195</v>
      </c>
      <c r="S374" s="28">
        <f>IFERROR(PROPERTIES[[#This Row],[TE_STARTING_KN]]/(PROPERTIES[[#This Row],[WEIGHT]]*9.81),0)</f>
        <v>0.23805599809555203</v>
      </c>
      <c r="T374" s="28">
        <v>0.23</v>
      </c>
      <c r="U374" s="25">
        <f>ROUND(IF(IFERROR(PROPERTIES[[#This Row],[TE_COEFFICIENT_CALC]],0)=0,PROPERTIES[[#This Row],[TE_COEFFICIENT_MANUAL]],PROPERTIES[[#This Row],[TE_COEFFICIENT_CALC]]),3)</f>
        <v>0.23799999999999999</v>
      </c>
      <c r="V374" s="11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36">
        <v>0</v>
      </c>
      <c r="X374" s="9">
        <v>0</v>
      </c>
      <c r="Y374" s="10">
        <v>0</v>
      </c>
      <c r="Z374" t="s">
        <v>875</v>
      </c>
      <c r="AA374" t="s">
        <v>868</v>
      </c>
      <c r="AB374" s="2" t="s">
        <v>886</v>
      </c>
      <c r="AC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4" s="2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H374" s="10" t="b">
        <v>0</v>
      </c>
      <c r="AY374"/>
      <c r="AZ374"/>
      <c r="BA374"/>
    </row>
    <row r="375" spans="1:53">
      <c r="A375" s="2" t="s">
        <v>395</v>
      </c>
      <c r="B375">
        <v>1991</v>
      </c>
      <c r="C375" cm="1">
        <f t="array" ref="C375">_xlfn.IFS(ISNUMBER(SEARCH("wagon",PROPERTIES[[#This Row],[VEHIDCODE]])),0,OR(MID(PROPERTIES[[#This Row],[VEHIDCODE]],2,2)="mu",_xlfn.TEXTBEFORE(PROPERTIES[[#This Row],[VEHIDCODE]],"_")="mtro"),1,1=1,0)</f>
        <v>0</v>
      </c>
      <c r="D375" t="s">
        <v>1907</v>
      </c>
      <c r="E375" t="str">
        <f>_xlfn.XLOOKUP(PROPERTIES[[#This Row],[COUNTRY]],COUNTRIES[COUNTRY_DESCRIPTION],COUNTRIES[COUNTRY_LABEL],"")</f>
        <v>SK</v>
      </c>
      <c r="F375" t="str" cm="1">
        <f t="array" ref="F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5" t="s">
        <v>19</v>
      </c>
      <c r="H375">
        <v>0</v>
      </c>
      <c r="I375">
        <v>7</v>
      </c>
      <c r="J375">
        <v>7</v>
      </c>
      <c r="K375" t="str" cm="1">
        <f t="array" ref="K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5">
        <f>_xlfn.XLOOKUP("LOADINGSPEEDDEF_"&amp;PROPERTIES[[#This Row],[LOADINGSPEED]],LOADINGSPEEDDEF[TYPE],LOADINGSPEEDDEF[SPEED])</f>
        <v>20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f>IF(ISNUMBER(SEARCH("passenger",PROPERTIES[[#This Row],[CARGODEF]])),1,0)</f>
        <v>0</v>
      </c>
      <c r="O375" s="32">
        <v>85</v>
      </c>
      <c r="P375">
        <v>4872</v>
      </c>
      <c r="Q375">
        <v>140</v>
      </c>
      <c r="R375" s="29">
        <v>258</v>
      </c>
      <c r="S375" s="28">
        <f>IFERROR(PROPERTIES[[#This Row],[TE_STARTING_KN]]/(PROPERTIES[[#This Row],[WEIGHT]]*9.81),0)</f>
        <v>0.30940816693649936</v>
      </c>
      <c r="T375" s="28">
        <v>0.3</v>
      </c>
      <c r="U375" s="25">
        <f>ROUND(IF(IFERROR(PROPERTIES[[#This Row],[TE_COEFFICIENT_CALC]],0)=0,PROPERTIES[[#This Row],[TE_COEFFICIENT_MANUAL]],PROPERTIES[[#This Row],[TE_COEFFICIENT_CALC]]),3)</f>
        <v>0.309</v>
      </c>
      <c r="V375" s="11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36">
        <v>0</v>
      </c>
      <c r="X375" s="9">
        <v>0</v>
      </c>
      <c r="Y375" s="10">
        <v>0</v>
      </c>
      <c r="Z375" t="s">
        <v>875</v>
      </c>
      <c r="AA375" t="s">
        <v>868</v>
      </c>
      <c r="AB375" s="2" t="s">
        <v>886</v>
      </c>
      <c r="AC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5" s="2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H375" s="10" t="b">
        <v>0</v>
      </c>
      <c r="AY375"/>
      <c r="AZ375"/>
      <c r="BA375"/>
    </row>
    <row r="376" spans="1:53">
      <c r="A376" s="2" t="s">
        <v>396</v>
      </c>
      <c r="B376">
        <v>1961</v>
      </c>
      <c r="C376" cm="1">
        <f t="array" ref="C376">_xlfn.IFS(ISNUMBER(SEARCH("wagon",PROPERTIES[[#This Row],[VEHIDCODE]])),0,OR(MID(PROPERTIES[[#This Row],[VEHIDCODE]],2,2)="mu",_xlfn.TEXTBEFORE(PROPERTIES[[#This Row],[VEHIDCODE]],"_")="mtro"),1,1=1,0)</f>
        <v>0</v>
      </c>
      <c r="D376" t="s">
        <v>1815</v>
      </c>
      <c r="E376" t="str">
        <f>_xlfn.XLOOKUP(PROPERTIES[[#This Row],[COUNTRY]],COUNTRIES[COUNTRY_DESCRIPTION],COUNTRIES[COUNTRY_LABEL],"")</f>
        <v>IT</v>
      </c>
      <c r="F376" t="str" cm="1">
        <f t="array" ref="F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6" t="s">
        <v>19</v>
      </c>
      <c r="H376">
        <v>0</v>
      </c>
      <c r="I376">
        <v>5</v>
      </c>
      <c r="J376">
        <v>10</v>
      </c>
      <c r="K376" t="str" cm="1">
        <f t="array" ref="K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6">
        <f>_xlfn.XLOOKUP("LOADINGSPEEDDEF_"&amp;PROPERTIES[[#This Row],[LOADINGSPEED]],LOADINGSPEEDDEF[TYPE],LOADINGSPEEDDEF[SPEED])</f>
        <v>20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f>IF(ISNUMBER(SEARCH("passenger",PROPERTIES[[#This Row],[CARGODEF]])),1,0)</f>
        <v>0</v>
      </c>
      <c r="O376" s="32">
        <v>110</v>
      </c>
      <c r="P376">
        <v>5070</v>
      </c>
      <c r="Q376">
        <v>140</v>
      </c>
      <c r="R376" s="29">
        <v>233</v>
      </c>
      <c r="S376" s="28">
        <f>IFERROR(PROPERTIES[[#This Row],[TE_STARTING_KN]]/(PROPERTIES[[#This Row],[WEIGHT]]*9.81),0)</f>
        <v>0.21592067463627093</v>
      </c>
      <c r="T376" s="28">
        <v>0.21</v>
      </c>
      <c r="U376" s="25">
        <f>ROUND(IF(IFERROR(PROPERTIES[[#This Row],[TE_COEFFICIENT_CALC]],0)=0,PROPERTIES[[#This Row],[TE_COEFFICIENT_MANUAL]],PROPERTIES[[#This Row],[TE_COEFFICIENT_CALC]]),3)</f>
        <v>0.216</v>
      </c>
      <c r="V376" s="11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36">
        <v>0</v>
      </c>
      <c r="X376" s="9">
        <v>5</v>
      </c>
      <c r="Y376" s="10">
        <v>0</v>
      </c>
      <c r="Z376" t="s">
        <v>870</v>
      </c>
      <c r="AA376" t="s">
        <v>868</v>
      </c>
      <c r="AB376" s="2" t="s">
        <v>886</v>
      </c>
      <c r="AC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6" s="2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H376" s="10" t="b">
        <v>0</v>
      </c>
      <c r="AY376"/>
      <c r="AZ376"/>
      <c r="BA376"/>
    </row>
    <row r="377" spans="1:53">
      <c r="A377" s="2" t="s">
        <v>397</v>
      </c>
      <c r="B377">
        <v>1943</v>
      </c>
      <c r="C377" cm="1">
        <f t="array" ref="C377">_xlfn.IFS(ISNUMBER(SEARCH("wagon",PROPERTIES[[#This Row],[VEHIDCODE]])),0,OR(MID(PROPERTIES[[#This Row],[VEHIDCODE]],2,2)="mu",_xlfn.TEXTBEFORE(PROPERTIES[[#This Row],[VEHIDCODE]],"_")="mtro"),1,1=1,0)</f>
        <v>0</v>
      </c>
      <c r="D377" t="s">
        <v>1815</v>
      </c>
      <c r="E377" t="str">
        <f>_xlfn.XLOOKUP(PROPERTIES[[#This Row],[COUNTRY]],COUNTRIES[COUNTRY_DESCRIPTION],COUNTRIES[COUNTRY_LABEL],"")</f>
        <v>IT</v>
      </c>
      <c r="F377" t="str" cm="1">
        <f t="array" ref="F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7" t="s">
        <v>19</v>
      </c>
      <c r="H377">
        <v>0</v>
      </c>
      <c r="I377">
        <v>8</v>
      </c>
      <c r="J377">
        <v>8</v>
      </c>
      <c r="K377" t="str" cm="1">
        <f t="array" ref="K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7">
        <f>_xlfn.XLOOKUP("LOADINGSPEEDDEF_"&amp;PROPERTIES[[#This Row],[LOADINGSPEED]],LOADINGSPEEDDEF[TYPE],LOADINGSPEEDDEF[SPEED])</f>
        <v>20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f>IF(ISNUMBER(SEARCH("passenger",PROPERTIES[[#This Row],[CARGODEF]])),1,0)</f>
        <v>0</v>
      </c>
      <c r="O377" s="32">
        <v>65</v>
      </c>
      <c r="P377">
        <v>2000</v>
      </c>
      <c r="Q377">
        <v>120</v>
      </c>
      <c r="R377" s="29">
        <v>168</v>
      </c>
      <c r="S377" s="28">
        <f>IFERROR(PROPERTIES[[#This Row],[TE_STARTING_KN]]/(PROPERTIES[[#This Row],[WEIGHT]]*9.81),0)</f>
        <v>0.26346741943072222</v>
      </c>
      <c r="T377" s="28">
        <v>0.26</v>
      </c>
      <c r="U377" s="25">
        <f>ROUND(IF(IFERROR(PROPERTIES[[#This Row],[TE_COEFFICIENT_CALC]],0)=0,PROPERTIES[[#This Row],[TE_COEFFICIENT_MANUAL]],PROPERTIES[[#This Row],[TE_COEFFICIENT_CALC]]),3)</f>
        <v>0.26300000000000001</v>
      </c>
      <c r="V377" s="11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36">
        <v>0</v>
      </c>
      <c r="X377" s="9">
        <v>0</v>
      </c>
      <c r="Y377" s="10">
        <v>0</v>
      </c>
      <c r="Z377" t="s">
        <v>870</v>
      </c>
      <c r="AA377" t="s">
        <v>868</v>
      </c>
      <c r="AB377" s="2" t="s">
        <v>886</v>
      </c>
      <c r="AC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7" s="2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H377" s="10" t="b">
        <v>0</v>
      </c>
      <c r="AY377"/>
      <c r="AZ377"/>
      <c r="BA377"/>
    </row>
    <row r="378" spans="1:53">
      <c r="A378" s="2" t="s">
        <v>398</v>
      </c>
      <c r="B378">
        <v>1967</v>
      </c>
      <c r="C378" cm="1">
        <f t="array" ref="C378">_xlfn.IFS(ISNUMBER(SEARCH("wagon",PROPERTIES[[#This Row],[VEHIDCODE]])),0,OR(MID(PROPERTIES[[#This Row],[VEHIDCODE]],2,2)="mu",_xlfn.TEXTBEFORE(PROPERTIES[[#This Row],[VEHIDCODE]],"_")="mtro"),1,1=1,0)</f>
        <v>0</v>
      </c>
      <c r="D378" t="s">
        <v>1815</v>
      </c>
      <c r="E378" t="str">
        <f>_xlfn.XLOOKUP(PROPERTIES[[#This Row],[COUNTRY]],COUNTRIES[COUNTRY_DESCRIPTION],COUNTRIES[COUNTRY_LABEL],"")</f>
        <v>IT</v>
      </c>
      <c r="F378" t="str" cm="1">
        <f t="array" ref="F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8" t="s">
        <v>19</v>
      </c>
      <c r="H378">
        <v>0</v>
      </c>
      <c r="I378">
        <v>8</v>
      </c>
      <c r="J378">
        <v>8</v>
      </c>
      <c r="K378" t="str" cm="1">
        <f t="array" ref="K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8">
        <f>_xlfn.XLOOKUP("LOADINGSPEEDDEF_"&amp;PROPERTIES[[#This Row],[LOADINGSPEED]],LOADINGSPEEDDEF[TYPE],LOADINGSPEEDDEF[SPEED])</f>
        <v>20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f>IF(ISNUMBER(SEARCH("passenger",PROPERTIES[[#This Row],[CARGODEF]])),1,0)</f>
        <v>0</v>
      </c>
      <c r="O378" s="32">
        <v>83</v>
      </c>
      <c r="P378">
        <v>5729</v>
      </c>
      <c r="Q378">
        <v>200</v>
      </c>
      <c r="R378" s="29">
        <v>201</v>
      </c>
      <c r="S378" s="28">
        <f>IFERROR(PROPERTIES[[#This Row],[TE_STARTING_KN]]/(PROPERTIES[[#This Row],[WEIGHT]]*9.81),0)</f>
        <v>0.24685899561548946</v>
      </c>
      <c r="T378" s="28">
        <v>0.24</v>
      </c>
      <c r="U378" s="25">
        <f>ROUND(IF(IFERROR(PROPERTIES[[#This Row],[TE_COEFFICIENT_CALC]],0)=0,PROPERTIES[[#This Row],[TE_COEFFICIENT_MANUAL]],PROPERTIES[[#This Row],[TE_COEFFICIENT_CALC]]),3)</f>
        <v>0.247</v>
      </c>
      <c r="V378" s="11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36">
        <v>0</v>
      </c>
      <c r="X378" s="9">
        <v>0</v>
      </c>
      <c r="Y378" s="10">
        <v>0</v>
      </c>
      <c r="Z378" t="s">
        <v>870</v>
      </c>
      <c r="AA378" t="s">
        <v>868</v>
      </c>
      <c r="AB378" s="2" t="s">
        <v>886</v>
      </c>
      <c r="AC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8" s="2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H378" s="10" t="b">
        <v>0</v>
      </c>
      <c r="AY378"/>
      <c r="AZ378"/>
      <c r="BA378"/>
    </row>
    <row r="379" spans="1:53">
      <c r="A379" s="2" t="s">
        <v>399</v>
      </c>
      <c r="B379">
        <v>1979</v>
      </c>
      <c r="C379" cm="1">
        <f t="array" ref="C379">_xlfn.IFS(ISNUMBER(SEARCH("wagon",PROPERTIES[[#This Row],[VEHIDCODE]])),0,OR(MID(PROPERTIES[[#This Row],[VEHIDCODE]],2,2)="mu",_xlfn.TEXTBEFORE(PROPERTIES[[#This Row],[VEHIDCODE]],"_")="mtro"),1,1=1,0)</f>
        <v>0</v>
      </c>
      <c r="D379" t="s">
        <v>1815</v>
      </c>
      <c r="E379" t="str">
        <f>_xlfn.XLOOKUP(PROPERTIES[[#This Row],[COUNTRY]],COUNTRIES[COUNTRY_DESCRIPTION],COUNTRIES[COUNTRY_LABEL],"")</f>
        <v>IT</v>
      </c>
      <c r="F379" t="str" cm="1">
        <f t="array" ref="F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9" t="s">
        <v>19</v>
      </c>
      <c r="H379">
        <v>0</v>
      </c>
      <c r="I379">
        <v>8</v>
      </c>
      <c r="J379">
        <v>8</v>
      </c>
      <c r="K379" t="str" cm="1">
        <f t="array" ref="K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9">
        <f>_xlfn.XLOOKUP("LOADINGSPEEDDEF_"&amp;PROPERTIES[[#This Row],[LOADINGSPEED]],LOADINGSPEEDDEF[TYPE],LOADINGSPEEDDEF[SPEED])</f>
        <v>20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f>IF(ISNUMBER(SEARCH("passenger",PROPERTIES[[#This Row],[CARGODEF]])),1,0)</f>
        <v>0</v>
      </c>
      <c r="O379" s="32">
        <v>103</v>
      </c>
      <c r="P379">
        <v>5600</v>
      </c>
      <c r="Q379">
        <v>130</v>
      </c>
      <c r="R379" s="29">
        <v>308</v>
      </c>
      <c r="S379" s="28">
        <f>IFERROR(PROPERTIES[[#This Row],[TE_STARTING_KN]]/(PROPERTIES[[#This Row],[WEIGHT]]*9.81),0)</f>
        <v>0.30482071989153131</v>
      </c>
      <c r="T379" s="28">
        <v>0.27</v>
      </c>
      <c r="U379" s="25">
        <f>ROUND(IF(IFERROR(PROPERTIES[[#This Row],[TE_COEFFICIENT_CALC]],0)=0,PROPERTIES[[#This Row],[TE_COEFFICIENT_MANUAL]],PROPERTIES[[#This Row],[TE_COEFFICIENT_CALC]]),3)</f>
        <v>0.30499999999999999</v>
      </c>
      <c r="V379" s="11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36">
        <v>0</v>
      </c>
      <c r="X379" s="9">
        <v>0</v>
      </c>
      <c r="Y379" s="10">
        <v>0</v>
      </c>
      <c r="Z379" t="s">
        <v>870</v>
      </c>
      <c r="AA379" t="s">
        <v>868</v>
      </c>
      <c r="AB379" s="2" t="s">
        <v>886</v>
      </c>
      <c r="AC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9" s="2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H379" s="10" t="b">
        <v>0</v>
      </c>
      <c r="AY379"/>
      <c r="AZ379"/>
      <c r="BA379"/>
    </row>
    <row r="380" spans="1:53">
      <c r="A380" s="2" t="s">
        <v>400</v>
      </c>
      <c r="B380">
        <v>1960</v>
      </c>
      <c r="C380" cm="1">
        <f t="array" ref="C380">_xlfn.IFS(ISNUMBER(SEARCH("wagon",PROPERTIES[[#This Row],[VEHIDCODE]])),0,OR(MID(PROPERTIES[[#This Row],[VEHIDCODE]],2,2)="mu",_xlfn.TEXTBEFORE(PROPERTIES[[#This Row],[VEHIDCODE]],"_")="mtro"),1,1=1,0)</f>
        <v>0</v>
      </c>
      <c r="D380" t="s">
        <v>1726</v>
      </c>
      <c r="E380" t="str">
        <f>_xlfn.XLOOKUP(PROPERTIES[[#This Row],[COUNTRY]],COUNTRIES[COUNTRY_DESCRIPTION],COUNTRIES[COUNTRY_LABEL],"")</f>
        <v>BE</v>
      </c>
      <c r="F380" t="str" cm="1">
        <f t="array" ref="F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0" t="s">
        <v>19</v>
      </c>
      <c r="H380">
        <v>0</v>
      </c>
      <c r="I380">
        <v>8</v>
      </c>
      <c r="J380">
        <v>8</v>
      </c>
      <c r="K380" t="str" cm="1">
        <f t="array" ref="K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0">
        <f>_xlfn.XLOOKUP("LOADINGSPEEDDEF_"&amp;PROPERTIES[[#This Row],[LOADINGSPEED]],LOADINGSPEEDDEF[TYPE],LOADINGSPEEDDEF[SPEED])</f>
        <v>20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f>IF(ISNUMBER(SEARCH("passenger",PROPERTIES[[#This Row],[CARGODEF]])),1,0)</f>
        <v>0</v>
      </c>
      <c r="O380" s="32">
        <v>85</v>
      </c>
      <c r="P380">
        <v>2520</v>
      </c>
      <c r="Q380">
        <v>130</v>
      </c>
      <c r="R380" s="29">
        <v>196</v>
      </c>
      <c r="S380" s="28">
        <f>IFERROR(PROPERTIES[[#This Row],[TE_STARTING_KN]]/(PROPERTIES[[#This Row],[WEIGHT]]*9.81),0)</f>
        <v>0.23505426635485999</v>
      </c>
      <c r="T380" s="28">
        <v>0.23</v>
      </c>
      <c r="U380" s="25">
        <f>ROUND(IF(IFERROR(PROPERTIES[[#This Row],[TE_COEFFICIENT_CALC]],0)=0,PROPERTIES[[#This Row],[TE_COEFFICIENT_MANUAL]],PROPERTIES[[#This Row],[TE_COEFFICIENT_CALC]]),3)</f>
        <v>0.23499999999999999</v>
      </c>
      <c r="V380" s="11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36">
        <v>0</v>
      </c>
      <c r="X380" s="9">
        <v>0</v>
      </c>
      <c r="Y380" s="10">
        <v>0</v>
      </c>
      <c r="Z380" t="s">
        <v>869</v>
      </c>
      <c r="AA380" t="s">
        <v>868</v>
      </c>
      <c r="AB380" s="2" t="s">
        <v>886</v>
      </c>
      <c r="AC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0" s="2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H380" s="10" t="b">
        <v>0</v>
      </c>
      <c r="AY380"/>
      <c r="AZ380"/>
      <c r="BA380"/>
    </row>
    <row r="381" spans="1:53">
      <c r="A381" s="2" t="s">
        <v>401</v>
      </c>
      <c r="B381">
        <v>1982</v>
      </c>
      <c r="C381" cm="1">
        <f t="array" ref="C381">_xlfn.IFS(ISNUMBER(SEARCH("wagon",PROPERTIES[[#This Row],[VEHIDCODE]])),0,OR(MID(PROPERTIES[[#This Row],[VEHIDCODE]],2,2)="mu",_xlfn.TEXTBEFORE(PROPERTIES[[#This Row],[VEHIDCODE]],"_")="mtro"),1,1=1,0)</f>
        <v>0</v>
      </c>
      <c r="D381" t="s">
        <v>1774</v>
      </c>
      <c r="E381" t="str">
        <f>_xlfn.XLOOKUP(PROPERTIES[[#This Row],[COUNTRY]],COUNTRIES[COUNTRY_DESCRIPTION],COUNTRIES[COUNTRY_LABEL],"")</f>
        <v>ES</v>
      </c>
      <c r="F381" t="str" cm="1">
        <f t="array" ref="F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1" t="s">
        <v>19</v>
      </c>
      <c r="H381">
        <v>0</v>
      </c>
      <c r="I381">
        <v>8</v>
      </c>
      <c r="J381">
        <v>8</v>
      </c>
      <c r="K381" t="str" cm="1">
        <f t="array" ref="K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1">
        <f>_xlfn.XLOOKUP("LOADINGSPEEDDEF_"&amp;PROPERTIES[[#This Row],[LOADINGSPEED]],LOADINGSPEEDDEF[TYPE],LOADINGSPEEDDEF[SPEED])</f>
        <v>20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f>IF(ISNUMBER(SEARCH("passenger",PROPERTIES[[#This Row],[CARGODEF]])),1,0)</f>
        <v>0</v>
      </c>
      <c r="O381" s="32">
        <v>124</v>
      </c>
      <c r="P381">
        <v>6440</v>
      </c>
      <c r="Q381">
        <v>160</v>
      </c>
      <c r="R381" s="29">
        <v>410</v>
      </c>
      <c r="S381" s="28">
        <f>IFERROR(PROPERTIES[[#This Row],[TE_STARTING_KN]]/(PROPERTIES[[#This Row],[WEIGHT]]*9.81),0)</f>
        <v>0.33704909407780076</v>
      </c>
      <c r="T381" s="28">
        <v>0.16</v>
      </c>
      <c r="U381" s="25">
        <f>ROUND(IF(IFERROR(PROPERTIES[[#This Row],[TE_COEFFICIENT_CALC]],0)=0,PROPERTIES[[#This Row],[TE_COEFFICIENT_MANUAL]],PROPERTIES[[#This Row],[TE_COEFFICIENT_CALC]]),3)</f>
        <v>0.33700000000000002</v>
      </c>
      <c r="V381" s="11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36">
        <v>0</v>
      </c>
      <c r="X381" s="9">
        <v>0</v>
      </c>
      <c r="Y381" s="10">
        <v>0</v>
      </c>
      <c r="Z381" t="s">
        <v>870</v>
      </c>
      <c r="AA381" t="s">
        <v>868</v>
      </c>
      <c r="AB381" s="2" t="s">
        <v>886</v>
      </c>
      <c r="AC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1" s="2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H381" s="10" t="b">
        <v>0</v>
      </c>
      <c r="AY381"/>
      <c r="AZ381"/>
      <c r="BA381"/>
    </row>
    <row r="382" spans="1:53">
      <c r="A382" s="2" t="s">
        <v>402</v>
      </c>
      <c r="B382">
        <v>1949</v>
      </c>
      <c r="C382" cm="1">
        <f t="array" ref="C382">_xlfn.IFS(ISNUMBER(SEARCH("wagon",PROPERTIES[[#This Row],[VEHIDCODE]])),0,OR(MID(PROPERTIES[[#This Row],[VEHIDCODE]],2,2)="mu",_xlfn.TEXTBEFORE(PROPERTIES[[#This Row],[VEHIDCODE]],"_")="mtro"),1,1=1,0)</f>
        <v>0</v>
      </c>
      <c r="D382" t="s">
        <v>1752</v>
      </c>
      <c r="E382" t="str">
        <f>_xlfn.XLOOKUP(PROPERTIES[[#This Row],[COUNTRY]],COUNTRIES[COUNTRY_DESCRIPTION],COUNTRIES[COUNTRY_LABEL],"")</f>
        <v>CL</v>
      </c>
      <c r="F382" t="str" cm="1">
        <f t="array" ref="F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2" t="s">
        <v>19</v>
      </c>
      <c r="H382">
        <v>0</v>
      </c>
      <c r="I382">
        <v>8</v>
      </c>
      <c r="J382">
        <v>9</v>
      </c>
      <c r="K382" t="str" cm="1">
        <f t="array" ref="K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2">
        <f>_xlfn.XLOOKUP("LOADINGSPEEDDEF_"&amp;PROPERTIES[[#This Row],[LOADINGSPEED]],LOADINGSPEEDDEF[TYPE],LOADINGSPEEDDEF[SPEED])</f>
        <v>20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f>IF(ISNUMBER(SEARCH("passenger",PROPERTIES[[#This Row],[CARGODEF]])),1,0)</f>
        <v>0</v>
      </c>
      <c r="O382" s="32">
        <v>116</v>
      </c>
      <c r="P382">
        <v>3100</v>
      </c>
      <c r="Q382">
        <v>100</v>
      </c>
      <c r="R382" s="29">
        <v>315</v>
      </c>
      <c r="S382" s="28">
        <f>IFERROR(PROPERTIES[[#This Row],[TE_STARTING_KN]]/(PROPERTIES[[#This Row],[WEIGHT]]*9.81),0)</f>
        <v>0.27681113571654536</v>
      </c>
      <c r="T382" s="28">
        <v>0.2</v>
      </c>
      <c r="U382" s="25">
        <f>ROUND(IF(IFERROR(PROPERTIES[[#This Row],[TE_COEFFICIENT_CALC]],0)=0,PROPERTIES[[#This Row],[TE_COEFFICIENT_MANUAL]],PROPERTIES[[#This Row],[TE_COEFFICIENT_CALC]]),3)</f>
        <v>0.27700000000000002</v>
      </c>
      <c r="V382" s="11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36">
        <v>0</v>
      </c>
      <c r="X382" s="9">
        <v>1</v>
      </c>
      <c r="Y382" s="10">
        <v>0</v>
      </c>
      <c r="Z382" t="s">
        <v>876</v>
      </c>
      <c r="AA382" t="s">
        <v>868</v>
      </c>
      <c r="AB382" s="2" t="s">
        <v>886</v>
      </c>
      <c r="AC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2" s="2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H382" s="10" t="b">
        <v>0</v>
      </c>
      <c r="AY382"/>
      <c r="AZ382"/>
      <c r="BA382"/>
    </row>
    <row r="383" spans="1:53">
      <c r="A383" s="2" t="s">
        <v>403</v>
      </c>
      <c r="B383">
        <v>1974</v>
      </c>
      <c r="C383" cm="1">
        <f t="array" ref="C383">_xlfn.IFS(ISNUMBER(SEARCH("wagon",PROPERTIES[[#This Row],[VEHIDCODE]])),0,OR(MID(PROPERTIES[[#This Row],[VEHIDCODE]],2,2)="mu",_xlfn.TEXTBEFORE(PROPERTIES[[#This Row],[VEHIDCODE]],"_")="mtro"),1,1=1,0)</f>
        <v>0</v>
      </c>
      <c r="D383" t="s">
        <v>1752</v>
      </c>
      <c r="E383" t="str">
        <f>_xlfn.XLOOKUP(PROPERTIES[[#This Row],[COUNTRY]],COUNTRIES[COUNTRY_DESCRIPTION],COUNTRIES[COUNTRY_LABEL],"")</f>
        <v>CL</v>
      </c>
      <c r="F383" t="str" cm="1">
        <f t="array" ref="F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3" t="s">
        <v>19</v>
      </c>
      <c r="H383">
        <v>0</v>
      </c>
      <c r="I383">
        <v>6</v>
      </c>
      <c r="J383">
        <v>6</v>
      </c>
      <c r="K383" t="str" cm="1">
        <f t="array" ref="K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3">
        <f>_xlfn.XLOOKUP("LOADINGSPEEDDEF_"&amp;PROPERTIES[[#This Row],[LOADINGSPEED]],LOADINGSPEEDDEF[TYPE],LOADINGSPEEDDEF[SPEED])</f>
        <v>20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f>IF(ISNUMBER(SEARCH("passenger",PROPERTIES[[#This Row],[CARGODEF]])),1,0)</f>
        <v>0</v>
      </c>
      <c r="O383" s="32">
        <v>79</v>
      </c>
      <c r="P383">
        <v>1640</v>
      </c>
      <c r="Q383">
        <v>90</v>
      </c>
      <c r="R383" s="29">
        <v>0</v>
      </c>
      <c r="S383" s="28">
        <f>IFERROR(PROPERTIES[[#This Row],[TE_STARTING_KN]]/(PROPERTIES[[#This Row],[WEIGHT]]*9.81),0)</f>
        <v>0</v>
      </c>
      <c r="T383" s="28">
        <v>0.24</v>
      </c>
      <c r="U383" s="25">
        <f>ROUND(IF(IFERROR(PROPERTIES[[#This Row],[TE_COEFFICIENT_CALC]],0)=0,PROPERTIES[[#This Row],[TE_COEFFICIENT_MANUAL]],PROPERTIES[[#This Row],[TE_COEFFICIENT_CALC]]),3)</f>
        <v>0.24</v>
      </c>
      <c r="V383" s="11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36">
        <v>0</v>
      </c>
      <c r="X383" s="9">
        <v>0</v>
      </c>
      <c r="Y383" s="10">
        <v>0</v>
      </c>
      <c r="Z383" t="s">
        <v>876</v>
      </c>
      <c r="AA383" t="s">
        <v>868</v>
      </c>
      <c r="AB383" s="2" t="s">
        <v>886</v>
      </c>
      <c r="AC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3" s="2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3" s="2" t="b">
        <v>0</v>
      </c>
      <c r="AH383" s="10" t="b">
        <v>0</v>
      </c>
      <c r="AY383"/>
      <c r="AZ383"/>
      <c r="BA383"/>
    </row>
    <row r="384" spans="1:53">
      <c r="A384" s="2" t="s">
        <v>404</v>
      </c>
      <c r="B384">
        <v>1948</v>
      </c>
      <c r="C384" cm="1">
        <f t="array" ref="C384">_xlfn.IFS(ISNUMBER(SEARCH("wagon",PROPERTIES[[#This Row],[VEHIDCODE]])),0,OR(MID(PROPERTIES[[#This Row],[VEHIDCODE]],2,2)="mu",_xlfn.TEXTBEFORE(PROPERTIES[[#This Row],[VEHIDCODE]],"_")="mtro"),1,1=1,0)</f>
        <v>0</v>
      </c>
      <c r="D384" t="s">
        <v>1842</v>
      </c>
      <c r="E384" t="str">
        <f>_xlfn.XLOOKUP(PROPERTIES[[#This Row],[COUNTRY]],COUNTRIES[COUNTRY_DESCRIPTION],COUNTRIES[COUNTRY_LABEL],"")</f>
        <v>MA</v>
      </c>
      <c r="F384" t="str" cm="1">
        <f t="array" ref="F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4" t="s">
        <v>19</v>
      </c>
      <c r="H384">
        <v>0</v>
      </c>
      <c r="I384">
        <v>6</v>
      </c>
      <c r="J384">
        <v>6</v>
      </c>
      <c r="K384" t="str" cm="1">
        <f t="array" ref="K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4">
        <f>_xlfn.XLOOKUP("LOADINGSPEEDDEF_"&amp;PROPERTIES[[#This Row],[LOADINGSPEED]],LOADINGSPEEDDEF[TYPE],LOADINGSPEEDDEF[SPEED])</f>
        <v>20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f>IF(ISNUMBER(SEARCH("passenger",PROPERTIES[[#This Row],[CARGODEF]])),1,0)</f>
        <v>0</v>
      </c>
      <c r="O384" s="32">
        <v>88</v>
      </c>
      <c r="P384">
        <v>1710</v>
      </c>
      <c r="Q384">
        <v>80</v>
      </c>
      <c r="R384" s="29">
        <v>0</v>
      </c>
      <c r="S384" s="28">
        <f>IFERROR(PROPERTIES[[#This Row],[TE_STARTING_KN]]/(PROPERTIES[[#This Row],[WEIGHT]]*9.81),0)</f>
        <v>0</v>
      </c>
      <c r="T384" s="28">
        <v>0.17</v>
      </c>
      <c r="U384" s="25">
        <f>ROUND(IF(IFERROR(PROPERTIES[[#This Row],[TE_COEFFICIENT_CALC]],0)=0,PROPERTIES[[#This Row],[TE_COEFFICIENT_MANUAL]],PROPERTIES[[#This Row],[TE_COEFFICIENT_CALC]]),3)</f>
        <v>0.17</v>
      </c>
      <c r="V384" s="11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36">
        <v>0</v>
      </c>
      <c r="X384" s="9">
        <v>0</v>
      </c>
      <c r="Y384" s="10">
        <v>0</v>
      </c>
      <c r="Z384" t="s">
        <v>872</v>
      </c>
      <c r="AA384" t="s">
        <v>868</v>
      </c>
      <c r="AB384" s="2" t="s">
        <v>886</v>
      </c>
      <c r="AC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4" s="2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H384" s="10" t="b">
        <v>0</v>
      </c>
      <c r="AY384"/>
      <c r="AZ384"/>
      <c r="BA384"/>
    </row>
    <row r="385" spans="1:53">
      <c r="A385" s="2" t="s">
        <v>405</v>
      </c>
      <c r="B385">
        <v>1958</v>
      </c>
      <c r="C385" cm="1">
        <f t="array" ref="C385">_xlfn.IFS(ISNUMBER(SEARCH("wagon",PROPERTIES[[#This Row],[VEHIDCODE]])),0,OR(MID(PROPERTIES[[#This Row],[VEHIDCODE]],2,2)="mu",_xlfn.TEXTBEFORE(PROPERTIES[[#This Row],[VEHIDCODE]],"_")="mtro"),1,1=1,0)</f>
        <v>0</v>
      </c>
      <c r="D385" t="s">
        <v>1810</v>
      </c>
      <c r="E385" t="str">
        <f>_xlfn.XLOOKUP(PROPERTIES[[#This Row],[COUNTRY]],COUNTRIES[COUNTRY_DESCRIPTION],COUNTRIES[COUNTRY_LABEL],"")</f>
        <v>IN</v>
      </c>
      <c r="F385" t="str" cm="1">
        <f t="array" ref="F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5" t="s">
        <v>19</v>
      </c>
      <c r="H385">
        <v>0</v>
      </c>
      <c r="I385">
        <v>8</v>
      </c>
      <c r="J385">
        <v>8</v>
      </c>
      <c r="K385" t="str" cm="1">
        <f t="array" ref="K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5">
        <f>_xlfn.XLOOKUP("LOADINGSPEEDDEF_"&amp;PROPERTIES[[#This Row],[LOADINGSPEED]],LOADINGSPEEDDEF[TYPE],LOADINGSPEEDDEF[SPEED])</f>
        <v>20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f>IF(ISNUMBER(SEARCH("passenger",PROPERTIES[[#This Row],[CARGODEF]])),1,0)</f>
        <v>0</v>
      </c>
      <c r="O385" s="32">
        <v>124</v>
      </c>
      <c r="P385">
        <v>3700</v>
      </c>
      <c r="Q385">
        <v>104</v>
      </c>
      <c r="R385" s="29">
        <v>300</v>
      </c>
      <c r="S385" s="28">
        <f>IFERROR(PROPERTIES[[#This Row],[TE_STARTING_KN]]/(PROPERTIES[[#This Row],[WEIGHT]]*9.81),0)</f>
        <v>0.24662128834961033</v>
      </c>
      <c r="T385" s="28">
        <v>0.25</v>
      </c>
      <c r="U385" s="25">
        <f>ROUND(IF(IFERROR(PROPERTIES[[#This Row],[TE_COEFFICIENT_CALC]],0)=0,PROPERTIES[[#This Row],[TE_COEFFICIENT_MANUAL]],PROPERTIES[[#This Row],[TE_COEFFICIENT_CALC]]),3)</f>
        <v>0.247</v>
      </c>
      <c r="V385" s="11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36">
        <v>0</v>
      </c>
      <c r="X385" s="9">
        <v>0</v>
      </c>
      <c r="Y385" s="10">
        <v>0</v>
      </c>
      <c r="Z385" t="s">
        <v>877</v>
      </c>
      <c r="AA385" t="s">
        <v>868</v>
      </c>
      <c r="AB385" s="2" t="s">
        <v>886</v>
      </c>
      <c r="AC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5" s="2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H385" s="10" t="b">
        <v>0</v>
      </c>
      <c r="AY385"/>
      <c r="AZ385"/>
      <c r="BA385"/>
    </row>
    <row r="386" spans="1:53">
      <c r="A386" s="2" t="s">
        <v>406</v>
      </c>
      <c r="B386">
        <v>1992</v>
      </c>
      <c r="C386" cm="1">
        <f t="array" ref="C386">_xlfn.IFS(ISNUMBER(SEARCH("wagon",PROPERTIES[[#This Row],[VEHIDCODE]])),0,OR(MID(PROPERTIES[[#This Row],[VEHIDCODE]],2,2)="mu",_xlfn.TEXTBEFORE(PROPERTIES[[#This Row],[VEHIDCODE]],"_")="mtro"),1,1=1,0)</f>
        <v>0</v>
      </c>
      <c r="D386" t="s">
        <v>1951</v>
      </c>
      <c r="E386" t="str">
        <f>_xlfn.XLOOKUP(PROPERTIES[[#This Row],[COUNTRY]],COUNTRIES[COUNTRY_DESCRIPTION],COUNTRIES[COUNTRY_LABEL],"")</f>
        <v>ZA</v>
      </c>
      <c r="F386" t="str" cm="1">
        <f t="array" ref="F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6" t="s">
        <v>19</v>
      </c>
      <c r="H386">
        <v>0</v>
      </c>
      <c r="I386">
        <v>6</v>
      </c>
      <c r="J386">
        <v>6</v>
      </c>
      <c r="K386" t="str" cm="1">
        <f t="array" ref="K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6">
        <f>_xlfn.XLOOKUP("LOADINGSPEEDDEF_"&amp;PROPERTIES[[#This Row],[LOADINGSPEED]],LOADINGSPEEDDEF[TYPE],LOADINGSPEEDDEF[SPEED])</f>
        <v>20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f>IF(ISNUMBER(SEARCH("passenger",PROPERTIES[[#This Row],[CARGODEF]])),1,0)</f>
        <v>0</v>
      </c>
      <c r="O386" s="32">
        <v>74</v>
      </c>
      <c r="P386">
        <v>2000</v>
      </c>
      <c r="Q386">
        <v>100</v>
      </c>
      <c r="R386" s="29">
        <v>260</v>
      </c>
      <c r="S386" s="28">
        <f>IFERROR(PROPERTIES[[#This Row],[TE_STARTING_KN]]/(PROPERTIES[[#This Row],[WEIGHT]]*9.81),0)</f>
        <v>0.35815632145907372</v>
      </c>
      <c r="T386" s="28">
        <v>0.24</v>
      </c>
      <c r="U386" s="25">
        <f>ROUND(IF(IFERROR(PROPERTIES[[#This Row],[TE_COEFFICIENT_CALC]],0)=0,PROPERTIES[[#This Row],[TE_COEFFICIENT_MANUAL]],PROPERTIES[[#This Row],[TE_COEFFICIENT_CALC]]),3)</f>
        <v>0.35799999999999998</v>
      </c>
      <c r="V386" s="11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36">
        <v>0</v>
      </c>
      <c r="X386" s="9">
        <v>0</v>
      </c>
      <c r="Y386" s="10">
        <v>0</v>
      </c>
      <c r="Z386" t="s">
        <v>872</v>
      </c>
      <c r="AA386" t="s">
        <v>868</v>
      </c>
      <c r="AB386" s="2" t="s">
        <v>886</v>
      </c>
      <c r="AC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6" s="2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H386" s="10" t="b">
        <v>0</v>
      </c>
      <c r="AY386"/>
      <c r="AZ386"/>
      <c r="BA386"/>
    </row>
    <row r="387" spans="1:53">
      <c r="A387" s="2" t="s">
        <v>407</v>
      </c>
      <c r="B387">
        <v>1980</v>
      </c>
      <c r="C387" cm="1">
        <f t="array" ref="C387">_xlfn.IFS(ISNUMBER(SEARCH("wagon",PROPERTIES[[#This Row],[VEHIDCODE]])),0,OR(MID(PROPERTIES[[#This Row],[VEHIDCODE]],2,2)="mu",_xlfn.TEXTBEFORE(PROPERTIES[[#This Row],[VEHIDCODE]],"_")="mtro"),1,1=1,0)</f>
        <v>0</v>
      </c>
      <c r="D387" t="s">
        <v>1752</v>
      </c>
      <c r="E387" t="str">
        <f>_xlfn.XLOOKUP(PROPERTIES[[#This Row],[COUNTRY]],COUNTRIES[COUNTRY_DESCRIPTION],COUNTRIES[COUNTRY_LABEL],"")</f>
        <v>CL</v>
      </c>
      <c r="F387" t="str" cm="1">
        <f t="array" ref="F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7" t="s">
        <v>19</v>
      </c>
      <c r="H387">
        <v>0</v>
      </c>
      <c r="I387">
        <v>7</v>
      </c>
      <c r="J387">
        <v>7</v>
      </c>
      <c r="K387" t="str" cm="1">
        <f t="array" ref="K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7">
        <f>_xlfn.XLOOKUP("LOADINGSPEEDDEF_"&amp;PROPERTIES[[#This Row],[LOADINGSPEED]],LOADINGSPEEDDEF[TYPE],LOADINGSPEEDDEF[SPEED])</f>
        <v>20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f>IF(ISNUMBER(SEARCH("passenger",PROPERTIES[[#This Row],[CARGODEF]])),1,0)</f>
        <v>0</v>
      </c>
      <c r="O387" s="32">
        <v>88</v>
      </c>
      <c r="P387">
        <v>4340</v>
      </c>
      <c r="Q387">
        <v>160</v>
      </c>
      <c r="R387" s="29">
        <v>0</v>
      </c>
      <c r="S387" s="28">
        <f>IFERROR(PROPERTIES[[#This Row],[TE_STARTING_KN]]/(PROPERTIES[[#This Row],[WEIGHT]]*9.81),0)</f>
        <v>0</v>
      </c>
      <c r="T387" s="28">
        <v>0.16</v>
      </c>
      <c r="U387" s="25">
        <f>ROUND(IF(IFERROR(PROPERTIES[[#This Row],[TE_COEFFICIENT_CALC]],0)=0,PROPERTIES[[#This Row],[TE_COEFFICIENT_MANUAL]],PROPERTIES[[#This Row],[TE_COEFFICIENT_CALC]]),3)</f>
        <v>0.16</v>
      </c>
      <c r="V387" s="11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36">
        <v>0</v>
      </c>
      <c r="X387" s="9">
        <v>0</v>
      </c>
      <c r="Y387" s="10">
        <v>0</v>
      </c>
      <c r="Z387" t="s">
        <v>876</v>
      </c>
      <c r="AA387" t="s">
        <v>868</v>
      </c>
      <c r="AB387" s="2" t="s">
        <v>886</v>
      </c>
      <c r="AC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7" s="2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H387" s="10" t="b">
        <v>0</v>
      </c>
      <c r="AY387"/>
      <c r="AZ387"/>
      <c r="BA387"/>
    </row>
    <row r="388" spans="1:53">
      <c r="A388" s="2" t="s">
        <v>408</v>
      </c>
      <c r="B388">
        <v>1980</v>
      </c>
      <c r="C388" cm="1">
        <f t="array" ref="C388">_xlfn.IFS(ISNUMBER(SEARCH("wagon",PROPERTIES[[#This Row],[VEHIDCODE]])),0,OR(MID(PROPERTIES[[#This Row],[VEHIDCODE]],2,2)="mu",_xlfn.TEXTBEFORE(PROPERTIES[[#This Row],[VEHIDCODE]],"_")="mtro"),1,1=1,0)</f>
        <v>0</v>
      </c>
      <c r="D388" t="s">
        <v>1762</v>
      </c>
      <c r="E388" t="str">
        <f>_xlfn.XLOOKUP(PROPERTIES[[#This Row],[COUNTRY]],COUNTRIES[COUNTRY_DESCRIPTION],COUNTRIES[COUNTRY_LABEL],"")</f>
        <v>CZ</v>
      </c>
      <c r="F388" t="str" cm="1">
        <f t="array" ref="F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8" t="s">
        <v>19</v>
      </c>
      <c r="H388">
        <v>0</v>
      </c>
      <c r="I388">
        <v>7</v>
      </c>
      <c r="J388">
        <v>7</v>
      </c>
      <c r="K388" t="str" cm="1">
        <f t="array" ref="K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8">
        <f>_xlfn.XLOOKUP("LOADINGSPEEDDEF_"&amp;PROPERTIES[[#This Row],[LOADINGSPEED]],LOADINGSPEEDDEF[TYPE],LOADINGSPEEDDEF[SPEED])</f>
        <v>20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f>IF(ISNUMBER(SEARCH("passenger",PROPERTIES[[#This Row],[CARGODEF]])),1,0)</f>
        <v>0</v>
      </c>
      <c r="O388" s="32">
        <v>87</v>
      </c>
      <c r="P388">
        <v>4667</v>
      </c>
      <c r="Q388">
        <v>120</v>
      </c>
      <c r="R388" s="29">
        <v>260</v>
      </c>
      <c r="S388" s="28">
        <f>IFERROR(PROPERTIES[[#This Row],[TE_STARTING_KN]]/(PROPERTIES[[#This Row],[WEIGHT]]*9.81),0)</f>
        <v>0.30463871020656846</v>
      </c>
      <c r="T388" s="28">
        <v>0.3</v>
      </c>
      <c r="U388" s="25">
        <f>ROUND(IF(IFERROR(PROPERTIES[[#This Row],[TE_COEFFICIENT_CALC]],0)=0,PROPERTIES[[#This Row],[TE_COEFFICIENT_MANUAL]],PROPERTIES[[#This Row],[TE_COEFFICIENT_CALC]]),3)</f>
        <v>0.30499999999999999</v>
      </c>
      <c r="V388" s="11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36">
        <v>0</v>
      </c>
      <c r="X388" s="9">
        <v>0</v>
      </c>
      <c r="Y388" s="10">
        <v>0</v>
      </c>
      <c r="Z388" t="s">
        <v>875</v>
      </c>
      <c r="AA388" t="s">
        <v>868</v>
      </c>
      <c r="AB388" s="2" t="s">
        <v>886</v>
      </c>
      <c r="AC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8" s="2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H388" s="10" t="b">
        <v>0</v>
      </c>
      <c r="AY388"/>
      <c r="AZ388"/>
      <c r="BA388"/>
    </row>
    <row r="389" spans="1:53">
      <c r="A389" s="2" t="s">
        <v>409</v>
      </c>
      <c r="B389">
        <v>1911</v>
      </c>
      <c r="C389" cm="1">
        <f t="array" ref="C389">_xlfn.IFS(ISNUMBER(SEARCH("wagon",PROPERTIES[[#This Row],[VEHIDCODE]])),0,OR(MID(PROPERTIES[[#This Row],[VEHIDCODE]],2,2)="mu",_xlfn.TEXTBEFORE(PROPERTIES[[#This Row],[VEHIDCODE]],"_")="mtro"),1,1=1,0)</f>
        <v>0</v>
      </c>
      <c r="D389" t="s">
        <v>1872</v>
      </c>
      <c r="E389" t="str">
        <f>_xlfn.XLOOKUP(PROPERTIES[[#This Row],[COUNTRY]],COUNTRIES[COUNTRY_DESCRIPTION],COUNTRIES[COUNTRY_LABEL],"")</f>
        <v>NO</v>
      </c>
      <c r="F389" t="str" cm="1">
        <f t="array" ref="F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9" t="s">
        <v>19</v>
      </c>
      <c r="H389">
        <v>0</v>
      </c>
      <c r="I389">
        <v>6</v>
      </c>
      <c r="J389">
        <v>6</v>
      </c>
      <c r="K389" t="str" cm="1">
        <f t="array" ref="K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9">
        <f>_xlfn.XLOOKUP("LOADINGSPEEDDEF_"&amp;PROPERTIES[[#This Row],[LOADINGSPEED]],LOADINGSPEEDDEF[TYPE],LOADINGSPEEDDEF[SPEED])</f>
        <v>20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f>IF(ISNUMBER(SEARCH("passenger",PROPERTIES[[#This Row],[CARGODEF]])),1,0)</f>
        <v>0</v>
      </c>
      <c r="O389" s="32">
        <v>48</v>
      </c>
      <c r="P389">
        <v>490</v>
      </c>
      <c r="Q389">
        <v>45</v>
      </c>
      <c r="R389" s="29">
        <v>0</v>
      </c>
      <c r="S389" s="28">
        <f>IFERROR(PROPERTIES[[#This Row],[TE_STARTING_KN]]/(PROPERTIES[[#This Row],[WEIGHT]]*9.81),0)</f>
        <v>0</v>
      </c>
      <c r="T389" s="28">
        <v>0.22</v>
      </c>
      <c r="U389" s="25">
        <f>ROUND(IF(IFERROR(PROPERTIES[[#This Row],[TE_COEFFICIENT_CALC]],0)=0,PROPERTIES[[#This Row],[TE_COEFFICIENT_MANUAL]],PROPERTIES[[#This Row],[TE_COEFFICIENT_CALC]]),3)</f>
        <v>0.22</v>
      </c>
      <c r="V389" s="11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36">
        <v>0</v>
      </c>
      <c r="X389" s="9">
        <v>0</v>
      </c>
      <c r="Y389" s="10">
        <v>0</v>
      </c>
      <c r="Z389" t="s">
        <v>873</v>
      </c>
      <c r="AA389" t="s">
        <v>868</v>
      </c>
      <c r="AB389" s="2" t="s">
        <v>886</v>
      </c>
      <c r="AC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9" s="2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H389" s="10" t="b">
        <v>0</v>
      </c>
      <c r="AY389"/>
      <c r="AZ389"/>
      <c r="BA389"/>
    </row>
    <row r="390" spans="1:53">
      <c r="A390" s="2" t="s">
        <v>410</v>
      </c>
      <c r="B390">
        <v>1916</v>
      </c>
      <c r="C390" cm="1">
        <f t="array" ref="C390">_xlfn.IFS(ISNUMBER(SEARCH("wagon",PROPERTIES[[#This Row],[VEHIDCODE]])),0,OR(MID(PROPERTIES[[#This Row],[VEHIDCODE]],2,2)="mu",_xlfn.TEXTBEFORE(PROPERTIES[[#This Row],[VEHIDCODE]],"_")="mtro"),1,1=1,0)</f>
        <v>0</v>
      </c>
      <c r="D390" t="s">
        <v>1937</v>
      </c>
      <c r="E390" t="str">
        <f>_xlfn.XLOOKUP(PROPERTIES[[#This Row],[COUNTRY]],COUNTRIES[COUNTRY_DESCRIPTION],COUNTRIES[COUNTRY_LABEL],"")</f>
        <v>US</v>
      </c>
      <c r="F390" t="str" cm="1">
        <f t="array" ref="F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0" t="s">
        <v>19</v>
      </c>
      <c r="H390">
        <v>0</v>
      </c>
      <c r="I390">
        <v>8</v>
      </c>
      <c r="J390">
        <v>10</v>
      </c>
      <c r="K390" t="str" cm="1">
        <f t="array" ref="K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0">
        <f>_xlfn.XLOOKUP("LOADINGSPEEDDEF_"&amp;PROPERTIES[[#This Row],[LOADINGSPEED]],LOADINGSPEEDDEF[TYPE],LOADINGSPEEDDEF[SPEED])</f>
        <v>20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f>IF(ISNUMBER(SEARCH("passenger",PROPERTIES[[#This Row],[CARGODEF]])),1,0)</f>
        <v>0</v>
      </c>
      <c r="O390" s="32">
        <v>234</v>
      </c>
      <c r="P390">
        <v>4600</v>
      </c>
      <c r="Q390">
        <v>33</v>
      </c>
      <c r="R390" s="29">
        <v>620</v>
      </c>
      <c r="S390" s="28">
        <f>IFERROR(PROPERTIES[[#This Row],[TE_STARTING_KN]]/(PROPERTIES[[#This Row],[WEIGHT]]*9.81),0)</f>
        <v>0.27008895510424563</v>
      </c>
      <c r="T390" s="28">
        <v>0.17</v>
      </c>
      <c r="U390" s="25">
        <f>ROUND(IF(IFERROR(PROPERTIES[[#This Row],[TE_COEFFICIENT_CALC]],0)=0,PROPERTIES[[#This Row],[TE_COEFFICIENT_MANUAL]],PROPERTIES[[#This Row],[TE_COEFFICIENT_CALC]]),3)</f>
        <v>0.27</v>
      </c>
      <c r="V390" s="11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36">
        <v>0</v>
      </c>
      <c r="X390" s="9">
        <v>2</v>
      </c>
      <c r="Y390" s="10">
        <v>0</v>
      </c>
      <c r="Z390" t="s">
        <v>874</v>
      </c>
      <c r="AA390" t="s">
        <v>868</v>
      </c>
      <c r="AB390" s="2" t="s">
        <v>886</v>
      </c>
      <c r="AC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0" s="2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H390" s="10" t="b">
        <v>0</v>
      </c>
      <c r="AY390"/>
      <c r="AZ390"/>
      <c r="BA390"/>
    </row>
    <row r="391" spans="1:53">
      <c r="A391" s="2" t="s">
        <v>411</v>
      </c>
      <c r="B391">
        <v>1928</v>
      </c>
      <c r="C391" cm="1">
        <f t="array" ref="C391">_xlfn.IFS(ISNUMBER(SEARCH("wagon",PROPERTIES[[#This Row],[VEHIDCODE]])),0,OR(MID(PROPERTIES[[#This Row],[VEHIDCODE]],2,2)="mu",_xlfn.TEXTBEFORE(PROPERTIES[[#This Row],[VEHIDCODE]],"_")="mtro"),1,1=1,0)</f>
        <v>0</v>
      </c>
      <c r="D391" t="s">
        <v>1718</v>
      </c>
      <c r="E391" t="str">
        <f>_xlfn.XLOOKUP(PROPERTIES[[#This Row],[COUNTRY]],COUNTRIES[COUNTRY_DESCRIPTION],COUNTRIES[COUNTRY_LABEL],"")</f>
        <v>AT</v>
      </c>
      <c r="F391" t="str" cm="1">
        <f t="array" ref="F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1" t="s">
        <v>19</v>
      </c>
      <c r="H391">
        <v>0</v>
      </c>
      <c r="I391">
        <v>5</v>
      </c>
      <c r="J391">
        <v>5</v>
      </c>
      <c r="K391" t="str" cm="1">
        <f t="array" ref="K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1">
        <f>_xlfn.XLOOKUP("LOADINGSPEEDDEF_"&amp;PROPERTIES[[#This Row],[LOADINGSPEED]],LOADINGSPEEDDEF[TYPE],LOADINGSPEEDDEF[SPEED])</f>
        <v>20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f>IF(ISNUMBER(SEARCH("passenger",PROPERTIES[[#This Row],[CARGODEF]])),1,0)</f>
        <v>0</v>
      </c>
      <c r="O391" s="32">
        <v>55</v>
      </c>
      <c r="P391">
        <v>1000</v>
      </c>
      <c r="Q391">
        <v>40</v>
      </c>
      <c r="R391" s="29">
        <v>140</v>
      </c>
      <c r="S391" s="28">
        <f>IFERROR(PROPERTIES[[#This Row],[TE_STARTING_KN]]/(PROPERTIES[[#This Row],[WEIGHT]]*9.81),0)</f>
        <v>0.25947548883328697</v>
      </c>
      <c r="T391" s="28">
        <v>0.25</v>
      </c>
      <c r="U391" s="25">
        <f>ROUND(IF(IFERROR(PROPERTIES[[#This Row],[TE_COEFFICIENT_CALC]],0)=0,PROPERTIES[[#This Row],[TE_COEFFICIENT_MANUAL]],PROPERTIES[[#This Row],[TE_COEFFICIENT_CALC]]),3)</f>
        <v>0.25900000000000001</v>
      </c>
      <c r="V391" s="11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36">
        <v>0</v>
      </c>
      <c r="X391" s="9">
        <v>0</v>
      </c>
      <c r="Y391" s="10">
        <v>0</v>
      </c>
      <c r="Z391" t="s">
        <v>869</v>
      </c>
      <c r="AA391" t="s">
        <v>868</v>
      </c>
      <c r="AB391" s="2" t="s">
        <v>886</v>
      </c>
      <c r="AC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1" s="2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H391" s="10" t="b">
        <v>0</v>
      </c>
      <c r="AY391"/>
      <c r="AZ391"/>
      <c r="BA391"/>
    </row>
    <row r="392" spans="1:53">
      <c r="A392" s="2" t="s">
        <v>412</v>
      </c>
      <c r="B392">
        <v>1930</v>
      </c>
      <c r="C392" cm="1">
        <f t="array" ref="C392">_xlfn.IFS(ISNUMBER(SEARCH("wagon",PROPERTIES[[#This Row],[VEHIDCODE]])),0,OR(MID(PROPERTIES[[#This Row],[VEHIDCODE]],2,2)="mu",_xlfn.TEXTBEFORE(PROPERTIES[[#This Row],[VEHIDCODE]],"_")="mtro"),1,1=1,0)</f>
        <v>0</v>
      </c>
      <c r="D392" t="s">
        <v>1763</v>
      </c>
      <c r="E392" t="str">
        <f>_xlfn.XLOOKUP(PROPERTIES[[#This Row],[COUNTRY]],COUNTRIES[COUNTRY_DESCRIPTION],COUNTRIES[COUNTRY_LABEL],"")</f>
        <v>DE</v>
      </c>
      <c r="F392" t="str" cm="1">
        <f t="array" ref="F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2" t="s">
        <v>19</v>
      </c>
      <c r="H392">
        <v>0</v>
      </c>
      <c r="I392">
        <v>6</v>
      </c>
      <c r="J392">
        <v>6</v>
      </c>
      <c r="K392" t="str" cm="1">
        <f t="array" ref="K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2">
        <f>_xlfn.XLOOKUP("LOADINGSPEEDDEF_"&amp;PROPERTIES[[#This Row],[LOADINGSPEED]],LOADINGSPEEDDEF[TYPE],LOADINGSPEEDDEF[SPEED])</f>
        <v>20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f>IF(ISNUMBER(SEARCH("passenger",PROPERTIES[[#This Row],[CARGODEF]])),1,0)</f>
        <v>0</v>
      </c>
      <c r="O392" s="32">
        <v>32</v>
      </c>
      <c r="P392">
        <v>810</v>
      </c>
      <c r="Q392">
        <v>50</v>
      </c>
      <c r="R392" s="29">
        <v>93</v>
      </c>
      <c r="S392" s="28">
        <f>IFERROR(PROPERTIES[[#This Row],[TE_STARTING_KN]]/(PROPERTIES[[#This Row],[WEIGHT]]*9.81),0)</f>
        <v>0.29625382262996941</v>
      </c>
      <c r="T392" s="28">
        <v>0.28999999999999998</v>
      </c>
      <c r="U392" s="25">
        <f>ROUND(IF(IFERROR(PROPERTIES[[#This Row],[TE_COEFFICIENT_CALC]],0)=0,PROPERTIES[[#This Row],[TE_COEFFICIENT_MANUAL]],PROPERTIES[[#This Row],[TE_COEFFICIENT_CALC]]),3)</f>
        <v>0.29599999999999999</v>
      </c>
      <c r="V392" s="11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36">
        <v>0</v>
      </c>
      <c r="X392" s="9">
        <v>0</v>
      </c>
      <c r="Y392" s="10">
        <v>0</v>
      </c>
      <c r="Z392" t="s">
        <v>869</v>
      </c>
      <c r="AA392" t="s">
        <v>868</v>
      </c>
      <c r="AB392" s="2" t="s">
        <v>886</v>
      </c>
      <c r="AC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2" s="2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H392" s="10" t="b">
        <v>0</v>
      </c>
      <c r="AY392"/>
      <c r="AZ392"/>
      <c r="BA392"/>
    </row>
    <row r="393" spans="1:53">
      <c r="A393" s="2" t="s">
        <v>413</v>
      </c>
      <c r="B393">
        <v>1931</v>
      </c>
      <c r="C393" cm="1">
        <f t="array" ref="C393">_xlfn.IFS(ISNUMBER(SEARCH("wagon",PROPERTIES[[#This Row],[VEHIDCODE]])),0,OR(MID(PROPERTIES[[#This Row],[VEHIDCODE]],2,2)="mu",_xlfn.TEXTBEFORE(PROPERTIES[[#This Row],[VEHIDCODE]],"_")="mtro"),1,1=1,0)</f>
        <v>0</v>
      </c>
      <c r="D393" t="s">
        <v>1872</v>
      </c>
      <c r="E393" t="str">
        <f>_xlfn.XLOOKUP(PROPERTIES[[#This Row],[COUNTRY]],COUNTRIES[COUNTRY_DESCRIPTION],COUNTRIES[COUNTRY_LABEL],"")</f>
        <v>NO</v>
      </c>
      <c r="F393" t="str" cm="1">
        <f t="array" ref="F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3" t="s">
        <v>19</v>
      </c>
      <c r="H393">
        <v>0</v>
      </c>
      <c r="I393">
        <v>6</v>
      </c>
      <c r="J393">
        <v>6</v>
      </c>
      <c r="K393" t="str" cm="1">
        <f t="array" ref="K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3">
        <f>_xlfn.XLOOKUP("LOADINGSPEEDDEF_"&amp;PROPERTIES[[#This Row],[LOADINGSPEED]],LOADINGSPEEDDEF[TYPE],LOADINGSPEEDDEF[SPEED])</f>
        <v>20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f>IF(ISNUMBER(SEARCH("passenger",PROPERTIES[[#This Row],[CARGODEF]])),1,0)</f>
        <v>0</v>
      </c>
      <c r="O393" s="32">
        <v>47.3</v>
      </c>
      <c r="P393">
        <v>700</v>
      </c>
      <c r="Q393">
        <v>45</v>
      </c>
      <c r="R393" s="29">
        <v>110</v>
      </c>
      <c r="S393" s="28">
        <f>IFERROR(PROPERTIES[[#This Row],[TE_STARTING_KN]]/(PROPERTIES[[#This Row],[WEIGHT]]*9.81),0)</f>
        <v>0.23706232368489677</v>
      </c>
      <c r="T393" s="28">
        <v>0.3</v>
      </c>
      <c r="U393" s="25">
        <f>ROUND(IF(IFERROR(PROPERTIES[[#This Row],[TE_COEFFICIENT_CALC]],0)=0,PROPERTIES[[#This Row],[TE_COEFFICIENT_MANUAL]],PROPERTIES[[#This Row],[TE_COEFFICIENT_CALC]]),3)</f>
        <v>0.23699999999999999</v>
      </c>
      <c r="V393" s="11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36">
        <v>0</v>
      </c>
      <c r="X393" s="9">
        <v>0</v>
      </c>
      <c r="Y393" s="10">
        <v>0</v>
      </c>
      <c r="Z393" t="s">
        <v>873</v>
      </c>
      <c r="AA393" t="s">
        <v>868</v>
      </c>
      <c r="AB393" s="2" t="s">
        <v>886</v>
      </c>
      <c r="AC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3" s="2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H393" s="10" t="b">
        <v>0</v>
      </c>
      <c r="AY393"/>
      <c r="AZ393"/>
      <c r="BA393"/>
    </row>
    <row r="394" spans="1:53">
      <c r="A394" s="2" t="s">
        <v>414</v>
      </c>
      <c r="B394">
        <v>1933</v>
      </c>
      <c r="C394" cm="1">
        <f t="array" ref="C394">_xlfn.IFS(ISNUMBER(SEARCH("wagon",PROPERTIES[[#This Row],[VEHIDCODE]])),0,OR(MID(PROPERTIES[[#This Row],[VEHIDCODE]],2,2)="mu",_xlfn.TEXTBEFORE(PROPERTIES[[#This Row],[VEHIDCODE]],"_")="mtro"),1,1=1,0)</f>
        <v>0</v>
      </c>
      <c r="D394" t="s">
        <v>1763</v>
      </c>
      <c r="E394" t="str">
        <f>_xlfn.XLOOKUP(PROPERTIES[[#This Row],[COUNTRY]],COUNTRIES[COUNTRY_DESCRIPTION],COUNTRIES[COUNTRY_LABEL],"")</f>
        <v>DE</v>
      </c>
      <c r="F394" t="str" cm="1">
        <f t="array" ref="F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4" t="s">
        <v>19</v>
      </c>
      <c r="H394">
        <v>0</v>
      </c>
      <c r="I394">
        <v>8</v>
      </c>
      <c r="J394">
        <v>8</v>
      </c>
      <c r="K394" t="str" cm="1">
        <f t="array" ref="K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4">
        <f>_xlfn.XLOOKUP("LOADINGSPEEDDEF_"&amp;PROPERTIES[[#This Row],[LOADINGSPEED]],LOADINGSPEEDDEF[TYPE],LOADINGSPEEDDEF[SPEED])</f>
        <v>20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f>IF(ISNUMBER(SEARCH("passenger",PROPERTIES[[#This Row],[CARGODEF]])),1,0)</f>
        <v>0</v>
      </c>
      <c r="O394" s="32">
        <v>92</v>
      </c>
      <c r="P394">
        <v>2935</v>
      </c>
      <c r="Q394">
        <v>110</v>
      </c>
      <c r="R394" s="29">
        <v>177</v>
      </c>
      <c r="S394" s="28">
        <f>IFERROR(PROPERTIES[[#This Row],[TE_STARTING_KN]]/(PROPERTIES[[#This Row],[WEIGHT]]*9.81),0)</f>
        <v>0.19611753756149447</v>
      </c>
      <c r="T394" s="28">
        <v>0.3</v>
      </c>
      <c r="U394" s="25">
        <f>ROUND(IF(IFERROR(PROPERTIES[[#This Row],[TE_COEFFICIENT_CALC]],0)=0,PROPERTIES[[#This Row],[TE_COEFFICIENT_MANUAL]],PROPERTIES[[#This Row],[TE_COEFFICIENT_CALC]]),3)</f>
        <v>0.19600000000000001</v>
      </c>
      <c r="V394" s="11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36">
        <v>0</v>
      </c>
      <c r="X394" s="9">
        <v>0</v>
      </c>
      <c r="Y394" s="10">
        <v>0</v>
      </c>
      <c r="Z394" t="s">
        <v>869</v>
      </c>
      <c r="AA394" t="s">
        <v>868</v>
      </c>
      <c r="AB394" s="2" t="s">
        <v>886</v>
      </c>
      <c r="AC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4" s="2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H394" s="10" t="b">
        <v>0</v>
      </c>
      <c r="AY394"/>
      <c r="AZ394"/>
      <c r="BA394"/>
    </row>
    <row r="395" spans="1:53">
      <c r="A395" s="2" t="s">
        <v>415</v>
      </c>
      <c r="B395">
        <v>1935</v>
      </c>
      <c r="C395" cm="1">
        <f t="array" ref="C395">_xlfn.IFS(ISNUMBER(SEARCH("wagon",PROPERTIES[[#This Row],[VEHIDCODE]])),0,OR(MID(PROPERTIES[[#This Row],[VEHIDCODE]],2,2)="mu",_xlfn.TEXTBEFORE(PROPERTIES[[#This Row],[VEHIDCODE]],"_")="mtro"),1,1=1,0)</f>
        <v>0</v>
      </c>
      <c r="D395" t="s">
        <v>1937</v>
      </c>
      <c r="E395" t="str">
        <f>_xlfn.XLOOKUP(PROPERTIES[[#This Row],[COUNTRY]],COUNTRIES[COUNTRY_DESCRIPTION],COUNTRIES[COUNTRY_LABEL],"")</f>
        <v>US</v>
      </c>
      <c r="F395" t="str" cm="1">
        <f t="array" ref="F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5" t="s">
        <v>19</v>
      </c>
      <c r="H395">
        <v>0</v>
      </c>
      <c r="I395">
        <v>8</v>
      </c>
      <c r="J395">
        <v>10</v>
      </c>
      <c r="K395" t="str" cm="1">
        <f t="array" ref="K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5">
        <f>_xlfn.XLOOKUP("LOADINGSPEEDDEF_"&amp;PROPERTIES[[#This Row],[LOADINGSPEED]],LOADINGSPEEDDEF[TYPE],LOADINGSPEEDDEF[SPEED])</f>
        <v>20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f>IF(ISNUMBER(SEARCH("passenger",PROPERTIES[[#This Row],[CARGODEF]])),1,0)</f>
        <v>0</v>
      </c>
      <c r="O395" s="32">
        <v>215</v>
      </c>
      <c r="P395">
        <v>4620</v>
      </c>
      <c r="Q395">
        <v>160</v>
      </c>
      <c r="R395" s="29">
        <v>291</v>
      </c>
      <c r="S395" s="28">
        <f>IFERROR(PROPERTIES[[#This Row],[TE_STARTING_KN]]/(PROPERTIES[[#This Row],[WEIGHT]]*9.81),0)</f>
        <v>0.1379702723846099</v>
      </c>
      <c r="T395" s="28">
        <v>0.15</v>
      </c>
      <c r="U395" s="25">
        <f>ROUND(IF(IFERROR(PROPERTIES[[#This Row],[TE_COEFFICIENT_CALC]],0)=0,PROPERTIES[[#This Row],[TE_COEFFICIENT_MANUAL]],PROPERTIES[[#This Row],[TE_COEFFICIENT_CALC]]),3)</f>
        <v>0.13800000000000001</v>
      </c>
      <c r="V395" s="11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36">
        <v>0</v>
      </c>
      <c r="X395" s="9">
        <v>2</v>
      </c>
      <c r="Y395" s="10">
        <v>0</v>
      </c>
      <c r="Z395" t="s">
        <v>874</v>
      </c>
      <c r="AA395" t="s">
        <v>868</v>
      </c>
      <c r="AB395" s="2" t="s">
        <v>886</v>
      </c>
      <c r="AC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5" s="2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H395" s="10" t="b">
        <v>0</v>
      </c>
      <c r="AY395"/>
      <c r="AZ395"/>
      <c r="BA395"/>
    </row>
    <row r="396" spans="1:53">
      <c r="A396" s="2" t="s">
        <v>416</v>
      </c>
      <c r="B396">
        <v>1940</v>
      </c>
      <c r="C396" cm="1">
        <f t="array" ref="C396">_xlfn.IFS(ISNUMBER(SEARCH("wagon",PROPERTIES[[#This Row],[VEHIDCODE]])),0,OR(MID(PROPERTIES[[#This Row],[VEHIDCODE]],2,2)="mu",_xlfn.TEXTBEFORE(PROPERTIES[[#This Row],[VEHIDCODE]],"_")="mtro"),1,1=1,0)</f>
        <v>0</v>
      </c>
      <c r="D396" t="s">
        <v>1718</v>
      </c>
      <c r="E396" t="str">
        <f>_xlfn.XLOOKUP(PROPERTIES[[#This Row],[COUNTRY]],COUNTRIES[COUNTRY_DESCRIPTION],COUNTRIES[COUNTRY_LABEL],"")</f>
        <v>AT</v>
      </c>
      <c r="F396" t="str" cm="1">
        <f t="array" ref="F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6" t="s">
        <v>19</v>
      </c>
      <c r="H396">
        <v>0</v>
      </c>
      <c r="I396">
        <v>8</v>
      </c>
      <c r="J396">
        <v>8</v>
      </c>
      <c r="K396" t="str" cm="1">
        <f t="array" ref="K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6">
        <f>_xlfn.XLOOKUP("LOADINGSPEEDDEF_"&amp;PROPERTIES[[#This Row],[LOADINGSPEED]],LOADINGSPEEDDEF[TYPE],LOADINGSPEEDDEF[SPEED])</f>
        <v>20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f>IF(ISNUMBER(SEARCH("passenger",PROPERTIES[[#This Row],[CARGODEF]])),1,0)</f>
        <v>0</v>
      </c>
      <c r="O396" s="32">
        <v>128</v>
      </c>
      <c r="P396">
        <v>3648</v>
      </c>
      <c r="Q396">
        <v>75</v>
      </c>
      <c r="R396" s="29">
        <v>300</v>
      </c>
      <c r="S396" s="28">
        <f>IFERROR(PROPERTIES[[#This Row],[TE_STARTING_KN]]/(PROPERTIES[[#This Row],[WEIGHT]]*9.81),0)</f>
        <v>0.23891437308868502</v>
      </c>
      <c r="T396" s="28">
        <v>0.31</v>
      </c>
      <c r="U396" s="25">
        <f>ROUND(IF(IFERROR(PROPERTIES[[#This Row],[TE_COEFFICIENT_CALC]],0)=0,PROPERTIES[[#This Row],[TE_COEFFICIENT_MANUAL]],PROPERTIES[[#This Row],[TE_COEFFICIENT_CALC]]),3)</f>
        <v>0.23899999999999999</v>
      </c>
      <c r="V396" s="11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36">
        <v>0</v>
      </c>
      <c r="X396" s="9">
        <v>0</v>
      </c>
      <c r="Y396" s="10">
        <v>0</v>
      </c>
      <c r="Z396" t="s">
        <v>869</v>
      </c>
      <c r="AA396" t="s">
        <v>868</v>
      </c>
      <c r="AB396" s="2" t="s">
        <v>886</v>
      </c>
      <c r="AC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6" s="2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H396" s="10" t="b">
        <v>0</v>
      </c>
      <c r="AY396"/>
      <c r="AZ396"/>
      <c r="BA396"/>
    </row>
    <row r="397" spans="1:53">
      <c r="A397" s="2" t="s">
        <v>417</v>
      </c>
      <c r="B397">
        <v>1970</v>
      </c>
      <c r="C397" cm="1">
        <f t="array" ref="C397">_xlfn.IFS(ISNUMBER(SEARCH("wagon",PROPERTIES[[#This Row],[VEHIDCODE]])),0,OR(MID(PROPERTIES[[#This Row],[VEHIDCODE]],2,2)="mu",_xlfn.TEXTBEFORE(PROPERTIES[[#This Row],[VEHIDCODE]],"_")="mtro"),1,1=1,0)</f>
        <v>0</v>
      </c>
      <c r="D397" t="s">
        <v>1763</v>
      </c>
      <c r="E397" t="str">
        <f>_xlfn.XLOOKUP(PROPERTIES[[#This Row],[COUNTRY]],COUNTRIES[COUNTRY_DESCRIPTION],COUNTRIES[COUNTRY_LABEL],"")</f>
        <v>DE</v>
      </c>
      <c r="F397" t="str" cm="1">
        <f t="array" ref="F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7" t="s">
        <v>19</v>
      </c>
      <c r="H397">
        <v>0</v>
      </c>
      <c r="I397">
        <v>8</v>
      </c>
      <c r="J397">
        <v>8</v>
      </c>
      <c r="K397" t="str" cm="1">
        <f t="array" ref="K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7">
        <f>_xlfn.XLOOKUP("LOADINGSPEEDDEF_"&amp;PROPERTIES[[#This Row],[LOADINGSPEED]],LOADINGSPEEDDEF[TYPE],LOADINGSPEEDDEF[SPEED])</f>
        <v>20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f>IF(ISNUMBER(SEARCH("passenger",PROPERTIES[[#This Row],[CARGODEF]])),1,0)</f>
        <v>0</v>
      </c>
      <c r="O397" s="32">
        <v>114</v>
      </c>
      <c r="P397">
        <v>9980</v>
      </c>
      <c r="Q397">
        <v>200</v>
      </c>
      <c r="R397" s="29">
        <v>312</v>
      </c>
      <c r="S397" s="28">
        <f>IFERROR(PROPERTIES[[#This Row],[TE_STARTING_KN]]/(PROPERTIES[[#This Row],[WEIGHT]]*9.81),0)</f>
        <v>0.27898492408391007</v>
      </c>
      <c r="T397" s="28">
        <v>0.27</v>
      </c>
      <c r="U397" s="25">
        <f>ROUND(IF(IFERROR(PROPERTIES[[#This Row],[TE_COEFFICIENT_CALC]],0)=0,PROPERTIES[[#This Row],[TE_COEFFICIENT_MANUAL]],PROPERTIES[[#This Row],[TE_COEFFICIENT_CALC]]),3)</f>
        <v>0.27900000000000003</v>
      </c>
      <c r="V397" s="11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36">
        <v>0</v>
      </c>
      <c r="X397" s="9">
        <v>0</v>
      </c>
      <c r="Y397" s="10">
        <v>0</v>
      </c>
      <c r="Z397" t="s">
        <v>869</v>
      </c>
      <c r="AA397" t="s">
        <v>868</v>
      </c>
      <c r="AB397" s="2" t="s">
        <v>886</v>
      </c>
      <c r="AC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7" s="2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H397" s="10" t="b">
        <v>0</v>
      </c>
      <c r="AY397"/>
      <c r="AZ397"/>
      <c r="BA397"/>
    </row>
    <row r="398" spans="1:53">
      <c r="A398" s="2" t="s">
        <v>418</v>
      </c>
      <c r="B398">
        <v>1925</v>
      </c>
      <c r="C398" cm="1">
        <f t="array" ref="C398">_xlfn.IFS(ISNUMBER(SEARCH("wagon",PROPERTIES[[#This Row],[VEHIDCODE]])),0,OR(MID(PROPERTIES[[#This Row],[VEHIDCODE]],2,2)="mu",_xlfn.TEXTBEFORE(PROPERTIES[[#This Row],[VEHIDCODE]],"_")="mtro"),1,1=1,0)</f>
        <v>0</v>
      </c>
      <c r="D398" t="s">
        <v>1763</v>
      </c>
      <c r="E398" t="str">
        <f>_xlfn.XLOOKUP(PROPERTIES[[#This Row],[COUNTRY]],COUNTRIES[COUNTRY_DESCRIPTION],COUNTRIES[COUNTRY_LABEL],"")</f>
        <v>DE</v>
      </c>
      <c r="F398" t="str" cm="1">
        <f t="array" ref="F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8" t="s">
        <v>19</v>
      </c>
      <c r="H398">
        <v>0</v>
      </c>
      <c r="I398">
        <v>8</v>
      </c>
      <c r="J398">
        <v>8</v>
      </c>
      <c r="K398" t="str" cm="1">
        <f t="array" ref="K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8">
        <f>_xlfn.XLOOKUP("LOADINGSPEEDDEF_"&amp;PROPERTIES[[#This Row],[LOADINGSPEED]],LOADINGSPEEDDEF[TYPE],LOADINGSPEEDDEF[SPEED])</f>
        <v>20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f>IF(ISNUMBER(SEARCH("passenger",PROPERTIES[[#This Row],[CARGODEF]])),1,0)</f>
        <v>0</v>
      </c>
      <c r="O398" s="32">
        <v>124</v>
      </c>
      <c r="P398">
        <v>2230</v>
      </c>
      <c r="Q398">
        <v>55</v>
      </c>
      <c r="R398" s="29">
        <v>294</v>
      </c>
      <c r="S398" s="28">
        <f>IFERROR(PROPERTIES[[#This Row],[TE_STARTING_KN]]/(PROPERTIES[[#This Row],[WEIGHT]]*9.81),0)</f>
        <v>0.24168886258261812</v>
      </c>
      <c r="T398" s="28">
        <v>0.24</v>
      </c>
      <c r="U398" s="25">
        <f>ROUND(IF(IFERROR(PROPERTIES[[#This Row],[TE_COEFFICIENT_CALC]],0)=0,PROPERTIES[[#This Row],[TE_COEFFICIENT_MANUAL]],PROPERTIES[[#This Row],[TE_COEFFICIENT_CALC]]),3)</f>
        <v>0.24199999999999999</v>
      </c>
      <c r="V398" s="11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36">
        <v>0</v>
      </c>
      <c r="X398" s="9">
        <v>0</v>
      </c>
      <c r="Y398" s="10">
        <v>0</v>
      </c>
      <c r="Z398" t="s">
        <v>869</v>
      </c>
      <c r="AA398" t="s">
        <v>868</v>
      </c>
      <c r="AB398" s="2" t="s">
        <v>886</v>
      </c>
      <c r="AC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8" s="2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H398" s="10" t="b">
        <v>0</v>
      </c>
      <c r="AY398"/>
      <c r="AZ398"/>
      <c r="BA398"/>
    </row>
    <row r="399" spans="1:53">
      <c r="A399" s="2" t="s">
        <v>419</v>
      </c>
      <c r="B399">
        <v>1954</v>
      </c>
      <c r="C399" cm="1">
        <f t="array" ref="C399">_xlfn.IFS(ISNUMBER(SEARCH("wagon",PROPERTIES[[#This Row],[VEHIDCODE]])),0,OR(MID(PROPERTIES[[#This Row],[VEHIDCODE]],2,2)="mu",_xlfn.TEXTBEFORE(PROPERTIES[[#This Row],[VEHIDCODE]],"_")="mtro"),1,1=1,0)</f>
        <v>0</v>
      </c>
      <c r="D399" t="s">
        <v>1749</v>
      </c>
      <c r="E399" t="str">
        <f>_xlfn.XLOOKUP(PROPERTIES[[#This Row],[COUNTRY]],COUNTRIES[COUNTRY_DESCRIPTION],COUNTRIES[COUNTRY_LABEL],"")</f>
        <v>CH</v>
      </c>
      <c r="F399" t="str" cm="1">
        <f t="array" ref="F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9" t="s">
        <v>19</v>
      </c>
      <c r="H399">
        <v>0</v>
      </c>
      <c r="I399">
        <v>5</v>
      </c>
      <c r="J399">
        <v>5</v>
      </c>
      <c r="K399" t="str" cm="1">
        <f t="array" ref="K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9">
        <f>_xlfn.XLOOKUP("LOADINGSPEEDDEF_"&amp;PROPERTIES[[#This Row],[LOADINGSPEED]],LOADINGSPEEDDEF[TYPE],LOADINGSPEEDDEF[SPEED])</f>
        <v>20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f>IF(ISNUMBER(SEARCH("passenger",PROPERTIES[[#This Row],[CARGODEF]])),1,0)</f>
        <v>0</v>
      </c>
      <c r="O399" s="32">
        <v>70</v>
      </c>
      <c r="P399">
        <v>1000</v>
      </c>
      <c r="Q399">
        <v>65</v>
      </c>
      <c r="R399" s="29">
        <v>74</v>
      </c>
      <c r="S399" s="28">
        <f>IFERROR(PROPERTIES[[#This Row],[TE_STARTING_KN]]/(PROPERTIES[[#This Row],[WEIGHT]]*9.81),0)</f>
        <v>0.10776175913790592</v>
      </c>
      <c r="T399" s="28">
        <v>0.17</v>
      </c>
      <c r="U399" s="25">
        <f>ROUND(IF(IFERROR(PROPERTIES[[#This Row],[TE_COEFFICIENT_CALC]],0)=0,PROPERTIES[[#This Row],[TE_COEFFICIENT_MANUAL]],PROPERTIES[[#This Row],[TE_COEFFICIENT_CALC]]),3)</f>
        <v>0.108</v>
      </c>
      <c r="V399" s="11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36">
        <v>0</v>
      </c>
      <c r="X399" s="9">
        <v>0</v>
      </c>
      <c r="Y399" s="10">
        <v>0</v>
      </c>
      <c r="Z399" t="s">
        <v>869</v>
      </c>
      <c r="AA399" t="s">
        <v>868</v>
      </c>
      <c r="AB399" s="2" t="s">
        <v>886</v>
      </c>
      <c r="AC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9" s="2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H399" s="10" t="b">
        <v>0</v>
      </c>
      <c r="AY399"/>
      <c r="AZ399"/>
      <c r="BA399"/>
    </row>
    <row r="400" spans="1:53">
      <c r="A400" s="2" t="s">
        <v>420</v>
      </c>
      <c r="B400">
        <v>1955</v>
      </c>
      <c r="C400" cm="1">
        <f t="array" ref="C400">_xlfn.IFS(ISNUMBER(SEARCH("wagon",PROPERTIES[[#This Row],[VEHIDCODE]])),0,OR(MID(PROPERTIES[[#This Row],[VEHIDCODE]],2,2)="mu",_xlfn.TEXTBEFORE(PROPERTIES[[#This Row],[VEHIDCODE]],"_")="mtro"),1,1=1,0)</f>
        <v>0</v>
      </c>
      <c r="D400" t="s">
        <v>1749</v>
      </c>
      <c r="E400" t="str">
        <f>_xlfn.XLOOKUP(PROPERTIES[[#This Row],[COUNTRY]],COUNTRIES[COUNTRY_DESCRIPTION],COUNTRIES[COUNTRY_LABEL],"")</f>
        <v>CH</v>
      </c>
      <c r="F400" t="str" cm="1">
        <f t="array" ref="F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0" t="s">
        <v>19</v>
      </c>
      <c r="H400">
        <v>0</v>
      </c>
      <c r="I400">
        <v>8</v>
      </c>
      <c r="J400">
        <v>8</v>
      </c>
      <c r="K400" t="str" cm="1">
        <f t="array" ref="K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0">
        <f>_xlfn.XLOOKUP("LOADINGSPEEDDEF_"&amp;PROPERTIES[[#This Row],[LOADINGSPEED]],LOADINGSPEEDDEF[TYPE],LOADINGSPEEDDEF[SPEED])</f>
        <v>20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f>IF(ISNUMBER(SEARCH("passenger",PROPERTIES[[#This Row],[CARGODEF]])),1,0)</f>
        <v>0</v>
      </c>
      <c r="O400" s="32">
        <v>120</v>
      </c>
      <c r="P400">
        <v>5770</v>
      </c>
      <c r="Q400">
        <v>120</v>
      </c>
      <c r="R400" s="29">
        <v>392</v>
      </c>
      <c r="S400" s="28">
        <f>IFERROR(PROPERTIES[[#This Row],[TE_STARTING_KN]]/(PROPERTIES[[#This Row],[WEIGHT]]*9.81),0)</f>
        <v>0.3329935440027183</v>
      </c>
      <c r="T400" s="28">
        <v>0.33</v>
      </c>
      <c r="U400" s="25">
        <f>ROUND(IF(IFERROR(PROPERTIES[[#This Row],[TE_COEFFICIENT_CALC]],0)=0,PROPERTIES[[#This Row],[TE_COEFFICIENT_MANUAL]],PROPERTIES[[#This Row],[TE_COEFFICIENT_CALC]]),3)</f>
        <v>0.33300000000000002</v>
      </c>
      <c r="V400" s="11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36">
        <v>0</v>
      </c>
      <c r="X400" s="9">
        <v>0</v>
      </c>
      <c r="Y400" s="10">
        <v>0</v>
      </c>
      <c r="Z400" t="s">
        <v>869</v>
      </c>
      <c r="AA400" t="s">
        <v>868</v>
      </c>
      <c r="AB400" s="2" t="s">
        <v>886</v>
      </c>
      <c r="AC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0" s="2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H400" s="10" t="b">
        <v>0</v>
      </c>
      <c r="AY400"/>
      <c r="AZ400"/>
      <c r="BA400"/>
    </row>
    <row r="401" spans="1:53">
      <c r="A401" s="2" t="s">
        <v>421</v>
      </c>
      <c r="B401">
        <v>1991</v>
      </c>
      <c r="C401" cm="1">
        <f t="array" ref="C401">_xlfn.IFS(ISNUMBER(SEARCH("wagon",PROPERTIES[[#This Row],[VEHIDCODE]])),0,OR(MID(PROPERTIES[[#This Row],[VEHIDCODE]],2,2)="mu",_xlfn.TEXTBEFORE(PROPERTIES[[#This Row],[VEHIDCODE]],"_")="mtro"),1,1=1,0)</f>
        <v>0</v>
      </c>
      <c r="D401" t="s">
        <v>1749</v>
      </c>
      <c r="E401" t="str">
        <f>_xlfn.XLOOKUP(PROPERTIES[[#This Row],[COUNTRY]],COUNTRIES[COUNTRY_DESCRIPTION],COUNTRIES[COUNTRY_LABEL],"")</f>
        <v>CH</v>
      </c>
      <c r="F401" t="str" cm="1">
        <f t="array" ref="F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1" t="s">
        <v>19</v>
      </c>
      <c r="H401">
        <v>0</v>
      </c>
      <c r="I401">
        <v>8</v>
      </c>
      <c r="J401">
        <v>8</v>
      </c>
      <c r="K401" t="str" cm="1">
        <f t="array" ref="K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1">
        <f>_xlfn.XLOOKUP("LOADINGSPEEDDEF_"&amp;PROPERTIES[[#This Row],[LOADINGSPEED]],LOADINGSPEEDDEF[TYPE],LOADINGSPEEDDEF[SPEED])</f>
        <v>20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f>IF(ISNUMBER(SEARCH("passenger",PROPERTIES[[#This Row],[CARGODEF]])),1,0)</f>
        <v>0</v>
      </c>
      <c r="O401" s="32">
        <v>84</v>
      </c>
      <c r="P401">
        <v>7510</v>
      </c>
      <c r="Q401">
        <v>230</v>
      </c>
      <c r="R401" s="29">
        <v>300</v>
      </c>
      <c r="S401" s="28">
        <f>IFERROR(PROPERTIES[[#This Row],[TE_STARTING_KN]]/(PROPERTIES[[#This Row],[WEIGHT]]*9.81),0)</f>
        <v>0.36405999708752002</v>
      </c>
      <c r="T401" s="28">
        <v>0.36</v>
      </c>
      <c r="U401" s="25">
        <f>ROUND(IF(IFERROR(PROPERTIES[[#This Row],[TE_COEFFICIENT_CALC]],0)=0,PROPERTIES[[#This Row],[TE_COEFFICIENT_MANUAL]],PROPERTIES[[#This Row],[TE_COEFFICIENT_CALC]]),3)</f>
        <v>0.36399999999999999</v>
      </c>
      <c r="V401" s="11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36">
        <v>0</v>
      </c>
      <c r="X401" s="9">
        <v>0</v>
      </c>
      <c r="Y401" s="10">
        <v>0</v>
      </c>
      <c r="Z401" t="s">
        <v>869</v>
      </c>
      <c r="AA401" t="s">
        <v>868</v>
      </c>
      <c r="AB401" s="2" t="s">
        <v>886</v>
      </c>
      <c r="AC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1" s="2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H401" s="10" t="b">
        <v>0</v>
      </c>
      <c r="AY401"/>
      <c r="AZ401"/>
      <c r="BA401"/>
    </row>
    <row r="402" spans="1:53">
      <c r="A402" s="2" t="s">
        <v>422</v>
      </c>
      <c r="B402">
        <v>2012</v>
      </c>
      <c r="C402" cm="1">
        <f t="array" ref="C402">_xlfn.IFS(ISNUMBER(SEARCH("wagon",PROPERTIES[[#This Row],[VEHIDCODE]])),0,OR(MID(PROPERTIES[[#This Row],[VEHIDCODE]],2,2)="mu",_xlfn.TEXTBEFORE(PROPERTIES[[#This Row],[VEHIDCODE]],"_")="mtro"),1,1=1,0)</f>
        <v>0</v>
      </c>
      <c r="D402" t="s">
        <v>1749</v>
      </c>
      <c r="E402" t="str">
        <f>_xlfn.XLOOKUP(PROPERTIES[[#This Row],[COUNTRY]],COUNTRIES[COUNTRY_DESCRIPTION],COUNTRIES[COUNTRY_LABEL],"")</f>
        <v>CH</v>
      </c>
      <c r="F402" t="str" cm="1">
        <f t="array" ref="F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2" t="s">
        <v>19</v>
      </c>
      <c r="H402">
        <v>0</v>
      </c>
      <c r="I402">
        <v>5</v>
      </c>
      <c r="J402">
        <v>5</v>
      </c>
      <c r="K402" t="str" cm="1">
        <f t="array" ref="K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2">
        <f>_xlfn.XLOOKUP("LOADINGSPEEDDEF_"&amp;PROPERTIES[[#This Row],[LOADINGSPEED]],LOADINGSPEEDDEF[TYPE],LOADINGSPEEDDEF[SPEED])</f>
        <v>20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f>IF(ISNUMBER(SEARCH("passenger",PROPERTIES[[#This Row],[CARGODEF]])),1,0)</f>
        <v>0</v>
      </c>
      <c r="O402" s="32">
        <v>45</v>
      </c>
      <c r="P402">
        <v>2012</v>
      </c>
      <c r="Q402">
        <v>120</v>
      </c>
      <c r="R402" s="29">
        <v>150</v>
      </c>
      <c r="S402" s="28">
        <f>IFERROR(PROPERTIES[[#This Row],[TE_STARTING_KN]]/(PROPERTIES[[#This Row],[WEIGHT]]*9.81),0)</f>
        <v>0.33978933061501865</v>
      </c>
      <c r="T402" s="28">
        <v>0.27</v>
      </c>
      <c r="U402" s="25">
        <f>ROUND(IF(IFERROR(PROPERTIES[[#This Row],[TE_COEFFICIENT_CALC]],0)=0,PROPERTIES[[#This Row],[TE_COEFFICIENT_MANUAL]],PROPERTIES[[#This Row],[TE_COEFFICIENT_CALC]]),3)</f>
        <v>0.34</v>
      </c>
      <c r="V402" s="11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36">
        <v>0</v>
      </c>
      <c r="X402" s="9">
        <v>0</v>
      </c>
      <c r="Y402" s="10">
        <v>0</v>
      </c>
      <c r="Z402" t="s">
        <v>869</v>
      </c>
      <c r="AA402" t="s">
        <v>868</v>
      </c>
      <c r="AB402" s="2" t="s">
        <v>886</v>
      </c>
      <c r="AC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2" s="2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H402" s="10" t="b">
        <v>0</v>
      </c>
      <c r="AY402"/>
      <c r="AZ402"/>
      <c r="BA402"/>
    </row>
    <row r="403" spans="1:53">
      <c r="A403" s="2" t="s">
        <v>423</v>
      </c>
      <c r="B403">
        <v>1974</v>
      </c>
      <c r="C403" cm="1">
        <f t="array" ref="C403">_xlfn.IFS(ISNUMBER(SEARCH("wagon",PROPERTIES[[#This Row],[VEHIDCODE]])),0,OR(MID(PROPERTIES[[#This Row],[VEHIDCODE]],2,2)="mu",_xlfn.TEXTBEFORE(PROPERTIES[[#This Row],[VEHIDCODE]],"_")="mtro"),1,1=1,0)</f>
        <v>0</v>
      </c>
      <c r="D403" t="s">
        <v>1718</v>
      </c>
      <c r="E403" t="str">
        <f>_xlfn.XLOOKUP(PROPERTIES[[#This Row],[COUNTRY]],COUNTRIES[COUNTRY_DESCRIPTION],COUNTRIES[COUNTRY_LABEL],"")</f>
        <v>AT</v>
      </c>
      <c r="F403" t="str" cm="1">
        <f t="array" ref="F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3" t="s">
        <v>19</v>
      </c>
      <c r="H403">
        <v>0</v>
      </c>
      <c r="I403">
        <v>8</v>
      </c>
      <c r="J403">
        <v>8</v>
      </c>
      <c r="K403" t="str" cm="1">
        <f t="array" ref="K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3">
        <f>_xlfn.XLOOKUP("LOADINGSPEEDDEF_"&amp;PROPERTIES[[#This Row],[LOADINGSPEED]],LOADINGSPEEDDEF[TYPE],LOADINGSPEEDDEF[SPEED])</f>
        <v>20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f>IF(ISNUMBER(SEARCH("passenger",PROPERTIES[[#This Row],[CARGODEF]])),1,0)</f>
        <v>0</v>
      </c>
      <c r="O403" s="32">
        <v>84</v>
      </c>
      <c r="P403">
        <v>6970</v>
      </c>
      <c r="Q403">
        <v>160</v>
      </c>
      <c r="R403" s="29">
        <v>341</v>
      </c>
      <c r="S403" s="28">
        <f>IFERROR(PROPERTIES[[#This Row],[TE_STARTING_KN]]/(PROPERTIES[[#This Row],[WEIGHT]]*9.81),0)</f>
        <v>0.4138148633561477</v>
      </c>
      <c r="T403" s="28">
        <v>0.39</v>
      </c>
      <c r="U403" s="25">
        <f>ROUND(IF(IFERROR(PROPERTIES[[#This Row],[TE_COEFFICIENT_CALC]],0)=0,PROPERTIES[[#This Row],[TE_COEFFICIENT_MANUAL]],PROPERTIES[[#This Row],[TE_COEFFICIENT_CALC]]),3)</f>
        <v>0.41399999999999998</v>
      </c>
      <c r="V403" s="11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36">
        <v>0</v>
      </c>
      <c r="X403" s="9">
        <v>0</v>
      </c>
      <c r="Y403" s="10">
        <v>0</v>
      </c>
      <c r="Z403" t="s">
        <v>869</v>
      </c>
      <c r="AA403" t="s">
        <v>868</v>
      </c>
      <c r="AB403" s="2" t="s">
        <v>886</v>
      </c>
      <c r="AC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3" s="2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H403" s="10" t="b">
        <v>0</v>
      </c>
      <c r="AY403"/>
      <c r="AZ403"/>
      <c r="BA403"/>
    </row>
    <row r="404" spans="1:53">
      <c r="A404" s="2" t="s">
        <v>424</v>
      </c>
      <c r="B404">
        <v>1982</v>
      </c>
      <c r="C404" cm="1">
        <f t="array" ref="C404">_xlfn.IFS(ISNUMBER(SEARCH("wagon",PROPERTIES[[#This Row],[VEHIDCODE]])),0,OR(MID(PROPERTIES[[#This Row],[VEHIDCODE]],2,2)="mu",_xlfn.TEXTBEFORE(PROPERTIES[[#This Row],[VEHIDCODE]],"_")="mtro"),1,1=1,0)</f>
        <v>0</v>
      </c>
      <c r="D404" t="s">
        <v>1718</v>
      </c>
      <c r="E404" t="str">
        <f>_xlfn.XLOOKUP(PROPERTIES[[#This Row],[COUNTRY]],COUNTRIES[COUNTRY_DESCRIPTION],COUNTRIES[COUNTRY_LABEL],"")</f>
        <v>AT</v>
      </c>
      <c r="F404" t="str" cm="1">
        <f t="array" ref="F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4" t="s">
        <v>19</v>
      </c>
      <c r="H404">
        <v>0</v>
      </c>
      <c r="I404">
        <v>8</v>
      </c>
      <c r="J404">
        <v>8</v>
      </c>
      <c r="K404" t="str" cm="1">
        <f t="array" ref="K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4">
        <f>_xlfn.XLOOKUP("LOADINGSPEEDDEF_"&amp;PROPERTIES[[#This Row],[LOADINGSPEED]],LOADINGSPEEDDEF[TYPE],LOADINGSPEEDDEF[SPEED])</f>
        <v>20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f>IF(ISNUMBER(SEARCH("passenger",PROPERTIES[[#This Row],[CARGODEF]])),1,0)</f>
        <v>0</v>
      </c>
      <c r="O404" s="32">
        <v>82</v>
      </c>
      <c r="P404">
        <v>2680</v>
      </c>
      <c r="Q404">
        <v>100</v>
      </c>
      <c r="R404" s="29">
        <v>260</v>
      </c>
      <c r="S404" s="28">
        <f>IFERROR(PROPERTIES[[#This Row],[TE_STARTING_KN]]/(PROPERTIES[[#This Row],[WEIGHT]]*9.81),0)</f>
        <v>0.32321424131672505</v>
      </c>
      <c r="T404" s="28">
        <v>0.32</v>
      </c>
      <c r="U404" s="25">
        <f>ROUND(IF(IFERROR(PROPERTIES[[#This Row],[TE_COEFFICIENT_CALC]],0)=0,PROPERTIES[[#This Row],[TE_COEFFICIENT_MANUAL]],PROPERTIES[[#This Row],[TE_COEFFICIENT_CALC]]),3)</f>
        <v>0.32300000000000001</v>
      </c>
      <c r="V404" s="11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36">
        <v>0</v>
      </c>
      <c r="X404" s="9">
        <v>0</v>
      </c>
      <c r="Y404" s="10">
        <v>0</v>
      </c>
      <c r="Z404" t="s">
        <v>869</v>
      </c>
      <c r="AA404" t="s">
        <v>868</v>
      </c>
      <c r="AB404" s="2" t="s">
        <v>886</v>
      </c>
      <c r="AC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4" s="2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H404" s="10" t="b">
        <v>0</v>
      </c>
      <c r="AY404"/>
      <c r="AZ404"/>
      <c r="BA404"/>
    </row>
    <row r="405" spans="1:53">
      <c r="A405" s="2" t="s">
        <v>425</v>
      </c>
      <c r="B405">
        <v>1953</v>
      </c>
      <c r="C405" cm="1">
        <f t="array" ref="C405">_xlfn.IFS(ISNUMBER(SEARCH("wagon",PROPERTIES[[#This Row],[VEHIDCODE]])),0,OR(MID(PROPERTIES[[#This Row],[VEHIDCODE]],2,2)="mu",_xlfn.TEXTBEFORE(PROPERTIES[[#This Row],[VEHIDCODE]],"_")="mtro"),1,1=1,0)</f>
        <v>0</v>
      </c>
      <c r="D405" t="s">
        <v>1902</v>
      </c>
      <c r="E405" t="str">
        <f>_xlfn.XLOOKUP(PROPERTIES[[#This Row],[COUNTRY]],COUNTRIES[COUNTRY_DESCRIPTION],COUNTRIES[COUNTRY_LABEL],"")</f>
        <v>SE</v>
      </c>
      <c r="F405" t="str" cm="1">
        <f t="array" ref="F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5" t="s">
        <v>19</v>
      </c>
      <c r="H405">
        <v>0</v>
      </c>
      <c r="I405">
        <v>7</v>
      </c>
      <c r="J405">
        <v>21</v>
      </c>
      <c r="K405" t="str" cm="1">
        <f t="array" ref="K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5">
        <f>_xlfn.XLOOKUP("LOADINGSPEEDDEF_"&amp;PROPERTIES[[#This Row],[LOADINGSPEED]],LOADINGSPEEDDEF[TYPE],LOADINGSPEEDDEF[SPEED])</f>
        <v>20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f>IF(ISNUMBER(SEARCH("passenger",PROPERTIES[[#This Row],[CARGODEF]])),1,0)</f>
        <v>0</v>
      </c>
      <c r="O405" s="32">
        <v>273</v>
      </c>
      <c r="P405">
        <v>9700</v>
      </c>
      <c r="Q405">
        <v>75</v>
      </c>
      <c r="R405" s="29">
        <v>940</v>
      </c>
      <c r="S405" s="28">
        <f>IFERROR(PROPERTIES[[#This Row],[TE_STARTING_KN]]/(PROPERTIES[[#This Row],[WEIGHT]]*9.81),0)</f>
        <v>0.35099117667925006</v>
      </c>
      <c r="T405" s="28">
        <v>0.34</v>
      </c>
      <c r="U405" s="25">
        <f>ROUND(IF(IFERROR(PROPERTIES[[#This Row],[TE_COEFFICIENT_CALC]],0)=0,PROPERTIES[[#This Row],[TE_COEFFICIENT_MANUAL]],PROPERTIES[[#This Row],[TE_COEFFICIENT_CALC]]),3)</f>
        <v>0.35099999999999998</v>
      </c>
      <c r="V405" s="11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36">
        <v>0</v>
      </c>
      <c r="X405" s="9">
        <v>0</v>
      </c>
      <c r="Y405" s="10">
        <v>0</v>
      </c>
      <c r="Z405" t="s">
        <v>873</v>
      </c>
      <c r="AA405" t="s">
        <v>868</v>
      </c>
      <c r="AB405" s="2" t="s">
        <v>886</v>
      </c>
      <c r="AC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5" s="2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H405" s="10" t="b">
        <v>0</v>
      </c>
      <c r="AY405"/>
      <c r="AZ405"/>
      <c r="BA405"/>
    </row>
    <row r="406" spans="1:53">
      <c r="A406" s="2" t="s">
        <v>426</v>
      </c>
      <c r="B406">
        <v>2000</v>
      </c>
      <c r="C406" cm="1">
        <f t="array" ref="C406">_xlfn.IFS(ISNUMBER(SEARCH("wagon",PROPERTIES[[#This Row],[VEHIDCODE]])),0,OR(MID(PROPERTIES[[#This Row],[VEHIDCODE]],2,2)="mu",_xlfn.TEXTBEFORE(PROPERTIES[[#This Row],[VEHIDCODE]],"_")="mtro"),1,1=1,0)</f>
        <v>0</v>
      </c>
      <c r="D406" t="s">
        <v>1902</v>
      </c>
      <c r="E406" t="str">
        <f>_xlfn.XLOOKUP(PROPERTIES[[#This Row],[COUNTRY]],COUNTRIES[COUNTRY_DESCRIPTION],COUNTRIES[COUNTRY_LABEL],"")</f>
        <v>SE</v>
      </c>
      <c r="F406" t="str" cm="1">
        <f t="array" ref="F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6" t="s">
        <v>19</v>
      </c>
      <c r="H406">
        <v>0</v>
      </c>
      <c r="I406">
        <v>8</v>
      </c>
      <c r="J406">
        <v>16</v>
      </c>
      <c r="K406" t="str" cm="1">
        <f t="array" ref="K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6">
        <f>_xlfn.XLOOKUP("LOADINGSPEEDDEF_"&amp;PROPERTIES[[#This Row],[LOADINGSPEED]],LOADINGSPEEDDEF[TYPE],LOADINGSPEEDDEF[SPEED])</f>
        <v>20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f>IF(ISNUMBER(SEARCH("passenger",PROPERTIES[[#This Row],[CARGODEF]])),1,0)</f>
        <v>0</v>
      </c>
      <c r="O406" s="32">
        <f>180*2</f>
        <v>360</v>
      </c>
      <c r="P406">
        <f>7200*2</f>
        <v>14400</v>
      </c>
      <c r="Q406">
        <v>80</v>
      </c>
      <c r="R406" s="29">
        <f>600*2</f>
        <v>1200</v>
      </c>
      <c r="S406" s="28">
        <f>IFERROR(PROPERTIES[[#This Row],[TE_STARTING_KN]]/(PROPERTIES[[#This Row],[WEIGHT]]*9.81),0)</f>
        <v>0.33978933061501865</v>
      </c>
      <c r="T406" s="28">
        <v>0.39</v>
      </c>
      <c r="U406" s="25">
        <f>ROUND(IF(IFERROR(PROPERTIES[[#This Row],[TE_COEFFICIENT_CALC]],0)=0,PROPERTIES[[#This Row],[TE_COEFFICIENT_MANUAL]],PROPERTIES[[#This Row],[TE_COEFFICIENT_CALC]]),3)</f>
        <v>0.34</v>
      </c>
      <c r="V406" s="11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36">
        <v>0</v>
      </c>
      <c r="X406" s="9">
        <v>8</v>
      </c>
      <c r="Y406" s="10">
        <v>0</v>
      </c>
      <c r="Z406" t="s">
        <v>873</v>
      </c>
      <c r="AA406" t="s">
        <v>868</v>
      </c>
      <c r="AB406" s="2" t="s">
        <v>886</v>
      </c>
      <c r="AC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6" s="2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H406" s="10" t="b">
        <v>0</v>
      </c>
      <c r="AY406"/>
      <c r="AZ406"/>
      <c r="BA406"/>
    </row>
    <row r="407" spans="1:53">
      <c r="A407" s="2" t="s">
        <v>427</v>
      </c>
      <c r="B407">
        <v>1914</v>
      </c>
      <c r="C407" cm="1">
        <f t="array" ref="C407">_xlfn.IFS(ISNUMBER(SEARCH("wagon",PROPERTIES[[#This Row],[VEHIDCODE]])),0,OR(MID(PROPERTIES[[#This Row],[VEHIDCODE]],2,2)="mu",_xlfn.TEXTBEFORE(PROPERTIES[[#This Row],[VEHIDCODE]],"_")="mtro"),1,1=1,0)</f>
        <v>0</v>
      </c>
      <c r="D407" t="s">
        <v>1902</v>
      </c>
      <c r="E407" t="str">
        <f>_xlfn.XLOOKUP(PROPERTIES[[#This Row],[COUNTRY]],COUNTRIES[COUNTRY_DESCRIPTION],COUNTRIES[COUNTRY_LABEL],"")</f>
        <v>SE</v>
      </c>
      <c r="F407" t="str" cm="1">
        <f t="array" ref="F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7" t="s">
        <v>19</v>
      </c>
      <c r="H407">
        <v>0</v>
      </c>
      <c r="I407">
        <v>6</v>
      </c>
      <c r="J407">
        <v>12</v>
      </c>
      <c r="K407" t="str" cm="1">
        <f t="array" ref="K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7">
        <f>_xlfn.XLOOKUP("LOADINGSPEEDDEF_"&amp;PROPERTIES[[#This Row],[LOADINGSPEED]],LOADINGSPEEDDEF[TYPE],LOADINGSPEEDDEF[SPEED])</f>
        <v>20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f>IF(ISNUMBER(SEARCH("passenger",PROPERTIES[[#This Row],[CARGODEF]])),1,0)</f>
        <v>0</v>
      </c>
      <c r="O407" s="32">
        <v>125</v>
      </c>
      <c r="P407">
        <v>1600</v>
      </c>
      <c r="Q407">
        <v>60</v>
      </c>
      <c r="R407" s="29">
        <v>248</v>
      </c>
      <c r="S407" s="28">
        <f>IFERROR(PROPERTIES[[#This Row],[TE_STARTING_KN]]/(PROPERTIES[[#This Row],[WEIGHT]]*9.81),0)</f>
        <v>0.20224260958205911</v>
      </c>
      <c r="T407" s="28">
        <v>0.2</v>
      </c>
      <c r="U407" s="25">
        <f>ROUND(IF(IFERROR(PROPERTIES[[#This Row],[TE_COEFFICIENT_CALC]],0)=0,PROPERTIES[[#This Row],[TE_COEFFICIENT_MANUAL]],PROPERTIES[[#This Row],[TE_COEFFICIENT_CALC]]),3)</f>
        <v>0.20200000000000001</v>
      </c>
      <c r="V407" s="11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36">
        <v>0</v>
      </c>
      <c r="X407" s="9">
        <v>6</v>
      </c>
      <c r="Y407" s="10">
        <v>0</v>
      </c>
      <c r="Z407" t="s">
        <v>873</v>
      </c>
      <c r="AA407" t="s">
        <v>868</v>
      </c>
      <c r="AB407" s="2" t="s">
        <v>886</v>
      </c>
      <c r="AC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7" s="2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H407" s="10" t="b">
        <v>0</v>
      </c>
      <c r="AY407"/>
      <c r="AZ407"/>
      <c r="BA407"/>
    </row>
    <row r="408" spans="1:53">
      <c r="A408" s="2" t="s">
        <v>428</v>
      </c>
      <c r="B408">
        <v>1942</v>
      </c>
      <c r="C408" cm="1">
        <f t="array" ref="C408">_xlfn.IFS(ISNUMBER(SEARCH("wagon",PROPERTIES[[#This Row],[VEHIDCODE]])),0,OR(MID(PROPERTIES[[#This Row],[VEHIDCODE]],2,2)="mu",_xlfn.TEXTBEFORE(PROPERTIES[[#This Row],[VEHIDCODE]],"_")="mtro"),1,1=1,0)</f>
        <v>0</v>
      </c>
      <c r="D408" t="s">
        <v>1902</v>
      </c>
      <c r="E408" t="str">
        <f>_xlfn.XLOOKUP(PROPERTIES[[#This Row],[COUNTRY]],COUNTRIES[COUNTRY_DESCRIPTION],COUNTRIES[COUNTRY_LABEL],"")</f>
        <v>SE</v>
      </c>
      <c r="F408" t="str" cm="1">
        <f t="array" ref="F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8" t="s">
        <v>19</v>
      </c>
      <c r="H408">
        <v>0</v>
      </c>
      <c r="I408">
        <v>8</v>
      </c>
      <c r="J408">
        <v>8</v>
      </c>
      <c r="K408" t="str" cm="1">
        <f t="array" ref="K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8">
        <f>_xlfn.XLOOKUP("LOADINGSPEEDDEF_"&amp;PROPERTIES[[#This Row],[LOADINGSPEED]],LOADINGSPEEDDEF[TYPE],LOADINGSPEEDDEF[SPEED])</f>
        <v>20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f>IF(ISNUMBER(SEARCH("passenger",PROPERTIES[[#This Row],[CARGODEF]])),1,0)</f>
        <v>0</v>
      </c>
      <c r="O408" s="32">
        <v>102</v>
      </c>
      <c r="P408">
        <v>3460</v>
      </c>
      <c r="Q408">
        <v>135</v>
      </c>
      <c r="R408" s="29">
        <v>203</v>
      </c>
      <c r="S408" s="28">
        <f>IFERROR(PROPERTIES[[#This Row],[TE_STARTING_KN]]/(PROPERTIES[[#This Row],[WEIGHT]]*9.81),0)</f>
        <v>0.20287421798484939</v>
      </c>
      <c r="T408" s="28">
        <v>0.2</v>
      </c>
      <c r="U408" s="25">
        <f>ROUND(IF(IFERROR(PROPERTIES[[#This Row],[TE_COEFFICIENT_CALC]],0)=0,PROPERTIES[[#This Row],[TE_COEFFICIENT_MANUAL]],PROPERTIES[[#This Row],[TE_COEFFICIENT_CALC]]),3)</f>
        <v>0.20300000000000001</v>
      </c>
      <c r="V408" s="11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36">
        <v>0</v>
      </c>
      <c r="X408" s="9">
        <v>0</v>
      </c>
      <c r="Y408" s="10">
        <v>0</v>
      </c>
      <c r="Z408" t="s">
        <v>873</v>
      </c>
      <c r="AA408" t="s">
        <v>868</v>
      </c>
      <c r="AB408" s="2" t="s">
        <v>886</v>
      </c>
      <c r="AC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8" s="2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H408" s="10" t="b">
        <v>0</v>
      </c>
      <c r="AY408"/>
      <c r="AZ408"/>
      <c r="BA408"/>
    </row>
    <row r="409" spans="1:53">
      <c r="A409" s="2" t="s">
        <v>429</v>
      </c>
      <c r="B409">
        <v>1982</v>
      </c>
      <c r="C409" cm="1">
        <f t="array" ref="C409">_xlfn.IFS(ISNUMBER(SEARCH("wagon",PROPERTIES[[#This Row],[VEHIDCODE]])),0,OR(MID(PROPERTIES[[#This Row],[VEHIDCODE]],2,2)="mu",_xlfn.TEXTBEFORE(PROPERTIES[[#This Row],[VEHIDCODE]],"_")="mtro"),1,1=1,0)</f>
        <v>0</v>
      </c>
      <c r="D409" t="s">
        <v>1872</v>
      </c>
      <c r="E409" t="str">
        <f>_xlfn.XLOOKUP(PROPERTIES[[#This Row],[COUNTRY]],COUNTRIES[COUNTRY_DESCRIPTION],COUNTRIES[COUNTRY_LABEL],"")</f>
        <v>NO</v>
      </c>
      <c r="F409" t="str" cm="1">
        <f t="array" ref="F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9" t="s">
        <v>19</v>
      </c>
      <c r="H409">
        <v>0</v>
      </c>
      <c r="I409">
        <v>7</v>
      </c>
      <c r="J409">
        <v>7</v>
      </c>
      <c r="K409" t="str" cm="1">
        <f t="array" ref="K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9">
        <f>_xlfn.XLOOKUP("LOADINGSPEEDDEF_"&amp;PROPERTIES[[#This Row],[LOADINGSPEED]],LOADINGSPEEDDEF[TYPE],LOADINGSPEEDDEF[SPEED])</f>
        <v>20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f>IF(ISNUMBER(SEARCH("passenger",PROPERTIES[[#This Row],[CARGODEF]])),1,0)</f>
        <v>0</v>
      </c>
      <c r="O409" s="32">
        <v>64</v>
      </c>
      <c r="P409">
        <v>4000</v>
      </c>
      <c r="Q409">
        <v>150</v>
      </c>
      <c r="R409" s="29">
        <v>240</v>
      </c>
      <c r="S409" s="28">
        <f>IFERROR(PROPERTIES[[#This Row],[TE_STARTING_KN]]/(PROPERTIES[[#This Row],[WEIGHT]]*9.81),0)</f>
        <v>0.38226299694189603</v>
      </c>
      <c r="T409" s="28">
        <v>0.38</v>
      </c>
      <c r="U409" s="25">
        <f>ROUND(IF(IFERROR(PROPERTIES[[#This Row],[TE_COEFFICIENT_CALC]],0)=0,PROPERTIES[[#This Row],[TE_COEFFICIENT_MANUAL]],PROPERTIES[[#This Row],[TE_COEFFICIENT_CALC]]),3)</f>
        <v>0.38200000000000001</v>
      </c>
      <c r="V409" s="11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36">
        <v>0</v>
      </c>
      <c r="X409" s="9">
        <v>0</v>
      </c>
      <c r="Y409" s="10">
        <v>0</v>
      </c>
      <c r="Z409" t="s">
        <v>873</v>
      </c>
      <c r="AA409" t="s">
        <v>868</v>
      </c>
      <c r="AB409" s="2" t="s">
        <v>886</v>
      </c>
      <c r="AC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9" s="2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9" s="2" t="b">
        <v>0</v>
      </c>
      <c r="AH409" s="10" t="b">
        <v>0</v>
      </c>
      <c r="AY409"/>
      <c r="AZ409"/>
      <c r="BA409"/>
    </row>
    <row r="410" spans="1:53">
      <c r="A410" s="2" t="s">
        <v>430</v>
      </c>
      <c r="B410">
        <v>1914</v>
      </c>
      <c r="C410" cm="1">
        <f t="array" ref="C410">_xlfn.IFS(ISNUMBER(SEARCH("wagon",PROPERTIES[[#This Row],[VEHIDCODE]])),0,OR(MID(PROPERTIES[[#This Row],[VEHIDCODE]],2,2)="mu",_xlfn.TEXTBEFORE(PROPERTIES[[#This Row],[VEHIDCODE]],"_")="mtro"),1,1=1,0)</f>
        <v>0</v>
      </c>
      <c r="D410" t="s">
        <v>1763</v>
      </c>
      <c r="E410" t="str">
        <f>_xlfn.XLOOKUP(PROPERTIES[[#This Row],[COUNTRY]],COUNTRIES[COUNTRY_DESCRIPTION],COUNTRIES[COUNTRY_LABEL],"")</f>
        <v>DE</v>
      </c>
      <c r="F410" t="str" cm="1">
        <f t="array" ref="F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0" t="s">
        <v>19</v>
      </c>
      <c r="H410">
        <v>0</v>
      </c>
      <c r="I410">
        <v>6</v>
      </c>
      <c r="J410">
        <v>6</v>
      </c>
      <c r="K410" t="str" cm="1">
        <f t="array" ref="K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0">
        <f>_xlfn.XLOOKUP("LOADINGSPEEDDEF_"&amp;PROPERTIES[[#This Row],[LOADINGSPEED]],LOADINGSPEEDDEF[TYPE],LOADINGSPEEDDEF[SPEED])</f>
        <v>20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f>IF(ISNUMBER(SEARCH("passenger",PROPERTIES[[#This Row],[CARGODEF]])),1,0)</f>
        <v>0</v>
      </c>
      <c r="O410" s="32">
        <v>81</v>
      </c>
      <c r="P410">
        <v>1186</v>
      </c>
      <c r="Q410">
        <v>100</v>
      </c>
      <c r="R410" s="29">
        <v>81</v>
      </c>
      <c r="S410" s="28">
        <f>IFERROR(PROPERTIES[[#This Row],[TE_STARTING_KN]]/(PROPERTIES[[#This Row],[WEIGHT]]*9.81),0)</f>
        <v>0.1019367991845056</v>
      </c>
      <c r="T410" s="28">
        <v>0.1</v>
      </c>
      <c r="U410" s="25">
        <f>ROUND(IF(IFERROR(PROPERTIES[[#This Row],[TE_COEFFICIENT_CALC]],0)=0,PROPERTIES[[#This Row],[TE_COEFFICIENT_MANUAL]],PROPERTIES[[#This Row],[TE_COEFFICIENT_CALC]]),3)</f>
        <v>0.10199999999999999</v>
      </c>
      <c r="V410" s="11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36">
        <v>0</v>
      </c>
      <c r="X410" s="9">
        <v>0</v>
      </c>
      <c r="Y410" s="10">
        <v>0</v>
      </c>
      <c r="Z410" t="s">
        <v>869</v>
      </c>
      <c r="AA410" t="s">
        <v>868</v>
      </c>
      <c r="AB410" s="2" t="s">
        <v>886</v>
      </c>
      <c r="AC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0" s="2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H410" s="10" t="b">
        <v>0</v>
      </c>
      <c r="AY410"/>
      <c r="AZ410"/>
      <c r="BA410"/>
    </row>
    <row r="411" spans="1:53">
      <c r="A411" s="2" t="s">
        <v>431</v>
      </c>
      <c r="B411">
        <v>1948</v>
      </c>
      <c r="C411" cm="1">
        <f t="array" ref="C411">_xlfn.IFS(ISNUMBER(SEARCH("wagon",PROPERTIES[[#This Row],[VEHIDCODE]])),0,OR(MID(PROPERTIES[[#This Row],[VEHIDCODE]],2,2)="mu",_xlfn.TEXTBEFORE(PROPERTIES[[#This Row],[VEHIDCODE]],"_")="mtro"),1,1=1,0)</f>
        <v>0</v>
      </c>
      <c r="D411" t="s">
        <v>1937</v>
      </c>
      <c r="E411" t="str">
        <f>_xlfn.XLOOKUP(PROPERTIES[[#This Row],[COUNTRY]],COUNTRIES[COUNTRY_DESCRIPTION],COUNTRIES[COUNTRY_LABEL],"")</f>
        <v>US</v>
      </c>
      <c r="F411" t="str" cm="1">
        <f t="array" ref="F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1" t="s">
        <v>19</v>
      </c>
      <c r="H411">
        <v>0</v>
      </c>
      <c r="I411">
        <v>8</v>
      </c>
      <c r="J411">
        <v>16</v>
      </c>
      <c r="K411" t="str" cm="1">
        <f t="array" ref="K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1">
        <f>_xlfn.XLOOKUP("LOADINGSPEEDDEF_"&amp;PROPERTIES[[#This Row],[LOADINGSPEED]],LOADINGSPEEDDEF[TYPE],LOADINGSPEEDDEF[SPEED])</f>
        <v>20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f>IF(ISNUMBER(SEARCH("passenger",PROPERTIES[[#This Row],[CARGODEF]])),1,0)</f>
        <v>0</v>
      </c>
      <c r="O411" s="32">
        <v>450</v>
      </c>
      <c r="P411">
        <v>6800</v>
      </c>
      <c r="Q411">
        <v>80</v>
      </c>
      <c r="R411" s="29">
        <v>1200</v>
      </c>
      <c r="S411" s="28">
        <f>IFERROR(PROPERTIES[[#This Row],[TE_STARTING_KN]]/(PROPERTIES[[#This Row],[WEIGHT]]*9.81),0)</f>
        <v>0.27183146449201495</v>
      </c>
      <c r="T411" s="28">
        <v>0.16</v>
      </c>
      <c r="U411" s="25">
        <f>ROUND(IF(IFERROR(PROPERTIES[[#This Row],[TE_COEFFICIENT_CALC]],0)=0,PROPERTIES[[#This Row],[TE_COEFFICIENT_MANUAL]],PROPERTIES[[#This Row],[TE_COEFFICIENT_CALC]]),3)</f>
        <v>0.27200000000000002</v>
      </c>
      <c r="V411" s="11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36">
        <v>0</v>
      </c>
      <c r="X411" s="9">
        <v>0</v>
      </c>
      <c r="Y411" s="10">
        <v>0</v>
      </c>
      <c r="Z411" t="s">
        <v>874</v>
      </c>
      <c r="AA411" t="s">
        <v>868</v>
      </c>
      <c r="AB411" s="2" t="s">
        <v>886</v>
      </c>
      <c r="AC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1" s="2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H411" s="10" t="b">
        <v>0</v>
      </c>
      <c r="AY411"/>
      <c r="AZ411"/>
      <c r="BA411"/>
    </row>
    <row r="412" spans="1:53">
      <c r="A412" s="2" t="s">
        <v>432</v>
      </c>
      <c r="B412">
        <v>1947</v>
      </c>
      <c r="C412" cm="1">
        <f t="array" ref="C412">_xlfn.IFS(ISNUMBER(SEARCH("wagon",PROPERTIES[[#This Row],[VEHIDCODE]])),0,OR(MID(PROPERTIES[[#This Row],[VEHIDCODE]],2,2)="mu",_xlfn.TEXTBEFORE(PROPERTIES[[#This Row],[VEHIDCODE]],"_")="mtro"),1,1=1,0)</f>
        <v>0</v>
      </c>
      <c r="D412" t="s">
        <v>1937</v>
      </c>
      <c r="E412" t="str">
        <f>_xlfn.XLOOKUP(PROPERTIES[[#This Row],[COUNTRY]],COUNTRIES[COUNTRY_DESCRIPTION],COUNTRIES[COUNTRY_LABEL],"")</f>
        <v>US</v>
      </c>
      <c r="F412" t="str" cm="1">
        <f t="array" ref="F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2" t="s">
        <v>19</v>
      </c>
      <c r="H412">
        <v>0</v>
      </c>
      <c r="I412">
        <v>8</v>
      </c>
      <c r="J412">
        <v>8</v>
      </c>
      <c r="K412" t="str" cm="1">
        <f t="array" ref="K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2">
        <f>_xlfn.XLOOKUP("LOADINGSPEEDDEF_"&amp;PROPERTIES[[#This Row],[LOADINGSPEED]],LOADINGSPEEDDEF[TYPE],LOADINGSPEEDDEF[SPEED])</f>
        <v>20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f>IF(ISNUMBER(SEARCH("passenger",PROPERTIES[[#This Row],[CARGODEF]])),1,0)</f>
        <v>0</v>
      </c>
      <c r="O412" s="32">
        <v>330</v>
      </c>
      <c r="P412">
        <v>5000</v>
      </c>
      <c r="Q412">
        <v>105</v>
      </c>
      <c r="R412" s="29">
        <v>530</v>
      </c>
      <c r="S412" s="28">
        <f>IFERROR(PROPERTIES[[#This Row],[TE_STARTING_KN]]/(PROPERTIES[[#This Row],[WEIGHT]]*9.81),0)</f>
        <v>0.16371667747814536</v>
      </c>
      <c r="T412" s="28">
        <v>0.16</v>
      </c>
      <c r="U412" s="25">
        <f>ROUND(IF(IFERROR(PROPERTIES[[#This Row],[TE_COEFFICIENT_CALC]],0)=0,PROPERTIES[[#This Row],[TE_COEFFICIENT_MANUAL]],PROPERTIES[[#This Row],[TE_COEFFICIENT_CALC]]),3)</f>
        <v>0.16400000000000001</v>
      </c>
      <c r="V412" s="11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36">
        <v>0</v>
      </c>
      <c r="X412" s="9">
        <v>4</v>
      </c>
      <c r="Y412" s="10">
        <v>0</v>
      </c>
      <c r="Z412" t="s">
        <v>874</v>
      </c>
      <c r="AA412" t="s">
        <v>868</v>
      </c>
      <c r="AB412" s="2" t="s">
        <v>886</v>
      </c>
      <c r="AC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2" s="2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H412" s="10" t="b">
        <v>0</v>
      </c>
      <c r="AY412"/>
      <c r="AZ412"/>
      <c r="BA412"/>
    </row>
    <row r="413" spans="1:53">
      <c r="A413" s="2" t="s">
        <v>433</v>
      </c>
      <c r="B413">
        <v>1926</v>
      </c>
      <c r="C413" cm="1">
        <f t="array" ref="C413">_xlfn.IFS(ISNUMBER(SEARCH("wagon",PROPERTIES[[#This Row],[VEHIDCODE]])),0,OR(MID(PROPERTIES[[#This Row],[VEHIDCODE]],2,2)="mu",_xlfn.TEXTBEFORE(PROPERTIES[[#This Row],[VEHIDCODE]],"_")="mtro"),1,1=1,0)</f>
        <v>0</v>
      </c>
      <c r="D413" t="s">
        <v>1937</v>
      </c>
      <c r="E413" t="str">
        <f>_xlfn.XLOOKUP(PROPERTIES[[#This Row],[COUNTRY]],COUNTRIES[COUNTRY_DESCRIPTION],COUNTRIES[COUNTRY_LABEL],"")</f>
        <v>US</v>
      </c>
      <c r="F413" t="str" cm="1">
        <f t="array" ref="F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3" t="s">
        <v>19</v>
      </c>
      <c r="H413">
        <v>0</v>
      </c>
      <c r="I413">
        <v>4</v>
      </c>
      <c r="J413">
        <v>4</v>
      </c>
      <c r="K413" t="str" cm="1">
        <f t="array" ref="K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3">
        <f>_xlfn.XLOOKUP("LOADINGSPEEDDEF_"&amp;PROPERTIES[[#This Row],[LOADINGSPEED]],LOADINGSPEEDDEF[TYPE],LOADINGSPEEDDEF[SPEED])</f>
        <v>20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f>IF(ISNUMBER(SEARCH("passenger",PROPERTIES[[#This Row],[CARGODEF]])),1,0)</f>
        <v>0</v>
      </c>
      <c r="O413" s="32">
        <v>71</v>
      </c>
      <c r="P413">
        <v>700</v>
      </c>
      <c r="Q413">
        <v>40</v>
      </c>
      <c r="R413" s="29">
        <v>174.6</v>
      </c>
      <c r="S413" s="28">
        <f>IFERROR(PROPERTIES[[#This Row],[TE_STARTING_KN]]/(PROPERTIES[[#This Row],[WEIGHT]]*9.81),0)</f>
        <v>0.25067838221992506</v>
      </c>
      <c r="T413" s="28">
        <v>0.25</v>
      </c>
      <c r="U413" s="25">
        <f>ROUND(IF(IFERROR(PROPERTIES[[#This Row],[TE_COEFFICIENT_CALC]],0)=0,PROPERTIES[[#This Row],[TE_COEFFICIENT_MANUAL]],PROPERTIES[[#This Row],[TE_COEFFICIENT_CALC]]),3)</f>
        <v>0.251</v>
      </c>
      <c r="V413" s="11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36">
        <v>0</v>
      </c>
      <c r="X413" s="9">
        <v>0</v>
      </c>
      <c r="Y413" s="10">
        <v>0</v>
      </c>
      <c r="Z413" t="s">
        <v>874</v>
      </c>
      <c r="AA413" t="s">
        <v>868</v>
      </c>
      <c r="AB413" s="2" t="s">
        <v>886</v>
      </c>
      <c r="AC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3" s="2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H413" s="10" t="b">
        <v>0</v>
      </c>
      <c r="AY413"/>
      <c r="AZ413"/>
      <c r="BA413"/>
    </row>
    <row r="414" spans="1:53">
      <c r="A414" s="2" t="s">
        <v>434</v>
      </c>
      <c r="B414">
        <v>2008</v>
      </c>
      <c r="C414" cm="1">
        <f t="array" ref="C414">_xlfn.IFS(ISNUMBER(SEARCH("wagon",PROPERTIES[[#This Row],[VEHIDCODE]])),0,OR(MID(PROPERTIES[[#This Row],[VEHIDCODE]],2,2)="mu",_xlfn.TEXTBEFORE(PROPERTIES[[#This Row],[VEHIDCODE]],"_")="mtro"),1,1=1,0)</f>
        <v>0</v>
      </c>
      <c r="D414" t="s">
        <v>1719</v>
      </c>
      <c r="E414" t="str">
        <f>_xlfn.XLOOKUP(PROPERTIES[[#This Row],[COUNTRY]],COUNTRIES[COUNTRY_DESCRIPTION],COUNTRIES[COUNTRY_LABEL],"")</f>
        <v>AU</v>
      </c>
      <c r="F414" t="str" cm="1">
        <f t="array" ref="F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4" t="s">
        <v>19</v>
      </c>
      <c r="H414">
        <v>0</v>
      </c>
      <c r="I414">
        <v>8</v>
      </c>
      <c r="J414">
        <v>8</v>
      </c>
      <c r="K414" t="str" cm="1">
        <f t="array" ref="K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4">
        <f>_xlfn.XLOOKUP("LOADINGSPEEDDEF_"&amp;PROPERTIES[[#This Row],[LOADINGSPEED]],LOADINGSPEEDDEF[TYPE],LOADINGSPEEDDEF[SPEED])</f>
        <v>20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f>IF(ISNUMBER(SEARCH("passenger",PROPERTIES[[#This Row],[CARGODEF]])),1,0)</f>
        <v>0</v>
      </c>
      <c r="O414" s="32">
        <v>109</v>
      </c>
      <c r="P414">
        <v>5360</v>
      </c>
      <c r="Q414">
        <v>80</v>
      </c>
      <c r="R414" s="29">
        <v>450</v>
      </c>
      <c r="S414" s="28">
        <f>IFERROR(PROPERTIES[[#This Row],[TE_STARTING_KN]]/(PROPERTIES[[#This Row],[WEIGHT]]*9.81),0)</f>
        <v>0.42083999663328003</v>
      </c>
      <c r="T414" s="28">
        <v>0.41</v>
      </c>
      <c r="U414" s="25">
        <f>ROUND(IF(IFERROR(PROPERTIES[[#This Row],[TE_COEFFICIENT_CALC]],0)=0,PROPERTIES[[#This Row],[TE_COEFFICIENT_MANUAL]],PROPERTIES[[#This Row],[TE_COEFFICIENT_CALC]]),3)</f>
        <v>0.42099999999999999</v>
      </c>
      <c r="V414" s="11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36">
        <v>0</v>
      </c>
      <c r="X414" s="9">
        <v>0</v>
      </c>
      <c r="Y414" s="10">
        <v>0</v>
      </c>
      <c r="Z414" t="s">
        <v>871</v>
      </c>
      <c r="AA414" t="s">
        <v>868</v>
      </c>
      <c r="AB414" s="2" t="s">
        <v>886</v>
      </c>
      <c r="AC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4" s="2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H414" s="10" t="b">
        <v>0</v>
      </c>
      <c r="AY414"/>
      <c r="AZ414"/>
      <c r="BA414"/>
    </row>
    <row r="415" spans="1:53">
      <c r="A415" s="2" t="s">
        <v>435</v>
      </c>
      <c r="B415">
        <v>1991</v>
      </c>
      <c r="C415" cm="1">
        <f t="array" ref="C415">_xlfn.IFS(ISNUMBER(SEARCH("wagon",PROPERTIES[[#This Row],[VEHIDCODE]])),0,OR(MID(PROPERTIES[[#This Row],[VEHIDCODE]],2,2)="mu",_xlfn.TEXTBEFORE(PROPERTIES[[#This Row],[VEHIDCODE]],"_")="mtro"),1,1=1,0)</f>
        <v>0</v>
      </c>
      <c r="D415" t="s">
        <v>1754</v>
      </c>
      <c r="E415" t="str">
        <f>_xlfn.XLOOKUP(PROPERTIES[[#This Row],[COUNTRY]],COUNTRIES[COUNTRY_DESCRIPTION],COUNTRIES[COUNTRY_LABEL],"")</f>
        <v>CN</v>
      </c>
      <c r="F415" t="str" cm="1">
        <f t="array" ref="F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5" t="s">
        <v>19</v>
      </c>
      <c r="H415">
        <v>0</v>
      </c>
      <c r="I415">
        <v>8</v>
      </c>
      <c r="J415">
        <v>8</v>
      </c>
      <c r="K415" t="str" cm="1">
        <f t="array" ref="K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5">
        <f>_xlfn.XLOOKUP("LOADINGSPEEDDEF_"&amp;PROPERTIES[[#This Row],[LOADINGSPEED]],LOADINGSPEEDDEF[TYPE],LOADINGSPEEDDEF[SPEED])</f>
        <v>20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f>IF(ISNUMBER(SEARCH("passenger",PROPERTIES[[#This Row],[CARGODEF]])),1,0)</f>
        <v>0</v>
      </c>
      <c r="O415" s="32">
        <v>138</v>
      </c>
      <c r="P415">
        <v>6400</v>
      </c>
      <c r="Q415">
        <v>100</v>
      </c>
      <c r="R415" s="29">
        <v>485</v>
      </c>
      <c r="S415" s="28">
        <f>IFERROR(PROPERTIES[[#This Row],[TE_STARTING_KN]]/(PROPERTIES[[#This Row],[WEIGHT]]*9.81),0)</f>
        <v>0.35825614206148709</v>
      </c>
      <c r="T415" s="28">
        <v>0.35</v>
      </c>
      <c r="U415" s="25">
        <f>ROUND(IF(IFERROR(PROPERTIES[[#This Row],[TE_COEFFICIENT_CALC]],0)=0,PROPERTIES[[#This Row],[TE_COEFFICIENT_MANUAL]],PROPERTIES[[#This Row],[TE_COEFFICIENT_CALC]]),3)</f>
        <v>0.35799999999999998</v>
      </c>
      <c r="V415" s="11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36">
        <v>0</v>
      </c>
      <c r="X415" s="9">
        <v>0</v>
      </c>
      <c r="Y415" s="10">
        <v>0</v>
      </c>
      <c r="Z415" t="s">
        <v>877</v>
      </c>
      <c r="AA415" t="s">
        <v>868</v>
      </c>
      <c r="AB415" s="2" t="s">
        <v>886</v>
      </c>
      <c r="AC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5" s="2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H415" s="10" t="b">
        <v>0</v>
      </c>
      <c r="AY415"/>
      <c r="AZ415"/>
      <c r="BA415"/>
    </row>
    <row r="416" spans="1:53">
      <c r="A416" s="2" t="s">
        <v>436</v>
      </c>
      <c r="B416">
        <v>1978</v>
      </c>
      <c r="C416" cm="1">
        <f t="array" ref="C416">_xlfn.IFS(ISNUMBER(SEARCH("wagon",PROPERTIES[[#This Row],[VEHIDCODE]])),0,OR(MID(PROPERTIES[[#This Row],[VEHIDCODE]],2,2)="mu",_xlfn.TEXTBEFORE(PROPERTIES[[#This Row],[VEHIDCODE]],"_")="mtro"),1,1=1,0)</f>
        <v>0</v>
      </c>
      <c r="D416" t="s">
        <v>1754</v>
      </c>
      <c r="E416" t="str">
        <f>_xlfn.XLOOKUP(PROPERTIES[[#This Row],[COUNTRY]],COUNTRIES[COUNTRY_DESCRIPTION],COUNTRIES[COUNTRY_LABEL],"")</f>
        <v>CN</v>
      </c>
      <c r="F416" t="str" cm="1">
        <f t="array" ref="F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6" t="s">
        <v>19</v>
      </c>
      <c r="H416">
        <v>0</v>
      </c>
      <c r="I416">
        <v>8</v>
      </c>
      <c r="J416">
        <v>8</v>
      </c>
      <c r="K416" t="str" cm="1">
        <f t="array" ref="K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6">
        <f>_xlfn.XLOOKUP("LOADINGSPEEDDEF_"&amp;PROPERTIES[[#This Row],[LOADINGSPEED]],LOADINGSPEEDDEF[TYPE],LOADINGSPEEDDEF[SPEED])</f>
        <v>20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f>IF(ISNUMBER(SEARCH("passenger",PROPERTIES[[#This Row],[CARGODEF]])),1,0)</f>
        <v>0</v>
      </c>
      <c r="O416" s="32">
        <v>138</v>
      </c>
      <c r="P416">
        <v>5793</v>
      </c>
      <c r="Q416">
        <v>100</v>
      </c>
      <c r="R416" s="29">
        <v>470</v>
      </c>
      <c r="S416" s="28">
        <f>IFERROR(PROPERTIES[[#This Row],[TE_STARTING_KN]]/(PROPERTIES[[#This Row],[WEIGHT]]*9.81),0)</f>
        <v>0.34717605519360606</v>
      </c>
      <c r="T416" s="28">
        <v>0.34</v>
      </c>
      <c r="U416" s="25">
        <f>ROUND(IF(IFERROR(PROPERTIES[[#This Row],[TE_COEFFICIENT_CALC]],0)=0,PROPERTIES[[#This Row],[TE_COEFFICIENT_MANUAL]],PROPERTIES[[#This Row],[TE_COEFFICIENT_CALC]]),3)</f>
        <v>0.34699999999999998</v>
      </c>
      <c r="V416" s="11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36">
        <v>0</v>
      </c>
      <c r="X416" s="9">
        <v>0</v>
      </c>
      <c r="Y416" s="10">
        <v>0</v>
      </c>
      <c r="Z416" t="s">
        <v>877</v>
      </c>
      <c r="AA416" t="s">
        <v>868</v>
      </c>
      <c r="AB416" s="2" t="s">
        <v>886</v>
      </c>
      <c r="AC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6" s="2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6" s="2" t="b">
        <v>0</v>
      </c>
      <c r="AH416" s="10" t="b">
        <v>0</v>
      </c>
      <c r="AY416"/>
      <c r="AZ416"/>
      <c r="BA416"/>
    </row>
    <row r="417" spans="1:53">
      <c r="A417" s="2" t="s">
        <v>437</v>
      </c>
      <c r="B417">
        <v>2006</v>
      </c>
      <c r="C417" cm="1">
        <f t="array" ref="C417">_xlfn.IFS(ISNUMBER(SEARCH("wagon",PROPERTIES[[#This Row],[VEHIDCODE]])),0,OR(MID(PROPERTIES[[#This Row],[VEHIDCODE]],2,2)="mu",_xlfn.TEXTBEFORE(PROPERTIES[[#This Row],[VEHIDCODE]],"_")="mtro"),1,1=1,0)</f>
        <v>0</v>
      </c>
      <c r="D417" t="s">
        <v>1754</v>
      </c>
      <c r="E417" t="str">
        <f>_xlfn.XLOOKUP(PROPERTIES[[#This Row],[COUNTRY]],COUNTRIES[COUNTRY_DESCRIPTION],COUNTRIES[COUNTRY_LABEL],"")</f>
        <v>CN</v>
      </c>
      <c r="F417" t="str" cm="1">
        <f t="array" ref="F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7" t="s">
        <v>19</v>
      </c>
      <c r="H417">
        <v>0</v>
      </c>
      <c r="I417">
        <v>8</v>
      </c>
      <c r="J417">
        <v>8</v>
      </c>
      <c r="K417" t="str" cm="1">
        <f t="array" ref="K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7">
        <f>_xlfn.XLOOKUP("LOADINGSPEEDDEF_"&amp;PROPERTIES[[#This Row],[LOADINGSPEED]],LOADINGSPEEDDEF[TYPE],LOADINGSPEEDDEF[SPEED])</f>
        <v>20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f>IF(ISNUMBER(SEARCH("passenger",PROPERTIES[[#This Row],[CARGODEF]])),1,0)</f>
        <v>0</v>
      </c>
      <c r="O417" s="32">
        <v>150</v>
      </c>
      <c r="P417">
        <v>9700</v>
      </c>
      <c r="Q417">
        <v>120</v>
      </c>
      <c r="R417" s="29">
        <v>520</v>
      </c>
      <c r="S417" s="28">
        <f>IFERROR(PROPERTIES[[#This Row],[TE_STARTING_KN]]/(PROPERTIES[[#This Row],[WEIGHT]]*9.81),0)</f>
        <v>0.35338090383961945</v>
      </c>
      <c r="T417" s="28">
        <v>0.27</v>
      </c>
      <c r="U417" s="25">
        <f>ROUND(IF(IFERROR(PROPERTIES[[#This Row],[TE_COEFFICIENT_CALC]],0)=0,PROPERTIES[[#This Row],[TE_COEFFICIENT_MANUAL]],PROPERTIES[[#This Row],[TE_COEFFICIENT_CALC]]),3)</f>
        <v>0.35299999999999998</v>
      </c>
      <c r="V417" s="11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36">
        <v>0</v>
      </c>
      <c r="X417" s="9">
        <v>0</v>
      </c>
      <c r="Y417" s="10">
        <v>0</v>
      </c>
      <c r="Z417" t="s">
        <v>877</v>
      </c>
      <c r="AA417" t="s">
        <v>868</v>
      </c>
      <c r="AB417" s="2" t="s">
        <v>886</v>
      </c>
      <c r="AC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7" s="2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H417" s="10" t="b">
        <v>0</v>
      </c>
      <c r="AY417"/>
      <c r="AZ417"/>
      <c r="BA417"/>
    </row>
    <row r="418" spans="1:53">
      <c r="A418" s="2" t="s">
        <v>438</v>
      </c>
      <c r="B418">
        <v>2012</v>
      </c>
      <c r="C418" cm="1">
        <f t="array" ref="C418">_xlfn.IFS(ISNUMBER(SEARCH("wagon",PROPERTIES[[#This Row],[VEHIDCODE]])),0,OR(MID(PROPERTIES[[#This Row],[VEHIDCODE]],2,2)="mu",_xlfn.TEXTBEFORE(PROPERTIES[[#This Row],[VEHIDCODE]],"_")="mtro"),1,1=1,0)</f>
        <v>0</v>
      </c>
      <c r="D418" t="s">
        <v>1754</v>
      </c>
      <c r="E418" t="str">
        <f>_xlfn.XLOOKUP(PROPERTIES[[#This Row],[COUNTRY]],COUNTRIES[COUNTRY_DESCRIPTION],COUNTRIES[COUNTRY_LABEL],"")</f>
        <v>CN</v>
      </c>
      <c r="F418" t="str" cm="1">
        <f t="array" ref="F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8" t="s">
        <v>19</v>
      </c>
      <c r="H418">
        <v>0</v>
      </c>
      <c r="I418">
        <v>8</v>
      </c>
      <c r="J418">
        <v>8</v>
      </c>
      <c r="K418" t="str" cm="1">
        <f t="array" ref="K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8">
        <f>_xlfn.XLOOKUP("LOADINGSPEEDDEF_"&amp;PROPERTIES[[#This Row],[LOADINGSPEED]],LOADINGSPEEDDEF[TYPE],LOADINGSPEEDDEF[SPEED])</f>
        <v>20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f>IF(ISNUMBER(SEARCH("passenger",PROPERTIES[[#This Row],[CARGODEF]])),1,0)</f>
        <v>0</v>
      </c>
      <c r="O418" s="32">
        <v>126</v>
      </c>
      <c r="P418">
        <v>9700</v>
      </c>
      <c r="Q418">
        <v>160</v>
      </c>
      <c r="R418" s="29">
        <v>420</v>
      </c>
      <c r="S418" s="28">
        <f>IFERROR(PROPERTIES[[#This Row],[TE_STARTING_KN]]/(PROPERTIES[[#This Row],[WEIGHT]]*9.81),0)</f>
        <v>0.33978933061501865</v>
      </c>
      <c r="T418" s="28">
        <v>0.33</v>
      </c>
      <c r="U418" s="25">
        <f>ROUND(IF(IFERROR(PROPERTIES[[#This Row],[TE_COEFFICIENT_CALC]],0)=0,PROPERTIES[[#This Row],[TE_COEFFICIENT_MANUAL]],PROPERTIES[[#This Row],[TE_COEFFICIENT_CALC]]),3)</f>
        <v>0.34</v>
      </c>
      <c r="V418" s="11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36">
        <v>0</v>
      </c>
      <c r="X418" s="9">
        <v>0</v>
      </c>
      <c r="Y418" s="10">
        <v>0</v>
      </c>
      <c r="Z418" t="s">
        <v>877</v>
      </c>
      <c r="AA418" t="s">
        <v>868</v>
      </c>
      <c r="AB418" s="2" t="s">
        <v>886</v>
      </c>
      <c r="AC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8" s="2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H418" s="10" t="b">
        <v>0</v>
      </c>
      <c r="AY418"/>
      <c r="AZ418"/>
      <c r="BA418"/>
    </row>
    <row r="419" spans="1:53">
      <c r="A419" s="2" t="s">
        <v>439</v>
      </c>
      <c r="B419">
        <v>1986</v>
      </c>
      <c r="C419" cm="1">
        <f t="array" ref="C419">_xlfn.IFS(ISNUMBER(SEARCH("wagon",PROPERTIES[[#This Row],[VEHIDCODE]])),0,OR(MID(PROPERTIES[[#This Row],[VEHIDCODE]],2,2)="mu",_xlfn.TEXTBEFORE(PROPERTIES[[#This Row],[VEHIDCODE]],"_")="mtro"),1,1=1,0)</f>
        <v>0</v>
      </c>
      <c r="D419" t="s">
        <v>1754</v>
      </c>
      <c r="E419" t="str">
        <f>_xlfn.XLOOKUP(PROPERTIES[[#This Row],[COUNTRY]],COUNTRIES[COUNTRY_DESCRIPTION],COUNTRIES[COUNTRY_LABEL],"")</f>
        <v>CN</v>
      </c>
      <c r="F419" t="str" cm="1">
        <f t="array" ref="F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9" t="s">
        <v>19</v>
      </c>
      <c r="H419">
        <v>0</v>
      </c>
      <c r="I419">
        <v>8</v>
      </c>
      <c r="J419">
        <v>8</v>
      </c>
      <c r="K419" t="str" cm="1">
        <f t="array" ref="K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9">
        <f>_xlfn.XLOOKUP("LOADINGSPEEDDEF_"&amp;PROPERTIES[[#This Row],[LOADINGSPEED]],LOADINGSPEEDDEF[TYPE],LOADINGSPEEDDEF[SPEED])</f>
        <v>20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f>IF(ISNUMBER(SEARCH("passenger",PROPERTIES[[#This Row],[CARGODEF]])),1,0)</f>
        <v>0</v>
      </c>
      <c r="O419" s="32">
        <v>138</v>
      </c>
      <c r="P419">
        <v>6400</v>
      </c>
      <c r="Q419">
        <v>100</v>
      </c>
      <c r="R419" s="29">
        <v>485</v>
      </c>
      <c r="S419" s="28">
        <f>IFERROR(PROPERTIES[[#This Row],[TE_STARTING_KN]]/(PROPERTIES[[#This Row],[WEIGHT]]*9.81),0)</f>
        <v>0.35825614206148709</v>
      </c>
      <c r="T419" s="28">
        <v>0.35</v>
      </c>
      <c r="U419" s="25">
        <f>ROUND(IF(IFERROR(PROPERTIES[[#This Row],[TE_COEFFICIENT_CALC]],0)=0,PROPERTIES[[#This Row],[TE_COEFFICIENT_MANUAL]],PROPERTIES[[#This Row],[TE_COEFFICIENT_CALC]]),3)</f>
        <v>0.35799999999999998</v>
      </c>
      <c r="V419" s="11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36">
        <v>0</v>
      </c>
      <c r="X419" s="9">
        <v>0</v>
      </c>
      <c r="Y419" s="10">
        <v>0</v>
      </c>
      <c r="Z419" t="s">
        <v>877</v>
      </c>
      <c r="AA419" t="s">
        <v>868</v>
      </c>
      <c r="AB419" s="2" t="s">
        <v>886</v>
      </c>
      <c r="AC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9" s="2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H419" s="10" t="b">
        <v>0</v>
      </c>
      <c r="AY419"/>
      <c r="AZ419"/>
      <c r="BA419"/>
    </row>
    <row r="420" spans="1:53">
      <c r="A420" s="2" t="s">
        <v>440</v>
      </c>
      <c r="B420">
        <v>1960</v>
      </c>
      <c r="C420" cm="1">
        <f t="array" ref="C420">_xlfn.IFS(ISNUMBER(SEARCH("wagon",PROPERTIES[[#This Row],[VEHIDCODE]])),0,OR(MID(PROPERTIES[[#This Row],[VEHIDCODE]],2,2)="mu",_xlfn.TEXTBEFORE(PROPERTIES[[#This Row],[VEHIDCODE]],"_")="mtro"),1,1=1,0)</f>
        <v>0</v>
      </c>
      <c r="D420" t="s">
        <v>1937</v>
      </c>
      <c r="E420" t="str">
        <f>_xlfn.XLOOKUP(PROPERTIES[[#This Row],[COUNTRY]],COUNTRIES[COUNTRY_DESCRIPTION],COUNTRIES[COUNTRY_LABEL],"")</f>
        <v>US</v>
      </c>
      <c r="F420" t="str" cm="1">
        <f t="array" ref="F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0" t="s">
        <v>19</v>
      </c>
      <c r="H420">
        <v>0</v>
      </c>
      <c r="I420">
        <v>8</v>
      </c>
      <c r="J420">
        <v>8</v>
      </c>
      <c r="K420" t="str" cm="1">
        <f t="array" ref="K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0">
        <f>_xlfn.XLOOKUP("LOADINGSPEEDDEF_"&amp;PROPERTIES[[#This Row],[LOADINGSPEED]],LOADINGSPEEDDEF[TYPE],LOADINGSPEEDDEF[SPEED])</f>
        <v>20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f>IF(ISNUMBER(SEARCH("passenger",PROPERTIES[[#This Row],[CARGODEF]])),1,0)</f>
        <v>0</v>
      </c>
      <c r="O420" s="32">
        <v>175</v>
      </c>
      <c r="P420">
        <v>4400</v>
      </c>
      <c r="Q420">
        <v>113</v>
      </c>
      <c r="R420" s="29">
        <v>427.7</v>
      </c>
      <c r="S420" s="28">
        <f>IFERROR(PROPERTIES[[#This Row],[TE_STARTING_KN]]/(PROPERTIES[[#This Row],[WEIGHT]]*9.81),0)</f>
        <v>0.24913353720693168</v>
      </c>
      <c r="T420" s="28">
        <v>0.24</v>
      </c>
      <c r="U420" s="25">
        <f>ROUND(IF(IFERROR(PROPERTIES[[#This Row],[TE_COEFFICIENT_CALC]],0)=0,PROPERTIES[[#This Row],[TE_COEFFICIENT_MANUAL]],PROPERTIES[[#This Row],[TE_COEFFICIENT_CALC]]),3)</f>
        <v>0.249</v>
      </c>
      <c r="V420" s="11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36">
        <v>0</v>
      </c>
      <c r="X420" s="9">
        <v>0</v>
      </c>
      <c r="Y420" s="10">
        <v>0</v>
      </c>
      <c r="Z420" t="s">
        <v>874</v>
      </c>
      <c r="AA420" t="s">
        <v>868</v>
      </c>
      <c r="AB420" s="2" t="s">
        <v>886</v>
      </c>
      <c r="AC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0" s="2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H420" s="10" t="b">
        <v>0</v>
      </c>
      <c r="AY420"/>
      <c r="AZ420"/>
      <c r="BA420"/>
    </row>
    <row r="421" spans="1:53">
      <c r="A421" s="2" t="s">
        <v>441</v>
      </c>
      <c r="B421">
        <v>1967</v>
      </c>
      <c r="C421" cm="1">
        <f t="array" ref="C421">_xlfn.IFS(ISNUMBER(SEARCH("wagon",PROPERTIES[[#This Row],[VEHIDCODE]])),0,OR(MID(PROPERTIES[[#This Row],[VEHIDCODE]],2,2)="mu",_xlfn.TEXTBEFORE(PROPERTIES[[#This Row],[VEHIDCODE]],"_")="mtro"),1,1=1,0)</f>
        <v>0</v>
      </c>
      <c r="D421" t="s">
        <v>1803</v>
      </c>
      <c r="E421" t="str">
        <f>_xlfn.XLOOKUP(PROPERTIES[[#This Row],[COUNTRY]],COUNTRIES[COUNTRY_DESCRIPTION],COUNTRIES[COUNTRY_LABEL],"")</f>
        <v>HR</v>
      </c>
      <c r="F421" t="str" cm="1">
        <f t="array" ref="F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1" t="s">
        <v>19</v>
      </c>
      <c r="H421">
        <v>0</v>
      </c>
      <c r="I421">
        <v>8</v>
      </c>
      <c r="J421">
        <v>8</v>
      </c>
      <c r="K421" t="str" cm="1">
        <f t="array" ref="K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1">
        <f>_xlfn.XLOOKUP("LOADINGSPEEDDEF_"&amp;PROPERTIES[[#This Row],[LOADINGSPEED]],LOADINGSPEEDDEF[TYPE],LOADINGSPEEDDEF[SPEED])</f>
        <v>20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f>IF(ISNUMBER(SEARCH("passenger",PROPERTIES[[#This Row],[CARGODEF]])),1,0)</f>
        <v>0</v>
      </c>
      <c r="O421" s="32">
        <v>80</v>
      </c>
      <c r="P421">
        <v>4624</v>
      </c>
      <c r="Q421">
        <v>120</v>
      </c>
      <c r="R421" s="29">
        <v>275</v>
      </c>
      <c r="S421" s="28">
        <f>IFERROR(PROPERTIES[[#This Row],[TE_STARTING_KN]]/(PROPERTIES[[#This Row],[WEIGHT]]*9.81),0)</f>
        <v>0.35040774719673801</v>
      </c>
      <c r="T421" s="28">
        <v>0.25</v>
      </c>
      <c r="U421" s="25">
        <f>ROUND(IF(IFERROR(PROPERTIES[[#This Row],[TE_COEFFICIENT_CALC]],0)=0,PROPERTIES[[#This Row],[TE_COEFFICIENT_MANUAL]],PROPERTIES[[#This Row],[TE_COEFFICIENT_CALC]]),3)</f>
        <v>0.35</v>
      </c>
      <c r="V421" s="11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36">
        <v>0</v>
      </c>
      <c r="X421" s="9">
        <v>0</v>
      </c>
      <c r="Y421" s="10">
        <v>0</v>
      </c>
      <c r="Z421" t="s">
        <v>875</v>
      </c>
      <c r="AA421" t="s">
        <v>868</v>
      </c>
      <c r="AB421" s="2" t="s">
        <v>886</v>
      </c>
      <c r="AC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1" s="2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H421" s="10" t="b">
        <v>0</v>
      </c>
      <c r="AY421"/>
      <c r="AZ421"/>
      <c r="BA421"/>
    </row>
    <row r="422" spans="1:53">
      <c r="A422" s="2" t="s">
        <v>442</v>
      </c>
      <c r="B422">
        <v>1963</v>
      </c>
      <c r="C422" cm="1">
        <f t="array" ref="C422">_xlfn.IFS(ISNUMBER(SEARCH("wagon",PROPERTIES[[#This Row],[VEHIDCODE]])),0,OR(MID(PROPERTIES[[#This Row],[VEHIDCODE]],2,2)="mu",_xlfn.TEXTBEFORE(PROPERTIES[[#This Row],[VEHIDCODE]],"_")="mtro"),1,1=1,0)</f>
        <v>0</v>
      </c>
      <c r="D422" t="s">
        <v>1805</v>
      </c>
      <c r="E422" t="str">
        <f>_xlfn.XLOOKUP(PROPERTIES[[#This Row],[COUNTRY]],COUNTRIES[COUNTRY_DESCRIPTION],COUNTRIES[COUNTRY_LABEL],"")</f>
        <v>HU</v>
      </c>
      <c r="F422" t="str" cm="1">
        <f t="array" ref="F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2" t="s">
        <v>19</v>
      </c>
      <c r="H422">
        <v>0</v>
      </c>
      <c r="I422">
        <v>8</v>
      </c>
      <c r="J422">
        <v>8</v>
      </c>
      <c r="K422" t="str" cm="1">
        <f t="array" ref="K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2">
        <f>_xlfn.XLOOKUP("LOADINGSPEEDDEF_"&amp;PROPERTIES[[#This Row],[LOADINGSPEED]],LOADINGSPEEDDEF[TYPE],LOADINGSPEEDDEF[SPEED])</f>
        <v>20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f>IF(ISNUMBER(SEARCH("passenger",PROPERTIES[[#This Row],[CARGODEF]])),1,0)</f>
        <v>0</v>
      </c>
      <c r="O422" s="32">
        <v>80</v>
      </c>
      <c r="P422">
        <v>3000</v>
      </c>
      <c r="Q422">
        <v>120</v>
      </c>
      <c r="R422" s="29">
        <v>270</v>
      </c>
      <c r="S422" s="28">
        <f>IFERROR(PROPERTIES[[#This Row],[TE_STARTING_KN]]/(PROPERTIES[[#This Row],[WEIGHT]]*9.81),0)</f>
        <v>0.34403669724770641</v>
      </c>
      <c r="T422" s="28">
        <v>0.34</v>
      </c>
      <c r="U422" s="25">
        <f>ROUND(IF(IFERROR(PROPERTIES[[#This Row],[TE_COEFFICIENT_CALC]],0)=0,PROPERTIES[[#This Row],[TE_COEFFICIENT_MANUAL]],PROPERTIES[[#This Row],[TE_COEFFICIENT_CALC]]),3)</f>
        <v>0.34399999999999997</v>
      </c>
      <c r="V422" s="11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36">
        <v>0</v>
      </c>
      <c r="X422" s="9">
        <v>0</v>
      </c>
      <c r="Y422" s="10">
        <v>0</v>
      </c>
      <c r="Z422" t="s">
        <v>875</v>
      </c>
      <c r="AA422" t="s">
        <v>868</v>
      </c>
      <c r="AB422" s="2" t="s">
        <v>886</v>
      </c>
      <c r="AC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2" s="2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H422" s="10" t="b">
        <v>0</v>
      </c>
      <c r="AY422"/>
      <c r="AZ422"/>
      <c r="BA422"/>
    </row>
    <row r="423" spans="1:53">
      <c r="A423" s="2" t="s">
        <v>443</v>
      </c>
      <c r="B423">
        <v>1956</v>
      </c>
      <c r="C423" cm="1">
        <f t="array" ref="C423">_xlfn.IFS(ISNUMBER(SEARCH("wagon",PROPERTIES[[#This Row],[VEHIDCODE]])),0,OR(MID(PROPERTIES[[#This Row],[VEHIDCODE]],2,2)="mu",_xlfn.TEXTBEFORE(PROPERTIES[[#This Row],[VEHIDCODE]],"_")="mtro"),1,1=1,0)</f>
        <v>0</v>
      </c>
      <c r="D423" t="s">
        <v>1889</v>
      </c>
      <c r="E423" t="str">
        <f>_xlfn.XLOOKUP(PROPERTIES[[#This Row],[COUNTRY]],COUNTRIES[COUNTRY_DESCRIPTION],COUNTRIES[COUNTRY_LABEL],"")</f>
        <v>PT</v>
      </c>
      <c r="F423" t="str" cm="1">
        <f t="array" ref="F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3" t="s">
        <v>19</v>
      </c>
      <c r="H423">
        <v>0</v>
      </c>
      <c r="I423">
        <v>6</v>
      </c>
      <c r="J423">
        <v>6</v>
      </c>
      <c r="K423" t="str" cm="1">
        <f t="array" ref="K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3">
        <f>_xlfn.XLOOKUP("LOADINGSPEEDDEF_"&amp;PROPERTIES[[#This Row],[LOADINGSPEED]],LOADINGSPEEDDEF[TYPE],LOADINGSPEEDDEF[SPEED])</f>
        <v>20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f>IF(ISNUMBER(SEARCH("passenger",PROPERTIES[[#This Row],[CARGODEF]])),1,0)</f>
        <v>0</v>
      </c>
      <c r="O423" s="32">
        <v>72</v>
      </c>
      <c r="P423">
        <v>2790</v>
      </c>
      <c r="Q423">
        <v>120</v>
      </c>
      <c r="R423" s="29">
        <v>191</v>
      </c>
      <c r="S423" s="28">
        <f>IFERROR(PROPERTIES[[#This Row],[TE_STARTING_KN]]/(PROPERTIES[[#This Row],[WEIGHT]]*9.81),0)</f>
        <v>0.27041567561445234</v>
      </c>
      <c r="T423" s="28">
        <v>0.27</v>
      </c>
      <c r="U423" s="25">
        <f>ROUND(IF(IFERROR(PROPERTIES[[#This Row],[TE_COEFFICIENT_CALC]],0)=0,PROPERTIES[[#This Row],[TE_COEFFICIENT_MANUAL]],PROPERTIES[[#This Row],[TE_COEFFICIENT_CALC]]),3)</f>
        <v>0.27</v>
      </c>
      <c r="V423" s="11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36">
        <v>0</v>
      </c>
      <c r="X423" s="9">
        <v>0</v>
      </c>
      <c r="Y423" s="10">
        <v>0</v>
      </c>
      <c r="Z423" t="s">
        <v>870</v>
      </c>
      <c r="AA423" t="s">
        <v>868</v>
      </c>
      <c r="AB423" s="2" t="s">
        <v>886</v>
      </c>
      <c r="AC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3" s="2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H423" s="10" t="b">
        <v>0</v>
      </c>
      <c r="AY423"/>
      <c r="AZ423"/>
      <c r="BA423"/>
    </row>
    <row r="424" spans="1:53">
      <c r="A424" s="2" t="s">
        <v>444</v>
      </c>
      <c r="B424">
        <v>1974</v>
      </c>
      <c r="C424" cm="1">
        <f t="array" ref="C424">_xlfn.IFS(ISNUMBER(SEARCH("wagon",PROPERTIES[[#This Row],[VEHIDCODE]])),0,OR(MID(PROPERTIES[[#This Row],[VEHIDCODE]],2,2)="mu",_xlfn.TEXTBEFORE(PROPERTIES[[#This Row],[VEHIDCODE]],"_")="mtro"),1,1=1,0)</f>
        <v>0</v>
      </c>
      <c r="D424" t="s">
        <v>1889</v>
      </c>
      <c r="E424" t="str">
        <f>_xlfn.XLOOKUP(PROPERTIES[[#This Row],[COUNTRY]],COUNTRIES[COUNTRY_DESCRIPTION],COUNTRIES[COUNTRY_LABEL],"")</f>
        <v>PT</v>
      </c>
      <c r="F424" t="str" cm="1">
        <f t="array" ref="F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4" t="s">
        <v>19</v>
      </c>
      <c r="H424">
        <v>0</v>
      </c>
      <c r="I424">
        <v>8</v>
      </c>
      <c r="J424">
        <v>8</v>
      </c>
      <c r="K424" t="str" cm="1">
        <f t="array" ref="K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4">
        <f>_xlfn.XLOOKUP("LOADINGSPEEDDEF_"&amp;PROPERTIES[[#This Row],[LOADINGSPEED]],LOADINGSPEEDDEF[TYPE],LOADINGSPEEDDEF[SPEED])</f>
        <v>20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f>IF(ISNUMBER(SEARCH("passenger",PROPERTIES[[#This Row],[CARGODEF]])),1,0)</f>
        <v>0</v>
      </c>
      <c r="O424" s="32">
        <v>78</v>
      </c>
      <c r="P424">
        <v>4020</v>
      </c>
      <c r="Q424">
        <v>100</v>
      </c>
      <c r="R424" s="29">
        <v>245</v>
      </c>
      <c r="S424" s="28">
        <f>IFERROR(PROPERTIES[[#This Row],[TE_STARTING_KN]]/(PROPERTIES[[#This Row],[WEIGHT]]*9.81),0)</f>
        <v>0.32018610000261372</v>
      </c>
      <c r="T424" s="28">
        <v>0.32</v>
      </c>
      <c r="U424" s="25">
        <f>ROUND(IF(IFERROR(PROPERTIES[[#This Row],[TE_COEFFICIENT_CALC]],0)=0,PROPERTIES[[#This Row],[TE_COEFFICIENT_MANUAL]],PROPERTIES[[#This Row],[TE_COEFFICIENT_CALC]]),3)</f>
        <v>0.32</v>
      </c>
      <c r="V424" s="11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36">
        <v>0</v>
      </c>
      <c r="X424" s="9">
        <v>0</v>
      </c>
      <c r="Y424" s="10">
        <v>0</v>
      </c>
      <c r="Z424" t="s">
        <v>870</v>
      </c>
      <c r="AA424" t="s">
        <v>868</v>
      </c>
      <c r="AB424" s="2" t="s">
        <v>886</v>
      </c>
      <c r="AC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4" s="2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H424" s="10" t="b">
        <v>0</v>
      </c>
      <c r="AY424"/>
      <c r="AZ424"/>
      <c r="BA424"/>
    </row>
    <row r="425" spans="1:53">
      <c r="A425" s="2" t="s">
        <v>445</v>
      </c>
      <c r="B425">
        <v>2013</v>
      </c>
      <c r="C425" cm="1">
        <f t="array" ref="C425">_xlfn.IFS(ISNUMBER(SEARCH("wagon",PROPERTIES[[#This Row],[VEHIDCODE]])),0,OR(MID(PROPERTIES[[#This Row],[VEHIDCODE]],2,2)="mu",_xlfn.TEXTBEFORE(PROPERTIES[[#This Row],[VEHIDCODE]],"_")="mtro"),1,1=1,0)</f>
        <v>0</v>
      </c>
      <c r="D425" t="s">
        <v>1951</v>
      </c>
      <c r="E425" t="str">
        <f>_xlfn.XLOOKUP(PROPERTIES[[#This Row],[COUNTRY]],COUNTRIES[COUNTRY_DESCRIPTION],COUNTRIES[COUNTRY_LABEL],"")</f>
        <v>ZA</v>
      </c>
      <c r="F425" t="str" cm="1">
        <f t="array" ref="F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5" t="s">
        <v>19</v>
      </c>
      <c r="H425">
        <v>0</v>
      </c>
      <c r="I425">
        <v>7</v>
      </c>
      <c r="J425">
        <v>7</v>
      </c>
      <c r="K425" t="str" cm="1">
        <f t="array" ref="K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5">
        <f>_xlfn.XLOOKUP("LOADINGSPEEDDEF_"&amp;PROPERTIES[[#This Row],[LOADINGSPEED]],LOADINGSPEEDDEF[TYPE],LOADINGSPEEDDEF[SPEED])</f>
        <v>20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f>IF(ISNUMBER(SEARCH("passenger",PROPERTIES[[#This Row],[CARGODEF]])),1,0)</f>
        <v>0</v>
      </c>
      <c r="O425" s="32">
        <v>86</v>
      </c>
      <c r="P425">
        <v>4000</v>
      </c>
      <c r="Q425">
        <v>100</v>
      </c>
      <c r="R425" s="29">
        <v>320</v>
      </c>
      <c r="S425" s="28">
        <f>IFERROR(PROPERTIES[[#This Row],[TE_STARTING_KN]]/(PROPERTIES[[#This Row],[WEIGHT]]*9.81),0)</f>
        <v>0.37929971789583478</v>
      </c>
      <c r="T425" s="28">
        <v>0.45</v>
      </c>
      <c r="U425" s="25">
        <f>ROUND(IF(IFERROR(PROPERTIES[[#This Row],[TE_COEFFICIENT_CALC]],0)=0,PROPERTIES[[#This Row],[TE_COEFFICIENT_MANUAL]],PROPERTIES[[#This Row],[TE_COEFFICIENT_CALC]]),3)</f>
        <v>0.379</v>
      </c>
      <c r="V425" s="11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36">
        <v>0</v>
      </c>
      <c r="X425" s="9">
        <v>0</v>
      </c>
      <c r="Y425" s="10">
        <v>0</v>
      </c>
      <c r="Z425" t="s">
        <v>872</v>
      </c>
      <c r="AA425" t="s">
        <v>868</v>
      </c>
      <c r="AB425" s="2" t="s">
        <v>886</v>
      </c>
      <c r="AC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5" s="2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H425" s="10" t="b">
        <v>0</v>
      </c>
      <c r="AY425"/>
      <c r="AZ425"/>
      <c r="BA425"/>
    </row>
    <row r="426" spans="1:53">
      <c r="A426" s="2" t="s">
        <v>446</v>
      </c>
      <c r="B426">
        <v>2003</v>
      </c>
      <c r="C426" cm="1">
        <f t="array" ref="C426">_xlfn.IFS(ISNUMBER(SEARCH("wagon",PROPERTIES[[#This Row],[VEHIDCODE]])),0,OR(MID(PROPERTIES[[#This Row],[VEHIDCODE]],2,2)="mu",_xlfn.TEXTBEFORE(PROPERTIES[[#This Row],[VEHIDCODE]],"_")="mtro"),1,1=1,0)</f>
        <v>0</v>
      </c>
      <c r="D426" t="s">
        <v>1827</v>
      </c>
      <c r="E426" t="str">
        <f>_xlfn.XLOOKUP(PROPERTIES[[#This Row],[COUNTRY]],COUNTRIES[COUNTRY_DESCRIPTION],COUNTRIES[COUNTRY_LABEL],"")</f>
        <v>KR</v>
      </c>
      <c r="F426" t="str" cm="1">
        <f t="array" ref="F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6" t="s">
        <v>19</v>
      </c>
      <c r="H426">
        <v>0</v>
      </c>
      <c r="I426">
        <v>8</v>
      </c>
      <c r="J426">
        <v>8</v>
      </c>
      <c r="K426" t="str" cm="1">
        <f t="array" ref="K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6">
        <f>_xlfn.XLOOKUP("LOADINGSPEEDDEF_"&amp;PROPERTIES[[#This Row],[LOADINGSPEED]],LOADINGSPEEDDEF[TYPE],LOADINGSPEEDDEF[SPEED])</f>
        <v>20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f>IF(ISNUMBER(SEARCH("passenger",PROPERTIES[[#This Row],[CARGODEF]])),1,0)</f>
        <v>0</v>
      </c>
      <c r="O426" s="32">
        <v>80</v>
      </c>
      <c r="P426">
        <v>7000</v>
      </c>
      <c r="Q426">
        <v>150</v>
      </c>
      <c r="R426" s="29">
        <v>330</v>
      </c>
      <c r="S426" s="28">
        <f>IFERROR(PROPERTIES[[#This Row],[TE_STARTING_KN]]/(PROPERTIES[[#This Row],[WEIGHT]]*9.81),0)</f>
        <v>0.42048929663608559</v>
      </c>
      <c r="T426" s="28">
        <v>0.38</v>
      </c>
      <c r="U426" s="25">
        <f>ROUND(IF(IFERROR(PROPERTIES[[#This Row],[TE_COEFFICIENT_CALC]],0)=0,PROPERTIES[[#This Row],[TE_COEFFICIENT_MANUAL]],PROPERTIES[[#This Row],[TE_COEFFICIENT_CALC]]),3)</f>
        <v>0.42</v>
      </c>
      <c r="V426" s="11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36">
        <v>0</v>
      </c>
      <c r="X426" s="9">
        <v>0</v>
      </c>
      <c r="Y426" s="10">
        <v>0</v>
      </c>
      <c r="Z426" t="s">
        <v>877</v>
      </c>
      <c r="AA426" t="s">
        <v>868</v>
      </c>
      <c r="AB426" s="2" t="s">
        <v>886</v>
      </c>
      <c r="AC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6" s="2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H426" s="10" t="b">
        <v>0</v>
      </c>
      <c r="AY426"/>
      <c r="AZ426"/>
      <c r="BA426"/>
    </row>
    <row r="427" spans="1:53">
      <c r="A427" s="2" t="s">
        <v>447</v>
      </c>
      <c r="B427">
        <v>2003</v>
      </c>
      <c r="C427" cm="1">
        <f t="array" ref="C427">_xlfn.IFS(ISNUMBER(SEARCH("wagon",PROPERTIES[[#This Row],[VEHIDCODE]])),0,OR(MID(PROPERTIES[[#This Row],[VEHIDCODE]],2,2)="mu",_xlfn.TEXTBEFORE(PROPERTIES[[#This Row],[VEHIDCODE]],"_")="mtro"),1,1=1,0)</f>
        <v>0</v>
      </c>
      <c r="D427" t="s">
        <v>1934</v>
      </c>
      <c r="E427" t="str">
        <f>_xlfn.XLOOKUP(PROPERTIES[[#This Row],[COUNTRY]],COUNTRIES[COUNTRY_DESCRIPTION],COUNTRIES[COUNTRY_LABEL],"")</f>
        <v>UA</v>
      </c>
      <c r="F427" t="str" cm="1">
        <f t="array" ref="F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7" t="s">
        <v>19</v>
      </c>
      <c r="H427">
        <v>0</v>
      </c>
      <c r="I427">
        <v>8</v>
      </c>
      <c r="J427">
        <v>8</v>
      </c>
      <c r="K427" t="str" cm="1">
        <f t="array" ref="K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7">
        <f>_xlfn.XLOOKUP("LOADINGSPEEDDEF_"&amp;PROPERTIES[[#This Row],[LOADINGSPEED]],LOADINGSPEEDDEF[TYPE],LOADINGSPEEDDEF[SPEED])</f>
        <v>20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f>IF(ISNUMBER(SEARCH("passenger",PROPERTIES[[#This Row],[CARGODEF]])),1,0)</f>
        <v>0</v>
      </c>
      <c r="O427" s="32">
        <v>90</v>
      </c>
      <c r="P427">
        <v>6450</v>
      </c>
      <c r="Q427">
        <v>160</v>
      </c>
      <c r="R427" s="29">
        <v>310</v>
      </c>
      <c r="S427" s="28">
        <f>IFERROR(PROPERTIES[[#This Row],[TE_STARTING_KN]]/(PROPERTIES[[#This Row],[WEIGHT]]*9.81),0)</f>
        <v>0.35111564163551928</v>
      </c>
      <c r="T427" s="28">
        <v>0.32</v>
      </c>
      <c r="U427" s="25">
        <f>ROUND(IF(IFERROR(PROPERTIES[[#This Row],[TE_COEFFICIENT_CALC]],0)=0,PROPERTIES[[#This Row],[TE_COEFFICIENT_MANUAL]],PROPERTIES[[#This Row],[TE_COEFFICIENT_CALC]]),3)</f>
        <v>0.35099999999999998</v>
      </c>
      <c r="V427" s="11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36">
        <v>0</v>
      </c>
      <c r="X427" s="9">
        <v>0</v>
      </c>
      <c r="Y427" s="10">
        <v>0</v>
      </c>
      <c r="Z427" t="s">
        <v>875</v>
      </c>
      <c r="AA427" t="s">
        <v>868</v>
      </c>
      <c r="AB427" s="2" t="s">
        <v>886</v>
      </c>
      <c r="AC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7" s="2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H427" s="10" t="b">
        <v>0</v>
      </c>
      <c r="AY427"/>
      <c r="AZ427"/>
      <c r="BA427"/>
    </row>
    <row r="428" spans="1:53">
      <c r="A428" s="2" t="s">
        <v>448</v>
      </c>
      <c r="B428">
        <v>1966</v>
      </c>
      <c r="C428" cm="1">
        <f t="array" ref="C428">_xlfn.IFS(ISNUMBER(SEARCH("wagon",PROPERTIES[[#This Row],[VEHIDCODE]])),0,OR(MID(PROPERTIES[[#This Row],[VEHIDCODE]],2,2)="mu",_xlfn.TEXTBEFORE(PROPERTIES[[#This Row],[VEHIDCODE]],"_")="mtro"),1,1=1,0)</f>
        <v>0</v>
      </c>
      <c r="D428" t="s">
        <v>1762</v>
      </c>
      <c r="E428" t="str">
        <f>_xlfn.XLOOKUP(PROPERTIES[[#This Row],[COUNTRY]],COUNTRIES[COUNTRY_DESCRIPTION],COUNTRIES[COUNTRY_LABEL],"")</f>
        <v>CZ</v>
      </c>
      <c r="F428" t="str" cm="1">
        <f t="array" ref="F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8" t="s">
        <v>19</v>
      </c>
      <c r="H428">
        <v>0</v>
      </c>
      <c r="I428">
        <v>8</v>
      </c>
      <c r="J428">
        <v>8</v>
      </c>
      <c r="K428" t="str" cm="1">
        <f t="array" ref="K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8">
        <f>_xlfn.XLOOKUP("LOADINGSPEEDDEF_"&amp;PROPERTIES[[#This Row],[LOADINGSPEED]],LOADINGSPEEDDEF[TYPE],LOADINGSPEEDDEF[SPEED])</f>
        <v>20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f>IF(ISNUMBER(SEARCH("passenger",PROPERTIES[[#This Row],[CARGODEF]])),1,0)</f>
        <v>0</v>
      </c>
      <c r="O428" s="32">
        <v>85</v>
      </c>
      <c r="P428">
        <v>4600</v>
      </c>
      <c r="Q428">
        <v>120</v>
      </c>
      <c r="R428" s="29">
        <v>210</v>
      </c>
      <c r="S428" s="28">
        <f>IFERROR(PROPERTIES[[#This Row],[TE_STARTING_KN]]/(PROPERTIES[[#This Row],[WEIGHT]]*9.81),0)</f>
        <v>0.25184385680877858</v>
      </c>
      <c r="T428" s="28">
        <v>0.28000000000000003</v>
      </c>
      <c r="U428" s="25">
        <f>ROUND(IF(IFERROR(PROPERTIES[[#This Row],[TE_COEFFICIENT_CALC]],0)=0,PROPERTIES[[#This Row],[TE_COEFFICIENT_MANUAL]],PROPERTIES[[#This Row],[TE_COEFFICIENT_CALC]]),3)</f>
        <v>0.252</v>
      </c>
      <c r="V428" s="11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36">
        <v>0</v>
      </c>
      <c r="X428" s="9">
        <v>0</v>
      </c>
      <c r="Y428" s="10">
        <v>0</v>
      </c>
      <c r="Z428" t="s">
        <v>875</v>
      </c>
      <c r="AA428" t="s">
        <v>868</v>
      </c>
      <c r="AB428" s="2" t="s">
        <v>886</v>
      </c>
      <c r="AC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8" s="2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H428" s="10" t="b">
        <v>0</v>
      </c>
      <c r="AY428"/>
      <c r="AZ428"/>
      <c r="BA428"/>
    </row>
    <row r="429" spans="1:53">
      <c r="A429" s="2" t="s">
        <v>449</v>
      </c>
      <c r="B429">
        <v>1988</v>
      </c>
      <c r="C429" cm="1">
        <f t="array" ref="C429">_xlfn.IFS(ISNUMBER(SEARCH("wagon",PROPERTIES[[#This Row],[VEHIDCODE]])),0,OR(MID(PROPERTIES[[#This Row],[VEHIDCODE]],2,2)="mu",_xlfn.TEXTBEFORE(PROPERTIES[[#This Row],[VEHIDCODE]],"_")="mtro"),1,1=1,0)</f>
        <v>0</v>
      </c>
      <c r="D429" t="s">
        <v>1815</v>
      </c>
      <c r="E429" t="str">
        <f>_xlfn.XLOOKUP(PROPERTIES[[#This Row],[COUNTRY]],COUNTRIES[COUNTRY_DESCRIPTION],COUNTRIES[COUNTRY_LABEL],"")</f>
        <v>IT</v>
      </c>
      <c r="F429" t="str" cm="1">
        <f t="array" ref="F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9" t="s">
        <v>19</v>
      </c>
      <c r="H429">
        <v>0</v>
      </c>
      <c r="I429">
        <v>8</v>
      </c>
      <c r="J429">
        <v>8</v>
      </c>
      <c r="K429" t="str" cm="1">
        <f t="array" ref="K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9">
        <f>_xlfn.XLOOKUP("LOADINGSPEEDDEF_"&amp;PROPERTIES[[#This Row],[LOADINGSPEED]],LOADINGSPEEDDEF[TYPE],LOADINGSPEEDDEF[SPEED])</f>
        <v>20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f>IF(ISNUMBER(SEARCH("passenger",PROPERTIES[[#This Row],[CARGODEF]])),1,0)</f>
        <v>0</v>
      </c>
      <c r="O429" s="32">
        <v>77</v>
      </c>
      <c r="P429">
        <v>4600</v>
      </c>
      <c r="Q429">
        <v>140</v>
      </c>
      <c r="R429" s="29">
        <v>228</v>
      </c>
      <c r="S429" s="28">
        <f>IFERROR(PROPERTIES[[#This Row],[TE_STARTING_KN]]/(PROPERTIES[[#This Row],[WEIGHT]]*9.81),0)</f>
        <v>0.30183883394892569</v>
      </c>
      <c r="T429" s="28">
        <v>0.3</v>
      </c>
      <c r="U429" s="25">
        <f>ROUND(IF(IFERROR(PROPERTIES[[#This Row],[TE_COEFFICIENT_CALC]],0)=0,PROPERTIES[[#This Row],[TE_COEFFICIENT_MANUAL]],PROPERTIES[[#This Row],[TE_COEFFICIENT_CALC]]),3)</f>
        <v>0.30199999999999999</v>
      </c>
      <c r="V429" s="11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36">
        <v>0</v>
      </c>
      <c r="X429" s="9">
        <v>0</v>
      </c>
      <c r="Y429" s="10">
        <v>0</v>
      </c>
      <c r="Z429" t="s">
        <v>870</v>
      </c>
      <c r="AA429" t="s">
        <v>868</v>
      </c>
      <c r="AB429" s="2" t="s">
        <v>886</v>
      </c>
      <c r="AC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9" s="2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H429" s="10" t="b">
        <v>0</v>
      </c>
      <c r="AY429"/>
      <c r="AZ429"/>
      <c r="BA429"/>
    </row>
    <row r="430" spans="1:53">
      <c r="A430" s="2" t="s">
        <v>450</v>
      </c>
      <c r="B430">
        <v>1978</v>
      </c>
      <c r="C430" cm="1">
        <f t="array" ref="C430">_xlfn.IFS(ISNUMBER(SEARCH("wagon",PROPERTIES[[#This Row],[VEHIDCODE]])),0,OR(MID(PROPERTIES[[#This Row],[VEHIDCODE]],2,2)="mu",_xlfn.TEXTBEFORE(PROPERTIES[[#This Row],[VEHIDCODE]],"_")="mtro"),1,1=1,0)</f>
        <v>0</v>
      </c>
      <c r="D430" t="s">
        <v>1849</v>
      </c>
      <c r="E430" t="str">
        <f>_xlfn.XLOOKUP(PROPERTIES[[#This Row],[COUNTRY]],COUNTRIES[COUNTRY_DESCRIPTION],COUNTRIES[COUNTRY_LABEL],"")</f>
        <v>MK</v>
      </c>
      <c r="F430" t="str" cm="1">
        <f t="array" ref="F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0" t="s">
        <v>19</v>
      </c>
      <c r="H430">
        <v>0</v>
      </c>
      <c r="I430">
        <v>8</v>
      </c>
      <c r="J430">
        <v>8</v>
      </c>
      <c r="K430" t="str" cm="1">
        <f t="array" ref="K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0">
        <f>_xlfn.XLOOKUP("LOADINGSPEEDDEF_"&amp;PROPERTIES[[#This Row],[LOADINGSPEED]],LOADINGSPEEDDEF[TYPE],LOADINGSPEEDDEF[SPEED])</f>
        <v>20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f>IF(ISNUMBER(SEARCH("passenger",PROPERTIES[[#This Row],[CARGODEF]])),1,0)</f>
        <v>0</v>
      </c>
      <c r="O430" s="32">
        <v>120</v>
      </c>
      <c r="P430">
        <v>6834</v>
      </c>
      <c r="Q430">
        <v>120</v>
      </c>
      <c r="R430" s="29">
        <v>392</v>
      </c>
      <c r="S430" s="28">
        <f>IFERROR(PROPERTIES[[#This Row],[TE_STARTING_KN]]/(PROPERTIES[[#This Row],[WEIGHT]]*9.81),0)</f>
        <v>0.3329935440027183</v>
      </c>
      <c r="T430" s="28">
        <v>0.33</v>
      </c>
      <c r="U430" s="25">
        <f>ROUND(IF(IFERROR(PROPERTIES[[#This Row],[TE_COEFFICIENT_CALC]],0)=0,PROPERTIES[[#This Row],[TE_COEFFICIENT_MANUAL]],PROPERTIES[[#This Row],[TE_COEFFICIENT_CALC]]),3)</f>
        <v>0.33300000000000002</v>
      </c>
      <c r="V430" s="11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36">
        <v>0</v>
      </c>
      <c r="X430" s="9">
        <v>0</v>
      </c>
      <c r="Y430" s="10">
        <v>0</v>
      </c>
      <c r="Z430" t="s">
        <v>870</v>
      </c>
      <c r="AA430" t="s">
        <v>868</v>
      </c>
      <c r="AB430" s="2" t="s">
        <v>886</v>
      </c>
      <c r="AC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0" s="2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H430" s="10" t="b">
        <v>0</v>
      </c>
      <c r="AY430"/>
      <c r="AZ430"/>
      <c r="BA430"/>
    </row>
    <row r="431" spans="1:53">
      <c r="A431" s="2" t="s">
        <v>451</v>
      </c>
      <c r="B431">
        <v>1926</v>
      </c>
      <c r="C431" cm="1">
        <f t="array" ref="C431">_xlfn.IFS(ISNUMBER(SEARCH("wagon",PROPERTIES[[#This Row],[VEHIDCODE]])),0,OR(MID(PROPERTIES[[#This Row],[VEHIDCODE]],2,2)="mu",_xlfn.TEXTBEFORE(PROPERTIES[[#This Row],[VEHIDCODE]],"_")="mtro"),1,1=1,0)</f>
        <v>0</v>
      </c>
      <c r="D431" t="s">
        <v>1842</v>
      </c>
      <c r="E431" t="str">
        <f>_xlfn.XLOOKUP(PROPERTIES[[#This Row],[COUNTRY]],COUNTRIES[COUNTRY_DESCRIPTION],COUNTRIES[COUNTRY_LABEL],"")</f>
        <v>MA</v>
      </c>
      <c r="F431" t="str" cm="1">
        <f t="array" ref="F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1" t="s">
        <v>19</v>
      </c>
      <c r="H431">
        <v>0</v>
      </c>
      <c r="I431">
        <v>5</v>
      </c>
      <c r="J431">
        <v>5</v>
      </c>
      <c r="K431" t="str" cm="1">
        <f t="array" ref="K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1">
        <f>_xlfn.XLOOKUP("LOADINGSPEEDDEF_"&amp;PROPERTIES[[#This Row],[LOADINGSPEED]],LOADINGSPEEDDEF[TYPE],LOADINGSPEEDDEF[SPEED])</f>
        <v>20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f>IF(ISNUMBER(SEARCH("passenger",PROPERTIES[[#This Row],[CARGODEF]])),1,0)</f>
        <v>0</v>
      </c>
      <c r="O431" s="32">
        <v>76</v>
      </c>
      <c r="P431">
        <v>986</v>
      </c>
      <c r="Q431">
        <v>90</v>
      </c>
      <c r="R431" s="29">
        <v>0</v>
      </c>
      <c r="S431" s="28">
        <f>IFERROR(PROPERTIES[[#This Row],[TE_STARTING_KN]]/(PROPERTIES[[#This Row],[WEIGHT]]*9.81),0)</f>
        <v>0</v>
      </c>
      <c r="T431" s="28">
        <v>0.21</v>
      </c>
      <c r="U431" s="25">
        <f>ROUND(IF(IFERROR(PROPERTIES[[#This Row],[TE_COEFFICIENT_CALC]],0)=0,PROPERTIES[[#This Row],[TE_COEFFICIENT_MANUAL]],PROPERTIES[[#This Row],[TE_COEFFICIENT_CALC]]),3)</f>
        <v>0.21</v>
      </c>
      <c r="V431" s="11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36">
        <v>0</v>
      </c>
      <c r="X431" s="9">
        <v>0</v>
      </c>
      <c r="Y431" s="10">
        <v>0</v>
      </c>
      <c r="Z431" t="s">
        <v>872</v>
      </c>
      <c r="AA431" t="s">
        <v>868</v>
      </c>
      <c r="AB431" s="2" t="s">
        <v>886</v>
      </c>
      <c r="AC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1" s="2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1" s="2" t="b">
        <v>0</v>
      </c>
      <c r="AH431" s="10" t="b">
        <v>0</v>
      </c>
      <c r="AY431"/>
      <c r="AZ431"/>
      <c r="BA431"/>
    </row>
    <row r="432" spans="1:53">
      <c r="A432" s="2" t="s">
        <v>452</v>
      </c>
      <c r="B432">
        <v>1961</v>
      </c>
      <c r="C432" cm="1">
        <f t="array" ref="C432">_xlfn.IFS(ISNUMBER(SEARCH("wagon",PROPERTIES[[#This Row],[VEHIDCODE]])),0,OR(MID(PROPERTIES[[#This Row],[VEHIDCODE]],2,2)="mu",_xlfn.TEXTBEFORE(PROPERTIES[[#This Row],[VEHIDCODE]],"_")="mtro"),1,1=1,0)</f>
        <v>0</v>
      </c>
      <c r="D432" t="s">
        <v>1782</v>
      </c>
      <c r="E432" t="str">
        <f>_xlfn.XLOOKUP(PROPERTIES[[#This Row],[COUNTRY]],COUNTRIES[COUNTRY_DESCRIPTION],COUNTRIES[COUNTRY_LABEL],"")</f>
        <v>GB</v>
      </c>
      <c r="F432" t="str" cm="1">
        <f t="array" ref="F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2" t="s">
        <v>19</v>
      </c>
      <c r="H432">
        <v>0</v>
      </c>
      <c r="I432">
        <v>7</v>
      </c>
      <c r="J432">
        <v>7</v>
      </c>
      <c r="K432" t="str" cm="1">
        <f t="array" ref="K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2">
        <f>_xlfn.XLOOKUP("LOADINGSPEEDDEF_"&amp;PROPERTIES[[#This Row],[LOADINGSPEED]],LOADINGSPEEDDEF[TYPE],LOADINGSPEEDDEF[SPEED])</f>
        <v>20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f>IF(ISNUMBER(SEARCH("passenger",PROPERTIES[[#This Row],[CARGODEF]])),1,0)</f>
        <v>0</v>
      </c>
      <c r="O432" s="32">
        <v>81</v>
      </c>
      <c r="P432">
        <v>3200</v>
      </c>
      <c r="Q432">
        <v>160</v>
      </c>
      <c r="R432" s="29">
        <v>220</v>
      </c>
      <c r="S432" s="28">
        <f>IFERROR(PROPERTIES[[#This Row],[TE_STARTING_KN]]/(PROPERTIES[[#This Row],[WEIGHT]]*9.81),0)</f>
        <v>0.27686538050112636</v>
      </c>
      <c r="T432" s="28">
        <v>0.27</v>
      </c>
      <c r="U432" s="25">
        <f>ROUND(IF(IFERROR(PROPERTIES[[#This Row],[TE_COEFFICIENT_CALC]],0)=0,PROPERTIES[[#This Row],[TE_COEFFICIENT_MANUAL]],PROPERTIES[[#This Row],[TE_COEFFICIENT_CALC]]),3)</f>
        <v>0.27700000000000002</v>
      </c>
      <c r="V432" s="11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36">
        <v>0</v>
      </c>
      <c r="X432" s="9">
        <v>0</v>
      </c>
      <c r="Y432" s="10">
        <v>0</v>
      </c>
      <c r="Z432" t="s">
        <v>873</v>
      </c>
      <c r="AA432" t="s">
        <v>868</v>
      </c>
      <c r="AB432" s="2" t="s">
        <v>886</v>
      </c>
      <c r="AC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2" s="2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H432" s="10" t="b">
        <v>0</v>
      </c>
      <c r="AY432"/>
      <c r="AZ432"/>
      <c r="BA432"/>
    </row>
    <row r="433" spans="1:53">
      <c r="A433" s="2" t="s">
        <v>453</v>
      </c>
      <c r="B433">
        <v>1982</v>
      </c>
      <c r="C433" cm="1">
        <f t="array" ref="C433">_xlfn.IFS(ISNUMBER(SEARCH("wagon",PROPERTIES[[#This Row],[VEHIDCODE]])),0,OR(MID(PROPERTIES[[#This Row],[VEHIDCODE]],2,2)="mu",_xlfn.TEXTBEFORE(PROPERTIES[[#This Row],[VEHIDCODE]],"_")="mtro"),1,1=1,0)</f>
        <v>0</v>
      </c>
      <c r="D433" t="s">
        <v>1862</v>
      </c>
      <c r="E433" t="str">
        <f>_xlfn.XLOOKUP(PROPERTIES[[#This Row],[COUNTRY]],COUNTRIES[COUNTRY_DESCRIPTION],COUNTRIES[COUNTRY_LABEL],"")</f>
        <v>MX</v>
      </c>
      <c r="F433" t="str" cm="1">
        <f t="array" ref="F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3" t="s">
        <v>19</v>
      </c>
      <c r="H433">
        <v>0</v>
      </c>
      <c r="I433">
        <v>8</v>
      </c>
      <c r="J433">
        <v>8</v>
      </c>
      <c r="K433" t="str" cm="1">
        <f t="array" ref="K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3">
        <f>_xlfn.XLOOKUP("LOADINGSPEEDDEF_"&amp;PROPERTIES[[#This Row],[LOADINGSPEED]],LOADINGSPEEDDEF[TYPE],LOADINGSPEEDDEF[SPEED])</f>
        <v>20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f>IF(ISNUMBER(SEARCH("passenger",PROPERTIES[[#This Row],[CARGODEF]])),1,0)</f>
        <v>0</v>
      </c>
      <c r="O433" s="32">
        <v>167.8</v>
      </c>
      <c r="P433">
        <v>6000</v>
      </c>
      <c r="Q433">
        <v>110</v>
      </c>
      <c r="R433" s="29">
        <v>520</v>
      </c>
      <c r="S433" s="28">
        <f>IFERROR(PROPERTIES[[#This Row],[TE_STARTING_KN]]/(PROPERTIES[[#This Row],[WEIGHT]]*9.81),0)</f>
        <v>0.31589472929644163</v>
      </c>
      <c r="T433" s="28">
        <v>0.19</v>
      </c>
      <c r="U433" s="25">
        <f>ROUND(IF(IFERROR(PROPERTIES[[#This Row],[TE_COEFFICIENT_CALC]],0)=0,PROPERTIES[[#This Row],[TE_COEFFICIENT_MANUAL]],PROPERTIES[[#This Row],[TE_COEFFICIENT_CALC]]),3)</f>
        <v>0.316</v>
      </c>
      <c r="V433" s="11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36">
        <v>0</v>
      </c>
      <c r="X433" s="9">
        <v>0</v>
      </c>
      <c r="Y433" s="10">
        <v>0</v>
      </c>
      <c r="Z433" t="s">
        <v>874</v>
      </c>
      <c r="AA433" t="s">
        <v>868</v>
      </c>
      <c r="AB433" s="2" t="s">
        <v>886</v>
      </c>
      <c r="AC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3" s="2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H433" s="10" t="b">
        <v>0</v>
      </c>
      <c r="AY433"/>
      <c r="AZ433"/>
      <c r="BA433"/>
    </row>
    <row r="434" spans="1:53">
      <c r="A434" s="2" t="s">
        <v>454</v>
      </c>
      <c r="B434">
        <v>2010</v>
      </c>
      <c r="C434" cm="1">
        <f t="array" ref="C434">_xlfn.IFS(ISNUMBER(SEARCH("wagon",PROPERTIES[[#This Row],[VEHIDCODE]])),0,OR(MID(PROPERTIES[[#This Row],[VEHIDCODE]],2,2)="mu",_xlfn.TEXTBEFORE(PROPERTIES[[#This Row],[VEHIDCODE]],"_")="mtro"),1,1=1,0)</f>
        <v>0</v>
      </c>
      <c r="D434" t="s">
        <v>1842</v>
      </c>
      <c r="E434" t="str">
        <f>_xlfn.XLOOKUP(PROPERTIES[[#This Row],[COUNTRY]],COUNTRIES[COUNTRY_DESCRIPTION],COUNTRIES[COUNTRY_LABEL],"")</f>
        <v>MA</v>
      </c>
      <c r="F434" t="str" cm="1">
        <f t="array" ref="F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4" t="s">
        <v>19</v>
      </c>
      <c r="H434">
        <v>0</v>
      </c>
      <c r="I434">
        <v>8</v>
      </c>
      <c r="J434">
        <v>8</v>
      </c>
      <c r="K434" t="str" cm="1">
        <f t="array" ref="K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4">
        <f>_xlfn.XLOOKUP("LOADINGSPEEDDEF_"&amp;PROPERTIES[[#This Row],[LOADINGSPEED]],LOADINGSPEEDDEF[TYPE],LOADINGSPEEDDEF[SPEED])</f>
        <v>20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f>IF(ISNUMBER(SEARCH("passenger",PROPERTIES[[#This Row],[CARGODEF]])),1,0)</f>
        <v>0</v>
      </c>
      <c r="O434" s="32">
        <v>91</v>
      </c>
      <c r="P434">
        <v>8600</v>
      </c>
      <c r="Q434">
        <v>160</v>
      </c>
      <c r="R434" s="29">
        <v>0</v>
      </c>
      <c r="S434" s="28">
        <f>IFERROR(PROPERTIES[[#This Row],[TE_STARTING_KN]]/(PROPERTIES[[#This Row],[WEIGHT]]*9.81),0)</f>
        <v>0</v>
      </c>
      <c r="T434" s="28">
        <v>0.35</v>
      </c>
      <c r="U434" s="25">
        <f>ROUND(IF(IFERROR(PROPERTIES[[#This Row],[TE_COEFFICIENT_CALC]],0)=0,PROPERTIES[[#This Row],[TE_COEFFICIENT_MANUAL]],PROPERTIES[[#This Row],[TE_COEFFICIENT_CALC]]),3)</f>
        <v>0.35</v>
      </c>
      <c r="V434" s="11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36">
        <v>0</v>
      </c>
      <c r="X434" s="9">
        <v>0</v>
      </c>
      <c r="Y434" s="10">
        <v>0</v>
      </c>
      <c r="Z434" t="s">
        <v>872</v>
      </c>
      <c r="AA434" t="s">
        <v>868</v>
      </c>
      <c r="AB434" s="2" t="s">
        <v>886</v>
      </c>
      <c r="AC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4" s="2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H434" s="10" t="b">
        <v>0</v>
      </c>
      <c r="AY434"/>
      <c r="AZ434"/>
      <c r="BA434"/>
    </row>
    <row r="435" spans="1:53">
      <c r="A435" s="2" t="s">
        <v>455</v>
      </c>
      <c r="B435">
        <v>1968</v>
      </c>
      <c r="C435" cm="1">
        <f t="array" ref="C435">_xlfn.IFS(ISNUMBER(SEARCH("wagon",PROPERTIES[[#This Row],[VEHIDCODE]])),0,OR(MID(PROPERTIES[[#This Row],[VEHIDCODE]],2,2)="mu",_xlfn.TEXTBEFORE(PROPERTIES[[#This Row],[VEHIDCODE]],"_")="mtro"),1,1=1,0)</f>
        <v>0</v>
      </c>
      <c r="D435" t="s">
        <v>1876</v>
      </c>
      <c r="E435" t="str">
        <f>_xlfn.XLOOKUP(PROPERTIES[[#This Row],[COUNTRY]],COUNTRIES[COUNTRY_DESCRIPTION],COUNTRIES[COUNTRY_LABEL],"")</f>
        <v>NZ</v>
      </c>
      <c r="F435" t="str" cm="1">
        <f t="array" ref="F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5" t="s">
        <v>19</v>
      </c>
      <c r="H435">
        <v>0</v>
      </c>
      <c r="I435">
        <v>6</v>
      </c>
      <c r="J435">
        <v>6</v>
      </c>
      <c r="K435" t="str" cm="1">
        <f t="array" ref="K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5">
        <f>_xlfn.XLOOKUP("LOADINGSPEEDDEF_"&amp;PROPERTIES[[#This Row],[LOADINGSPEED]],LOADINGSPEEDDEF[TYPE],LOADINGSPEEDDEF[SPEED])</f>
        <v>20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f>IF(ISNUMBER(SEARCH("passenger",PROPERTIES[[#This Row],[CARGODEF]])),1,0)</f>
        <v>0</v>
      </c>
      <c r="O435" s="32">
        <v>55</v>
      </c>
      <c r="P435">
        <v>1290</v>
      </c>
      <c r="Q435">
        <v>72</v>
      </c>
      <c r="R435" s="29">
        <v>0</v>
      </c>
      <c r="S435" s="28">
        <f>IFERROR(PROPERTIES[[#This Row],[TE_STARTING_KN]]/(PROPERTIES[[#This Row],[WEIGHT]]*9.81),0)</f>
        <v>0</v>
      </c>
      <c r="T435" s="28">
        <v>0.32</v>
      </c>
      <c r="U435" s="25">
        <f>ROUND(IF(IFERROR(PROPERTIES[[#This Row],[TE_COEFFICIENT_CALC]],0)=0,PROPERTIES[[#This Row],[TE_COEFFICIENT_MANUAL]],PROPERTIES[[#This Row],[TE_COEFFICIENT_CALC]]),3)</f>
        <v>0.32</v>
      </c>
      <c r="V435" s="11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36">
        <v>0</v>
      </c>
      <c r="X435" s="9">
        <v>0</v>
      </c>
      <c r="Y435" s="10">
        <v>0</v>
      </c>
      <c r="Z435" t="s">
        <v>871</v>
      </c>
      <c r="AA435" t="s">
        <v>868</v>
      </c>
      <c r="AB435" s="2" t="s">
        <v>886</v>
      </c>
      <c r="AC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5" s="2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H435" s="10" t="b">
        <v>0</v>
      </c>
      <c r="AY435"/>
      <c r="AZ435"/>
      <c r="BA435"/>
    </row>
    <row r="436" spans="1:53">
      <c r="A436" s="2" t="s">
        <v>456</v>
      </c>
      <c r="B436">
        <v>1983</v>
      </c>
      <c r="C436" cm="1">
        <f t="array" ref="C436">_xlfn.IFS(ISNUMBER(SEARCH("wagon",PROPERTIES[[#This Row],[VEHIDCODE]])),0,OR(MID(PROPERTIES[[#This Row],[VEHIDCODE]],2,2)="mu",_xlfn.TEXTBEFORE(PROPERTIES[[#This Row],[VEHIDCODE]],"_")="mtro"),1,1=1,0)</f>
        <v>0</v>
      </c>
      <c r="D436" t="s">
        <v>1744</v>
      </c>
      <c r="E436" t="str">
        <f>_xlfn.XLOOKUP(PROPERTIES[[#This Row],[COUNTRY]],COUNTRIES[COUNTRY_DESCRIPTION],COUNTRIES[COUNTRY_LABEL],"")</f>
        <v>CA</v>
      </c>
      <c r="F436" t="str" cm="1">
        <f t="array" ref="F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6" t="s">
        <v>19</v>
      </c>
      <c r="H436">
        <v>0</v>
      </c>
      <c r="I436">
        <v>8</v>
      </c>
      <c r="J436">
        <v>8</v>
      </c>
      <c r="K436" t="str" cm="1">
        <f t="array" ref="K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6">
        <f>_xlfn.XLOOKUP("LOADINGSPEEDDEF_"&amp;PROPERTIES[[#This Row],[LOADINGSPEED]],LOADINGSPEEDDEF[TYPE],LOADINGSPEEDDEF[SPEED])</f>
        <v>20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f>IF(ISNUMBER(SEARCH("passenger",PROPERTIES[[#This Row],[CARGODEF]])),1,0)</f>
        <v>0</v>
      </c>
      <c r="O436" s="32">
        <v>180</v>
      </c>
      <c r="P436">
        <v>6000</v>
      </c>
      <c r="Q436">
        <v>90</v>
      </c>
      <c r="R436" s="29">
        <v>605</v>
      </c>
      <c r="S436" s="28">
        <f>IFERROR(PROPERTIES[[#This Row],[TE_STARTING_KN]]/(PROPERTIES[[#This Row],[WEIGHT]]*9.81),0)</f>
        <v>0.34262090837014381</v>
      </c>
      <c r="T436" s="28">
        <v>0.22</v>
      </c>
      <c r="U436" s="25">
        <f>ROUND(IF(IFERROR(PROPERTIES[[#This Row],[TE_COEFFICIENT_CALC]],0)=0,PROPERTIES[[#This Row],[TE_COEFFICIENT_MANUAL]],PROPERTIES[[#This Row],[TE_COEFFICIENT_CALC]]),3)</f>
        <v>0.34300000000000003</v>
      </c>
      <c r="V436" s="11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36">
        <v>0</v>
      </c>
      <c r="X436" s="9">
        <v>0</v>
      </c>
      <c r="Y436" s="10">
        <v>0</v>
      </c>
      <c r="Z436" t="s">
        <v>874</v>
      </c>
      <c r="AA436" t="s">
        <v>868</v>
      </c>
      <c r="AB436" s="2" t="s">
        <v>886</v>
      </c>
      <c r="AC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6" s="2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H436" s="10" t="b">
        <v>0</v>
      </c>
      <c r="AY436"/>
      <c r="AZ436"/>
      <c r="BA436"/>
    </row>
    <row r="437" spans="1:53">
      <c r="A437" s="2" t="s">
        <v>457</v>
      </c>
      <c r="B437">
        <v>1976</v>
      </c>
      <c r="C437" cm="1">
        <f t="array" ref="C437">_xlfn.IFS(ISNUMBER(SEARCH("wagon",PROPERTIES[[#This Row],[VEHIDCODE]])),0,OR(MID(PROPERTIES[[#This Row],[VEHIDCODE]],2,2)="mu",_xlfn.TEXTBEFORE(PROPERTIES[[#This Row],[VEHIDCODE]],"_")="mtro"),1,1=1,0)</f>
        <v>0</v>
      </c>
      <c r="D437" t="s">
        <v>1781</v>
      </c>
      <c r="E437" t="str">
        <f>_xlfn.XLOOKUP(PROPERTIES[[#This Row],[COUNTRY]],COUNTRIES[COUNTRY_DESCRIPTION],COUNTRIES[COUNTRY_LABEL],"")</f>
        <v>FR</v>
      </c>
      <c r="F437" t="str" cm="1">
        <f t="array" ref="F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7" t="s">
        <v>19</v>
      </c>
      <c r="H437">
        <v>0</v>
      </c>
      <c r="I437">
        <v>8</v>
      </c>
      <c r="J437">
        <v>8</v>
      </c>
      <c r="K437" t="str" cm="1">
        <f t="array" ref="K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7">
        <f>_xlfn.XLOOKUP("LOADINGSPEEDDEF_"&amp;PROPERTIES[[#This Row],[LOADINGSPEED]],LOADINGSPEEDDEF[TYPE],LOADINGSPEEDDEF[SPEED])</f>
        <v>20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f>IF(ISNUMBER(SEARCH("passenger",PROPERTIES[[#This Row],[CARGODEF]])),1,0)</f>
        <v>0</v>
      </c>
      <c r="O437" s="32">
        <v>90</v>
      </c>
      <c r="P437">
        <v>5850</v>
      </c>
      <c r="Q437">
        <v>160</v>
      </c>
      <c r="R437" s="29">
        <v>294</v>
      </c>
      <c r="S437" s="28">
        <f>IFERROR(PROPERTIES[[#This Row],[TE_STARTING_KN]]/(PROPERTIES[[#This Row],[WEIGHT]]*9.81),0)</f>
        <v>0.3329935440027183</v>
      </c>
      <c r="T437" s="28">
        <v>0.33</v>
      </c>
      <c r="U437" s="25">
        <f>ROUND(IF(IFERROR(PROPERTIES[[#This Row],[TE_COEFFICIENT_CALC]],0)=0,PROPERTIES[[#This Row],[TE_COEFFICIENT_MANUAL]],PROPERTIES[[#This Row],[TE_COEFFICIENT_CALC]]),3)</f>
        <v>0.33300000000000002</v>
      </c>
      <c r="V437" s="11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36">
        <v>0</v>
      </c>
      <c r="X437" s="9">
        <v>0</v>
      </c>
      <c r="Y437" s="10">
        <v>0</v>
      </c>
      <c r="Z437" t="s">
        <v>869</v>
      </c>
      <c r="AA437" t="s">
        <v>868</v>
      </c>
      <c r="AB437" s="2" t="s">
        <v>886</v>
      </c>
      <c r="AC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7" s="2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H437" s="10" t="b">
        <v>0</v>
      </c>
      <c r="AY437"/>
      <c r="AZ437"/>
      <c r="BA437"/>
    </row>
    <row r="438" spans="1:53">
      <c r="A438" s="2" t="s">
        <v>458</v>
      </c>
      <c r="B438">
        <v>1989</v>
      </c>
      <c r="C438" cm="1">
        <f t="array" ref="C438">_xlfn.IFS(ISNUMBER(SEARCH("wagon",PROPERTIES[[#This Row],[VEHIDCODE]])),0,OR(MID(PROPERTIES[[#This Row],[VEHIDCODE]],2,2)="mu",_xlfn.TEXTBEFORE(PROPERTIES[[#This Row],[VEHIDCODE]],"_")="mtro"),1,1=1,0)</f>
        <v>0</v>
      </c>
      <c r="D438" t="s">
        <v>1781</v>
      </c>
      <c r="E438" t="str">
        <f>_xlfn.XLOOKUP(PROPERTIES[[#This Row],[COUNTRY]],COUNTRIES[COUNTRY_DESCRIPTION],COUNTRIES[COUNTRY_LABEL],"")</f>
        <v>FR</v>
      </c>
      <c r="F438" t="str" cm="1">
        <f t="array" ref="F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8" t="s">
        <v>19</v>
      </c>
      <c r="H438">
        <v>0</v>
      </c>
      <c r="I438">
        <v>8</v>
      </c>
      <c r="J438">
        <v>8</v>
      </c>
      <c r="K438" t="str" cm="1">
        <f t="array" ref="K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8">
        <f>_xlfn.XLOOKUP("LOADINGSPEEDDEF_"&amp;PROPERTIES[[#This Row],[LOADINGSPEED]],LOADINGSPEEDDEF[TYPE],LOADINGSPEEDDEF[SPEED])</f>
        <v>20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f>IF(ISNUMBER(SEARCH("passenger",PROPERTIES[[#This Row],[CARGODEF]])),1,0)</f>
        <v>0</v>
      </c>
      <c r="O438" s="32">
        <v>90</v>
      </c>
      <c r="P438">
        <v>7504</v>
      </c>
      <c r="Q438">
        <v>200</v>
      </c>
      <c r="R438" s="29">
        <v>320</v>
      </c>
      <c r="S438" s="28">
        <f>IFERROR(PROPERTIES[[#This Row],[TE_STARTING_KN]]/(PROPERTIES[[#This Row],[WEIGHT]]*9.81),0)</f>
        <v>0.36244195265601992</v>
      </c>
      <c r="T438" s="28">
        <v>0.36</v>
      </c>
      <c r="U438" s="25">
        <f>ROUND(IF(IFERROR(PROPERTIES[[#This Row],[TE_COEFFICIENT_CALC]],0)=0,PROPERTIES[[#This Row],[TE_COEFFICIENT_MANUAL]],PROPERTIES[[#This Row],[TE_COEFFICIENT_CALC]]),3)</f>
        <v>0.36199999999999999</v>
      </c>
      <c r="V438" s="11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36">
        <v>0</v>
      </c>
      <c r="X438" s="9">
        <v>0</v>
      </c>
      <c r="Y438" s="10">
        <v>0</v>
      </c>
      <c r="Z438" t="s">
        <v>869</v>
      </c>
      <c r="AA438" t="s">
        <v>868</v>
      </c>
      <c r="AB438" s="2" t="s">
        <v>886</v>
      </c>
      <c r="AC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8" s="2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H438" s="10" t="b">
        <v>0</v>
      </c>
      <c r="AY438"/>
      <c r="AZ438"/>
      <c r="BA438"/>
    </row>
    <row r="439" spans="1:53">
      <c r="A439" s="2" t="s">
        <v>459</v>
      </c>
      <c r="B439">
        <v>1964</v>
      </c>
      <c r="C439" cm="1">
        <f t="array" ref="C439">_xlfn.IFS(ISNUMBER(SEARCH("wagon",PROPERTIES[[#This Row],[VEHIDCODE]])),0,OR(MID(PROPERTIES[[#This Row],[VEHIDCODE]],2,2)="mu",_xlfn.TEXTBEFORE(PROPERTIES[[#This Row],[VEHIDCODE]],"_")="mtro"),1,1=1,0)</f>
        <v>0</v>
      </c>
      <c r="D439" t="s">
        <v>1781</v>
      </c>
      <c r="E439" t="str">
        <f>_xlfn.XLOOKUP(PROPERTIES[[#This Row],[COUNTRY]],COUNTRIES[COUNTRY_DESCRIPTION],COUNTRIES[COUNTRY_LABEL],"")</f>
        <v>FR</v>
      </c>
      <c r="F439" t="str" cm="1">
        <f t="array" ref="F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9" t="s">
        <v>19</v>
      </c>
      <c r="H439">
        <v>0</v>
      </c>
      <c r="I439">
        <v>8</v>
      </c>
      <c r="J439">
        <v>8</v>
      </c>
      <c r="K439" t="str" cm="1">
        <f t="array" ref="K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9">
        <f>_xlfn.XLOOKUP("LOADINGSPEEDDEF_"&amp;PROPERTIES[[#This Row],[LOADINGSPEED]],LOADINGSPEEDDEF[TYPE],LOADINGSPEEDDEF[SPEED])</f>
        <v>20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f>IF(ISNUMBER(SEARCH("passenger",PROPERTIES[[#This Row],[CARGODEF]])),1,0)</f>
        <v>0</v>
      </c>
      <c r="O439" s="32">
        <v>79</v>
      </c>
      <c r="P439">
        <v>3940</v>
      </c>
      <c r="Q439">
        <v>100</v>
      </c>
      <c r="R439" s="29">
        <v>330</v>
      </c>
      <c r="S439" s="28">
        <f>IFERROR(PROPERTIES[[#This Row],[TE_STARTING_KN]]/(PROPERTIES[[#This Row],[WEIGHT]]*9.81),0)</f>
        <v>0.42581194596059302</v>
      </c>
      <c r="T439" s="28">
        <v>0.42</v>
      </c>
      <c r="U439" s="25">
        <f>ROUND(IF(IFERROR(PROPERTIES[[#This Row],[TE_COEFFICIENT_CALC]],0)=0,PROPERTIES[[#This Row],[TE_COEFFICIENT_MANUAL]],PROPERTIES[[#This Row],[TE_COEFFICIENT_CALC]]),3)</f>
        <v>0.42599999999999999</v>
      </c>
      <c r="V439" s="11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36">
        <v>0</v>
      </c>
      <c r="X439" s="9">
        <v>0</v>
      </c>
      <c r="Y439" s="10">
        <v>0</v>
      </c>
      <c r="Z439" t="s">
        <v>869</v>
      </c>
      <c r="AA439" t="s">
        <v>868</v>
      </c>
      <c r="AB439" s="2" t="s">
        <v>886</v>
      </c>
      <c r="AC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9" s="2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H439" s="10" t="b">
        <v>0</v>
      </c>
      <c r="AY439"/>
      <c r="AZ439"/>
      <c r="BA439"/>
    </row>
    <row r="440" spans="1:53">
      <c r="A440" s="2" t="s">
        <v>460</v>
      </c>
      <c r="B440">
        <v>2000</v>
      </c>
      <c r="C440" cm="1">
        <f t="array" ref="C440">_xlfn.IFS(ISNUMBER(SEARCH("wagon",PROPERTIES[[#This Row],[VEHIDCODE]])),0,OR(MID(PROPERTIES[[#This Row],[VEHIDCODE]],2,2)="mu",_xlfn.TEXTBEFORE(PROPERTIES[[#This Row],[VEHIDCODE]],"_")="mtro"),1,1=1,0)</f>
        <v>0</v>
      </c>
      <c r="D440" t="s">
        <v>1763</v>
      </c>
      <c r="E440" t="str">
        <f>_xlfn.XLOOKUP(PROPERTIES[[#This Row],[COUNTRY]],COUNTRIES[COUNTRY_DESCRIPTION],COUNTRIES[COUNTRY_LABEL],"")</f>
        <v>DE</v>
      </c>
      <c r="F440" t="str" cm="1">
        <f t="array" ref="F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0" t="s">
        <v>19</v>
      </c>
      <c r="H440">
        <v>0</v>
      </c>
      <c r="I440">
        <v>8</v>
      </c>
      <c r="J440">
        <v>8</v>
      </c>
      <c r="K440" t="str" cm="1">
        <f t="array" ref="K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0">
        <f>_xlfn.XLOOKUP("LOADINGSPEEDDEF_"&amp;PROPERTIES[[#This Row],[LOADINGSPEED]],LOADINGSPEEDDEF[TYPE],LOADINGSPEEDDEF[SPEED])</f>
        <v>20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f>IF(ISNUMBER(SEARCH("passenger",PROPERTIES[[#This Row],[CARGODEF]])),1,0)</f>
        <v>0</v>
      </c>
      <c r="O440" s="32">
        <v>86</v>
      </c>
      <c r="P440">
        <v>11266</v>
      </c>
      <c r="Q440">
        <v>230</v>
      </c>
      <c r="R440" s="29">
        <v>300</v>
      </c>
      <c r="S440" s="28">
        <f>IFERROR(PROPERTIES[[#This Row],[TE_STARTING_KN]]/(PROPERTIES[[#This Row],[WEIGHT]]*9.81),0)</f>
        <v>0.3555934855273451</v>
      </c>
      <c r="T440" s="28">
        <v>0.35</v>
      </c>
      <c r="U440" s="25">
        <f>ROUND(IF(IFERROR(PROPERTIES[[#This Row],[TE_COEFFICIENT_CALC]],0)=0,PROPERTIES[[#This Row],[TE_COEFFICIENT_MANUAL]],PROPERTIES[[#This Row],[TE_COEFFICIENT_CALC]]),3)</f>
        <v>0.35599999999999998</v>
      </c>
      <c r="V440" s="11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36">
        <v>0</v>
      </c>
      <c r="X440" s="9">
        <v>0</v>
      </c>
      <c r="Y440" s="10">
        <v>0</v>
      </c>
      <c r="Z440" t="s">
        <v>869</v>
      </c>
      <c r="AA440" t="s">
        <v>868</v>
      </c>
      <c r="AB440" s="2" t="s">
        <v>886</v>
      </c>
      <c r="AC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0" s="2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H440" s="10" t="b">
        <v>0</v>
      </c>
      <c r="AY440"/>
      <c r="AZ440"/>
      <c r="BA440"/>
    </row>
    <row r="441" spans="1:53">
      <c r="A441" s="2" t="s">
        <v>461</v>
      </c>
      <c r="B441">
        <v>1997</v>
      </c>
      <c r="C441" cm="1">
        <f t="array" ref="C441">_xlfn.IFS(ISNUMBER(SEARCH("wagon",PROPERTIES[[#This Row],[VEHIDCODE]])),0,OR(MID(PROPERTIES[[#This Row],[VEHIDCODE]],2,2)="mu",_xlfn.TEXTBEFORE(PROPERTIES[[#This Row],[VEHIDCODE]],"_")="mtro"),1,1=1,0)</f>
        <v>0</v>
      </c>
      <c r="D441" t="s">
        <v>1819</v>
      </c>
      <c r="E441" t="str">
        <f>_xlfn.XLOOKUP(PROPERTIES[[#This Row],[COUNTRY]],COUNTRIES[COUNTRY_DESCRIPTION],COUNTRIES[COUNTRY_LABEL],"")</f>
        <v>JP</v>
      </c>
      <c r="F441" t="str" cm="1">
        <f t="array" ref="F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1" t="s">
        <v>19</v>
      </c>
      <c r="H441">
        <v>0</v>
      </c>
      <c r="I441">
        <v>8</v>
      </c>
      <c r="J441">
        <v>16</v>
      </c>
      <c r="K441" t="str" cm="1">
        <f t="array" ref="K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1">
        <f>_xlfn.XLOOKUP("LOADINGSPEEDDEF_"&amp;PROPERTIES[[#This Row],[LOADINGSPEED]],LOADINGSPEEDDEF[TYPE],LOADINGSPEEDDEF[SPEED])</f>
        <v>20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f>IF(ISNUMBER(SEARCH("passenger",PROPERTIES[[#This Row],[CARGODEF]])),1,0)</f>
        <v>0</v>
      </c>
      <c r="O441" s="32">
        <v>134.19999999999999</v>
      </c>
      <c r="P441">
        <v>5400</v>
      </c>
      <c r="Q441">
        <v>110</v>
      </c>
      <c r="R441" s="29">
        <v>240.76</v>
      </c>
      <c r="S441" s="28">
        <f>IFERROR(PROPERTIES[[#This Row],[TE_STARTING_KN]]/(PROPERTIES[[#This Row],[WEIGHT]]*9.81),0)</f>
        <v>0.1828785675980743</v>
      </c>
      <c r="T441" s="28">
        <v>0.18</v>
      </c>
      <c r="U441" s="25">
        <f>ROUND(IF(IFERROR(PROPERTIES[[#This Row],[TE_COEFFICIENT_CALC]],0)=0,PROPERTIES[[#This Row],[TE_COEFFICIENT_MANUAL]],PROPERTIES[[#This Row],[TE_COEFFICIENT_CALC]]),3)</f>
        <v>0.183</v>
      </c>
      <c r="V441" s="11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36">
        <v>0</v>
      </c>
      <c r="X441" s="9">
        <v>8</v>
      </c>
      <c r="Y441" s="10">
        <v>0</v>
      </c>
      <c r="Z441" t="s">
        <v>877</v>
      </c>
      <c r="AA441" t="s">
        <v>868</v>
      </c>
      <c r="AB441" s="2" t="s">
        <v>886</v>
      </c>
      <c r="AC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1" s="2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H441" s="10" t="b">
        <v>0</v>
      </c>
      <c r="AY441"/>
      <c r="AZ441"/>
      <c r="BA441"/>
    </row>
    <row r="442" spans="1:53">
      <c r="A442" s="2" t="s">
        <v>462</v>
      </c>
      <c r="B442">
        <v>1978</v>
      </c>
      <c r="C442" cm="1">
        <f t="array" ref="C442">_xlfn.IFS(ISNUMBER(SEARCH("wagon",PROPERTIES[[#This Row],[VEHIDCODE]])),0,OR(MID(PROPERTIES[[#This Row],[VEHIDCODE]],2,2)="mu",_xlfn.TEXTBEFORE(PROPERTIES[[#This Row],[VEHIDCODE]],"_")="mtro"),1,1=1,0)</f>
        <v>0</v>
      </c>
      <c r="D442" t="s">
        <v>1937</v>
      </c>
      <c r="E442" t="str">
        <f>_xlfn.XLOOKUP(PROPERTIES[[#This Row],[COUNTRY]],COUNTRIES[COUNTRY_DESCRIPTION],COUNTRIES[COUNTRY_LABEL],"")</f>
        <v>US</v>
      </c>
      <c r="F442" t="str" cm="1">
        <f t="array" ref="F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2" t="s">
        <v>19</v>
      </c>
      <c r="H442">
        <v>0</v>
      </c>
      <c r="I442">
        <v>7</v>
      </c>
      <c r="J442">
        <v>7</v>
      </c>
      <c r="K442" t="str" cm="1">
        <f t="array" ref="K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2">
        <f>_xlfn.XLOOKUP("LOADINGSPEEDDEF_"&amp;PROPERTIES[[#This Row],[LOADINGSPEED]],LOADINGSPEEDDEF[TYPE],LOADINGSPEEDDEF[SPEED])</f>
        <v>20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f>IF(ISNUMBER(SEARCH("passenger",PROPERTIES[[#This Row],[CARGODEF]])),1,0)</f>
        <v>0</v>
      </c>
      <c r="O442" s="32">
        <v>92</v>
      </c>
      <c r="P442">
        <v>7000</v>
      </c>
      <c r="Q442">
        <v>201</v>
      </c>
      <c r="R442" s="29">
        <v>230</v>
      </c>
      <c r="S442" s="28">
        <f>IFERROR(PROPERTIES[[#This Row],[TE_STARTING_KN]]/(PROPERTIES[[#This Row],[WEIGHT]]*9.81),0)</f>
        <v>0.254841997961264</v>
      </c>
      <c r="T442" s="28">
        <v>0.26</v>
      </c>
      <c r="U442" s="25">
        <f>ROUND(IF(IFERROR(PROPERTIES[[#This Row],[TE_COEFFICIENT_CALC]],0)=0,PROPERTIES[[#This Row],[TE_COEFFICIENT_MANUAL]],PROPERTIES[[#This Row],[TE_COEFFICIENT_CALC]]),3)</f>
        <v>0.255</v>
      </c>
      <c r="V442" s="11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36">
        <v>0</v>
      </c>
      <c r="X442" s="9">
        <v>0</v>
      </c>
      <c r="Y442" s="10">
        <v>0</v>
      </c>
      <c r="Z442" t="s">
        <v>874</v>
      </c>
      <c r="AA442" t="s">
        <v>868</v>
      </c>
      <c r="AB442" s="2" t="s">
        <v>886</v>
      </c>
      <c r="AC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2" s="2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H442" s="10" t="b">
        <v>0</v>
      </c>
      <c r="AY442"/>
      <c r="AZ442"/>
      <c r="BA442"/>
    </row>
    <row r="443" spans="1:53">
      <c r="A443" s="2" t="s">
        <v>463</v>
      </c>
      <c r="B443">
        <v>1999</v>
      </c>
      <c r="C443" cm="1">
        <f t="array" ref="C443">_xlfn.IFS(ISNUMBER(SEARCH("wagon",PROPERTIES[[#This Row],[VEHIDCODE]])),0,OR(MID(PROPERTIES[[#This Row],[VEHIDCODE]],2,2)="mu",_xlfn.TEXTBEFORE(PROPERTIES[[#This Row],[VEHIDCODE]],"_")="mtro"),1,1=1,0)</f>
        <v>0</v>
      </c>
      <c r="D443" t="s">
        <v>1937</v>
      </c>
      <c r="E443" t="str">
        <f>_xlfn.XLOOKUP(PROPERTIES[[#This Row],[COUNTRY]],COUNTRIES[COUNTRY_DESCRIPTION],COUNTRIES[COUNTRY_LABEL],"")</f>
        <v>US</v>
      </c>
      <c r="F443" t="str" cm="1">
        <f t="array" ref="F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3" t="s">
        <v>19</v>
      </c>
      <c r="H443">
        <v>0</v>
      </c>
      <c r="I443">
        <v>8</v>
      </c>
      <c r="J443">
        <v>8</v>
      </c>
      <c r="K443" t="str" cm="1">
        <f t="array" ref="K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3">
        <f>_xlfn.XLOOKUP("LOADINGSPEEDDEF_"&amp;PROPERTIES[[#This Row],[LOADINGSPEED]],LOADINGSPEEDDEF[TYPE],LOADINGSPEEDDEF[SPEED])</f>
        <v>20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f>IF(ISNUMBER(SEARCH("passenger",PROPERTIES[[#This Row],[CARGODEF]])),1,0)</f>
        <v>0</v>
      </c>
      <c r="O443" s="32">
        <v>101</v>
      </c>
      <c r="P443">
        <v>8000</v>
      </c>
      <c r="Q443">
        <v>217</v>
      </c>
      <c r="R443" s="29">
        <v>316.89999999999998</v>
      </c>
      <c r="S443" s="28">
        <f>IFERROR(PROPERTIES[[#This Row],[TE_STARTING_KN]]/(PROPERTIES[[#This Row],[WEIGHT]]*9.81),0)</f>
        <v>0.31983932338187943</v>
      </c>
      <c r="T443" s="28">
        <v>0.25</v>
      </c>
      <c r="U443" s="25">
        <f>ROUND(IF(IFERROR(PROPERTIES[[#This Row],[TE_COEFFICIENT_CALC]],0)=0,PROPERTIES[[#This Row],[TE_COEFFICIENT_MANUAL]],PROPERTIES[[#This Row],[TE_COEFFICIENT_CALC]]),3)</f>
        <v>0.32</v>
      </c>
      <c r="V443" s="11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36">
        <v>0</v>
      </c>
      <c r="X443" s="9">
        <v>0</v>
      </c>
      <c r="Y443" s="10">
        <v>0</v>
      </c>
      <c r="Z443" t="s">
        <v>874</v>
      </c>
      <c r="AA443" t="s">
        <v>868</v>
      </c>
      <c r="AB443" s="2" t="s">
        <v>886</v>
      </c>
      <c r="AC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3" s="2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H443" s="10" t="b">
        <v>0</v>
      </c>
      <c r="AY443"/>
      <c r="AZ443"/>
      <c r="BA443"/>
    </row>
    <row r="444" spans="1:53">
      <c r="A444" s="2" t="s">
        <v>464</v>
      </c>
      <c r="B444">
        <v>2008</v>
      </c>
      <c r="C444" cm="1">
        <f t="array" ref="C444">_xlfn.IFS(ISNUMBER(SEARCH("wagon",PROPERTIES[[#This Row],[VEHIDCODE]])),0,OR(MID(PROPERTIES[[#This Row],[VEHIDCODE]],2,2)="mu",_xlfn.TEXTBEFORE(PROPERTIES[[#This Row],[VEHIDCODE]],"_")="mtro"),1,1=1,0)</f>
        <v>0</v>
      </c>
      <c r="D444" t="s">
        <v>1762</v>
      </c>
      <c r="E444" t="str">
        <f>_xlfn.XLOOKUP(PROPERTIES[[#This Row],[COUNTRY]],COUNTRIES[COUNTRY_DESCRIPTION],COUNTRIES[COUNTRY_LABEL],"")</f>
        <v>CZ</v>
      </c>
      <c r="F444" t="str" cm="1">
        <f t="array" ref="F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4" t="s">
        <v>19</v>
      </c>
      <c r="H444">
        <v>0</v>
      </c>
      <c r="I444">
        <v>8</v>
      </c>
      <c r="J444">
        <v>8</v>
      </c>
      <c r="K444" t="str" cm="1">
        <f t="array" ref="K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4">
        <f>_xlfn.XLOOKUP("LOADINGSPEEDDEF_"&amp;PROPERTIES[[#This Row],[LOADINGSPEED]],LOADINGSPEEDDEF[TYPE],LOADINGSPEEDDEF[SPEED])</f>
        <v>20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f>IF(ISNUMBER(SEARCH("passenger",PROPERTIES[[#This Row],[CARGODEF]])),1,0)</f>
        <v>0</v>
      </c>
      <c r="O444" s="32">
        <v>88</v>
      </c>
      <c r="P444">
        <v>8583</v>
      </c>
      <c r="Q444">
        <v>200</v>
      </c>
      <c r="R444" s="29">
        <v>300</v>
      </c>
      <c r="S444" s="28">
        <f>IFERROR(PROPERTIES[[#This Row],[TE_STARTING_KN]]/(PROPERTIES[[#This Row],[WEIGHT]]*9.81),0)</f>
        <v>0.3475118154017236</v>
      </c>
      <c r="T444" s="28">
        <v>0.34</v>
      </c>
      <c r="U444" s="25">
        <f>ROUND(IF(IFERROR(PROPERTIES[[#This Row],[TE_COEFFICIENT_CALC]],0)=0,PROPERTIES[[#This Row],[TE_COEFFICIENT_MANUAL]],PROPERTIES[[#This Row],[TE_COEFFICIENT_CALC]]),3)</f>
        <v>0.34799999999999998</v>
      </c>
      <c r="V444" s="11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36">
        <v>0</v>
      </c>
      <c r="X444" s="9">
        <v>0</v>
      </c>
      <c r="Y444" s="10">
        <v>0</v>
      </c>
      <c r="Z444" t="s">
        <v>875</v>
      </c>
      <c r="AA444" t="s">
        <v>868</v>
      </c>
      <c r="AB444" s="2" t="s">
        <v>886</v>
      </c>
      <c r="AC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4" s="2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H444" s="10" t="b">
        <v>0</v>
      </c>
      <c r="AY444"/>
      <c r="AZ444"/>
      <c r="BA444"/>
    </row>
    <row r="445" spans="1:53">
      <c r="A445" s="2" t="s">
        <v>465</v>
      </c>
      <c r="B445">
        <v>1992</v>
      </c>
      <c r="C445" cm="1">
        <f t="array" ref="C445">_xlfn.IFS(ISNUMBER(SEARCH("wagon",PROPERTIES[[#This Row],[VEHIDCODE]])),0,OR(MID(PROPERTIES[[#This Row],[VEHIDCODE]],2,2)="mu",_xlfn.TEXTBEFORE(PROPERTIES[[#This Row],[VEHIDCODE]],"_")="mtro"),1,1=1,0)</f>
        <v>0</v>
      </c>
      <c r="D445" t="s">
        <v>1774</v>
      </c>
      <c r="E445" t="str">
        <f>_xlfn.XLOOKUP(PROPERTIES[[#This Row],[COUNTRY]],COUNTRIES[COUNTRY_DESCRIPTION],COUNTRIES[COUNTRY_LABEL],"")</f>
        <v>ES</v>
      </c>
      <c r="F445" t="str" cm="1">
        <f t="array" ref="F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5" t="s">
        <v>19</v>
      </c>
      <c r="H445">
        <v>0</v>
      </c>
      <c r="I445">
        <v>8</v>
      </c>
      <c r="J445">
        <v>8</v>
      </c>
      <c r="K445" t="str" cm="1">
        <f t="array" ref="K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5">
        <f>_xlfn.XLOOKUP("LOADINGSPEEDDEF_"&amp;PROPERTIES[[#This Row],[LOADINGSPEED]],LOADINGSPEEDDEF[TYPE],LOADINGSPEEDDEF[SPEED])</f>
        <v>20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f>IF(ISNUMBER(SEARCH("passenger",PROPERTIES[[#This Row],[CARGODEF]])),1,0)</f>
        <v>0</v>
      </c>
      <c r="O445" s="32">
        <v>90</v>
      </c>
      <c r="P445">
        <v>7500</v>
      </c>
      <c r="Q445">
        <v>200</v>
      </c>
      <c r="R445" s="29">
        <v>300</v>
      </c>
      <c r="S445" s="28">
        <f>IFERROR(PROPERTIES[[#This Row],[TE_STARTING_KN]]/(PROPERTIES[[#This Row],[WEIGHT]]*9.81),0)</f>
        <v>0.33978933061501865</v>
      </c>
      <c r="T445" s="28">
        <v>0.33</v>
      </c>
      <c r="U445" s="25">
        <f>ROUND(IF(IFERROR(PROPERTIES[[#This Row],[TE_COEFFICIENT_CALC]],0)=0,PROPERTIES[[#This Row],[TE_COEFFICIENT_MANUAL]],PROPERTIES[[#This Row],[TE_COEFFICIENT_CALC]]),3)</f>
        <v>0.34</v>
      </c>
      <c r="V445" s="11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36">
        <v>0</v>
      </c>
      <c r="X445" s="9">
        <v>0</v>
      </c>
      <c r="Y445" s="10">
        <v>0</v>
      </c>
      <c r="Z445" t="s">
        <v>870</v>
      </c>
      <c r="AA445" t="s">
        <v>868</v>
      </c>
      <c r="AB445" s="2" t="s">
        <v>886</v>
      </c>
      <c r="AC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5" s="2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H445" s="10" t="b">
        <v>0</v>
      </c>
      <c r="AY445"/>
      <c r="AZ445"/>
      <c r="BA445"/>
    </row>
    <row r="446" spans="1:53">
      <c r="A446" s="2" t="s">
        <v>466</v>
      </c>
      <c r="B446">
        <v>2000</v>
      </c>
      <c r="C446" cm="1">
        <f t="array" ref="C446">_xlfn.IFS(ISNUMBER(SEARCH("wagon",PROPERTIES[[#This Row],[VEHIDCODE]])),0,OR(MID(PROPERTIES[[#This Row],[VEHIDCODE]],2,2)="mu",_xlfn.TEXTBEFORE(PROPERTIES[[#This Row],[VEHIDCODE]],"_")="mtro"),1,1=1,0)</f>
        <v>0</v>
      </c>
      <c r="D446" t="s">
        <v>1763</v>
      </c>
      <c r="E446" t="str">
        <f>_xlfn.XLOOKUP(PROPERTIES[[#This Row],[COUNTRY]],COUNTRIES[COUNTRY_DESCRIPTION],COUNTRIES[COUNTRY_LABEL],"")</f>
        <v>DE</v>
      </c>
      <c r="F446" t="str" cm="1">
        <f t="array" ref="F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6" t="s">
        <v>19</v>
      </c>
      <c r="H446">
        <v>0</v>
      </c>
      <c r="I446">
        <v>8</v>
      </c>
      <c r="J446">
        <v>8</v>
      </c>
      <c r="K446" t="str" cm="1">
        <f t="array" ref="K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6">
        <f>_xlfn.XLOOKUP("LOADINGSPEEDDEF_"&amp;PROPERTIES[[#This Row],[LOADINGSPEED]],LOADINGSPEEDDEF[TYPE],LOADINGSPEEDDEF[SPEED])</f>
        <v>20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f>IF(ISNUMBER(SEARCH("passenger",PROPERTIES[[#This Row],[CARGODEF]])),1,0)</f>
        <v>0</v>
      </c>
      <c r="O446" s="32">
        <v>84</v>
      </c>
      <c r="P446">
        <v>5600</v>
      </c>
      <c r="Q446">
        <v>140</v>
      </c>
      <c r="R446" s="29">
        <v>0</v>
      </c>
      <c r="S446" s="28">
        <f>IFERROR(PROPERTIES[[#This Row],[TE_STARTING_KN]]/(PROPERTIES[[#This Row],[WEIGHT]]*9.81),0)</f>
        <v>0</v>
      </c>
      <c r="T446" s="28">
        <v>0.35</v>
      </c>
      <c r="U446" s="25">
        <f>ROUND(IF(IFERROR(PROPERTIES[[#This Row],[TE_COEFFICIENT_CALC]],0)=0,PROPERTIES[[#This Row],[TE_COEFFICIENT_MANUAL]],PROPERTIES[[#This Row],[TE_COEFFICIENT_CALC]]),3)</f>
        <v>0.35</v>
      </c>
      <c r="V446" s="11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36">
        <v>0</v>
      </c>
      <c r="X446" s="9">
        <v>0</v>
      </c>
      <c r="Y446" s="10">
        <v>0</v>
      </c>
      <c r="Z446" t="s">
        <v>869</v>
      </c>
      <c r="AA446" t="s">
        <v>868</v>
      </c>
      <c r="AB446" s="2" t="s">
        <v>886</v>
      </c>
      <c r="AC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6" s="2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H446" s="10" t="b">
        <v>0</v>
      </c>
      <c r="AY446"/>
      <c r="AZ446"/>
      <c r="BA446"/>
    </row>
    <row r="447" spans="1:53">
      <c r="A447" s="2" t="s">
        <v>467</v>
      </c>
      <c r="B447">
        <v>1908</v>
      </c>
      <c r="C447" cm="1">
        <f t="array" ref="C447">_xlfn.IFS(ISNUMBER(SEARCH("wagon",PROPERTIES[[#This Row],[VEHIDCODE]])),0,OR(MID(PROPERTIES[[#This Row],[VEHIDCODE]],2,2)="mu",_xlfn.TEXTBEFORE(PROPERTIES[[#This Row],[VEHIDCODE]],"_")="mtro"),1,1=1,0)</f>
        <v>0</v>
      </c>
      <c r="D447" t="s">
        <v>1815</v>
      </c>
      <c r="E447" t="str">
        <f>_xlfn.XLOOKUP(PROPERTIES[[#This Row],[COUNTRY]],COUNTRIES[COUNTRY_DESCRIPTION],COUNTRIES[COUNTRY_LABEL],"")</f>
        <v>IT</v>
      </c>
      <c r="F447" t="str" cm="1">
        <f t="array" ref="F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7" t="s">
        <v>19</v>
      </c>
      <c r="H447">
        <v>0</v>
      </c>
      <c r="I447">
        <v>6</v>
      </c>
      <c r="J447">
        <v>6</v>
      </c>
      <c r="K447" t="str" cm="1">
        <f t="array" ref="K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7">
        <f>_xlfn.XLOOKUP("LOADINGSPEEDDEF_"&amp;PROPERTIES[[#This Row],[LOADINGSPEED]],LOADINGSPEEDDEF[TYPE],LOADINGSPEEDDEF[SPEED])</f>
        <v>20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f>IF(ISNUMBER(SEARCH("passenger",PROPERTIES[[#This Row],[CARGODEF]])),1,0)</f>
        <v>0</v>
      </c>
      <c r="O447" s="32">
        <v>64</v>
      </c>
      <c r="P447">
        <v>2000</v>
      </c>
      <c r="Q447">
        <v>50</v>
      </c>
      <c r="R447" s="29">
        <v>100</v>
      </c>
      <c r="S447" s="28">
        <f>IFERROR(PROPERTIES[[#This Row],[TE_STARTING_KN]]/(PROPERTIES[[#This Row],[WEIGHT]]*9.81),0)</f>
        <v>0.15927624872578999</v>
      </c>
      <c r="T447" s="28">
        <v>0.16</v>
      </c>
      <c r="U447" s="25">
        <f>ROUND(IF(IFERROR(PROPERTIES[[#This Row],[TE_COEFFICIENT_CALC]],0)=0,PROPERTIES[[#This Row],[TE_COEFFICIENT_MANUAL]],PROPERTIES[[#This Row],[TE_COEFFICIENT_CALC]]),3)</f>
        <v>0.159</v>
      </c>
      <c r="V447" s="11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36">
        <v>0</v>
      </c>
      <c r="X447" s="9">
        <v>0</v>
      </c>
      <c r="Y447" s="10">
        <v>0</v>
      </c>
      <c r="Z447" t="s">
        <v>870</v>
      </c>
      <c r="AA447" t="s">
        <v>868</v>
      </c>
      <c r="AB447" s="2" t="s">
        <v>886</v>
      </c>
      <c r="AC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7" s="2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H447" s="10" t="b">
        <v>0</v>
      </c>
      <c r="AY447"/>
      <c r="AZ447"/>
      <c r="BA447"/>
    </row>
    <row r="448" spans="1:53">
      <c r="A448" s="2" t="s">
        <v>468</v>
      </c>
      <c r="B448">
        <v>1967</v>
      </c>
      <c r="C448" cm="1">
        <f t="array" ref="C448">_xlfn.IFS(ISNUMBER(SEARCH("wagon",PROPERTIES[[#This Row],[VEHIDCODE]])),0,OR(MID(PROPERTIES[[#This Row],[VEHIDCODE]],2,2)="mu",_xlfn.TEXTBEFORE(PROPERTIES[[#This Row],[VEHIDCODE]],"_")="mtro"),1,1=1,0)</f>
        <v>0</v>
      </c>
      <c r="D448" t="s">
        <v>1819</v>
      </c>
      <c r="E448" t="str">
        <f>_xlfn.XLOOKUP(PROPERTIES[[#This Row],[COUNTRY]],COUNTRIES[COUNTRY_DESCRIPTION],COUNTRIES[COUNTRY_LABEL],"")</f>
        <v>JP</v>
      </c>
      <c r="F448" t="str" cm="1">
        <f t="array" ref="F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8" t="s">
        <v>19</v>
      </c>
      <c r="H448">
        <v>0</v>
      </c>
      <c r="I448">
        <v>7</v>
      </c>
      <c r="J448">
        <v>7</v>
      </c>
      <c r="K448" t="str" cm="1">
        <f t="array" ref="K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8">
        <f>_xlfn.XLOOKUP("LOADINGSPEEDDEF_"&amp;PROPERTIES[[#This Row],[LOADINGSPEED]],LOADINGSPEEDDEF[TYPE],LOADINGSPEEDDEF[SPEED])</f>
        <v>20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f>IF(ISNUMBER(SEARCH("passenger",PROPERTIES[[#This Row],[CARGODEF]])),1,0)</f>
        <v>0</v>
      </c>
      <c r="O448" s="32">
        <v>101</v>
      </c>
      <c r="P448">
        <v>3420</v>
      </c>
      <c r="Q448">
        <v>110</v>
      </c>
      <c r="R448" s="29">
        <v>0</v>
      </c>
      <c r="S448" s="28">
        <f>IFERROR(PROPERTIES[[#This Row],[TE_STARTING_KN]]/(PROPERTIES[[#This Row],[WEIGHT]]*9.81),0)</f>
        <v>0</v>
      </c>
      <c r="T448" s="28">
        <v>0.28999999999999998</v>
      </c>
      <c r="U448" s="25">
        <f>ROUND(IF(IFERROR(PROPERTIES[[#This Row],[TE_COEFFICIENT_CALC]],0)=0,PROPERTIES[[#This Row],[TE_COEFFICIENT_MANUAL]],PROPERTIES[[#This Row],[TE_COEFFICIENT_CALC]]),3)</f>
        <v>0.28999999999999998</v>
      </c>
      <c r="V448" s="11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36">
        <v>0</v>
      </c>
      <c r="X448" s="9">
        <v>0</v>
      </c>
      <c r="Y448" s="10">
        <v>0</v>
      </c>
      <c r="Z448" t="s">
        <v>877</v>
      </c>
      <c r="AA448" t="s">
        <v>868</v>
      </c>
      <c r="AB448" s="2" t="s">
        <v>886</v>
      </c>
      <c r="AC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8" s="2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H448" s="10" t="b">
        <v>0</v>
      </c>
      <c r="AY448"/>
      <c r="AZ448"/>
      <c r="BA448"/>
    </row>
    <row r="449" spans="1:53">
      <c r="A449" s="2" t="s">
        <v>469</v>
      </c>
      <c r="B449">
        <v>1993</v>
      </c>
      <c r="C449" cm="1">
        <f t="array" ref="C449">_xlfn.IFS(ISNUMBER(SEARCH("wagon",PROPERTIES[[#This Row],[VEHIDCODE]])),0,OR(MID(PROPERTIES[[#This Row],[VEHIDCODE]],2,2)="mu",_xlfn.TEXTBEFORE(PROPERTIES[[#This Row],[VEHIDCODE]],"_")="mtro"),1,1=1,0)</f>
        <v>0</v>
      </c>
      <c r="D449" t="s">
        <v>1782</v>
      </c>
      <c r="E449" t="str">
        <f>_xlfn.XLOOKUP(PROPERTIES[[#This Row],[COUNTRY]],COUNTRIES[COUNTRY_DESCRIPTION],COUNTRIES[COUNTRY_LABEL],"")</f>
        <v>GB</v>
      </c>
      <c r="F449" t="str" cm="1">
        <f t="array" ref="F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9" t="s">
        <v>19</v>
      </c>
      <c r="H449">
        <v>0</v>
      </c>
      <c r="I449">
        <v>8</v>
      </c>
      <c r="J449">
        <v>8</v>
      </c>
      <c r="K449" t="str" cm="1">
        <f t="array" ref="K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9">
        <f>_xlfn.XLOOKUP("LOADINGSPEEDDEF_"&amp;PROPERTIES[[#This Row],[LOADINGSPEED]],LOADINGSPEEDDEF[TYPE],LOADINGSPEEDDEF[SPEED])</f>
        <v>20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f>IF(ISNUMBER(SEARCH("passenger",PROPERTIES[[#This Row],[CARGODEF]])),1,0)</f>
        <v>0</v>
      </c>
      <c r="O449" s="32">
        <v>126</v>
      </c>
      <c r="P449">
        <v>6760</v>
      </c>
      <c r="Q449">
        <v>140</v>
      </c>
      <c r="R449" s="29">
        <v>360</v>
      </c>
      <c r="S449" s="28">
        <f>IFERROR(PROPERTIES[[#This Row],[TE_STARTING_KN]]/(PROPERTIES[[#This Row],[WEIGHT]]*9.81),0)</f>
        <v>0.29124799767001597</v>
      </c>
      <c r="T449" s="28">
        <v>0.28999999999999998</v>
      </c>
      <c r="U449" s="25">
        <f>ROUND(IF(IFERROR(PROPERTIES[[#This Row],[TE_COEFFICIENT_CALC]],0)=0,PROPERTIES[[#This Row],[TE_COEFFICIENT_MANUAL]],PROPERTIES[[#This Row],[TE_COEFFICIENT_CALC]]),3)</f>
        <v>0.29099999999999998</v>
      </c>
      <c r="V449" s="11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36">
        <v>0</v>
      </c>
      <c r="X449" s="9">
        <v>0</v>
      </c>
      <c r="Y449" s="10">
        <v>0</v>
      </c>
      <c r="Z449" t="s">
        <v>873</v>
      </c>
      <c r="AA449" t="s">
        <v>868</v>
      </c>
      <c r="AB449" s="2" t="s">
        <v>886</v>
      </c>
      <c r="AC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9" s="2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H449" s="10" t="b">
        <v>0</v>
      </c>
      <c r="AY449"/>
      <c r="AZ449"/>
      <c r="BA449"/>
    </row>
    <row r="450" spans="1:53">
      <c r="A450" s="2" t="s">
        <v>470</v>
      </c>
      <c r="B450">
        <v>2012</v>
      </c>
      <c r="C450" cm="1">
        <f t="array" ref="C450">_xlfn.IFS(ISNUMBER(SEARCH("wagon",PROPERTIES[[#This Row],[VEHIDCODE]])),0,OR(MID(PROPERTIES[[#This Row],[VEHIDCODE]],2,2)="mu",_xlfn.TEXTBEFORE(PROPERTIES[[#This Row],[VEHIDCODE]],"_")="mtro"),1,1=1,0)</f>
        <v>0</v>
      </c>
      <c r="D450" t="s">
        <v>1937</v>
      </c>
      <c r="E450" t="str">
        <f>_xlfn.XLOOKUP(PROPERTIES[[#This Row],[COUNTRY]],COUNTRIES[COUNTRY_DESCRIPTION],COUNTRIES[COUNTRY_LABEL],"")</f>
        <v>US</v>
      </c>
      <c r="F450" t="str" cm="1">
        <f t="array" ref="F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0" t="s">
        <v>19</v>
      </c>
      <c r="H450">
        <v>0</v>
      </c>
      <c r="I450">
        <v>8</v>
      </c>
      <c r="J450">
        <v>8</v>
      </c>
      <c r="K450" t="str" cm="1">
        <f t="array" ref="K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0">
        <f>_xlfn.XLOOKUP("LOADINGSPEEDDEF_"&amp;PROPERTIES[[#This Row],[LOADINGSPEED]],LOADINGSPEEDDEF[TYPE],LOADINGSPEEDDEF[SPEED])</f>
        <v>20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f>IF(ISNUMBER(SEARCH("passenger",PROPERTIES[[#This Row],[CARGODEF]])),1,0)</f>
        <v>0</v>
      </c>
      <c r="O450" s="32">
        <v>98</v>
      </c>
      <c r="P450">
        <v>6700</v>
      </c>
      <c r="Q450">
        <v>201</v>
      </c>
      <c r="R450" s="29">
        <v>320</v>
      </c>
      <c r="S450" s="28">
        <f>IFERROR(PROPERTIES[[#This Row],[TE_STARTING_KN]]/(PROPERTIES[[#This Row],[WEIGHT]]*9.81),0)</f>
        <v>0.33285485448001834</v>
      </c>
      <c r="T450" s="28">
        <v>0.33</v>
      </c>
      <c r="U450" s="25">
        <f>ROUND(IF(IFERROR(PROPERTIES[[#This Row],[TE_COEFFICIENT_CALC]],0)=0,PROPERTIES[[#This Row],[TE_COEFFICIENT_MANUAL]],PROPERTIES[[#This Row],[TE_COEFFICIENT_CALC]]),3)</f>
        <v>0.33300000000000002</v>
      </c>
      <c r="V450" s="11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36">
        <v>0</v>
      </c>
      <c r="X450" s="9">
        <v>0</v>
      </c>
      <c r="Y450" s="10">
        <v>0</v>
      </c>
      <c r="Z450" t="s">
        <v>874</v>
      </c>
      <c r="AA450" t="s">
        <v>868</v>
      </c>
      <c r="AB450" s="2" t="s">
        <v>886</v>
      </c>
      <c r="AC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0" s="2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H450" s="10" t="b">
        <v>0</v>
      </c>
      <c r="AY450"/>
      <c r="AZ450"/>
      <c r="BA450"/>
    </row>
    <row r="451" spans="1:53">
      <c r="A451" s="2" t="s">
        <v>471</v>
      </c>
      <c r="B451">
        <v>1964</v>
      </c>
      <c r="C451" cm="1">
        <f t="array" ref="C451">_xlfn.IFS(ISNUMBER(SEARCH("wagon",PROPERTIES[[#This Row],[VEHIDCODE]])),0,OR(MID(PROPERTIES[[#This Row],[VEHIDCODE]],2,2)="mu",_xlfn.TEXTBEFORE(PROPERTIES[[#This Row],[VEHIDCODE]],"_")="mtro"),1,1=1,0)</f>
        <v>0</v>
      </c>
      <c r="D451" t="s">
        <v>1781</v>
      </c>
      <c r="E451" t="str">
        <f>_xlfn.XLOOKUP(PROPERTIES[[#This Row],[COUNTRY]],COUNTRIES[COUNTRY_DESCRIPTION],COUNTRIES[COUNTRY_LABEL],"")</f>
        <v>FR</v>
      </c>
      <c r="F451" t="str" cm="1">
        <f t="array" ref="F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1" t="s">
        <v>19</v>
      </c>
      <c r="H451">
        <v>0</v>
      </c>
      <c r="I451">
        <v>8</v>
      </c>
      <c r="J451">
        <v>8</v>
      </c>
      <c r="K451" t="str" cm="1">
        <f t="array" ref="K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1">
        <f>_xlfn.XLOOKUP("LOADINGSPEEDDEF_"&amp;PROPERTIES[[#This Row],[LOADINGSPEED]],LOADINGSPEEDDEF[TYPE],LOADINGSPEEDDEF[SPEED])</f>
        <v>20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f>IF(ISNUMBER(SEARCH("passenger",PROPERTIES[[#This Row],[CARGODEF]])),1,0)</f>
        <v>0</v>
      </c>
      <c r="O451" s="32">
        <v>97</v>
      </c>
      <c r="P451">
        <v>4920</v>
      </c>
      <c r="Q451">
        <v>240</v>
      </c>
      <c r="R451" s="29">
        <v>210</v>
      </c>
      <c r="S451" s="28">
        <f>IFERROR(PROPERTIES[[#This Row],[TE_STARTING_KN]]/(PROPERTIES[[#This Row],[WEIGHT]]*9.81),0)</f>
        <v>0.22068791576026986</v>
      </c>
      <c r="T451" s="28">
        <v>0.21</v>
      </c>
      <c r="U451" s="25">
        <f>ROUND(IF(IFERROR(PROPERTIES[[#This Row],[TE_COEFFICIENT_CALC]],0)=0,PROPERTIES[[#This Row],[TE_COEFFICIENT_MANUAL]],PROPERTIES[[#This Row],[TE_COEFFICIENT_CALC]]),3)</f>
        <v>0.221</v>
      </c>
      <c r="V451" s="11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36">
        <v>0</v>
      </c>
      <c r="X451" s="9">
        <v>0</v>
      </c>
      <c r="Y451" s="10">
        <v>0</v>
      </c>
      <c r="Z451" t="s">
        <v>869</v>
      </c>
      <c r="AA451" t="s">
        <v>868</v>
      </c>
      <c r="AB451" s="2" t="s">
        <v>886</v>
      </c>
      <c r="AC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1" s="2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H451" s="10" t="b">
        <v>0</v>
      </c>
      <c r="AY451"/>
      <c r="AZ451"/>
      <c r="BA451"/>
    </row>
    <row r="452" spans="1:53">
      <c r="A452" s="2" t="s">
        <v>472</v>
      </c>
      <c r="B452">
        <v>1997</v>
      </c>
      <c r="C452" cm="1">
        <f t="array" ref="C452">_xlfn.IFS(ISNUMBER(SEARCH("wagon",PROPERTIES[[#This Row],[VEHIDCODE]])),0,OR(MID(PROPERTIES[[#This Row],[VEHIDCODE]],2,2)="mu",_xlfn.TEXTBEFORE(PROPERTIES[[#This Row],[VEHIDCODE]],"_")="mtro"),1,1=1,0)</f>
        <v>0</v>
      </c>
      <c r="D452" t="s">
        <v>1726</v>
      </c>
      <c r="E452" t="str">
        <f>_xlfn.XLOOKUP(PROPERTIES[[#This Row],[COUNTRY]],COUNTRIES[COUNTRY_DESCRIPTION],COUNTRIES[COUNTRY_LABEL],"")</f>
        <v>BE</v>
      </c>
      <c r="F452" t="str" cm="1">
        <f t="array" ref="F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2" t="s">
        <v>19</v>
      </c>
      <c r="H452">
        <v>0</v>
      </c>
      <c r="I452">
        <v>8</v>
      </c>
      <c r="J452">
        <v>8</v>
      </c>
      <c r="K452" t="str" cm="1">
        <f t="array" ref="K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2">
        <f>_xlfn.XLOOKUP("LOADINGSPEEDDEF_"&amp;PROPERTIES[[#This Row],[LOADINGSPEED]],LOADINGSPEEDDEF[TYPE],LOADINGSPEEDDEF[SPEED])</f>
        <v>20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f>IF(ISNUMBER(SEARCH("passenger",PROPERTIES[[#This Row],[CARGODEF]])),1,0)</f>
        <v>0</v>
      </c>
      <c r="O452" s="32">
        <v>90</v>
      </c>
      <c r="P452">
        <v>6968</v>
      </c>
      <c r="Q452">
        <v>200</v>
      </c>
      <c r="R452" s="29">
        <v>288</v>
      </c>
      <c r="S452" s="28">
        <f>IFERROR(PROPERTIES[[#This Row],[TE_STARTING_KN]]/(PROPERTIES[[#This Row],[WEIGHT]]*9.81),0)</f>
        <v>0.3261977573904179</v>
      </c>
      <c r="T452" s="28">
        <v>0.32</v>
      </c>
      <c r="U452" s="25">
        <f>ROUND(IF(IFERROR(PROPERTIES[[#This Row],[TE_COEFFICIENT_CALC]],0)=0,PROPERTIES[[#This Row],[TE_COEFFICIENT_MANUAL]],PROPERTIES[[#This Row],[TE_COEFFICIENT_CALC]]),3)</f>
        <v>0.32600000000000001</v>
      </c>
      <c r="V452" s="11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36">
        <v>0</v>
      </c>
      <c r="X452" s="9">
        <v>0</v>
      </c>
      <c r="Y452" s="10">
        <v>0</v>
      </c>
      <c r="Z452" t="s">
        <v>869</v>
      </c>
      <c r="AA452" t="s">
        <v>868</v>
      </c>
      <c r="AB452" s="2" t="s">
        <v>886</v>
      </c>
      <c r="AC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2" s="2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H452" s="10" t="b">
        <v>0</v>
      </c>
      <c r="AY452"/>
      <c r="AZ452"/>
      <c r="BA452"/>
    </row>
    <row r="453" spans="1:53">
      <c r="A453" s="2" t="s">
        <v>473</v>
      </c>
      <c r="B453">
        <v>1932</v>
      </c>
      <c r="C453" cm="1">
        <f t="array" ref="C453">_xlfn.IFS(ISNUMBER(SEARCH("wagon",PROPERTIES[[#This Row],[VEHIDCODE]])),0,OR(MID(PROPERTIES[[#This Row],[VEHIDCODE]],2,2)="mu",_xlfn.TEXTBEFORE(PROPERTIES[[#This Row],[VEHIDCODE]],"_")="mtro"),1,1=1,0)</f>
        <v>1</v>
      </c>
      <c r="D453" t="s">
        <v>1763</v>
      </c>
      <c r="E453" t="str">
        <f>_xlfn.XLOOKUP(PROPERTIES[[#This Row],[COUNTRY]],COUNTRIES[COUNTRY_DESCRIPTION],COUNTRIES[COUNTRY_LABEL],"")</f>
        <v>DE</v>
      </c>
      <c r="F453" t="str" cm="1">
        <f t="array" ref="F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3" t="s">
        <v>17</v>
      </c>
      <c r="H453">
        <f>110/2</f>
        <v>55</v>
      </c>
      <c r="I453">
        <v>8</v>
      </c>
      <c r="J453">
        <v>8</v>
      </c>
      <c r="K453" t="str" cm="1">
        <f t="array" ref="K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3">
        <f>_xlfn.XLOOKUP("LOADINGSPEEDDEF_"&amp;PROPERTIES[[#This Row],[LOADINGSPEED]],LOADINGSPEEDDEF[TYPE],LOADINGSPEEDDEF[SPEED])</f>
        <v>40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f>IF(ISNUMBER(SEARCH("passenger",PROPERTIES[[#This Row],[CARGODEF]])),1,0)</f>
        <v>1</v>
      </c>
      <c r="O453" s="32">
        <f>85/2</f>
        <v>42.5</v>
      </c>
      <c r="P453">
        <v>810</v>
      </c>
      <c r="Q453">
        <v>160</v>
      </c>
      <c r="R453" s="29">
        <f>53/2</f>
        <v>26.5</v>
      </c>
      <c r="S453" s="28">
        <f>IFERROR(PROPERTIES[[#This Row],[TE_STARTING_KN]]/(PROPERTIES[[#This Row],[WEIGHT]]*9.81),0)</f>
        <v>6.3560592432691729E-2</v>
      </c>
      <c r="T453" s="28">
        <v>0.19</v>
      </c>
      <c r="U453" s="25">
        <f>ROUND(IF(IFERROR(PROPERTIES[[#This Row],[TE_COEFFICIENT_CALC]],0)=0,PROPERTIES[[#This Row],[TE_COEFFICIENT_MANUAL]],PROPERTIES[[#This Row],[TE_COEFFICIENT_CALC]]),3)</f>
        <v>6.4000000000000001E-2</v>
      </c>
      <c r="V453" s="11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36">
        <f>INT(139/2)</f>
        <v>69</v>
      </c>
      <c r="X453" s="9">
        <v>8</v>
      </c>
      <c r="Y453" s="10">
        <v>0</v>
      </c>
      <c r="Z453" t="s">
        <v>869</v>
      </c>
      <c r="AA453" t="s">
        <v>868</v>
      </c>
      <c r="AB453" s="2" t="s">
        <v>886</v>
      </c>
      <c r="AC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3" s="2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H453" s="10" t="b">
        <v>0</v>
      </c>
      <c r="AY453"/>
      <c r="AZ453"/>
      <c r="BA453"/>
    </row>
    <row r="454" spans="1:53">
      <c r="A454" s="2" t="s">
        <v>474</v>
      </c>
      <c r="B454">
        <v>1937</v>
      </c>
      <c r="C454" cm="1">
        <f t="array" ref="C454">_xlfn.IFS(ISNUMBER(SEARCH("wagon",PROPERTIES[[#This Row],[VEHIDCODE]])),0,OR(MID(PROPERTIES[[#This Row],[VEHIDCODE]],2,2)="mu",_xlfn.TEXTBEFORE(PROPERTIES[[#This Row],[VEHIDCODE]],"_")="mtro"),1,1=1,0)</f>
        <v>1</v>
      </c>
      <c r="D454" t="s">
        <v>1719</v>
      </c>
      <c r="E454" t="str">
        <f>_xlfn.XLOOKUP(PROPERTIES[[#This Row],[COUNTRY]],COUNTRIES[COUNTRY_DESCRIPTION],COUNTRIES[COUNTRY_LABEL],"")</f>
        <v>AU</v>
      </c>
      <c r="F454" t="str" cm="1">
        <f t="array" ref="F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4" t="s">
        <v>17</v>
      </c>
      <c r="H454">
        <v>0</v>
      </c>
      <c r="I454">
        <v>7</v>
      </c>
      <c r="J454">
        <v>7</v>
      </c>
      <c r="K454" t="str" cm="1">
        <f t="array" ref="K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4">
        <f>_xlfn.XLOOKUP("LOADINGSPEEDDEF_"&amp;PROPERTIES[[#This Row],[LOADINGSPEED]],LOADINGSPEEDDEF[TYPE],LOADINGSPEEDDEF[SPEED])</f>
        <v>40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f>IF(ISNUMBER(SEARCH("passenger",PROPERTIES[[#This Row],[CARGODEF]])),1,0)</f>
        <v>1</v>
      </c>
      <c r="O454" s="32">
        <f>64/2</f>
        <v>32</v>
      </c>
      <c r="P454">
        <v>660</v>
      </c>
      <c r="Q454">
        <v>160</v>
      </c>
      <c r="R454" s="29">
        <f>85/2</f>
        <v>42.5</v>
      </c>
      <c r="S454" s="28">
        <f>IFERROR(PROPERTIES[[#This Row],[TE_STARTING_KN]]/(PROPERTIES[[#This Row],[WEIGHT]]*9.81),0)</f>
        <v>0.13538481141692149</v>
      </c>
      <c r="T454" s="28">
        <v>0.2</v>
      </c>
      <c r="U454" s="25">
        <f>ROUND(IF(IFERROR(PROPERTIES[[#This Row],[TE_COEFFICIENT_CALC]],0)=0,PROPERTIES[[#This Row],[TE_COEFFICIENT_MANUAL]],PROPERTIES[[#This Row],[TE_COEFFICIENT_CALC]]),3)</f>
        <v>0.13500000000000001</v>
      </c>
      <c r="V454" s="11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36">
        <v>60</v>
      </c>
      <c r="X454" s="9">
        <v>7</v>
      </c>
      <c r="Y454" s="10">
        <v>45</v>
      </c>
      <c r="Z454" t="s">
        <v>871</v>
      </c>
      <c r="AA454" t="s">
        <v>868</v>
      </c>
      <c r="AB454" s="2" t="s">
        <v>886</v>
      </c>
      <c r="AC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4" s="2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H454" s="10" t="b">
        <v>0</v>
      </c>
      <c r="AY454"/>
      <c r="AZ454"/>
      <c r="BA454"/>
    </row>
    <row r="455" spans="1:53">
      <c r="A455" s="2" t="s">
        <v>475</v>
      </c>
      <c r="B455">
        <v>1948</v>
      </c>
      <c r="C455" cm="1">
        <f t="array" ref="C455">_xlfn.IFS(ISNUMBER(SEARCH("wagon",PROPERTIES[[#This Row],[VEHIDCODE]])),0,OR(MID(PROPERTIES[[#This Row],[VEHIDCODE]],2,2)="mu",_xlfn.TEXTBEFORE(PROPERTIES[[#This Row],[VEHIDCODE]],"_")="mtro"),1,1=1,0)</f>
        <v>1</v>
      </c>
      <c r="D455" t="s">
        <v>1762</v>
      </c>
      <c r="E455" t="str">
        <f>_xlfn.XLOOKUP(PROPERTIES[[#This Row],[COUNTRY]],COUNTRIES[COUNTRY_DESCRIPTION],COUNTRIES[COUNTRY_LABEL],"")</f>
        <v>CZ</v>
      </c>
      <c r="F455" t="str" cm="1">
        <f t="array" ref="F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5" t="s">
        <v>17</v>
      </c>
      <c r="H455">
        <v>60</v>
      </c>
      <c r="I455">
        <v>6</v>
      </c>
      <c r="J455">
        <v>6</v>
      </c>
      <c r="K455" t="str" cm="1">
        <f t="array" ref="K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5">
        <f>_xlfn.XLOOKUP("LOADINGSPEEDDEF_"&amp;PROPERTIES[[#This Row],[LOADINGSPEED]],LOADINGSPEEDDEF[TYPE],LOADINGSPEEDDEF[SPEED])</f>
        <v>40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f>IF(ISNUMBER(SEARCH("passenger",PROPERTIES[[#This Row],[CARGODEF]])),1,0)</f>
        <v>1</v>
      </c>
      <c r="O455" s="32">
        <f>16.6/2</f>
        <v>8.3000000000000007</v>
      </c>
      <c r="P455">
        <v>152</v>
      </c>
      <c r="Q455">
        <v>60</v>
      </c>
      <c r="R455" s="29">
        <f>29/2</f>
        <v>14.5</v>
      </c>
      <c r="S455" s="28">
        <f>IFERROR(PROPERTIES[[#This Row],[TE_STARTING_KN]]/(PROPERTIES[[#This Row],[WEIGHT]]*9.81),0)</f>
        <v>0.17808236002112421</v>
      </c>
      <c r="T455" s="28">
        <v>0.21</v>
      </c>
      <c r="U455" s="25">
        <f>ROUND(IF(IFERROR(PROPERTIES[[#This Row],[TE_COEFFICIENT_CALC]],0)=0,PROPERTIES[[#This Row],[TE_COEFFICIENT_MANUAL]],PROPERTIES[[#This Row],[TE_COEFFICIENT_CALC]]),3)</f>
        <v>0.17799999999999999</v>
      </c>
      <c r="V455" s="11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36">
        <v>69</v>
      </c>
      <c r="X455" s="9">
        <v>6</v>
      </c>
      <c r="Y455" s="10">
        <v>0</v>
      </c>
      <c r="Z455" t="s">
        <v>875</v>
      </c>
      <c r="AA455" t="s">
        <v>868</v>
      </c>
      <c r="AB455" s="2" t="s">
        <v>886</v>
      </c>
      <c r="AC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5" s="2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H455" s="10" t="b">
        <v>0</v>
      </c>
      <c r="AY455"/>
      <c r="AZ455"/>
      <c r="BA455"/>
    </row>
    <row r="456" spans="1:53">
      <c r="A456" s="2" t="s">
        <v>476</v>
      </c>
      <c r="B456">
        <v>1952</v>
      </c>
      <c r="C456" cm="1">
        <f t="array" ref="C456">_xlfn.IFS(ISNUMBER(SEARCH("wagon",PROPERTIES[[#This Row],[VEHIDCODE]])),0,OR(MID(PROPERTIES[[#This Row],[VEHIDCODE]],2,2)="mu",_xlfn.TEXTBEFORE(PROPERTIES[[#This Row],[VEHIDCODE]],"_")="mtro"),1,1=1,0)</f>
        <v>1</v>
      </c>
      <c r="D456" t="s">
        <v>1763</v>
      </c>
      <c r="E456" t="str">
        <f>_xlfn.XLOOKUP(PROPERTIES[[#This Row],[COUNTRY]],COUNTRIES[COUNTRY_DESCRIPTION],COUNTRIES[COUNTRY_LABEL],"")</f>
        <v>DE</v>
      </c>
      <c r="F456" t="str" cm="1">
        <f t="array" ref="F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6" t="s">
        <v>17</v>
      </c>
      <c r="H456">
        <f>108/2</f>
        <v>54</v>
      </c>
      <c r="I456">
        <v>8</v>
      </c>
      <c r="J456">
        <v>8</v>
      </c>
      <c r="K456" t="str" cm="1">
        <f t="array" ref="K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6">
        <f>_xlfn.XLOOKUP("LOADINGSPEEDDEF_"&amp;PROPERTIES[[#This Row],[LOADINGSPEED]],LOADINGSPEEDDEF[TYPE],LOADINGSPEEDDEF[SPEED])</f>
        <v>40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f>IF(ISNUMBER(SEARCH("passenger",PROPERTIES[[#This Row],[CARGODEF]])),1,0)</f>
        <v>1</v>
      </c>
      <c r="O456" s="32">
        <f>121/3</f>
        <v>40.333333333333336</v>
      </c>
      <c r="P456">
        <v>986</v>
      </c>
      <c r="Q456">
        <v>140</v>
      </c>
      <c r="R456" s="29">
        <f>105/2</f>
        <v>52.5</v>
      </c>
      <c r="S456" s="28">
        <f>IFERROR(PROPERTIES[[#This Row],[TE_STARTING_KN]]/(PROPERTIES[[#This Row],[WEIGHT]]*9.81),0)</f>
        <v>0.13268632951702175</v>
      </c>
      <c r="T456" s="28">
        <v>0.2</v>
      </c>
      <c r="U456" s="25">
        <f>ROUND(IF(IFERROR(PROPERTIES[[#This Row],[TE_COEFFICIENT_CALC]],0)=0,PROPERTIES[[#This Row],[TE_COEFFICIENT_MANUAL]],PROPERTIES[[#This Row],[TE_COEFFICIENT_CALC]]),3)</f>
        <v>0.13300000000000001</v>
      </c>
      <c r="V456" s="11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36">
        <f>INT(108/3)</f>
        <v>36</v>
      </c>
      <c r="X456" s="9">
        <v>8</v>
      </c>
      <c r="Y456" s="10">
        <v>0</v>
      </c>
      <c r="Z456" t="s">
        <v>869</v>
      </c>
      <c r="AA456" t="s">
        <v>868</v>
      </c>
      <c r="AB456" s="2" t="s">
        <v>886</v>
      </c>
      <c r="AC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6" s="2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6" s="2" t="b">
        <v>0</v>
      </c>
      <c r="AH456" s="10" t="b">
        <v>0</v>
      </c>
      <c r="AY456"/>
      <c r="AZ456"/>
      <c r="BA456"/>
    </row>
    <row r="457" spans="1:53">
      <c r="A457" s="2" t="s">
        <v>477</v>
      </c>
      <c r="B457">
        <v>1955</v>
      </c>
      <c r="C457" cm="1">
        <f t="array" ref="C457">_xlfn.IFS(ISNUMBER(SEARCH("wagon",PROPERTIES[[#This Row],[VEHIDCODE]])),0,OR(MID(PROPERTIES[[#This Row],[VEHIDCODE]],2,2)="mu",_xlfn.TEXTBEFORE(PROPERTIES[[#This Row],[VEHIDCODE]],"_")="mtro"),1,1=1,0)</f>
        <v>1</v>
      </c>
      <c r="D457" t="s">
        <v>1719</v>
      </c>
      <c r="E457" t="str">
        <f>_xlfn.XLOOKUP(PROPERTIES[[#This Row],[COUNTRY]],COUNTRIES[COUNTRY_DESCRIPTION],COUNTRIES[COUNTRY_LABEL],"")</f>
        <v>AU</v>
      </c>
      <c r="F457" t="str" cm="1">
        <f t="array" ref="F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7" t="s">
        <v>17</v>
      </c>
      <c r="H457">
        <v>80</v>
      </c>
      <c r="I457">
        <v>8</v>
      </c>
      <c r="J457">
        <v>8</v>
      </c>
      <c r="K457" t="str" cm="1">
        <f t="array" ref="K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7">
        <f>_xlfn.XLOOKUP("LOADINGSPEEDDEF_"&amp;PROPERTIES[[#This Row],[LOADINGSPEED]],LOADINGSPEEDDEF[TYPE],LOADINGSPEEDDEF[SPEED])</f>
        <v>40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f>IF(ISNUMBER(SEARCH("passenger",PROPERTIES[[#This Row],[CARGODEF]])),1,0)</f>
        <v>1</v>
      </c>
      <c r="O457" s="32">
        <f>40.7/2</f>
        <v>20.350000000000001</v>
      </c>
      <c r="P457">
        <v>220</v>
      </c>
      <c r="Q457">
        <v>88</v>
      </c>
      <c r="R457" s="29">
        <f>58/2</f>
        <v>29</v>
      </c>
      <c r="S457" s="28">
        <f>IFERROR(PROPERTIES[[#This Row],[TE_STARTING_KN]]/(PROPERTIES[[#This Row],[WEIGHT]]*9.81),0)</f>
        <v>0.14526620031207185</v>
      </c>
      <c r="T457" s="28">
        <v>0.18</v>
      </c>
      <c r="U457" s="25">
        <f>ROUND(IF(IFERROR(PROPERTIES[[#This Row],[TE_COEFFICIENT_CALC]],0)=0,PROPERTIES[[#This Row],[TE_COEFFICIENT_MANUAL]],PROPERTIES[[#This Row],[TE_COEFFICIENT_CALC]]),3)</f>
        <v>0.14499999999999999</v>
      </c>
      <c r="V457" s="11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36">
        <v>80</v>
      </c>
      <c r="X457" s="9">
        <v>8</v>
      </c>
      <c r="Y457" s="10">
        <v>0</v>
      </c>
      <c r="Z457" t="s">
        <v>871</v>
      </c>
      <c r="AA457" t="s">
        <v>868</v>
      </c>
      <c r="AB457" s="2" t="s">
        <v>886</v>
      </c>
      <c r="AC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7" s="2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H457" s="10" t="b">
        <v>0</v>
      </c>
      <c r="AY457"/>
      <c r="AZ457"/>
      <c r="BA457"/>
    </row>
    <row r="458" spans="1:53">
      <c r="A458" s="2" t="s">
        <v>478</v>
      </c>
      <c r="B458">
        <v>1957</v>
      </c>
      <c r="C458" cm="1">
        <f t="array" ref="C458">_xlfn.IFS(ISNUMBER(SEARCH("wagon",PROPERTIES[[#This Row],[VEHIDCODE]])),0,OR(MID(PROPERTIES[[#This Row],[VEHIDCODE]],2,2)="mu",_xlfn.TEXTBEFORE(PROPERTIES[[#This Row],[VEHIDCODE]],"_")="mtro"),1,1=1,0)</f>
        <v>1</v>
      </c>
      <c r="D458" t="s">
        <v>1763</v>
      </c>
      <c r="E458" t="str">
        <f>_xlfn.XLOOKUP(PROPERTIES[[#This Row],[COUNTRY]],COUNTRIES[COUNTRY_DESCRIPTION],COUNTRIES[COUNTRY_LABEL],"")</f>
        <v>DE</v>
      </c>
      <c r="F458" t="str" cm="1">
        <f t="array" ref="F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8" t="s">
        <v>17</v>
      </c>
      <c r="H458">
        <v>24</v>
      </c>
      <c r="I458">
        <v>8</v>
      </c>
      <c r="J458">
        <v>8</v>
      </c>
      <c r="K458" t="str" cm="1">
        <f t="array" ref="K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8">
        <f>_xlfn.XLOOKUP("LOADINGSPEEDDEF_"&amp;PROPERTIES[[#This Row],[LOADINGSPEED]],LOADINGSPEEDDEF[TYPE],LOADINGSPEEDDEF[SPEED])</f>
        <v>40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f>IF(ISNUMBER(SEARCH("passenger",PROPERTIES[[#This Row],[CARGODEF]])),1,0)</f>
        <v>1</v>
      </c>
      <c r="O458" s="32">
        <f>44.2/2</f>
        <v>22.1</v>
      </c>
      <c r="P458">
        <v>2200</v>
      </c>
      <c r="Q458">
        <v>160</v>
      </c>
      <c r="R458" s="29">
        <f>110/2</f>
        <v>55</v>
      </c>
      <c r="S458" s="28">
        <f>IFERROR(PROPERTIES[[#This Row],[TE_STARTING_KN]]/(PROPERTIES[[#This Row],[WEIGHT]]*9.81),0)</f>
        <v>0.25368886674876961</v>
      </c>
      <c r="T458" s="28">
        <v>0.18</v>
      </c>
      <c r="U458" s="25">
        <f>ROUND(IF(IFERROR(PROPERTIES[[#This Row],[TE_COEFFICIENT_CALC]],0)=0,PROPERTIES[[#This Row],[TE_COEFFICIENT_MANUAL]],PROPERTIES[[#This Row],[TE_COEFFICIENT_CALC]]),3)</f>
        <v>0.254</v>
      </c>
      <c r="V458" s="11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36">
        <v>34</v>
      </c>
      <c r="X458" s="9">
        <v>8</v>
      </c>
      <c r="Y458" s="10">
        <v>0</v>
      </c>
      <c r="Z458" t="s">
        <v>869</v>
      </c>
      <c r="AA458" t="s">
        <v>868</v>
      </c>
      <c r="AB458" s="2" t="s">
        <v>886</v>
      </c>
      <c r="AC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8" s="2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H458" s="10" t="b">
        <v>0</v>
      </c>
      <c r="AY458"/>
      <c r="AZ458"/>
      <c r="BA458"/>
    </row>
    <row r="459" spans="1:53">
      <c r="A459" s="2" t="s">
        <v>479</v>
      </c>
      <c r="B459">
        <v>1960</v>
      </c>
      <c r="C459" cm="1">
        <f t="array" ref="C459">_xlfn.IFS(ISNUMBER(SEARCH("wagon",PROPERTIES[[#This Row],[VEHIDCODE]])),0,OR(MID(PROPERTIES[[#This Row],[VEHIDCODE]],2,2)="mu",_xlfn.TEXTBEFORE(PROPERTIES[[#This Row],[VEHIDCODE]],"_")="mtro"),1,1=1,0)</f>
        <v>1</v>
      </c>
      <c r="D459" t="s">
        <v>1871</v>
      </c>
      <c r="E459" t="str">
        <f>_xlfn.XLOOKUP(PROPERTIES[[#This Row],[COUNTRY]],COUNTRIES[COUNTRY_DESCRIPTION],COUNTRIES[COUNTRY_LABEL],"")</f>
        <v>NL</v>
      </c>
      <c r="F459" t="str" cm="1">
        <f t="array" ref="F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9" t="s">
        <v>17</v>
      </c>
      <c r="H459">
        <v>64</v>
      </c>
      <c r="I459">
        <v>8</v>
      </c>
      <c r="J459">
        <v>8</v>
      </c>
      <c r="K459" t="str" cm="1">
        <f t="array" ref="K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f>IF(ISNUMBER(SEARCH("passenger",PROPERTIES[[#This Row],[CARGODEF]])),1,0)</f>
        <v>1</v>
      </c>
      <c r="O459" s="32">
        <f>136/3</f>
        <v>45.333333333333336</v>
      </c>
      <c r="P459">
        <v>987</v>
      </c>
      <c r="Q459">
        <v>125</v>
      </c>
      <c r="R459" s="29">
        <f>125/2</f>
        <v>62.5</v>
      </c>
      <c r="S459" s="28">
        <f>IFERROR(PROPERTIES[[#This Row],[TE_STARTING_KN]]/(PROPERTIES[[#This Row],[WEIGHT]]*9.81),0)</f>
        <v>0.14053786652275588</v>
      </c>
      <c r="T459" s="28">
        <v>0.21</v>
      </c>
      <c r="U459" s="25">
        <f>ROUND(IF(IFERROR(PROPERTIES[[#This Row],[TE_COEFFICIENT_CALC]],0)=0,PROPERTIES[[#This Row],[TE_COEFFICIENT_MANUAL]],PROPERTIES[[#This Row],[TE_COEFFICIENT_CALC]]),3)</f>
        <v>0.14099999999999999</v>
      </c>
      <c r="V459" s="11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36">
        <f>INT((168+24)/2)</f>
        <v>96</v>
      </c>
      <c r="X459" s="9">
        <v>8</v>
      </c>
      <c r="Y459" s="10">
        <v>0</v>
      </c>
      <c r="Z459" t="s">
        <v>869</v>
      </c>
      <c r="AA459" t="s">
        <v>868</v>
      </c>
      <c r="AB459" s="2" t="s">
        <v>886</v>
      </c>
      <c r="AC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9" s="2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H459" s="10" t="b">
        <v>0</v>
      </c>
      <c r="AY459"/>
      <c r="AZ459"/>
      <c r="BA459"/>
    </row>
    <row r="460" spans="1:53">
      <c r="A460" s="2" t="s">
        <v>480</v>
      </c>
      <c r="B460">
        <v>1967</v>
      </c>
      <c r="C460" cm="1">
        <f t="array" ref="C460">_xlfn.IFS(ISNUMBER(SEARCH("wagon",PROPERTIES[[#This Row],[VEHIDCODE]])),0,OR(MID(PROPERTIES[[#This Row],[VEHIDCODE]],2,2)="mu",_xlfn.TEXTBEFORE(PROPERTIES[[#This Row],[VEHIDCODE]],"_")="mtro"),1,1=1,0)</f>
        <v>1</v>
      </c>
      <c r="D460" t="s">
        <v>1744</v>
      </c>
      <c r="E460" t="str">
        <f>_xlfn.XLOOKUP(PROPERTIES[[#This Row],[COUNTRY]],COUNTRIES[COUNTRY_DESCRIPTION],COUNTRIES[COUNTRY_LABEL],"")</f>
        <v>CA</v>
      </c>
      <c r="F460" t="str" cm="1">
        <f t="array" ref="F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0" t="s">
        <v>17</v>
      </c>
      <c r="H460">
        <v>46</v>
      </c>
      <c r="I460">
        <v>8</v>
      </c>
      <c r="J460">
        <v>8</v>
      </c>
      <c r="K460" t="str" cm="1">
        <f t="array" ref="K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f>IF(ISNUMBER(SEARCH("passenger",PROPERTIES[[#This Row],[CARGODEF]])),1,0)</f>
        <v>1</v>
      </c>
      <c r="O460" s="32">
        <f>INT(165/7)</f>
        <v>23</v>
      </c>
      <c r="P460">
        <v>2000</v>
      </c>
      <c r="Q460">
        <v>193</v>
      </c>
      <c r="R460" s="29">
        <f>80/2</f>
        <v>40</v>
      </c>
      <c r="S460" s="28">
        <f>IFERROR(PROPERTIES[[#This Row],[TE_STARTING_KN]]/(PROPERTIES[[#This Row],[WEIGHT]]*9.81),0)</f>
        <v>0.17728138988609668</v>
      </c>
      <c r="T460" s="28">
        <v>0.45</v>
      </c>
      <c r="U460" s="25">
        <f>ROUND(IF(IFERROR(PROPERTIES[[#This Row],[TE_COEFFICIENT_CALC]],0)=0,PROPERTIES[[#This Row],[TE_COEFFICIENT_MANUAL]],PROPERTIES[[#This Row],[TE_COEFFICIENT_CALC]]),3)</f>
        <v>0.17699999999999999</v>
      </c>
      <c r="V460" s="11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36">
        <f>INT((322-(PROPERTIES[[#This Row],[HEAD_CAPACITY]]*2))/5)</f>
        <v>46</v>
      </c>
      <c r="X460" s="9">
        <v>8</v>
      </c>
      <c r="Y460" s="10">
        <v>50</v>
      </c>
      <c r="Z460" t="s">
        <v>874</v>
      </c>
      <c r="AA460" t="s">
        <v>868</v>
      </c>
      <c r="AB460" s="2" t="s">
        <v>886</v>
      </c>
      <c r="AC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0" s="2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H460" s="10" t="b">
        <v>0</v>
      </c>
      <c r="AY460"/>
      <c r="AZ460"/>
      <c r="BA460"/>
    </row>
    <row r="461" spans="1:53">
      <c r="A461" s="2" t="s">
        <v>481</v>
      </c>
      <c r="B461">
        <v>1974</v>
      </c>
      <c r="C461" cm="1">
        <f t="array" ref="C461">_xlfn.IFS(ISNUMBER(SEARCH("wagon",PROPERTIES[[#This Row],[VEHIDCODE]])),0,OR(MID(PROPERTIES[[#This Row],[VEHIDCODE]],2,2)="mu",_xlfn.TEXTBEFORE(PROPERTIES[[#This Row],[VEHIDCODE]],"_")="mtro"),1,1=1,0)</f>
        <v>1</v>
      </c>
      <c r="D461" t="s">
        <v>1895</v>
      </c>
      <c r="E461" t="str">
        <f>_xlfn.XLOOKUP(PROPERTIES[[#This Row],[COUNTRY]],COUNTRIES[COUNTRY_DESCRIPTION],COUNTRIES[COUNTRY_LABEL],"")</f>
        <v>RS</v>
      </c>
      <c r="F461" t="str" cm="1">
        <f t="array" ref="F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1" t="s">
        <v>17</v>
      </c>
      <c r="H461">
        <v>38</v>
      </c>
      <c r="I461">
        <v>8</v>
      </c>
      <c r="J461">
        <v>8</v>
      </c>
      <c r="K461" t="str" cm="1">
        <f t="array" ref="K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f>IF(ISNUMBER(SEARCH("passenger",PROPERTIES[[#This Row],[CARGODEF]])),1,0)</f>
        <v>1</v>
      </c>
      <c r="O461" s="32">
        <f>42/2</f>
        <v>21</v>
      </c>
      <c r="P461">
        <v>620</v>
      </c>
      <c r="Q461">
        <v>118</v>
      </c>
      <c r="R461" s="29">
        <f>95/2</f>
        <v>47.5</v>
      </c>
      <c r="S461" s="28">
        <f>IFERROR(PROPERTIES[[#This Row],[TE_STARTING_KN]]/(PROPERTIES[[#This Row],[WEIGHT]]*9.81),0)</f>
        <v>0.23057133148876266</v>
      </c>
      <c r="T461" s="28">
        <v>0.2</v>
      </c>
      <c r="U461" s="25">
        <f>ROUND(IF(IFERROR(PROPERTIES[[#This Row],[TE_COEFFICIENT_CALC]],0)=0,PROPERTIES[[#This Row],[TE_COEFFICIENT_MANUAL]],PROPERTIES[[#This Row],[TE_COEFFICIENT_CALC]]),3)</f>
        <v>0.23100000000000001</v>
      </c>
      <c r="V461" s="11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36">
        <v>38</v>
      </c>
      <c r="X461" s="9">
        <v>8</v>
      </c>
      <c r="Y461" s="10">
        <v>0</v>
      </c>
      <c r="Z461" t="s">
        <v>875</v>
      </c>
      <c r="AA461" t="s">
        <v>868</v>
      </c>
      <c r="AB461" s="2" t="s">
        <v>886</v>
      </c>
      <c r="AC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1" s="2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H461" s="10" t="b">
        <v>0</v>
      </c>
      <c r="AY461"/>
      <c r="AZ461"/>
      <c r="BA461"/>
    </row>
    <row r="462" spans="1:53">
      <c r="A462" s="2" t="s">
        <v>482</v>
      </c>
      <c r="B462">
        <v>1976</v>
      </c>
      <c r="C462" cm="1">
        <f t="array" ref="C462">_xlfn.IFS(ISNUMBER(SEARCH("wagon",PROPERTIES[[#This Row],[VEHIDCODE]])),0,OR(MID(PROPERTIES[[#This Row],[VEHIDCODE]],2,2)="mu",_xlfn.TEXTBEFORE(PROPERTIES[[#This Row],[VEHIDCODE]],"_")="mtro"),1,1=1,0)</f>
        <v>1</v>
      </c>
      <c r="D462" t="s">
        <v>1782</v>
      </c>
      <c r="E462" t="str">
        <f>_xlfn.XLOOKUP(PROPERTIES[[#This Row],[COUNTRY]],COUNTRIES[COUNTRY_DESCRIPTION],COUNTRIES[COUNTRY_LABEL],"")</f>
        <v>GB</v>
      </c>
      <c r="F462" t="str" cm="1">
        <f t="array" ref="F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2" t="s">
        <v>17</v>
      </c>
      <c r="H462">
        <v>0</v>
      </c>
      <c r="I462">
        <v>8</v>
      </c>
      <c r="J462">
        <v>8</v>
      </c>
      <c r="K462" t="str" cm="1">
        <f t="array" ref="K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f>IF(ISNUMBER(SEARCH("passenger",PROPERTIES[[#This Row],[CARGODEF]])),1,0)</f>
        <v>1</v>
      </c>
      <c r="O462" s="32">
        <v>35</v>
      </c>
      <c r="P462">
        <f>2250*2</f>
        <v>4500</v>
      </c>
      <c r="Q462">
        <v>201</v>
      </c>
      <c r="R462" s="29">
        <f>178/2</f>
        <v>89</v>
      </c>
      <c r="S462" s="28">
        <f>IFERROR(PROPERTIES[[#This Row],[TE_STARTING_KN]]/(PROPERTIES[[#This Row],[WEIGHT]]*9.81),0)</f>
        <v>0.25921071792631423</v>
      </c>
      <c r="T462" s="28">
        <v>0.57999999999999996</v>
      </c>
      <c r="U462" s="25">
        <f>ROUND(IF(IFERROR(PROPERTIES[[#This Row],[TE_COEFFICIENT_CALC]],0)=0,PROPERTIES[[#This Row],[TE_COEFFICIENT_MANUAL]],PROPERTIES[[#This Row],[TE_COEFFICIENT_CALC]]),3)</f>
        <v>0.25900000000000001</v>
      </c>
      <c r="V462" s="11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36">
        <v>74</v>
      </c>
      <c r="X462" s="9">
        <v>8</v>
      </c>
      <c r="Y462" s="10">
        <v>0</v>
      </c>
      <c r="Z462" t="s">
        <v>873</v>
      </c>
      <c r="AA462" t="s">
        <v>868</v>
      </c>
      <c r="AB462" s="2" t="s">
        <v>886</v>
      </c>
      <c r="AC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2" s="2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H462" s="10" t="b">
        <v>0</v>
      </c>
      <c r="AY462"/>
      <c r="AZ462"/>
      <c r="BA462"/>
    </row>
    <row r="463" spans="1:53">
      <c r="A463" s="2" t="s">
        <v>483</v>
      </c>
      <c r="B463">
        <v>1980</v>
      </c>
      <c r="C463" cm="1">
        <f t="array" ref="C463">_xlfn.IFS(ISNUMBER(SEARCH("wagon",PROPERTIES[[#This Row],[VEHIDCODE]])),0,OR(MID(PROPERTIES[[#This Row],[VEHIDCODE]],2,2)="mu",_xlfn.TEXTBEFORE(PROPERTIES[[#This Row],[VEHIDCODE]],"_")="mtro"),1,1=1,0)</f>
        <v>1</v>
      </c>
      <c r="D463" t="s">
        <v>1744</v>
      </c>
      <c r="E463" t="str">
        <f>_xlfn.XLOOKUP(PROPERTIES[[#This Row],[COUNTRY]],COUNTRIES[COUNTRY_DESCRIPTION],COUNTRIES[COUNTRY_LABEL],"")</f>
        <v>CA</v>
      </c>
      <c r="F463" t="str" cm="1">
        <f t="array" ref="F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3" t="s">
        <v>17</v>
      </c>
      <c r="H463">
        <v>0</v>
      </c>
      <c r="I463">
        <v>8</v>
      </c>
      <c r="J463">
        <v>8</v>
      </c>
      <c r="K463" t="str" cm="1">
        <f t="array" ref="K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3">
        <f>_xlfn.XLOOKUP("LOADINGSPEEDDEF_"&amp;PROPERTIES[[#This Row],[LOADINGSPEED]],LOADINGSPEEDDEF[TYPE],LOADINGSPEEDDEF[SPEED])</f>
        <v>40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f>IF(ISNUMBER(SEARCH("passenger",PROPERTIES[[#This Row],[CARGODEF]])),1,0)</f>
        <v>1</v>
      </c>
      <c r="O463" s="32">
        <f>113/2</f>
        <v>56.5</v>
      </c>
      <c r="P463">
        <f>2700*2</f>
        <v>5400</v>
      </c>
      <c r="Q463">
        <v>153</v>
      </c>
      <c r="R463" s="29">
        <f>245/2</f>
        <v>122.5</v>
      </c>
      <c r="S463" s="28">
        <f>IFERROR(PROPERTIES[[#This Row],[TE_STARTING_KN]]/(PROPERTIES[[#This Row],[WEIGHT]]*9.81),0)</f>
        <v>0.22101341416109624</v>
      </c>
      <c r="T463" s="28">
        <v>0.2</v>
      </c>
      <c r="U463" s="25">
        <f>ROUND(IF(IFERROR(PROPERTIES[[#This Row],[TE_COEFFICIENT_CALC]],0)=0,PROPERTIES[[#This Row],[TE_COEFFICIENT_MANUAL]],PROPERTIES[[#This Row],[TE_COEFFICIENT_CALC]]),3)</f>
        <v>0.221</v>
      </c>
      <c r="V463" s="11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36">
        <v>68</v>
      </c>
      <c r="X463" s="9">
        <v>8</v>
      </c>
      <c r="Y463" s="10">
        <v>55</v>
      </c>
      <c r="Z463" t="s">
        <v>874</v>
      </c>
      <c r="AA463" t="s">
        <v>868</v>
      </c>
      <c r="AB463" s="2" t="s">
        <v>886</v>
      </c>
      <c r="AC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3" s="2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3" s="2" t="b">
        <v>0</v>
      </c>
      <c r="AH463" s="10" t="b">
        <v>0</v>
      </c>
      <c r="AY463"/>
      <c r="AZ463"/>
      <c r="BA463"/>
    </row>
    <row r="464" spans="1:53">
      <c r="A464" s="2" t="s">
        <v>484</v>
      </c>
      <c r="B464">
        <v>1990</v>
      </c>
      <c r="C464" cm="1">
        <f t="array" ref="C464">_xlfn.IFS(ISNUMBER(SEARCH("wagon",PROPERTIES[[#This Row],[VEHIDCODE]])),0,OR(MID(PROPERTIES[[#This Row],[VEHIDCODE]],2,2)="mu",_xlfn.TEXTBEFORE(PROPERTIES[[#This Row],[VEHIDCODE]],"_")="mtro"),1,1=1,0)</f>
        <v>1</v>
      </c>
      <c r="D464" t="s">
        <v>1902</v>
      </c>
      <c r="E464" t="str">
        <f>_xlfn.XLOOKUP(PROPERTIES[[#This Row],[COUNTRY]],COUNTRIES[COUNTRY_DESCRIPTION],COUNTRIES[COUNTRY_LABEL],"")</f>
        <v>SE</v>
      </c>
      <c r="F464" t="str" cm="1">
        <f t="array" ref="F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4" t="s">
        <v>17</v>
      </c>
      <c r="H464">
        <v>48</v>
      </c>
      <c r="I464">
        <v>8</v>
      </c>
      <c r="J464">
        <v>8</v>
      </c>
      <c r="K464" t="str" cm="1">
        <f t="array" ref="K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f>IF(ISNUMBER(SEARCH("passenger",PROPERTIES[[#This Row],[CARGODEF]])),1,0)</f>
        <v>1</v>
      </c>
      <c r="O464" s="32">
        <f>INT(97/2)</f>
        <v>48</v>
      </c>
      <c r="P464">
        <f>1600*2</f>
        <v>3200</v>
      </c>
      <c r="Q464">
        <v>180</v>
      </c>
      <c r="R464" s="29">
        <f>115/2</f>
        <v>57.5</v>
      </c>
      <c r="S464" s="28">
        <f>IFERROR(PROPERTIES[[#This Row],[TE_STARTING_KN]]/(PROPERTIES[[#This Row],[WEIGHT]]*9.81),0)</f>
        <v>0.12211179068977235</v>
      </c>
      <c r="T464" s="28">
        <v>0.25</v>
      </c>
      <c r="U464" s="25">
        <f>ROUND(IF(IFERROR(PROPERTIES[[#This Row],[TE_COEFFICIENT_CALC]],0)=0,PROPERTIES[[#This Row],[TE_COEFFICIENT_MANUAL]],PROPERTIES[[#This Row],[TE_COEFFICIENT_CALC]]),3)</f>
        <v>0.122</v>
      </c>
      <c r="V464" s="11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36">
        <v>48</v>
      </c>
      <c r="X464" s="9">
        <v>8</v>
      </c>
      <c r="Y464" s="10">
        <v>0</v>
      </c>
      <c r="Z464" t="s">
        <v>873</v>
      </c>
      <c r="AA464" t="s">
        <v>868</v>
      </c>
      <c r="AB464" s="2" t="s">
        <v>886</v>
      </c>
      <c r="AC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4" s="2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H464" s="10" t="b">
        <v>0</v>
      </c>
      <c r="AY464"/>
      <c r="AZ464"/>
      <c r="BA464"/>
    </row>
    <row r="465" spans="1:53">
      <c r="A465" s="2" t="s">
        <v>485</v>
      </c>
      <c r="B465">
        <v>1997</v>
      </c>
      <c r="C465" cm="1">
        <f t="array" ref="C465">_xlfn.IFS(ISNUMBER(SEARCH("wagon",PROPERTIES[[#This Row],[VEHIDCODE]])),0,OR(MID(PROPERTIES[[#This Row],[VEHIDCODE]],2,2)="mu",_xlfn.TEXTBEFORE(PROPERTIES[[#This Row],[VEHIDCODE]],"_")="mtro"),1,1=1,0)</f>
        <v>1</v>
      </c>
      <c r="D465" t="s">
        <v>1774</v>
      </c>
      <c r="E465" t="str">
        <f>_xlfn.XLOOKUP(PROPERTIES[[#This Row],[COUNTRY]],COUNTRIES[COUNTRY_DESCRIPTION],COUNTRIES[COUNTRY_LABEL],"")</f>
        <v>ES</v>
      </c>
      <c r="F465" t="str" cm="1">
        <f t="array" ref="F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5" t="s">
        <v>17</v>
      </c>
      <c r="H465">
        <v>42</v>
      </c>
      <c r="I465">
        <v>8</v>
      </c>
      <c r="J465">
        <v>8</v>
      </c>
      <c r="K465" t="str" cm="1">
        <f t="array" ref="K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f>IF(ISNUMBER(SEARCH("passenger",PROPERTIES[[#This Row],[CARGODEF]])),1,0)</f>
        <v>1</v>
      </c>
      <c r="O465" s="32">
        <v>49</v>
      </c>
      <c r="P465">
        <v>3200</v>
      </c>
      <c r="Q465">
        <v>160</v>
      </c>
      <c r="R465" s="29">
        <f>120/2</f>
        <v>60</v>
      </c>
      <c r="S465" s="28">
        <f>IFERROR(PROPERTIES[[#This Row],[TE_STARTING_KN]]/(PROPERTIES[[#This Row],[WEIGHT]]*9.81),0)</f>
        <v>0.12482057043000687</v>
      </c>
      <c r="T465" s="28">
        <v>0.24</v>
      </c>
      <c r="U465" s="25">
        <f>ROUND(IF(IFERROR(PROPERTIES[[#This Row],[TE_COEFFICIENT_CALC]],0)=0,PROPERTIES[[#This Row],[TE_COEFFICIENT_MANUAL]],PROPERTIES[[#This Row],[TE_COEFFICIENT_CALC]]),3)</f>
        <v>0.125</v>
      </c>
      <c r="V465" s="11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36">
        <f>126/3</f>
        <v>42</v>
      </c>
      <c r="X465" s="9">
        <v>8</v>
      </c>
      <c r="Y465" s="10">
        <v>0</v>
      </c>
      <c r="Z465" t="s">
        <v>870</v>
      </c>
      <c r="AA465" t="s">
        <v>868</v>
      </c>
      <c r="AB465" s="2" t="s">
        <v>886</v>
      </c>
      <c r="AC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5" s="2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H465" s="10" t="b">
        <v>0</v>
      </c>
      <c r="AY465"/>
      <c r="AZ465"/>
      <c r="BA465"/>
    </row>
    <row r="466" spans="1:53">
      <c r="A466" s="2" t="s">
        <v>486</v>
      </c>
      <c r="B466">
        <v>1997</v>
      </c>
      <c r="C466" cm="1">
        <f t="array" ref="C466">_xlfn.IFS(ISNUMBER(SEARCH("wagon",PROPERTIES[[#This Row],[VEHIDCODE]])),0,OR(MID(PROPERTIES[[#This Row],[VEHIDCODE]],2,2)="mu",_xlfn.TEXTBEFORE(PROPERTIES[[#This Row],[VEHIDCODE]],"_")="mtro"),1,1=1,0)</f>
        <v>1</v>
      </c>
      <c r="D466" t="s">
        <v>1782</v>
      </c>
      <c r="E466" t="str">
        <f>_xlfn.XLOOKUP(PROPERTIES[[#This Row],[COUNTRY]],COUNTRIES[COUNTRY_DESCRIPTION],COUNTRIES[COUNTRY_LABEL],"")</f>
        <v>GB</v>
      </c>
      <c r="F466" t="str" cm="1">
        <f t="array" ref="F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6" t="s">
        <v>17</v>
      </c>
      <c r="H466">
        <f>INT(204/3)</f>
        <v>68</v>
      </c>
      <c r="I466">
        <v>8</v>
      </c>
      <c r="J466">
        <v>8</v>
      </c>
      <c r="K466" t="str" cm="1">
        <f t="array" ref="K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f>IF(ISNUMBER(SEARCH("passenger",PROPERTIES[[#This Row],[CARGODEF]])),1,0)</f>
        <v>1</v>
      </c>
      <c r="O466" s="32">
        <v>50</v>
      </c>
      <c r="P466">
        <f>422*2</f>
        <v>844</v>
      </c>
      <c r="Q466">
        <v>160</v>
      </c>
      <c r="R466" s="29">
        <f>112/2</f>
        <v>56</v>
      </c>
      <c r="S466" s="28">
        <f>IFERROR(PROPERTIES[[#This Row],[TE_STARTING_KN]]/(PROPERTIES[[#This Row],[WEIGHT]]*9.81),0)</f>
        <v>0.11416921508664628</v>
      </c>
      <c r="T466" s="28">
        <v>0.39</v>
      </c>
      <c r="U466" s="25">
        <f>ROUND(IF(IFERROR(PROPERTIES[[#This Row],[TE_COEFFICIENT_CALC]],0)=0,PROPERTIES[[#This Row],[TE_COEFFICIENT_MANUAL]],PROPERTIES[[#This Row],[TE_COEFFICIENT_CALC]]),3)</f>
        <v>0.114</v>
      </c>
      <c r="V466" s="11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36">
        <f>INT(204/3)</f>
        <v>68</v>
      </c>
      <c r="X466" s="9">
        <v>8</v>
      </c>
      <c r="Y466" s="10">
        <v>52</v>
      </c>
      <c r="Z466" t="s">
        <v>873</v>
      </c>
      <c r="AA466" t="s">
        <v>868</v>
      </c>
      <c r="AB466" s="2" t="s">
        <v>886</v>
      </c>
      <c r="AC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6" s="2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H466" s="10" t="b">
        <v>0</v>
      </c>
      <c r="AY466"/>
      <c r="AZ466"/>
      <c r="BA466"/>
    </row>
    <row r="467" spans="1:53">
      <c r="A467" s="2" t="s">
        <v>487</v>
      </c>
      <c r="B467">
        <v>1998</v>
      </c>
      <c r="C467" cm="1">
        <f t="array" ref="C467">_xlfn.IFS(ISNUMBER(SEARCH("wagon",PROPERTIES[[#This Row],[VEHIDCODE]])),0,OR(MID(PROPERTIES[[#This Row],[VEHIDCODE]],2,2)="mu",_xlfn.TEXTBEFORE(PROPERTIES[[#This Row],[VEHIDCODE]],"_")="mtro"),1,1=1,0)</f>
        <v>1</v>
      </c>
      <c r="D467" t="s">
        <v>1763</v>
      </c>
      <c r="E467" t="str">
        <f>_xlfn.XLOOKUP(PROPERTIES[[#This Row],[COUNTRY]],COUNTRIES[COUNTRY_DESCRIPTION],COUNTRIES[COUNTRY_LABEL],"")</f>
        <v>DE</v>
      </c>
      <c r="F467" t="str" cm="1">
        <f t="array" ref="F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7" t="s">
        <v>17</v>
      </c>
      <c r="H467">
        <v>73</v>
      </c>
      <c r="I467">
        <v>8</v>
      </c>
      <c r="J467">
        <v>8</v>
      </c>
      <c r="K467" t="str" cm="1">
        <f t="array" ref="K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f>IF(ISNUMBER(SEARCH("passenger",PROPERTIES[[#This Row],[CARGODEF]])),1,0)</f>
        <v>1</v>
      </c>
      <c r="O467" s="32">
        <v>58</v>
      </c>
      <c r="P467">
        <v>1520</v>
      </c>
      <c r="Q467">
        <v>160</v>
      </c>
      <c r="R467" s="29">
        <f>145/2</f>
        <v>72.5</v>
      </c>
      <c r="S467" s="28">
        <f>IFERROR(PROPERTIES[[#This Row],[TE_STARTING_KN]]/(PROPERTIES[[#This Row],[WEIGHT]]*9.81),0)</f>
        <v>0.127420998980632</v>
      </c>
      <c r="T467" s="28">
        <v>0.38</v>
      </c>
      <c r="U467" s="25">
        <f>ROUND(IF(IFERROR(PROPERTIES[[#This Row],[TE_COEFFICIENT_CALC]],0)=0,PROPERTIES[[#This Row],[TE_COEFFICIENT_MANUAL]],PROPERTIES[[#This Row],[TE_COEFFICIENT_CALC]]),3)</f>
        <v>0.127</v>
      </c>
      <c r="V467" s="11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36">
        <v>73</v>
      </c>
      <c r="X467" s="9">
        <v>8</v>
      </c>
      <c r="Y467" s="10">
        <v>0</v>
      </c>
      <c r="Z467" t="s">
        <v>869</v>
      </c>
      <c r="AA467" t="s">
        <v>868</v>
      </c>
      <c r="AB467" s="2" t="s">
        <v>886</v>
      </c>
      <c r="AC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7" s="2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H467" s="10" t="b">
        <v>0</v>
      </c>
      <c r="AY467"/>
      <c r="AZ467"/>
      <c r="BA467"/>
    </row>
    <row r="468" spans="1:53">
      <c r="A468" s="2" t="s">
        <v>488</v>
      </c>
      <c r="B468">
        <v>2000</v>
      </c>
      <c r="C468" cm="1">
        <f t="array" ref="C468">_xlfn.IFS(ISNUMBER(SEARCH("wagon",PROPERTIES[[#This Row],[VEHIDCODE]])),0,OR(MID(PROPERTIES[[#This Row],[VEHIDCODE]],2,2)="mu",_xlfn.TEXTBEFORE(PROPERTIES[[#This Row],[VEHIDCODE]],"_")="mtro"),1,1=1,0)</f>
        <v>1</v>
      </c>
      <c r="D468" t="s">
        <v>1763</v>
      </c>
      <c r="E468" t="str">
        <f>_xlfn.XLOOKUP(PROPERTIES[[#This Row],[COUNTRY]],COUNTRIES[COUNTRY_DESCRIPTION],COUNTRIES[COUNTRY_LABEL],"")</f>
        <v>DE</v>
      </c>
      <c r="F468" t="str" cm="1">
        <f t="array" ref="F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8" t="s">
        <v>17</v>
      </c>
      <c r="H468">
        <f>(98+110)/2</f>
        <v>104</v>
      </c>
      <c r="I468">
        <v>8</v>
      </c>
      <c r="J468">
        <v>8</v>
      </c>
      <c r="K468" t="str" cm="1">
        <f t="array" ref="K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f>IF(ISNUMBER(SEARCH("passenger",PROPERTIES[[#This Row],[CARGODEF]])),1,0)</f>
        <v>1</v>
      </c>
      <c r="O468" s="32">
        <f>88/2</f>
        <v>44</v>
      </c>
      <c r="P468">
        <f>490*2</f>
        <v>980</v>
      </c>
      <c r="Q468">
        <v>120</v>
      </c>
      <c r="R468" s="29">
        <f>85/2</f>
        <v>42.5</v>
      </c>
      <c r="S468" s="28">
        <f>IFERROR(PROPERTIES[[#This Row],[TE_STARTING_KN]]/(PROPERTIES[[#This Row],[WEIGHT]]*9.81),0)</f>
        <v>9.8461681030488357E-2</v>
      </c>
      <c r="T468" s="28">
        <v>0.18</v>
      </c>
      <c r="U468" s="25">
        <f>ROUND(IF(IFERROR(PROPERTIES[[#This Row],[TE_COEFFICIENT_CALC]],0)=0,PROPERTIES[[#This Row],[TE_COEFFICIENT_MANUAL]],PROPERTIES[[#This Row],[TE_COEFFICIENT_CALC]]),3)</f>
        <v>9.8000000000000004E-2</v>
      </c>
      <c r="V468" s="11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36">
        <f>PROPERTIES[[#This Row],[HEAD_CAPACITY]]</f>
        <v>104</v>
      </c>
      <c r="X468" s="9">
        <v>8</v>
      </c>
      <c r="Y468" s="10">
        <v>0</v>
      </c>
      <c r="Z468" t="s">
        <v>869</v>
      </c>
      <c r="AA468" t="s">
        <v>868</v>
      </c>
      <c r="AB468" s="2" t="s">
        <v>886</v>
      </c>
      <c r="AC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8" s="2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H468" s="10" t="b">
        <v>0</v>
      </c>
      <c r="AY468"/>
      <c r="AZ468"/>
      <c r="BA468"/>
    </row>
    <row r="469" spans="1:53">
      <c r="A469" s="2" t="s">
        <v>489</v>
      </c>
      <c r="B469">
        <v>2001</v>
      </c>
      <c r="C469" cm="1">
        <f t="array" ref="C469">_xlfn.IFS(ISNUMBER(SEARCH("wagon",PROPERTIES[[#This Row],[VEHIDCODE]])),0,OR(MID(PROPERTIES[[#This Row],[VEHIDCODE]],2,2)="mu",_xlfn.TEXTBEFORE(PROPERTIES[[#This Row],[VEHIDCODE]],"_")="mtro"),1,1=1,0)</f>
        <v>1</v>
      </c>
      <c r="D469" t="s">
        <v>1765</v>
      </c>
      <c r="E469" t="str">
        <f>_xlfn.XLOOKUP(PROPERTIES[[#This Row],[COUNTRY]],COUNTRIES[COUNTRY_DESCRIPTION],COUNTRIES[COUNTRY_LABEL],"")</f>
        <v>DK</v>
      </c>
      <c r="F469" t="str" cm="1">
        <f t="array" ref="F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9" t="s">
        <v>17</v>
      </c>
      <c r="H469">
        <f>52+85</f>
        <v>137</v>
      </c>
      <c r="I469">
        <v>8</v>
      </c>
      <c r="J469">
        <v>8</v>
      </c>
      <c r="K469" t="str" cm="1">
        <f t="array" ref="K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f>IF(ISNUMBER(SEARCH("passenger",PROPERTIES[[#This Row],[CARGODEF]])),1,0)</f>
        <v>1</v>
      </c>
      <c r="O469" s="32">
        <v>31</v>
      </c>
      <c r="P469">
        <v>422</v>
      </c>
      <c r="Q469">
        <v>120</v>
      </c>
      <c r="R469" s="29">
        <f>75/2</f>
        <v>37.5</v>
      </c>
      <c r="S469" s="28">
        <f>IFERROR(PROPERTIES[[#This Row],[TE_STARTING_KN]]/(PROPERTIES[[#This Row],[WEIGHT]]*9.81),0)</f>
        <v>0.12331064417480517</v>
      </c>
      <c r="T469" s="28">
        <v>0.39</v>
      </c>
      <c r="U469" s="25">
        <f>ROUND(IF(IFERROR(PROPERTIES[[#This Row],[TE_COEFFICIENT_CALC]],0)=0,PROPERTIES[[#This Row],[TE_COEFFICIENT_MANUAL]],PROPERTIES[[#This Row],[TE_COEFFICIENT_CALC]]),3)</f>
        <v>0.123</v>
      </c>
      <c r="V469" s="11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36">
        <f>PROPERTIES[[#This Row],[HEAD_CAPACITY]]</f>
        <v>137</v>
      </c>
      <c r="X469" s="9">
        <v>8</v>
      </c>
      <c r="Y469" s="10">
        <v>0</v>
      </c>
      <c r="Z469" t="s">
        <v>873</v>
      </c>
      <c r="AA469" t="s">
        <v>868</v>
      </c>
      <c r="AB469" s="2" t="s">
        <v>886</v>
      </c>
      <c r="AC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9" s="2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H469" s="10" t="b">
        <v>0</v>
      </c>
      <c r="AY469"/>
      <c r="AZ469"/>
      <c r="BA469"/>
    </row>
    <row r="470" spans="1:53">
      <c r="A470" s="2" t="s">
        <v>490</v>
      </c>
      <c r="B470">
        <v>2001</v>
      </c>
      <c r="C470" cm="1">
        <f t="array" ref="C470">_xlfn.IFS(ISNUMBER(SEARCH("wagon",PROPERTIES[[#This Row],[VEHIDCODE]])),0,OR(MID(PROPERTIES[[#This Row],[VEHIDCODE]],2,2)="mu",_xlfn.TEXTBEFORE(PROPERTIES[[#This Row],[VEHIDCODE]],"_")="mtro"),1,1=1,0)</f>
        <v>1</v>
      </c>
      <c r="D470" t="s">
        <v>1872</v>
      </c>
      <c r="E470" t="str">
        <f>_xlfn.XLOOKUP(PROPERTIES[[#This Row],[COUNTRY]],COUNTRIES[COUNTRY_DESCRIPTION],COUNTRIES[COUNTRY_LABEL],"")</f>
        <v>NO</v>
      </c>
      <c r="F470" t="str" cm="1">
        <f t="array" ref="F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0" t="s">
        <v>17</v>
      </c>
      <c r="H470">
        <f>76/2</f>
        <v>38</v>
      </c>
      <c r="I470">
        <v>8</v>
      </c>
      <c r="J470">
        <v>8</v>
      </c>
      <c r="K470" t="str" cm="1">
        <f t="array" ref="K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f>IF(ISNUMBER(SEARCH("passenger",PROPERTIES[[#This Row],[CARGODEF]])),1,0)</f>
        <v>1</v>
      </c>
      <c r="O470" s="32">
        <f>77/2</f>
        <v>38.5</v>
      </c>
      <c r="P470">
        <v>810</v>
      </c>
      <c r="Q470">
        <v>140</v>
      </c>
      <c r="R470" s="29">
        <f>100/2</f>
        <v>50</v>
      </c>
      <c r="S470" s="28">
        <f>IFERROR(PROPERTIES[[#This Row],[TE_STARTING_KN]]/(PROPERTIES[[#This Row],[WEIGHT]]*9.81),0)</f>
        <v>0.13238545348637093</v>
      </c>
      <c r="T470" s="28">
        <v>0.21</v>
      </c>
      <c r="U470" s="25">
        <f>ROUND(IF(IFERROR(PROPERTIES[[#This Row],[TE_COEFFICIENT_CALC]],0)=0,PROPERTIES[[#This Row],[TE_COEFFICIENT_MANUAL]],PROPERTIES[[#This Row],[TE_COEFFICIENT_CALC]]),3)</f>
        <v>0.13200000000000001</v>
      </c>
      <c r="V470" s="11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36">
        <f>76/2</f>
        <v>38</v>
      </c>
      <c r="X470" s="9">
        <v>8</v>
      </c>
      <c r="Y470" s="10">
        <v>0</v>
      </c>
      <c r="Z470" t="s">
        <v>873</v>
      </c>
      <c r="AA470" t="s">
        <v>868</v>
      </c>
      <c r="AB470" s="2" t="s">
        <v>886</v>
      </c>
      <c r="AC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0" s="2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H470" s="10" t="b">
        <v>0</v>
      </c>
      <c r="AY470"/>
      <c r="AZ470"/>
      <c r="BA470"/>
    </row>
    <row r="471" spans="1:53">
      <c r="A471" s="2" t="s">
        <v>491</v>
      </c>
      <c r="B471">
        <v>2004</v>
      </c>
      <c r="C471" cm="1">
        <f t="array" ref="C471">_xlfn.IFS(ISNUMBER(SEARCH("wagon",PROPERTIES[[#This Row],[VEHIDCODE]])),0,OR(MID(PROPERTIES[[#This Row],[VEHIDCODE]],2,2)="mu",_xlfn.TEXTBEFORE(PROPERTIES[[#This Row],[VEHIDCODE]],"_")="mtro"),1,1=1,0)</f>
        <v>1</v>
      </c>
      <c r="D471" t="s">
        <v>1719</v>
      </c>
      <c r="E471" t="str">
        <f>_xlfn.XLOOKUP(PROPERTIES[[#This Row],[COUNTRY]],COUNTRIES[COUNTRY_DESCRIPTION],COUNTRIES[COUNTRY_LABEL],"")</f>
        <v>AU</v>
      </c>
      <c r="F471" t="str" cm="1">
        <f t="array" ref="F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1" t="s">
        <v>17</v>
      </c>
      <c r="H471">
        <v>68</v>
      </c>
      <c r="I471">
        <v>8</v>
      </c>
      <c r="J471">
        <v>8</v>
      </c>
      <c r="K471" t="str" cm="1">
        <f t="array" ref="K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f>IF(ISNUMBER(SEARCH("passenger",PROPERTIES[[#This Row],[CARGODEF]])),1,0)</f>
        <v>1</v>
      </c>
      <c r="O471" s="32">
        <v>33</v>
      </c>
      <c r="P471">
        <f>520*2</f>
        <v>1040</v>
      </c>
      <c r="Q471">
        <v>200</v>
      </c>
      <c r="R471" s="29">
        <f>160/2</f>
        <v>80</v>
      </c>
      <c r="S471" s="28">
        <f>IFERROR(PROPERTIES[[#This Row],[TE_STARTING_KN]]/(PROPERTIES[[#This Row],[WEIGHT]]*9.81),0)</f>
        <v>0.24711951317455902</v>
      </c>
      <c r="T471" s="28">
        <v>0.33</v>
      </c>
      <c r="U471" s="25">
        <f>ROUND(IF(IFERROR(PROPERTIES[[#This Row],[TE_COEFFICIENT_CALC]],0)=0,PROPERTIES[[#This Row],[TE_COEFFICIENT_MANUAL]],PROPERTIES[[#This Row],[TE_COEFFICIENT_CALC]]),3)</f>
        <v>0.247</v>
      </c>
      <c r="V471" s="11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36">
        <v>68</v>
      </c>
      <c r="X471" s="9">
        <v>8</v>
      </c>
      <c r="Y471" s="10">
        <v>0</v>
      </c>
      <c r="Z471" t="s">
        <v>871</v>
      </c>
      <c r="AA471" t="s">
        <v>868</v>
      </c>
      <c r="AB471" s="2" t="s">
        <v>886</v>
      </c>
      <c r="AC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1" s="2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H471" s="10" t="b">
        <v>0</v>
      </c>
      <c r="AY471"/>
      <c r="AZ471"/>
      <c r="BA471"/>
    </row>
    <row r="472" spans="1:53">
      <c r="A472" s="2" t="s">
        <v>492</v>
      </c>
      <c r="B472">
        <v>2006</v>
      </c>
      <c r="C472" cm="1">
        <f t="array" ref="C472">_xlfn.IFS(ISNUMBER(SEARCH("wagon",PROPERTIES[[#This Row],[VEHIDCODE]])),0,OR(MID(PROPERTIES[[#This Row],[VEHIDCODE]],2,2)="mu",_xlfn.TEXTBEFORE(PROPERTIES[[#This Row],[VEHIDCODE]],"_")="mtro"),1,1=1,0)</f>
        <v>1</v>
      </c>
      <c r="D472" t="s">
        <v>1719</v>
      </c>
      <c r="E472" t="str">
        <f>_xlfn.XLOOKUP(PROPERTIES[[#This Row],[COUNTRY]],COUNTRIES[COUNTRY_DESCRIPTION],COUNTRIES[COUNTRY_LABEL],"")</f>
        <v>AU</v>
      </c>
      <c r="F472" t="str" cm="1">
        <f t="array" ref="F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2" t="s">
        <v>17</v>
      </c>
      <c r="H472">
        <v>70</v>
      </c>
      <c r="I472">
        <v>8</v>
      </c>
      <c r="J472">
        <v>8</v>
      </c>
      <c r="K472" t="str" cm="1">
        <f t="array" ref="K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f>IF(ISNUMBER(SEARCH("passenger",PROPERTIES[[#This Row],[CARGODEF]])),1,0)</f>
        <v>1</v>
      </c>
      <c r="O472" s="32">
        <v>30</v>
      </c>
      <c r="P472">
        <v>750</v>
      </c>
      <c r="Q472">
        <v>160</v>
      </c>
      <c r="R472" s="29">
        <f>140/2</f>
        <v>70</v>
      </c>
      <c r="S472" s="28">
        <f>IFERROR(PROPERTIES[[#This Row],[TE_STARTING_KN]]/(PROPERTIES[[#This Row],[WEIGHT]]*9.81),0)</f>
        <v>0.23785253143051308</v>
      </c>
      <c r="T472" s="28">
        <v>0.33</v>
      </c>
      <c r="U472" s="25">
        <f>ROUND(IF(IFERROR(PROPERTIES[[#This Row],[TE_COEFFICIENT_CALC]],0)=0,PROPERTIES[[#This Row],[TE_COEFFICIENT_MANUAL]],PROPERTIES[[#This Row],[TE_COEFFICIENT_CALC]]),3)</f>
        <v>0.23799999999999999</v>
      </c>
      <c r="V472" s="11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36">
        <v>70</v>
      </c>
      <c r="X472" s="9">
        <v>8</v>
      </c>
      <c r="Y472" s="10">
        <v>0</v>
      </c>
      <c r="Z472" t="s">
        <v>871</v>
      </c>
      <c r="AA472" t="s">
        <v>868</v>
      </c>
      <c r="AB472" s="2" t="s">
        <v>886</v>
      </c>
      <c r="AC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2" s="2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H472" s="10" t="b">
        <v>0</v>
      </c>
      <c r="AY472"/>
      <c r="AZ472"/>
      <c r="BA472"/>
    </row>
    <row r="473" spans="1:53">
      <c r="A473" s="2" t="s">
        <v>493</v>
      </c>
      <c r="B473">
        <v>2006</v>
      </c>
      <c r="C473" cm="1">
        <f t="array" ref="C473">_xlfn.IFS(ISNUMBER(SEARCH("wagon",PROPERTIES[[#This Row],[VEHIDCODE]])),0,OR(MID(PROPERTIES[[#This Row],[VEHIDCODE]],2,2)="mu",_xlfn.TEXTBEFORE(PROPERTIES[[#This Row],[VEHIDCODE]],"_")="mtro"),1,1=1,0)</f>
        <v>1</v>
      </c>
      <c r="D473" t="s">
        <v>1896</v>
      </c>
      <c r="E473" t="str">
        <f>_xlfn.XLOOKUP(PROPERTIES[[#This Row],[COUNTRY]],COUNTRIES[COUNTRY_DESCRIPTION],COUNTRIES[COUNTRY_LABEL],"")</f>
        <v>RU</v>
      </c>
      <c r="F473" t="str" cm="1">
        <f t="array" ref="F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3" t="s">
        <v>17</v>
      </c>
      <c r="H473">
        <v>68</v>
      </c>
      <c r="I473">
        <v>8</v>
      </c>
      <c r="J473">
        <v>8</v>
      </c>
      <c r="K473" t="str" cm="1">
        <f t="array" ref="K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f>IF(ISNUMBER(SEARCH("passenger",PROPERTIES[[#This Row],[CARGODEF]])),1,0)</f>
        <v>1</v>
      </c>
      <c r="O473" s="32">
        <v>44</v>
      </c>
      <c r="P473">
        <v>840</v>
      </c>
      <c r="Q473">
        <v>100</v>
      </c>
      <c r="R473" s="29">
        <f>105/2</f>
        <v>52.5</v>
      </c>
      <c r="S473" s="28">
        <f>IFERROR(PROPERTIES[[#This Row],[TE_STARTING_KN]]/(PROPERTIES[[#This Row],[WEIGHT]]*9.81),0)</f>
        <v>0.12162913539060327</v>
      </c>
      <c r="T473" s="28">
        <v>0.28000000000000003</v>
      </c>
      <c r="U473" s="25">
        <f>ROUND(IF(IFERROR(PROPERTIES[[#This Row],[TE_COEFFICIENT_CALC]],0)=0,PROPERTIES[[#This Row],[TE_COEFFICIENT_MANUAL]],PROPERTIES[[#This Row],[TE_COEFFICIENT_CALC]]),3)</f>
        <v>0.122</v>
      </c>
      <c r="V473" s="11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36">
        <v>86</v>
      </c>
      <c r="X473" s="9">
        <v>8</v>
      </c>
      <c r="Y473" s="10">
        <v>0</v>
      </c>
      <c r="Z473" t="s">
        <v>877</v>
      </c>
      <c r="AA473" t="s">
        <v>868</v>
      </c>
      <c r="AB473" s="2" t="s">
        <v>886</v>
      </c>
      <c r="AC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3" s="2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H473" s="10" t="b">
        <v>0</v>
      </c>
      <c r="AY473"/>
      <c r="AZ473"/>
      <c r="BA473"/>
    </row>
    <row r="474" spans="1:53">
      <c r="A474" s="2" t="s">
        <v>494</v>
      </c>
      <c r="B474">
        <v>2007</v>
      </c>
      <c r="C474" cm="1">
        <f t="array" ref="C474">_xlfn.IFS(ISNUMBER(SEARCH("wagon",PROPERTIES[[#This Row],[VEHIDCODE]])),0,OR(MID(PROPERTIES[[#This Row],[VEHIDCODE]],2,2)="mu",_xlfn.TEXTBEFORE(PROPERTIES[[#This Row],[VEHIDCODE]],"_")="mtro"),1,1=1,0)</f>
        <v>1</v>
      </c>
      <c r="D474" t="s">
        <v>1765</v>
      </c>
      <c r="E474" t="str">
        <f>_xlfn.XLOOKUP(PROPERTIES[[#This Row],[COUNTRY]],COUNTRIES[COUNTRY_DESCRIPTION],COUNTRIES[COUNTRY_LABEL],"")</f>
        <v>DK</v>
      </c>
      <c r="F474" t="str" cm="1">
        <f t="array" ref="F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4" t="s">
        <v>17</v>
      </c>
      <c r="H474">
        <v>52</v>
      </c>
      <c r="I474">
        <v>8</v>
      </c>
      <c r="J474">
        <v>8</v>
      </c>
      <c r="K474" t="str" cm="1">
        <f t="array" ref="K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f>IF(ISNUMBER(SEARCH("passenger",PROPERTIES[[#This Row],[CARGODEF]])),1,0)</f>
        <v>1</v>
      </c>
      <c r="O474" s="32">
        <v>36</v>
      </c>
      <c r="P474">
        <v>750</v>
      </c>
      <c r="Q474">
        <v>180</v>
      </c>
      <c r="R474" s="29">
        <f>100/2</f>
        <v>50</v>
      </c>
      <c r="S474" s="28">
        <f>IFERROR(PROPERTIES[[#This Row],[TE_STARTING_KN]]/(PROPERTIES[[#This Row],[WEIGHT]]*9.81),0)</f>
        <v>0.14157888775625777</v>
      </c>
      <c r="T474" s="28">
        <v>0.62</v>
      </c>
      <c r="U474" s="25">
        <f>ROUND(IF(IFERROR(PROPERTIES[[#This Row],[TE_COEFFICIENT_CALC]],0)=0,PROPERTIES[[#This Row],[TE_COEFFICIENT_MANUAL]],PROPERTIES[[#This Row],[TE_COEFFICIENT_CALC]]),3)</f>
        <v>0.14199999999999999</v>
      </c>
      <c r="V474" s="11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36">
        <v>52</v>
      </c>
      <c r="X474" s="9">
        <v>8</v>
      </c>
      <c r="Y474" s="10">
        <v>0</v>
      </c>
      <c r="Z474" t="s">
        <v>873</v>
      </c>
      <c r="AA474" t="s">
        <v>868</v>
      </c>
      <c r="AB474" s="2" t="s">
        <v>886</v>
      </c>
      <c r="AC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4" s="2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H474" s="10" t="b">
        <v>0</v>
      </c>
      <c r="AY474"/>
      <c r="AZ474"/>
      <c r="BA474"/>
    </row>
    <row r="475" spans="1:53">
      <c r="A475" s="2" t="s">
        <v>495</v>
      </c>
      <c r="B475">
        <v>2011</v>
      </c>
      <c r="C475" cm="1">
        <f t="array" ref="C475">_xlfn.IFS(ISNUMBER(SEARCH("wagon",PROPERTIES[[#This Row],[VEHIDCODE]])),0,OR(MID(PROPERTIES[[#This Row],[VEHIDCODE]],2,2)="mu",_xlfn.TEXTBEFORE(PROPERTIES[[#This Row],[VEHIDCODE]],"_")="mtro"),1,1=1,0)</f>
        <v>1</v>
      </c>
      <c r="D475" t="s">
        <v>1803</v>
      </c>
      <c r="E475" t="str">
        <f>_xlfn.XLOOKUP(PROPERTIES[[#This Row],[COUNTRY]],COUNTRIES[COUNTRY_DESCRIPTION],COUNTRIES[COUNTRY_LABEL],"")</f>
        <v>HR</v>
      </c>
      <c r="F475" t="str" cm="1">
        <f t="array" ref="F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5" t="s">
        <v>17</v>
      </c>
      <c r="H475">
        <f>INT(410/3)</f>
        <v>136</v>
      </c>
      <c r="I475">
        <v>8</v>
      </c>
      <c r="J475">
        <v>8</v>
      </c>
      <c r="K475" t="str" cm="1">
        <f t="array" ref="K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5">
        <f>_xlfn.XLOOKUP("LOADINGSPEEDDEF_"&amp;PROPERTIES[[#This Row],[LOADINGSPEED]],LOADINGSPEEDDEF[TYPE],LOADINGSPEEDDEF[SPEED])</f>
        <v>40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f>IF(ISNUMBER(SEARCH("passenger",PROPERTIES[[#This Row],[CARGODEF]])),1,0)</f>
        <v>1</v>
      </c>
      <c r="O475" s="32">
        <v>45</v>
      </c>
      <c r="P475">
        <v>520</v>
      </c>
      <c r="Q475">
        <v>160</v>
      </c>
      <c r="R475" s="29">
        <f>125/2</f>
        <v>62.5</v>
      </c>
      <c r="S475" s="28">
        <f>IFERROR(PROPERTIES[[#This Row],[TE_STARTING_KN]]/(PROPERTIES[[#This Row],[WEIGHT]]*9.81),0)</f>
        <v>0.14157888775625777</v>
      </c>
      <c r="T475" s="28">
        <v>0.53</v>
      </c>
      <c r="U475" s="25">
        <f>ROUND(IF(IFERROR(PROPERTIES[[#This Row],[TE_COEFFICIENT_CALC]],0)=0,PROPERTIES[[#This Row],[TE_COEFFICIENT_MANUAL]],PROPERTIES[[#This Row],[TE_COEFFICIENT_CALC]]),3)</f>
        <v>0.14199999999999999</v>
      </c>
      <c r="V475" s="11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36">
        <v>66</v>
      </c>
      <c r="X475" s="9">
        <v>8</v>
      </c>
      <c r="Y475" s="10">
        <v>0</v>
      </c>
      <c r="Z475" t="s">
        <v>875</v>
      </c>
      <c r="AA475" t="s">
        <v>868</v>
      </c>
      <c r="AB475" s="2" t="s">
        <v>886</v>
      </c>
      <c r="AC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5" s="2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H475" s="10" t="b">
        <v>0</v>
      </c>
      <c r="AY475"/>
      <c r="AZ475"/>
      <c r="BA475"/>
    </row>
    <row r="476" spans="1:53">
      <c r="A476" s="2" t="s">
        <v>496</v>
      </c>
      <c r="B476">
        <v>1961</v>
      </c>
      <c r="C476" cm="1">
        <f t="array" ref="C476">_xlfn.IFS(ISNUMBER(SEARCH("wagon",PROPERTIES[[#This Row],[VEHIDCODE]])),0,OR(MID(PROPERTIES[[#This Row],[VEHIDCODE]],2,2)="mu",_xlfn.TEXTBEFORE(PROPERTIES[[#This Row],[VEHIDCODE]],"_")="mtro"),1,1=1,0)</f>
        <v>1</v>
      </c>
      <c r="D476" t="s">
        <v>2208</v>
      </c>
      <c r="E476" t="str">
        <f>_xlfn.XLOOKUP(PROPERTIES[[#This Row],[COUNTRY]],COUNTRIES[COUNTRY_DESCRIPTION],COUNTRIES[COUNTRY_LABEL],"")</f>
        <v>TR</v>
      </c>
      <c r="F476" t="str" cm="1">
        <f t="array" ref="F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6" t="s">
        <v>17</v>
      </c>
      <c r="H476">
        <f>INT(199/3)</f>
        <v>66</v>
      </c>
      <c r="I476">
        <v>8</v>
      </c>
      <c r="J476">
        <v>8</v>
      </c>
      <c r="K476" t="str" cm="1">
        <f t="array" ref="K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f>IF(ISNUMBER(SEARCH("passenger",PROPERTIES[[#This Row],[CARGODEF]])),1,0)</f>
        <v>1</v>
      </c>
      <c r="O476" s="32">
        <v>35</v>
      </c>
      <c r="P476">
        <v>800</v>
      </c>
      <c r="Q476">
        <v>90</v>
      </c>
      <c r="R476" s="29">
        <f>115/2</f>
        <v>57.5</v>
      </c>
      <c r="S476" s="28">
        <f>IFERROR(PROPERTIES[[#This Row],[TE_STARTING_KN]]/(PROPERTIES[[#This Row],[WEIGHT]]*9.81),0)</f>
        <v>0.1674675986602592</v>
      </c>
      <c r="T476" s="28">
        <v>0.23</v>
      </c>
      <c r="U476" s="25">
        <f>ROUND(IF(IFERROR(PROPERTIES[[#This Row],[TE_COEFFICIENT_CALC]],0)=0,PROPERTIES[[#This Row],[TE_COEFFICIENT_MANUAL]],PROPERTIES[[#This Row],[TE_COEFFICIENT_CALC]]),3)</f>
        <v>0.16700000000000001</v>
      </c>
      <c r="V476" s="11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36">
        <v>66</v>
      </c>
      <c r="X476" s="9">
        <v>8</v>
      </c>
      <c r="Y476" s="10">
        <v>0</v>
      </c>
      <c r="Z476" t="s">
        <v>877</v>
      </c>
      <c r="AA476" t="s">
        <v>868</v>
      </c>
      <c r="AB476" s="2" t="s">
        <v>886</v>
      </c>
      <c r="AC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6" s="2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H476" s="10" t="b">
        <v>0</v>
      </c>
      <c r="AY476"/>
      <c r="AZ476"/>
      <c r="BA476"/>
    </row>
    <row r="477" spans="1:53">
      <c r="A477" s="2" t="s">
        <v>497</v>
      </c>
      <c r="B477">
        <v>1968</v>
      </c>
      <c r="C477" cm="1">
        <f t="array" ref="C477">_xlfn.IFS(ISNUMBER(SEARCH("wagon",PROPERTIES[[#This Row],[VEHIDCODE]])),0,OR(MID(PROPERTIES[[#This Row],[VEHIDCODE]],2,2)="mu",_xlfn.TEXTBEFORE(PROPERTIES[[#This Row],[VEHIDCODE]],"_")="mtro"),1,1=1,0)</f>
        <v>1</v>
      </c>
      <c r="D477" t="s">
        <v>1819</v>
      </c>
      <c r="E477" t="str">
        <f>_xlfn.XLOOKUP(PROPERTIES[[#This Row],[COUNTRY]],COUNTRIES[COUNTRY_DESCRIPTION],COUNTRIES[COUNTRY_LABEL],"")</f>
        <v>JP</v>
      </c>
      <c r="F477" t="str" cm="1">
        <f t="array" ref="F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7" t="s">
        <v>17</v>
      </c>
      <c r="H477">
        <v>52</v>
      </c>
      <c r="I477">
        <v>8</v>
      </c>
      <c r="J477">
        <v>8</v>
      </c>
      <c r="K477" t="str" cm="1">
        <f t="array" ref="K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f>IF(ISNUMBER(SEARCH("passenger",PROPERTIES[[#This Row],[CARGODEF]])),1,0)</f>
        <v>1</v>
      </c>
      <c r="O477" s="32">
        <v>44</v>
      </c>
      <c r="P477">
        <v>500</v>
      </c>
      <c r="Q477">
        <v>120</v>
      </c>
      <c r="R477" s="29">
        <f>108/2</f>
        <v>54</v>
      </c>
      <c r="S477" s="28">
        <f>IFERROR(PROPERTIES[[#This Row],[TE_STARTING_KN]]/(PROPERTIES[[#This Row],[WEIGHT]]*9.81),0)</f>
        <v>0.12510425354462051</v>
      </c>
      <c r="T477" s="28">
        <v>0.34</v>
      </c>
      <c r="U477" s="25">
        <f>ROUND(IF(IFERROR(PROPERTIES[[#This Row],[TE_COEFFICIENT_CALC]],0)=0,PROPERTIES[[#This Row],[TE_COEFFICIENT_MANUAL]],PROPERTIES[[#This Row],[TE_COEFFICIENT_CALC]]),3)</f>
        <v>0.125</v>
      </c>
      <c r="V477" s="11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36">
        <v>76</v>
      </c>
      <c r="X477" s="9">
        <v>8</v>
      </c>
      <c r="Y477" s="10">
        <v>0</v>
      </c>
      <c r="Z477" t="s">
        <v>877</v>
      </c>
      <c r="AA477" t="s">
        <v>868</v>
      </c>
      <c r="AB477" s="2" t="s">
        <v>886</v>
      </c>
      <c r="AC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7" s="2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H477" s="10" t="b">
        <v>0</v>
      </c>
      <c r="AY477"/>
      <c r="AZ477"/>
      <c r="BA477"/>
    </row>
    <row r="478" spans="1:53">
      <c r="A478" s="2" t="s">
        <v>498</v>
      </c>
      <c r="B478">
        <v>1973</v>
      </c>
      <c r="C478" cm="1">
        <f t="array" ref="C478">_xlfn.IFS(ISNUMBER(SEARCH("wagon",PROPERTIES[[#This Row],[VEHIDCODE]])),0,OR(MID(PROPERTIES[[#This Row],[VEHIDCODE]],2,2)="mu",_xlfn.TEXTBEFORE(PROPERTIES[[#This Row],[VEHIDCODE]],"_")="mtro"),1,1=1,0)</f>
        <v>1</v>
      </c>
      <c r="D478" t="s">
        <v>1762</v>
      </c>
      <c r="E478" t="str">
        <f>_xlfn.XLOOKUP(PROPERTIES[[#This Row],[COUNTRY]],COUNTRIES[COUNTRY_DESCRIPTION],COUNTRIES[COUNTRY_LABEL],"")</f>
        <v>CZ</v>
      </c>
      <c r="F478" t="str" cm="1">
        <f t="array" ref="F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8" t="s">
        <v>17</v>
      </c>
      <c r="H478" s="9">
        <f>INT((135+151)/3)</f>
        <v>95</v>
      </c>
      <c r="I478">
        <v>6</v>
      </c>
      <c r="J478">
        <v>6</v>
      </c>
      <c r="K478" t="str" cm="1">
        <f t="array" ref="K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f>IF(ISNUMBER(SEARCH("passenger",PROPERTIES[[#This Row],[CARGODEF]])),1,0)</f>
        <v>1</v>
      </c>
      <c r="O478" s="32">
        <v>22</v>
      </c>
      <c r="P478">
        <v>325</v>
      </c>
      <c r="Q478">
        <v>80</v>
      </c>
      <c r="R478" s="29">
        <f>54/2</f>
        <v>27</v>
      </c>
      <c r="S478" s="28">
        <f>IFERROR(PROPERTIES[[#This Row],[TE_STARTING_KN]]/(PROPERTIES[[#This Row],[WEIGHT]]*9.81),0)</f>
        <v>0.12510425354462051</v>
      </c>
      <c r="T478" s="28">
        <v>0.25</v>
      </c>
      <c r="U478" s="25">
        <f>ROUND(IF(IFERROR(PROPERTIES[[#This Row],[TE_COEFFICIENT_CALC]],0)=0,PROPERTIES[[#This Row],[TE_COEFFICIENT_MANUAL]],PROPERTIES[[#This Row],[TE_COEFFICIENT_CALC]]),3)</f>
        <v>0.125</v>
      </c>
      <c r="V478" s="11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36">
        <f>INT((135+151)/3)</f>
        <v>95</v>
      </c>
      <c r="X478" s="9">
        <v>6</v>
      </c>
      <c r="Y478" s="10">
        <v>0</v>
      </c>
      <c r="Z478" t="s">
        <v>875</v>
      </c>
      <c r="AA478" t="s">
        <v>868</v>
      </c>
      <c r="AB478" s="2" t="s">
        <v>886</v>
      </c>
      <c r="AC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8" s="2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H478" s="10" t="b">
        <v>0</v>
      </c>
      <c r="AY478"/>
      <c r="AZ478"/>
      <c r="BA478"/>
    </row>
    <row r="479" spans="1:53">
      <c r="A479" s="2" t="s">
        <v>499</v>
      </c>
      <c r="B479">
        <v>1984</v>
      </c>
      <c r="C479" cm="1">
        <f t="array" ref="C479">_xlfn.IFS(ISNUMBER(SEARCH("wagon",PROPERTIES[[#This Row],[VEHIDCODE]])),0,OR(MID(PROPERTIES[[#This Row],[VEHIDCODE]],2,2)="mu",_xlfn.TEXTBEFORE(PROPERTIES[[#This Row],[VEHIDCODE]],"_")="mtro"),1,1=1,0)</f>
        <v>1</v>
      </c>
      <c r="D479" t="s">
        <v>1782</v>
      </c>
      <c r="E479" t="str">
        <f>_xlfn.XLOOKUP(PROPERTIES[[#This Row],[COUNTRY]],COUNTRIES[COUNTRY_DESCRIPTION],COUNTRIES[COUNTRY_LABEL],"")</f>
        <v>GB</v>
      </c>
      <c r="F479" t="str" cm="1">
        <f t="array" ref="F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9" t="s">
        <v>17</v>
      </c>
      <c r="H479">
        <v>80</v>
      </c>
      <c r="I479">
        <v>7</v>
      </c>
      <c r="J479">
        <v>7</v>
      </c>
      <c r="K479" t="str" cm="1">
        <f t="array" ref="K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f>IF(ISNUMBER(SEARCH("passenger",PROPERTIES[[#This Row],[CARGODEF]])),1,0)</f>
        <v>1</v>
      </c>
      <c r="O479" s="32">
        <v>36</v>
      </c>
      <c r="P479">
        <v>389</v>
      </c>
      <c r="Q479">
        <v>121</v>
      </c>
      <c r="R479" s="29">
        <f>65/2</f>
        <v>32.5</v>
      </c>
      <c r="S479" s="28">
        <f>IFERROR(PROPERTIES[[#This Row],[TE_STARTING_KN]]/(PROPERTIES[[#This Row],[WEIGHT]]*9.81),0)</f>
        <v>9.2026277041567559E-2</v>
      </c>
      <c r="T479" s="28">
        <v>0.26</v>
      </c>
      <c r="U479" s="25">
        <f>ROUND(IF(IFERROR(PROPERTIES[[#This Row],[TE_COEFFICIENT_CALC]],0)=0,PROPERTIES[[#This Row],[TE_COEFFICIENT_MANUAL]],PROPERTIES[[#This Row],[TE_COEFFICIENT_CALC]]),3)</f>
        <v>9.1999999999999998E-2</v>
      </c>
      <c r="V479" s="11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36">
        <v>80</v>
      </c>
      <c r="X479" s="9">
        <v>7</v>
      </c>
      <c r="Y479" s="10">
        <v>0</v>
      </c>
      <c r="Z479" t="s">
        <v>873</v>
      </c>
      <c r="AA479" t="s">
        <v>868</v>
      </c>
      <c r="AB479" s="2" t="s">
        <v>886</v>
      </c>
      <c r="AC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9" s="2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H479" s="10" t="b">
        <v>0</v>
      </c>
      <c r="AY479"/>
      <c r="AZ479"/>
      <c r="BA479"/>
    </row>
    <row r="480" spans="1:53">
      <c r="A480" s="2" t="s">
        <v>500</v>
      </c>
      <c r="B480">
        <v>1984</v>
      </c>
      <c r="C480" cm="1">
        <f t="array" ref="C480">_xlfn.IFS(ISNUMBER(SEARCH("wagon",PROPERTIES[[#This Row],[VEHIDCODE]])),0,OR(MID(PROPERTIES[[#This Row],[VEHIDCODE]],2,2)="mu",_xlfn.TEXTBEFORE(PROPERTIES[[#This Row],[VEHIDCODE]],"_")="mtro"),1,1=1,0)</f>
        <v>1</v>
      </c>
      <c r="D480" t="s">
        <v>1813</v>
      </c>
      <c r="E480" t="str">
        <f>_xlfn.XLOOKUP(PROPERTIES[[#This Row],[COUNTRY]],COUNTRIES[COUNTRY_DESCRIPTION],COUNTRIES[COUNTRY_LABEL],"")</f>
        <v>IR</v>
      </c>
      <c r="F480" t="str" cm="1">
        <f t="array" ref="F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0" t="s">
        <v>17</v>
      </c>
      <c r="H480">
        <v>47</v>
      </c>
      <c r="I480">
        <v>6</v>
      </c>
      <c r="J480">
        <v>6</v>
      </c>
      <c r="K480" t="str" cm="1">
        <f t="array" ref="K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f>IF(ISNUMBER(SEARCH("passenger",PROPERTIES[[#This Row],[CARGODEF]])),1,0)</f>
        <v>1</v>
      </c>
      <c r="O480" s="32">
        <v>26</v>
      </c>
      <c r="P480">
        <v>200</v>
      </c>
      <c r="Q480">
        <v>121</v>
      </c>
      <c r="R480" s="29">
        <f>42/2</f>
        <v>21</v>
      </c>
      <c r="S480" s="28">
        <f>IFERROR(PROPERTIES[[#This Row],[TE_STARTING_KN]]/(PROPERTIES[[#This Row],[WEIGHT]]*9.81),0)</f>
        <v>8.2333568572100682E-2</v>
      </c>
      <c r="T480" s="28">
        <v>0.21</v>
      </c>
      <c r="U480" s="25">
        <f>ROUND(IF(IFERROR(PROPERTIES[[#This Row],[TE_COEFFICIENT_CALC]],0)=0,PROPERTIES[[#This Row],[TE_COEFFICIENT_MANUAL]],PROPERTIES[[#This Row],[TE_COEFFICIENT_CALC]]),3)</f>
        <v>8.2000000000000003E-2</v>
      </c>
      <c r="V480" s="11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36">
        <v>47</v>
      </c>
      <c r="X480" s="9">
        <v>6</v>
      </c>
      <c r="Y480" s="10">
        <v>0</v>
      </c>
      <c r="Z480" t="s">
        <v>877</v>
      </c>
      <c r="AA480" t="s">
        <v>868</v>
      </c>
      <c r="AB480" s="2" t="s">
        <v>886</v>
      </c>
      <c r="AC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0" s="2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H480" s="10" t="b">
        <v>0</v>
      </c>
      <c r="AY480"/>
      <c r="AZ480"/>
      <c r="BA480"/>
    </row>
    <row r="481" spans="1:53">
      <c r="A481" s="2" t="s">
        <v>501</v>
      </c>
      <c r="B481">
        <v>1986</v>
      </c>
      <c r="C481" cm="1">
        <f t="array" ref="C481">_xlfn.IFS(ISNUMBER(SEARCH("wagon",PROPERTIES[[#This Row],[VEHIDCODE]])),0,OR(MID(PROPERTIES[[#This Row],[VEHIDCODE]],2,2)="mu",_xlfn.TEXTBEFORE(PROPERTIES[[#This Row],[VEHIDCODE]],"_")="mtro"),1,1=1,0)</f>
        <v>1</v>
      </c>
      <c r="D481" t="s">
        <v>1808</v>
      </c>
      <c r="E481" t="str">
        <f>_xlfn.XLOOKUP(PROPERTIES[[#This Row],[COUNTRY]],COUNTRIES[COUNTRY_DESCRIPTION],COUNTRIES[COUNTRY_LABEL],"")</f>
        <v>IL</v>
      </c>
      <c r="F481" t="str" cm="1">
        <f t="array" ref="F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1" t="s">
        <v>17</v>
      </c>
      <c r="H481">
        <v>48</v>
      </c>
      <c r="I481">
        <v>8</v>
      </c>
      <c r="J481">
        <v>8</v>
      </c>
      <c r="K481" t="str" cm="1">
        <f t="array" ref="K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f>IF(ISNUMBER(SEARCH("passenger",PROPERTIES[[#This Row],[CARGODEF]])),1,0)</f>
        <v>1</v>
      </c>
      <c r="O481" s="32">
        <f>INT(97/2)</f>
        <v>48</v>
      </c>
      <c r="P481">
        <f>1600*2</f>
        <v>3200</v>
      </c>
      <c r="Q481">
        <v>180</v>
      </c>
      <c r="R481" s="29">
        <f>115/2</f>
        <v>57.5</v>
      </c>
      <c r="S481" s="28">
        <f>IFERROR(PROPERTIES[[#This Row],[TE_STARTING_KN]]/(PROPERTIES[[#This Row],[WEIGHT]]*9.81),0)</f>
        <v>0.12211179068977235</v>
      </c>
      <c r="T481" s="28">
        <v>0.25</v>
      </c>
      <c r="U481" s="25">
        <f>ROUND(IF(IFERROR(PROPERTIES[[#This Row],[TE_COEFFICIENT_CALC]],0)=0,PROPERTIES[[#This Row],[TE_COEFFICIENT_MANUAL]],PROPERTIES[[#This Row],[TE_COEFFICIENT_CALC]]),3)</f>
        <v>0.122</v>
      </c>
      <c r="V481" s="11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36">
        <v>48</v>
      </c>
      <c r="X481" s="9">
        <v>8</v>
      </c>
      <c r="Y481" s="10">
        <v>0</v>
      </c>
      <c r="Z481" t="s">
        <v>877</v>
      </c>
      <c r="AA481" t="s">
        <v>868</v>
      </c>
      <c r="AB481" s="2" t="s">
        <v>886</v>
      </c>
      <c r="AC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1" s="2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H481" s="10" t="b">
        <v>0</v>
      </c>
      <c r="AY481"/>
      <c r="AZ481"/>
      <c r="BA481"/>
    </row>
    <row r="482" spans="1:53">
      <c r="A482" s="2" t="s">
        <v>502</v>
      </c>
      <c r="B482">
        <v>1987</v>
      </c>
      <c r="C482" cm="1">
        <f t="array" ref="C482">_xlfn.IFS(ISNUMBER(SEARCH("wagon",PROPERTIES[[#This Row],[VEHIDCODE]])),0,OR(MID(PROPERTIES[[#This Row],[VEHIDCODE]],2,2)="mu",_xlfn.TEXTBEFORE(PROPERTIES[[#This Row],[VEHIDCODE]],"_")="mtro"),1,1=1,0)</f>
        <v>1</v>
      </c>
      <c r="D482" t="s">
        <v>1719</v>
      </c>
      <c r="E482" t="str">
        <f>_xlfn.XLOOKUP(PROPERTIES[[#This Row],[COUNTRY]],COUNTRIES[COUNTRY_DESCRIPTION],COUNTRIES[COUNTRY_LABEL],"")</f>
        <v>AU</v>
      </c>
      <c r="F482" t="str" cm="1">
        <f t="array" ref="F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2" t="s">
        <v>17</v>
      </c>
      <c r="H482">
        <v>46</v>
      </c>
      <c r="I482">
        <v>7</v>
      </c>
      <c r="J482">
        <v>7</v>
      </c>
      <c r="K482" t="str" cm="1">
        <f t="array" ref="K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f>IF(ISNUMBER(SEARCH("passenger",PROPERTIES[[#This Row],[CARGODEF]])),1,0)</f>
        <v>1</v>
      </c>
      <c r="O482" s="32">
        <v>48</v>
      </c>
      <c r="P482">
        <v>2092</v>
      </c>
      <c r="Q482">
        <v>90</v>
      </c>
      <c r="R482" s="29">
        <f>110/2</f>
        <v>55</v>
      </c>
      <c r="S482" s="28">
        <f>IFERROR(PROPERTIES[[#This Row],[TE_STARTING_KN]]/(PROPERTIES[[#This Row],[WEIGHT]]*9.81),0)</f>
        <v>0.11680258239891267</v>
      </c>
      <c r="T482" s="28">
        <v>0.22</v>
      </c>
      <c r="U482" s="25">
        <f>ROUND(IF(IFERROR(PROPERTIES[[#This Row],[TE_COEFFICIENT_CALC]],0)=0,PROPERTIES[[#This Row],[TE_COEFFICIENT_MANUAL]],PROPERTIES[[#This Row],[TE_COEFFICIENT_CALC]]),3)</f>
        <v>0.11700000000000001</v>
      </c>
      <c r="V482" s="11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36">
        <v>53</v>
      </c>
      <c r="X482" s="9">
        <v>7</v>
      </c>
      <c r="Y482" s="10">
        <v>0</v>
      </c>
      <c r="Z482" t="s">
        <v>871</v>
      </c>
      <c r="AA482" t="s">
        <v>868</v>
      </c>
      <c r="AB482" s="2" t="s">
        <v>886</v>
      </c>
      <c r="AC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2" s="2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H482" s="10" t="b">
        <v>0</v>
      </c>
      <c r="AY482"/>
      <c r="AZ482"/>
      <c r="BA482"/>
    </row>
    <row r="483" spans="1:53">
      <c r="A483" s="2" t="s">
        <v>503</v>
      </c>
      <c r="B483">
        <v>1993</v>
      </c>
      <c r="C483" cm="1">
        <f t="array" ref="C483">_xlfn.IFS(ISNUMBER(SEARCH("wagon",PROPERTIES[[#This Row],[VEHIDCODE]])),0,OR(MID(PROPERTIES[[#This Row],[VEHIDCODE]],2,2)="mu",_xlfn.TEXTBEFORE(PROPERTIES[[#This Row],[VEHIDCODE]],"_")="mtro"),1,1=1,0)</f>
        <v>1</v>
      </c>
      <c r="D483" t="s">
        <v>1719</v>
      </c>
      <c r="E483" t="str">
        <f>_xlfn.XLOOKUP(PROPERTIES[[#This Row],[COUNTRY]],COUNTRIES[COUNTRY_DESCRIPTION],COUNTRIES[COUNTRY_LABEL],"")</f>
        <v>AU</v>
      </c>
      <c r="F483" t="str" cm="1">
        <f t="array" ref="F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3" t="s">
        <v>17</v>
      </c>
      <c r="H483">
        <v>38</v>
      </c>
      <c r="I483">
        <v>8</v>
      </c>
      <c r="J483">
        <v>8</v>
      </c>
      <c r="K483" t="str" cm="1">
        <f t="array" ref="K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f>IF(ISNUMBER(SEARCH("passenger",PROPERTIES[[#This Row],[CARGODEF]])),1,0)</f>
        <v>1</v>
      </c>
      <c r="O483" s="32">
        <v>57</v>
      </c>
      <c r="P483">
        <f>514*2</f>
        <v>1028</v>
      </c>
      <c r="Q483">
        <v>145</v>
      </c>
      <c r="R483" s="29">
        <f>125/2</f>
        <v>62.5</v>
      </c>
      <c r="S483" s="28">
        <f>IFERROR(PROPERTIES[[#This Row],[TE_STARTING_KN]]/(PROPERTIES[[#This Row],[WEIGHT]]*9.81),0)</f>
        <v>0.11177280612336139</v>
      </c>
      <c r="T483" s="28">
        <v>0.13</v>
      </c>
      <c r="U483" s="25">
        <f>ROUND(IF(IFERROR(PROPERTIES[[#This Row],[TE_COEFFICIENT_CALC]],0)=0,PROPERTIES[[#This Row],[TE_COEFFICIENT_MANUAL]],PROPERTIES[[#This Row],[TE_COEFFICIENT_CALC]]),3)</f>
        <v>0.112</v>
      </c>
      <c r="V483" s="11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36">
        <v>66</v>
      </c>
      <c r="X483" s="9">
        <v>8</v>
      </c>
      <c r="Y483" s="10">
        <v>0</v>
      </c>
      <c r="Z483" t="s">
        <v>871</v>
      </c>
      <c r="AA483" t="s">
        <v>868</v>
      </c>
      <c r="AB483" s="2" t="s">
        <v>886</v>
      </c>
      <c r="AC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3" s="2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H483" s="10" t="b">
        <v>0</v>
      </c>
      <c r="AY483"/>
      <c r="AZ483"/>
      <c r="BA483"/>
    </row>
    <row r="484" spans="1:53">
      <c r="A484" s="2" t="s">
        <v>504</v>
      </c>
      <c r="B484">
        <v>2010</v>
      </c>
      <c r="C484" cm="1">
        <f t="array" ref="C484">_xlfn.IFS(ISNUMBER(SEARCH("wagon",PROPERTIES[[#This Row],[VEHIDCODE]])),0,OR(MID(PROPERTIES[[#This Row],[VEHIDCODE]],2,2)="mu",_xlfn.TEXTBEFORE(PROPERTIES[[#This Row],[VEHIDCODE]],"_")="mtro"),1,1=1,0)</f>
        <v>1</v>
      </c>
      <c r="D484" t="s">
        <v>1819</v>
      </c>
      <c r="E484" t="str">
        <f>_xlfn.XLOOKUP(PROPERTIES[[#This Row],[COUNTRY]],COUNTRIES[COUNTRY_DESCRIPTION],COUNTRIES[COUNTRY_LABEL],"")</f>
        <v>JP</v>
      </c>
      <c r="F484" t="str" cm="1">
        <f t="array" ref="F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4" t="s">
        <v>17</v>
      </c>
      <c r="H484">
        <v>56</v>
      </c>
      <c r="I484">
        <v>7</v>
      </c>
      <c r="J484">
        <v>7</v>
      </c>
      <c r="K484" t="str" cm="1">
        <f t="array" ref="K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f>IF(ISNUMBER(SEARCH("passenger",PROPERTIES[[#This Row],[CARGODEF]])),1,0)</f>
        <v>1</v>
      </c>
      <c r="O484" s="32">
        <v>49</v>
      </c>
      <c r="P484">
        <v>900</v>
      </c>
      <c r="Q484">
        <v>130</v>
      </c>
      <c r="R484" s="29">
        <f>110/2</f>
        <v>55</v>
      </c>
      <c r="S484" s="28">
        <f>IFERROR(PROPERTIES[[#This Row],[TE_STARTING_KN]]/(PROPERTIES[[#This Row],[WEIGHT]]*9.81),0)</f>
        <v>0.11441885622750629</v>
      </c>
      <c r="T484" s="28">
        <v>0.21</v>
      </c>
      <c r="U484" s="25">
        <f>ROUND(IF(IFERROR(PROPERTIES[[#This Row],[TE_COEFFICIENT_CALC]],0)=0,PROPERTIES[[#This Row],[TE_COEFFICIENT_MANUAL]],PROPERTIES[[#This Row],[TE_COEFFICIENT_CALC]]),3)</f>
        <v>0.114</v>
      </c>
      <c r="V484" s="11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36">
        <v>56</v>
      </c>
      <c r="X484" s="9">
        <v>7</v>
      </c>
      <c r="Y484" s="10">
        <v>0</v>
      </c>
      <c r="Z484" t="s">
        <v>877</v>
      </c>
      <c r="AA484" t="s">
        <v>868</v>
      </c>
      <c r="AB484" s="2" t="s">
        <v>886</v>
      </c>
      <c r="AC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4" s="2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H484" s="10" t="b">
        <v>0</v>
      </c>
      <c r="AY484"/>
      <c r="AZ484"/>
      <c r="BA484"/>
    </row>
    <row r="485" spans="1:53">
      <c r="A485" s="2" t="s">
        <v>505</v>
      </c>
      <c r="B485">
        <v>2011</v>
      </c>
      <c r="C485" cm="1">
        <f t="array" ref="C485">_xlfn.IFS(ISNUMBER(SEARCH("wagon",PROPERTIES[[#This Row],[VEHIDCODE]])),0,OR(MID(PROPERTIES[[#This Row],[VEHIDCODE]],2,2)="mu",_xlfn.TEXTBEFORE(PROPERTIES[[#This Row],[VEHIDCODE]],"_")="mtro"),1,1=1,0)</f>
        <v>1</v>
      </c>
      <c r="D485" t="s">
        <v>1835</v>
      </c>
      <c r="E485" t="str">
        <f>_xlfn.XLOOKUP(PROPERTIES[[#This Row],[COUNTRY]],COUNTRIES[COUNTRY_DESCRIPTION],COUNTRIES[COUNTRY_LABEL],"")</f>
        <v>LK</v>
      </c>
      <c r="F485" t="str" cm="1">
        <f t="array" ref="F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5" t="s">
        <v>17</v>
      </c>
      <c r="H485">
        <v>20</v>
      </c>
      <c r="I485">
        <v>8</v>
      </c>
      <c r="J485">
        <v>8</v>
      </c>
      <c r="K485" t="str" cm="1">
        <f t="array" ref="K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f>IF(ISNUMBER(SEARCH("passenger",PROPERTIES[[#This Row],[CARGODEF]])),1,0)</f>
        <v>1</v>
      </c>
      <c r="O485" s="32">
        <v>20</v>
      </c>
      <c r="P485">
        <v>1360</v>
      </c>
      <c r="Q485">
        <v>110</v>
      </c>
      <c r="R485" s="29">
        <f>140/2</f>
        <v>70</v>
      </c>
      <c r="S485" s="28">
        <f>IFERROR(PROPERTIES[[#This Row],[TE_STARTING_KN]]/(PROPERTIES[[#This Row],[WEIGHT]]*9.81),0)</f>
        <v>0.3567787971457696</v>
      </c>
      <c r="T485" s="28">
        <v>0.57999999999999996</v>
      </c>
      <c r="U485" s="25">
        <f>ROUND(IF(IFERROR(PROPERTIES[[#This Row],[TE_COEFFICIENT_CALC]],0)=0,PROPERTIES[[#This Row],[TE_COEFFICIENT_MANUAL]],PROPERTIES[[#This Row],[TE_COEFFICIENT_CALC]]),3)</f>
        <v>0.35699999999999998</v>
      </c>
      <c r="V485" s="11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36">
        <f>INT(429/6)</f>
        <v>71</v>
      </c>
      <c r="X485" s="9">
        <v>8</v>
      </c>
      <c r="Y485" s="10">
        <v>0</v>
      </c>
      <c r="Z485" t="s">
        <v>877</v>
      </c>
      <c r="AA485" t="s">
        <v>868</v>
      </c>
      <c r="AB485" s="2" t="s">
        <v>886</v>
      </c>
      <c r="AC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5" s="2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H485" s="10" t="b">
        <v>0</v>
      </c>
      <c r="AY485"/>
      <c r="AZ485"/>
      <c r="BA485"/>
    </row>
    <row r="486" spans="1:53">
      <c r="A486" s="2" t="s">
        <v>506</v>
      </c>
      <c r="B486">
        <v>2011</v>
      </c>
      <c r="C486" cm="1">
        <f t="array" ref="C486">_xlfn.IFS(ISNUMBER(SEARCH("wagon",PROPERTIES[[#This Row],[VEHIDCODE]])),0,OR(MID(PROPERTIES[[#This Row],[VEHIDCODE]],2,2)="mu",_xlfn.TEXTBEFORE(PROPERTIES[[#This Row],[VEHIDCODE]],"_")="mtro"),1,1=1,0)</f>
        <v>1</v>
      </c>
      <c r="D486" t="s">
        <v>1907</v>
      </c>
      <c r="E486" t="str">
        <f>_xlfn.XLOOKUP(PROPERTIES[[#This Row],[COUNTRY]],COUNTRIES[COUNTRY_DESCRIPTION],COUNTRIES[COUNTRY_LABEL],"")</f>
        <v>SK</v>
      </c>
      <c r="F486" t="str" cm="1">
        <f t="array" ref="F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6" t="s">
        <v>17</v>
      </c>
      <c r="H486" s="9">
        <f>INT(195/2)</f>
        <v>97</v>
      </c>
      <c r="I486">
        <v>8</v>
      </c>
      <c r="J486">
        <v>8</v>
      </c>
      <c r="K486" t="str" cm="1">
        <f t="array" ref="K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f>IF(ISNUMBER(SEARCH("passenger",PROPERTIES[[#This Row],[CARGODEF]])),1,0)</f>
        <v>1</v>
      </c>
      <c r="O486" s="32">
        <v>60</v>
      </c>
      <c r="P486">
        <v>1580</v>
      </c>
      <c r="Q486">
        <v>140</v>
      </c>
      <c r="R486" s="29">
        <f>125/2</f>
        <v>62.5</v>
      </c>
      <c r="S486" s="28">
        <f>IFERROR(PROPERTIES[[#This Row],[TE_STARTING_KN]]/(PROPERTIES[[#This Row],[WEIGHT]]*9.81),0)</f>
        <v>0.10618416581719334</v>
      </c>
      <c r="T486" s="28">
        <v>0.34</v>
      </c>
      <c r="U486" s="25">
        <f>ROUND(IF(IFERROR(PROPERTIES[[#This Row],[TE_COEFFICIENT_CALC]],0)=0,PROPERTIES[[#This Row],[TE_COEFFICIENT_MANUAL]],PROPERTIES[[#This Row],[TE_COEFFICIENT_CALC]]),3)</f>
        <v>0.106</v>
      </c>
      <c r="V486" s="11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36">
        <f>INT(195/2)</f>
        <v>97</v>
      </c>
      <c r="X486" s="9">
        <v>7</v>
      </c>
      <c r="Y486" s="10">
        <v>0</v>
      </c>
      <c r="Z486" t="s">
        <v>875</v>
      </c>
      <c r="AA486" t="s">
        <v>868</v>
      </c>
      <c r="AB486" s="2" t="s">
        <v>886</v>
      </c>
      <c r="AC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6" s="2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H486" s="10" t="b">
        <v>0</v>
      </c>
      <c r="AY486"/>
      <c r="AZ486"/>
      <c r="BA486"/>
    </row>
    <row r="487" spans="1:53">
      <c r="A487" s="2" t="s">
        <v>507</v>
      </c>
      <c r="B487">
        <v>1982</v>
      </c>
      <c r="C487" cm="1">
        <f t="array" ref="C487">_xlfn.IFS(ISNUMBER(SEARCH("wagon",PROPERTIES[[#This Row],[VEHIDCODE]])),0,OR(MID(PROPERTIES[[#This Row],[VEHIDCODE]],2,2)="mu",_xlfn.TEXTBEFORE(PROPERTIES[[#This Row],[VEHIDCODE]],"_")="mtro"),1,1=1,0)</f>
        <v>1</v>
      </c>
      <c r="D487" t="s">
        <v>1752</v>
      </c>
      <c r="E487" t="str">
        <f>_xlfn.XLOOKUP(PROPERTIES[[#This Row],[COUNTRY]],COUNTRIES[COUNTRY_DESCRIPTION],COUNTRIES[COUNTRY_LABEL],"")</f>
        <v>CL</v>
      </c>
      <c r="F487" t="str" cm="1">
        <f t="array" ref="F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7" t="s">
        <v>17</v>
      </c>
      <c r="H487">
        <f>144/2</f>
        <v>72</v>
      </c>
      <c r="I487">
        <v>8</v>
      </c>
      <c r="J487">
        <v>8</v>
      </c>
      <c r="K487" t="str" cm="1">
        <f t="array" ref="K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f>IF(ISNUMBER(SEARCH("passenger",PROPERTIES[[#This Row],[CARGODEF]])),1,0)</f>
        <v>1</v>
      </c>
      <c r="O487" s="32">
        <v>68</v>
      </c>
      <c r="P487">
        <f>460*2</f>
        <v>920</v>
      </c>
      <c r="Q487">
        <v>120</v>
      </c>
      <c r="R487" s="29">
        <f>90/2</f>
        <v>45</v>
      </c>
      <c r="S487" s="28">
        <f>IFERROR(PROPERTIES[[#This Row],[TE_STARTING_KN]]/(PROPERTIES[[#This Row],[WEIGHT]]*9.81),0)</f>
        <v>6.745817593092282E-2</v>
      </c>
      <c r="T487" s="28">
        <v>0.13</v>
      </c>
      <c r="U487" s="25">
        <f>ROUND(IF(IFERROR(PROPERTIES[[#This Row],[TE_COEFFICIENT_CALC]],0)=0,PROPERTIES[[#This Row],[TE_COEFFICIENT_MANUAL]],PROPERTIES[[#This Row],[TE_COEFFICIENT_CALC]]),3)</f>
        <v>6.7000000000000004E-2</v>
      </c>
      <c r="V487" s="11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36">
        <f>144/2</f>
        <v>72</v>
      </c>
      <c r="X487" s="9">
        <v>8</v>
      </c>
      <c r="Y487" s="10">
        <v>0</v>
      </c>
      <c r="Z487" t="s">
        <v>876</v>
      </c>
      <c r="AA487" t="s">
        <v>868</v>
      </c>
      <c r="AB487" s="2" t="s">
        <v>886</v>
      </c>
      <c r="AC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7" s="2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H487" s="10" t="b">
        <v>0</v>
      </c>
      <c r="AY487"/>
      <c r="AZ487"/>
      <c r="BA487"/>
    </row>
    <row r="488" spans="1:53">
      <c r="A488" s="2" t="s">
        <v>508</v>
      </c>
      <c r="B488">
        <v>1976</v>
      </c>
      <c r="C488" cm="1">
        <f t="array" ref="C488">_xlfn.IFS(ISNUMBER(SEARCH("wagon",PROPERTIES[[#This Row],[VEHIDCODE]])),0,OR(MID(PROPERTIES[[#This Row],[VEHIDCODE]],2,2)="mu",_xlfn.TEXTBEFORE(PROPERTIES[[#This Row],[VEHIDCODE]],"_")="mtro"),1,1=1,0)</f>
        <v>1</v>
      </c>
      <c r="D488" t="s">
        <v>1753</v>
      </c>
      <c r="E488" t="str">
        <f>_xlfn.XLOOKUP(PROPERTIES[[#This Row],[COUNTRY]],COUNTRIES[COUNTRY_DESCRIPTION],COUNTRIES[COUNTRY_LABEL],"")</f>
        <v>CM</v>
      </c>
      <c r="F488" t="str" cm="1">
        <f t="array" ref="F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8" t="s">
        <v>17</v>
      </c>
      <c r="H488">
        <v>62</v>
      </c>
      <c r="I488">
        <v>8</v>
      </c>
      <c r="J488">
        <v>8</v>
      </c>
      <c r="K488" t="str" cm="1">
        <f t="array" ref="K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f>IF(ISNUMBER(SEARCH("passenger",PROPERTIES[[#This Row],[CARGODEF]])),1,0)</f>
        <v>1</v>
      </c>
      <c r="O488" s="32">
        <v>38</v>
      </c>
      <c r="P488">
        <v>376</v>
      </c>
      <c r="Q488">
        <v>90</v>
      </c>
      <c r="R488" s="29">
        <f>95/2</f>
        <v>47.5</v>
      </c>
      <c r="S488" s="28">
        <f>IFERROR(PROPERTIES[[#This Row],[TE_STARTING_KN]]/(PROPERTIES[[#This Row],[WEIGHT]]*9.81),0)</f>
        <v>0.127420998980632</v>
      </c>
      <c r="T488" s="28">
        <v>0.12</v>
      </c>
      <c r="U488" s="25">
        <f>ROUND(IF(IFERROR(PROPERTIES[[#This Row],[TE_COEFFICIENT_CALC]],0)=0,PROPERTIES[[#This Row],[TE_COEFFICIENT_MANUAL]],PROPERTIES[[#This Row],[TE_COEFFICIENT_CALC]]),3)</f>
        <v>0.127</v>
      </c>
      <c r="V488" s="11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36">
        <v>62</v>
      </c>
      <c r="X488" s="9">
        <v>8</v>
      </c>
      <c r="Y488" s="10">
        <v>0</v>
      </c>
      <c r="Z488" t="s">
        <v>872</v>
      </c>
      <c r="AA488" t="s">
        <v>868</v>
      </c>
      <c r="AB488" s="2" t="s">
        <v>886</v>
      </c>
      <c r="AC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8" s="2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H488" s="10" t="b">
        <v>0</v>
      </c>
      <c r="AY488"/>
      <c r="AZ488"/>
      <c r="BA488"/>
    </row>
    <row r="489" spans="1:53">
      <c r="A489" s="2" t="s">
        <v>509</v>
      </c>
      <c r="B489">
        <v>1960</v>
      </c>
      <c r="C489" cm="1">
        <f t="array" ref="C489">_xlfn.IFS(ISNUMBER(SEARCH("wagon",PROPERTIES[[#This Row],[VEHIDCODE]])),0,OR(MID(PROPERTIES[[#This Row],[VEHIDCODE]],2,2)="mu",_xlfn.TEXTBEFORE(PROPERTIES[[#This Row],[VEHIDCODE]],"_")="mtro"),1,1=1,0)</f>
        <v>1</v>
      </c>
      <c r="D489" t="s">
        <v>1782</v>
      </c>
      <c r="E489" t="str">
        <f>_xlfn.XLOOKUP(PROPERTIES[[#This Row],[COUNTRY]],COUNTRIES[COUNTRY_DESCRIPTION],COUNTRIES[COUNTRY_LABEL],"")</f>
        <v>GB</v>
      </c>
      <c r="F489" t="str" cm="1">
        <f t="array" ref="F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9" t="s">
        <v>17</v>
      </c>
      <c r="H489">
        <v>27</v>
      </c>
      <c r="I489">
        <v>7</v>
      </c>
      <c r="J489">
        <v>7</v>
      </c>
      <c r="K489" t="str" cm="1">
        <f t="array" ref="K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f>IF(ISNUMBER(SEARCH("passenger",PROPERTIES[[#This Row],[CARGODEF]])),1,0)</f>
        <v>1</v>
      </c>
      <c r="O489" s="32">
        <v>67</v>
      </c>
      <c r="P489">
        <v>2000</v>
      </c>
      <c r="Q489">
        <v>145</v>
      </c>
      <c r="R489" s="29">
        <f>125/2</f>
        <v>62.5</v>
      </c>
      <c r="S489" s="28">
        <f>IFERROR(PROPERTIES[[#This Row],[TE_STARTING_KN]]/(PROPERTIES[[#This Row],[WEIGHT]]*9.81),0)</f>
        <v>9.5090297746740313E-2</v>
      </c>
      <c r="T489" s="28">
        <v>0.24</v>
      </c>
      <c r="U489" s="25">
        <f>ROUND(IF(IFERROR(PROPERTIES[[#This Row],[TE_COEFFICIENT_CALC]],0)=0,PROPERTIES[[#This Row],[TE_COEFFICIENT_MANUAL]],PROPERTIES[[#This Row],[TE_COEFFICIENT_CALC]]),3)</f>
        <v>9.5000000000000001E-2</v>
      </c>
      <c r="V489" s="11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36">
        <v>42</v>
      </c>
      <c r="X489" s="9">
        <v>7</v>
      </c>
      <c r="Y489" s="10">
        <v>0</v>
      </c>
      <c r="Z489" t="s">
        <v>873</v>
      </c>
      <c r="AA489" t="s">
        <v>868</v>
      </c>
      <c r="AB489" s="2" t="s">
        <v>886</v>
      </c>
      <c r="AC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9" s="2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H489" s="10" t="b">
        <v>0</v>
      </c>
      <c r="AY489"/>
      <c r="AZ489"/>
      <c r="BA489"/>
    </row>
    <row r="490" spans="1:53">
      <c r="A490" s="2" t="s">
        <v>510</v>
      </c>
      <c r="B490">
        <v>1967</v>
      </c>
      <c r="C490" cm="1">
        <f t="array" ref="C490">_xlfn.IFS(ISNUMBER(SEARCH("wagon",PROPERTIES[[#This Row],[VEHIDCODE]])),0,OR(MID(PROPERTIES[[#This Row],[VEHIDCODE]],2,2)="mu",_xlfn.TEXTBEFORE(PROPERTIES[[#This Row],[VEHIDCODE]],"_")="mtro"),1,1=1,0)</f>
        <v>1</v>
      </c>
      <c r="D490" t="s">
        <v>1719</v>
      </c>
      <c r="E490" t="str">
        <f>_xlfn.XLOOKUP(PROPERTIES[[#This Row],[COUNTRY]],COUNTRIES[COUNTRY_DESCRIPTION],COUNTRIES[COUNTRY_LABEL],"")</f>
        <v>AU</v>
      </c>
      <c r="F490" t="str" cm="1">
        <f t="array" ref="F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0" t="s">
        <v>17</v>
      </c>
      <c r="H490">
        <v>74</v>
      </c>
      <c r="I490">
        <v>8</v>
      </c>
      <c r="J490">
        <v>8</v>
      </c>
      <c r="K490" t="str" cm="1">
        <f t="array" ref="K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f>IF(ISNUMBER(SEARCH("passenger",PROPERTIES[[#This Row],[CARGODEF]])),1,0)</f>
        <v>1</v>
      </c>
      <c r="O490" s="32">
        <v>33</v>
      </c>
      <c r="P490">
        <v>416</v>
      </c>
      <c r="Q490">
        <v>90</v>
      </c>
      <c r="R490" s="29">
        <f>58/2</f>
        <v>29</v>
      </c>
      <c r="S490" s="28">
        <f>IFERROR(PROPERTIES[[#This Row],[TE_STARTING_KN]]/(PROPERTIES[[#This Row],[WEIGHT]]*9.81),0)</f>
        <v>8.9580823525777648E-2</v>
      </c>
      <c r="T490" s="28">
        <v>0.44</v>
      </c>
      <c r="U490" s="25">
        <f>ROUND(IF(IFERROR(PROPERTIES[[#This Row],[TE_COEFFICIENT_CALC]],0)=0,PROPERTIES[[#This Row],[TE_COEFFICIENT_MANUAL]],PROPERTIES[[#This Row],[TE_COEFFICIENT_CALC]]),3)</f>
        <v>0.09</v>
      </c>
      <c r="V490" s="11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36">
        <v>74</v>
      </c>
      <c r="X490" s="9">
        <v>7</v>
      </c>
      <c r="Y490" s="10">
        <v>0</v>
      </c>
      <c r="Z490" t="s">
        <v>871</v>
      </c>
      <c r="AA490" t="s">
        <v>868</v>
      </c>
      <c r="AB490" s="2" t="s">
        <v>886</v>
      </c>
      <c r="AC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0" s="2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H490" s="10" t="b">
        <v>0</v>
      </c>
      <c r="AY490"/>
      <c r="AZ490"/>
      <c r="BA490"/>
    </row>
    <row r="491" spans="1:53">
      <c r="A491" s="2" t="s">
        <v>511</v>
      </c>
      <c r="B491">
        <v>1971</v>
      </c>
      <c r="C491" cm="1">
        <f t="array" ref="C491">_xlfn.IFS(ISNUMBER(SEARCH("wagon",PROPERTIES[[#This Row],[VEHIDCODE]])),0,OR(MID(PROPERTIES[[#This Row],[VEHIDCODE]],2,2)="mu",_xlfn.TEXTBEFORE(PROPERTIES[[#This Row],[VEHIDCODE]],"_")="mtro"),1,1=1,0)</f>
        <v>1</v>
      </c>
      <c r="D491" t="s">
        <v>1781</v>
      </c>
      <c r="E491" t="str">
        <f>_xlfn.XLOOKUP(PROPERTIES[[#This Row],[COUNTRY]],COUNTRIES[COUNTRY_DESCRIPTION],COUNTRIES[COUNTRY_LABEL],"")</f>
        <v>FR</v>
      </c>
      <c r="F491" t="str" cm="1">
        <f t="array" ref="F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1" t="s">
        <v>17</v>
      </c>
      <c r="H491">
        <v>133</v>
      </c>
      <c r="I491">
        <v>8</v>
      </c>
      <c r="J491">
        <v>8</v>
      </c>
      <c r="K491" t="str" cm="1">
        <f t="array" ref="K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f>IF(ISNUMBER(SEARCH("passenger",PROPERTIES[[#This Row],[CARGODEF]])),1,0)</f>
        <v>1</v>
      </c>
      <c r="O491" s="32">
        <v>31</v>
      </c>
      <c r="P491">
        <v>396</v>
      </c>
      <c r="Q491">
        <v>120</v>
      </c>
      <c r="R491" s="29">
        <f>85/2</f>
        <v>42.5</v>
      </c>
      <c r="S491" s="28">
        <f>IFERROR(PROPERTIES[[#This Row],[TE_STARTING_KN]]/(PROPERTIES[[#This Row],[WEIGHT]]*9.81),0)</f>
        <v>0.13975206339811252</v>
      </c>
      <c r="T491" s="28">
        <v>0.2</v>
      </c>
      <c r="U491" s="25">
        <f>ROUND(IF(IFERROR(PROPERTIES[[#This Row],[TE_COEFFICIENT_CALC]],0)=0,PROPERTIES[[#This Row],[TE_COEFFICIENT_MANUAL]],PROPERTIES[[#This Row],[TE_COEFFICIENT_CALC]]),3)</f>
        <v>0.14000000000000001</v>
      </c>
      <c r="V491" s="11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36">
        <v>133</v>
      </c>
      <c r="X491" s="9">
        <v>8</v>
      </c>
      <c r="Y491" s="10">
        <v>0</v>
      </c>
      <c r="Z491" t="s">
        <v>869</v>
      </c>
      <c r="AA491" t="s">
        <v>868</v>
      </c>
      <c r="AB491" s="2" t="s">
        <v>886</v>
      </c>
      <c r="AC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1" s="2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H491" s="10" t="b">
        <v>0</v>
      </c>
      <c r="AY491"/>
      <c r="AZ491"/>
      <c r="BA491"/>
    </row>
    <row r="492" spans="1:53">
      <c r="A492" s="2" t="s">
        <v>512</v>
      </c>
      <c r="B492">
        <v>1972</v>
      </c>
      <c r="C492" cm="1">
        <f t="array" ref="C492">_xlfn.IFS(ISNUMBER(SEARCH("wagon",PROPERTIES[[#This Row],[VEHIDCODE]])),0,OR(MID(PROPERTIES[[#This Row],[VEHIDCODE]],2,2)="mu",_xlfn.TEXTBEFORE(PROPERTIES[[#This Row],[VEHIDCODE]],"_")="mtro"),1,1=1,0)</f>
        <v>1</v>
      </c>
      <c r="D492" t="s">
        <v>1781</v>
      </c>
      <c r="E492" t="str">
        <f>_xlfn.XLOOKUP(PROPERTIES[[#This Row],[COUNTRY]],COUNTRIES[COUNTRY_DESCRIPTION],COUNTRIES[COUNTRY_LABEL],"")</f>
        <v>FR</v>
      </c>
      <c r="F492" t="str" cm="1">
        <f t="array" ref="F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2" t="s">
        <v>17</v>
      </c>
      <c r="H492">
        <v>60</v>
      </c>
      <c r="I492">
        <v>8</v>
      </c>
      <c r="J492">
        <v>8</v>
      </c>
      <c r="K492" t="str" cm="1">
        <f t="array" ref="K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f>IF(ISNUMBER(SEARCH("passenger",PROPERTIES[[#This Row],[CARGODEF]])),1,0)</f>
        <v>1</v>
      </c>
      <c r="O492" s="32">
        <f>225/2</f>
        <v>112.5</v>
      </c>
      <c r="P492">
        <v>1036</v>
      </c>
      <c r="Q492">
        <v>160</v>
      </c>
      <c r="R492" s="29">
        <f>90/2</f>
        <v>45</v>
      </c>
      <c r="S492" s="28">
        <f>IFERROR(PROPERTIES[[#This Row],[TE_STARTING_KN]]/(PROPERTIES[[#This Row],[WEIGHT]]*9.81),0)</f>
        <v>4.0774719673802244E-2</v>
      </c>
      <c r="T492" s="28">
        <v>0.38</v>
      </c>
      <c r="U492" s="25">
        <f>ROUND(IF(IFERROR(PROPERTIES[[#This Row],[TE_COEFFICIENT_CALC]],0)=0,PROPERTIES[[#This Row],[TE_COEFFICIENT_MANUAL]],PROPERTIES[[#This Row],[TE_COEFFICIENT_CALC]]),3)</f>
        <v>4.1000000000000002E-2</v>
      </c>
      <c r="V492" s="11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36">
        <f>400/5</f>
        <v>80</v>
      </c>
      <c r="X492" s="9">
        <v>8</v>
      </c>
      <c r="Y492" s="10">
        <v>0</v>
      </c>
      <c r="Z492" t="s">
        <v>869</v>
      </c>
      <c r="AA492" t="s">
        <v>868</v>
      </c>
      <c r="AB492" s="2" t="s">
        <v>886</v>
      </c>
      <c r="AC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2" s="2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H492" s="10" t="b">
        <v>0</v>
      </c>
      <c r="AY492"/>
      <c r="AZ492"/>
      <c r="BA492"/>
    </row>
    <row r="493" spans="1:53">
      <c r="A493" s="2" t="s">
        <v>513</v>
      </c>
      <c r="B493">
        <v>1981</v>
      </c>
      <c r="C493" cm="1">
        <f t="array" ref="C493">_xlfn.IFS(ISNUMBER(SEARCH("wagon",PROPERTIES[[#This Row],[VEHIDCODE]])),0,OR(MID(PROPERTIES[[#This Row],[VEHIDCODE]],2,2)="mu",_xlfn.TEXTBEFORE(PROPERTIES[[#This Row],[VEHIDCODE]],"_")="mtro"),1,1=1,0)</f>
        <v>1</v>
      </c>
      <c r="D493" t="s">
        <v>1871</v>
      </c>
      <c r="E493" t="str">
        <f>_xlfn.XLOOKUP(PROPERTIES[[#This Row],[COUNTRY]],COUNTRIES[COUNTRY_DESCRIPTION],COUNTRIES[COUNTRY_LABEL],"")</f>
        <v>NL</v>
      </c>
      <c r="F493" t="str" cm="1">
        <f t="array" ref="F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3" t="s">
        <v>17</v>
      </c>
      <c r="H493">
        <v>80</v>
      </c>
      <c r="I493">
        <v>8</v>
      </c>
      <c r="J493">
        <v>8</v>
      </c>
      <c r="K493" t="str" cm="1">
        <f t="array" ref="K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f>IF(ISNUMBER(SEARCH("passenger",PROPERTIES[[#This Row],[CARGODEF]])),1,0)</f>
        <v>1</v>
      </c>
      <c r="O493" s="32">
        <v>34</v>
      </c>
      <c r="P493">
        <v>562</v>
      </c>
      <c r="Q493">
        <v>101</v>
      </c>
      <c r="R493" s="29">
        <f>68/2</f>
        <v>34</v>
      </c>
      <c r="S493" s="28">
        <f>IFERROR(PROPERTIES[[#This Row],[TE_STARTING_KN]]/(PROPERTIES[[#This Row],[WEIGHT]]*9.81),0)</f>
        <v>0.1019367991845056</v>
      </c>
      <c r="T493" s="28">
        <v>0.3</v>
      </c>
      <c r="U493" s="25">
        <f>ROUND(IF(IFERROR(PROPERTIES[[#This Row],[TE_COEFFICIENT_CALC]],0)=0,PROPERTIES[[#This Row],[TE_COEFFICIENT_MANUAL]],PROPERTIES[[#This Row],[TE_COEFFICIENT_CALC]]),3)</f>
        <v>0.10199999999999999</v>
      </c>
      <c r="V493" s="11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36">
        <v>80</v>
      </c>
      <c r="X493" s="9">
        <v>8</v>
      </c>
      <c r="Y493" s="10">
        <v>0</v>
      </c>
      <c r="Z493" t="s">
        <v>869</v>
      </c>
      <c r="AA493" t="s">
        <v>868</v>
      </c>
      <c r="AB493" s="2" t="s">
        <v>886</v>
      </c>
      <c r="AC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3" s="2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H493" s="10" t="b">
        <v>0</v>
      </c>
      <c r="AY493"/>
      <c r="AZ493"/>
      <c r="BA493"/>
    </row>
    <row r="494" spans="1:53">
      <c r="A494" s="2" t="s">
        <v>514</v>
      </c>
      <c r="B494">
        <v>1986</v>
      </c>
      <c r="C494" cm="1">
        <f t="array" ref="C494">_xlfn.IFS(ISNUMBER(SEARCH("wagon",PROPERTIES[[#This Row],[VEHIDCODE]])),0,OR(MID(PROPERTIES[[#This Row],[VEHIDCODE]],2,2)="mu",_xlfn.TEXTBEFORE(PROPERTIES[[#This Row],[VEHIDCODE]],"_")="mtro"),1,1=1,0)</f>
        <v>1</v>
      </c>
      <c r="D494" t="s">
        <v>1763</v>
      </c>
      <c r="E494" t="str">
        <f>_xlfn.XLOOKUP(PROPERTIES[[#This Row],[COUNTRY]],COUNTRIES[COUNTRY_DESCRIPTION],COUNTRIES[COUNTRY_LABEL],"")</f>
        <v>DE</v>
      </c>
      <c r="F494" t="str" cm="1">
        <f t="array" ref="F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4" t="s">
        <v>17</v>
      </c>
      <c r="H494">
        <f>INT(136/2)</f>
        <v>68</v>
      </c>
      <c r="I494">
        <v>8</v>
      </c>
      <c r="J494">
        <v>8</v>
      </c>
      <c r="K494" t="str" cm="1">
        <f t="array" ref="K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f>IF(ISNUMBER(SEARCH("passenger",PROPERTIES[[#This Row],[CARGODEF]])),1,0)</f>
        <v>1</v>
      </c>
      <c r="O494" s="32">
        <v>42</v>
      </c>
      <c r="P494">
        <v>650</v>
      </c>
      <c r="Q494">
        <v>120</v>
      </c>
      <c r="R494" s="29">
        <f>95/2</f>
        <v>47.5</v>
      </c>
      <c r="S494" s="28">
        <f>IFERROR(PROPERTIES[[#This Row],[TE_STARTING_KN]]/(PROPERTIES[[#This Row],[WEIGHT]]*9.81),0)</f>
        <v>0.11528566574438133</v>
      </c>
      <c r="T494" s="28">
        <v>0.27</v>
      </c>
      <c r="U494" s="25">
        <f>ROUND(IF(IFERROR(PROPERTIES[[#This Row],[TE_COEFFICIENT_CALC]],0)=0,PROPERTIES[[#This Row],[TE_COEFFICIENT_MANUAL]],PROPERTIES[[#This Row],[TE_COEFFICIENT_CALC]]),3)</f>
        <v>0.115</v>
      </c>
      <c r="V494" s="11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36">
        <f>INT(136/2)</f>
        <v>68</v>
      </c>
      <c r="X494" s="9">
        <v>8</v>
      </c>
      <c r="Y494" s="10">
        <v>0</v>
      </c>
      <c r="Z494" t="s">
        <v>869</v>
      </c>
      <c r="AA494" t="s">
        <v>868</v>
      </c>
      <c r="AB494" s="2" t="s">
        <v>886</v>
      </c>
      <c r="AC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4" s="2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H494" s="10" t="b">
        <v>0</v>
      </c>
      <c r="AY494"/>
      <c r="AZ494"/>
      <c r="BA494"/>
    </row>
    <row r="495" spans="1:53">
      <c r="A495" s="2" t="s">
        <v>515</v>
      </c>
      <c r="B495">
        <v>2007</v>
      </c>
      <c r="C495" cm="1">
        <f t="array" ref="C495">_xlfn.IFS(ISNUMBER(SEARCH("wagon",PROPERTIES[[#This Row],[VEHIDCODE]])),0,OR(MID(PROPERTIES[[#This Row],[VEHIDCODE]],2,2)="mu",_xlfn.TEXTBEFORE(PROPERTIES[[#This Row],[VEHIDCODE]],"_")="mtro"),1,1=1,0)</f>
        <v>1</v>
      </c>
      <c r="D495" t="s">
        <v>1768</v>
      </c>
      <c r="E495" t="str">
        <f>_xlfn.XLOOKUP(PROPERTIES[[#This Row],[COUNTRY]],COUNTRIES[COUNTRY_DESCRIPTION],COUNTRIES[COUNTRY_LABEL],"")</f>
        <v>DZ</v>
      </c>
      <c r="F495" t="str" cm="1">
        <f t="array" ref="F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5" t="s">
        <v>17</v>
      </c>
      <c r="H495">
        <f>INT(199/2)</f>
        <v>99</v>
      </c>
      <c r="I495">
        <v>8</v>
      </c>
      <c r="J495">
        <v>8</v>
      </c>
      <c r="K495" t="str" cm="1">
        <f t="array" ref="K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f>IF(ISNUMBER(SEARCH("passenger",PROPERTIES[[#This Row],[CARGODEF]])),1,0)</f>
        <v>1</v>
      </c>
      <c r="O495" s="32">
        <v>55</v>
      </c>
      <c r="P495">
        <v>1352</v>
      </c>
      <c r="Q495">
        <v>160</v>
      </c>
      <c r="R495" s="29">
        <f>140/2</f>
        <v>70</v>
      </c>
      <c r="S495" s="28">
        <f>IFERROR(PROPERTIES[[#This Row],[TE_STARTING_KN]]/(PROPERTIES[[#This Row],[WEIGHT]]*9.81),0)</f>
        <v>0.12973774441664349</v>
      </c>
      <c r="T495" s="28">
        <v>0.37</v>
      </c>
      <c r="U495" s="25">
        <f>ROUND(IF(IFERROR(PROPERTIES[[#This Row],[TE_COEFFICIENT_CALC]],0)=0,PROPERTIES[[#This Row],[TE_COEFFICIENT_MANUAL]],PROPERTIES[[#This Row],[TE_COEFFICIENT_CALC]]),3)</f>
        <v>0.13</v>
      </c>
      <c r="V495" s="11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36">
        <f>INT(199/2)</f>
        <v>99</v>
      </c>
      <c r="X495" s="9">
        <v>8</v>
      </c>
      <c r="Y495" s="10">
        <v>0</v>
      </c>
      <c r="Z495" t="s">
        <v>872</v>
      </c>
      <c r="AA495" t="s">
        <v>868</v>
      </c>
      <c r="AB495" s="2" t="s">
        <v>886</v>
      </c>
      <c r="AC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5" s="2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H495" s="10" t="b">
        <v>0</v>
      </c>
      <c r="AY495"/>
      <c r="AZ495"/>
      <c r="BA495"/>
    </row>
    <row r="496" spans="1:53">
      <c r="A496" s="2" t="s">
        <v>516</v>
      </c>
      <c r="B496">
        <v>2008</v>
      </c>
      <c r="C496" cm="1">
        <f t="array" ref="C496">_xlfn.IFS(ISNUMBER(SEARCH("wagon",PROPERTIES[[#This Row],[VEHIDCODE]])),0,OR(MID(PROPERTIES[[#This Row],[VEHIDCODE]],2,2)="mu",_xlfn.TEXTBEFORE(PROPERTIES[[#This Row],[VEHIDCODE]],"_")="mtro"),1,1=1,0)</f>
        <v>1</v>
      </c>
      <c r="D496" t="s">
        <v>1928</v>
      </c>
      <c r="E496" t="str">
        <f>_xlfn.XLOOKUP(PROPERTIES[[#This Row],[COUNTRY]],COUNTRIES[COUNTRY_DESCRIPTION],COUNTRIES[COUNTRY_LABEL],"")</f>
        <v>TN</v>
      </c>
      <c r="F496" t="str" cm="1">
        <f t="array" ref="F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6" t="s">
        <v>17</v>
      </c>
      <c r="H496">
        <v>55</v>
      </c>
      <c r="I496">
        <v>8</v>
      </c>
      <c r="J496">
        <v>8</v>
      </c>
      <c r="K496" t="str" cm="1">
        <f t="array" ref="K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f>IF(ISNUMBER(SEARCH("passenger",PROPERTIES[[#This Row],[CARGODEF]])),1,0)</f>
        <v>1</v>
      </c>
      <c r="O496" s="32">
        <v>35</v>
      </c>
      <c r="P496">
        <v>1232</v>
      </c>
      <c r="Q496">
        <v>100</v>
      </c>
      <c r="R496" s="29">
        <f>135/2</f>
        <v>67.5</v>
      </c>
      <c r="S496" s="28">
        <f>IFERROR(PROPERTIES[[#This Row],[TE_STARTING_KN]]/(PROPERTIES[[#This Row],[WEIGHT]]*9.81),0)</f>
        <v>0.19659239842726081</v>
      </c>
      <c r="T496" s="28">
        <v>0.52</v>
      </c>
      <c r="U496" s="25">
        <f>ROUND(IF(IFERROR(PROPERTIES[[#This Row],[TE_COEFFICIENT_CALC]],0)=0,PROPERTIES[[#This Row],[TE_COEFFICIENT_MANUAL]],PROPERTIES[[#This Row],[TE_COEFFICIENT_CALC]]),3)</f>
        <v>0.19700000000000001</v>
      </c>
      <c r="V496" s="11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36">
        <v>55</v>
      </c>
      <c r="X496" s="9">
        <v>8</v>
      </c>
      <c r="Y496" s="10">
        <v>0</v>
      </c>
      <c r="Z496" t="s">
        <v>872</v>
      </c>
      <c r="AA496" t="s">
        <v>868</v>
      </c>
      <c r="AB496" s="2" t="s">
        <v>886</v>
      </c>
      <c r="AC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6" s="2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H496" s="10" t="b">
        <v>0</v>
      </c>
      <c r="AY496"/>
      <c r="AZ496"/>
      <c r="BA496"/>
    </row>
    <row r="497" spans="1:53">
      <c r="A497" s="2" t="s">
        <v>517</v>
      </c>
      <c r="B497">
        <v>2009</v>
      </c>
      <c r="C497" cm="1">
        <f t="array" ref="C497">_xlfn.IFS(ISNUMBER(SEARCH("wagon",PROPERTIES[[#This Row],[VEHIDCODE]])),0,OR(MID(PROPERTIES[[#This Row],[VEHIDCODE]],2,2)="mu",_xlfn.TEXTBEFORE(PROPERTIES[[#This Row],[VEHIDCODE]],"_")="mtro"),1,1=1,0)</f>
        <v>1</v>
      </c>
      <c r="D497" t="s">
        <v>1787</v>
      </c>
      <c r="E497" t="str">
        <f>_xlfn.XLOOKUP(PROPERTIES[[#This Row],[COUNTRY]],COUNTRIES[COUNTRY_DESCRIPTION],COUNTRIES[COUNTRY_LABEL],"")</f>
        <v>GH</v>
      </c>
      <c r="F497" t="str" cm="1">
        <f t="array" ref="F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7" t="s">
        <v>17</v>
      </c>
      <c r="H497">
        <v>102</v>
      </c>
      <c r="I497">
        <v>7</v>
      </c>
      <c r="J497">
        <v>7</v>
      </c>
      <c r="K497" t="str" cm="1">
        <f t="array" ref="K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f>IF(ISNUMBER(SEARCH("passenger",PROPERTIES[[#This Row],[CARGODEF]])),1,0)</f>
        <v>1</v>
      </c>
      <c r="O497" s="32">
        <v>48</v>
      </c>
      <c r="P497">
        <v>1656</v>
      </c>
      <c r="Q497">
        <v>90</v>
      </c>
      <c r="R497" s="29">
        <f>145/2</f>
        <v>72.5</v>
      </c>
      <c r="S497" s="28">
        <f>IFERROR(PROPERTIES[[#This Row],[TE_STARTING_KN]]/(PROPERTIES[[#This Row],[WEIGHT]]*9.81),0)</f>
        <v>0.15396704043493034</v>
      </c>
      <c r="T497" s="28">
        <v>0.3</v>
      </c>
      <c r="U497" s="25">
        <f>ROUND(IF(IFERROR(PROPERTIES[[#This Row],[TE_COEFFICIENT_CALC]],0)=0,PROPERTIES[[#This Row],[TE_COEFFICIENT_MANUAL]],PROPERTIES[[#This Row],[TE_COEFFICIENT_CALC]]),3)</f>
        <v>0.154</v>
      </c>
      <c r="V497" s="11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36">
        <v>102</v>
      </c>
      <c r="X497" s="9">
        <v>7</v>
      </c>
      <c r="Y497" s="10">
        <v>0</v>
      </c>
      <c r="Z497" t="s">
        <v>872</v>
      </c>
      <c r="AA497" t="s">
        <v>868</v>
      </c>
      <c r="AB497" s="2" t="s">
        <v>886</v>
      </c>
      <c r="AC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7" s="2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H497" s="10" t="b">
        <v>0</v>
      </c>
      <c r="AY497"/>
      <c r="AZ497"/>
      <c r="BA497"/>
    </row>
    <row r="498" spans="1:53">
      <c r="A498" s="2" t="s">
        <v>518</v>
      </c>
      <c r="B498">
        <v>2003</v>
      </c>
      <c r="C498" cm="1">
        <f t="array" ref="C498">_xlfn.IFS(ISNUMBER(SEARCH("wagon",PROPERTIES[[#This Row],[VEHIDCODE]])),0,OR(MID(PROPERTIES[[#This Row],[VEHIDCODE]],2,2)="mu",_xlfn.TEXTBEFORE(PROPERTIES[[#This Row],[VEHIDCODE]],"_")="mtro"),1,1=1,0)</f>
        <v>1</v>
      </c>
      <c r="D498" t="s">
        <v>1719</v>
      </c>
      <c r="E498" t="str">
        <f>_xlfn.XLOOKUP(PROPERTIES[[#This Row],[COUNTRY]],COUNTRIES[COUNTRY_DESCRIPTION],COUNTRIES[COUNTRY_LABEL],"")</f>
        <v>AU</v>
      </c>
      <c r="F498" t="str" cm="1">
        <f t="array" ref="F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8" t="s">
        <v>17</v>
      </c>
      <c r="H498">
        <v>0</v>
      </c>
      <c r="I498">
        <v>8</v>
      </c>
      <c r="J498">
        <v>8</v>
      </c>
      <c r="K498" t="str" cm="1">
        <f t="array" ref="K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f>IF(ISNUMBER(SEARCH("passenger",PROPERTIES[[#This Row],[CARGODEF]])),1,0)</f>
        <v>1</v>
      </c>
      <c r="O498" s="32">
        <v>60</v>
      </c>
      <c r="P498">
        <v>7240</v>
      </c>
      <c r="Q498">
        <v>160</v>
      </c>
      <c r="R498" s="29">
        <f>185/2</f>
        <v>92.5</v>
      </c>
      <c r="S498" s="28">
        <f>IFERROR(PROPERTIES[[#This Row],[TE_STARTING_KN]]/(PROPERTIES[[#This Row],[WEIGHT]]*9.81),0)</f>
        <v>0.15715256540944614</v>
      </c>
      <c r="T498" s="28">
        <v>0.21</v>
      </c>
      <c r="U498" s="25">
        <f>ROUND(IF(IFERROR(PROPERTIES[[#This Row],[TE_COEFFICIENT_CALC]],0)=0,PROPERTIES[[#This Row],[TE_COEFFICIENT_MANUAL]],PROPERTIES[[#This Row],[TE_COEFFICIENT_CALC]]),3)</f>
        <v>0.157</v>
      </c>
      <c r="V498" s="11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36">
        <v>39</v>
      </c>
      <c r="X498" s="9">
        <v>8</v>
      </c>
      <c r="Y498" s="10">
        <v>0</v>
      </c>
      <c r="Z498" t="s">
        <v>871</v>
      </c>
      <c r="AA498" t="s">
        <v>868</v>
      </c>
      <c r="AB498" s="2" t="s">
        <v>886</v>
      </c>
      <c r="AC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8" s="2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H498" s="10" t="b">
        <v>0</v>
      </c>
      <c r="AY498"/>
      <c r="AZ498"/>
      <c r="BA498"/>
    </row>
    <row r="499" spans="1:53">
      <c r="A499" s="2" t="s">
        <v>519</v>
      </c>
      <c r="B499">
        <v>2013</v>
      </c>
      <c r="C499" cm="1">
        <f t="array" ref="C499">_xlfn.IFS(ISNUMBER(SEARCH("wagon",PROPERTIES[[#This Row],[VEHIDCODE]])),0,OR(MID(PROPERTIES[[#This Row],[VEHIDCODE]],2,2)="mu",_xlfn.TEXTBEFORE(PROPERTIES[[#This Row],[VEHIDCODE]],"_")="mtro"),1,1=1,0)</f>
        <v>1</v>
      </c>
      <c r="D499" t="s">
        <v>1744</v>
      </c>
      <c r="E499" t="str">
        <f>_xlfn.XLOOKUP(PROPERTIES[[#This Row],[COUNTRY]],COUNTRIES[COUNTRY_DESCRIPTION],COUNTRIES[COUNTRY_LABEL],"")</f>
        <v>CA</v>
      </c>
      <c r="F499" t="str" cm="1">
        <f t="array" ref="F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9" t="s">
        <v>17</v>
      </c>
      <c r="H499">
        <v>80</v>
      </c>
      <c r="I499">
        <v>8</v>
      </c>
      <c r="J499">
        <v>8</v>
      </c>
      <c r="K499" t="str" cm="1">
        <f t="array" ref="K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f>IF(ISNUMBER(SEARCH("passenger",PROPERTIES[[#This Row],[CARGODEF]])),1,0)</f>
        <v>1</v>
      </c>
      <c r="O499" s="32">
        <v>67.5</v>
      </c>
      <c r="P499">
        <v>1520</v>
      </c>
      <c r="Q499">
        <v>128</v>
      </c>
      <c r="R499" s="29">
        <f>130/2</f>
        <v>65</v>
      </c>
      <c r="S499" s="28">
        <f>IFERROR(PROPERTIES[[#This Row],[TE_STARTING_KN]]/(PROPERTIES[[#This Row],[WEIGHT]]*9.81),0)</f>
        <v>9.816136217767206E-2</v>
      </c>
      <c r="T499" s="28">
        <v>0.28999999999999998</v>
      </c>
      <c r="U499" s="25">
        <f>ROUND(IF(IFERROR(PROPERTIES[[#This Row],[TE_COEFFICIENT_CALC]],0)=0,PROPERTIES[[#This Row],[TE_COEFFICIENT_MANUAL]],PROPERTIES[[#This Row],[TE_COEFFICIENT_CALC]]),3)</f>
        <v>9.8000000000000004E-2</v>
      </c>
      <c r="V499" s="11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36">
        <v>80</v>
      </c>
      <c r="X499" s="9">
        <v>8</v>
      </c>
      <c r="Y499" s="10">
        <v>0</v>
      </c>
      <c r="Z499" t="s">
        <v>874</v>
      </c>
      <c r="AA499" t="s">
        <v>868</v>
      </c>
      <c r="AB499" s="2" t="s">
        <v>886</v>
      </c>
      <c r="AC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9" s="2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H499" s="10" t="b">
        <v>0</v>
      </c>
      <c r="AY499"/>
      <c r="AZ499"/>
      <c r="BA499"/>
    </row>
    <row r="500" spans="1:53">
      <c r="A500" s="2" t="s">
        <v>520</v>
      </c>
      <c r="B500">
        <v>2015</v>
      </c>
      <c r="C500" cm="1">
        <f t="array" ref="C500">_xlfn.IFS(ISNUMBER(SEARCH("wagon",PROPERTIES[[#This Row],[VEHIDCODE]])),0,OR(MID(PROPERTIES[[#This Row],[VEHIDCODE]],2,2)="mu",_xlfn.TEXTBEFORE(PROPERTIES[[#This Row],[VEHIDCODE]],"_")="mtro"),1,1=1,0)</f>
        <v>1</v>
      </c>
      <c r="D500" t="s">
        <v>1716</v>
      </c>
      <c r="E500" t="str">
        <f>_xlfn.XLOOKUP(PROPERTIES[[#This Row],[COUNTRY]],COUNTRIES[COUNTRY_DESCRIPTION],COUNTRIES[COUNTRY_LABEL],"")</f>
        <v>AR</v>
      </c>
      <c r="F500" t="str" cm="1">
        <f t="array" ref="F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0" t="s">
        <v>17</v>
      </c>
      <c r="H500">
        <v>70</v>
      </c>
      <c r="I500">
        <v>8</v>
      </c>
      <c r="J500">
        <v>8</v>
      </c>
      <c r="K500" t="str" cm="1">
        <f t="array" ref="K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f>IF(ISNUMBER(SEARCH("passenger",PROPERTIES[[#This Row],[CARGODEF]])),1,0)</f>
        <v>1</v>
      </c>
      <c r="O500" s="32">
        <v>48</v>
      </c>
      <c r="P500">
        <v>800</v>
      </c>
      <c r="Q500">
        <v>120</v>
      </c>
      <c r="R500" s="29">
        <f>85/2</f>
        <v>42.5</v>
      </c>
      <c r="S500" s="28">
        <f>IFERROR(PROPERTIES[[#This Row],[TE_STARTING_KN]]/(PROPERTIES[[#This Row],[WEIGHT]]*9.81),0)</f>
        <v>9.0256540944614341E-2</v>
      </c>
      <c r="T500" s="28">
        <v>0.39</v>
      </c>
      <c r="U500" s="25">
        <f>ROUND(IF(IFERROR(PROPERTIES[[#This Row],[TE_COEFFICIENT_CALC]],0)=0,PROPERTIES[[#This Row],[TE_COEFFICIENT_MANUAL]],PROPERTIES[[#This Row],[TE_COEFFICIENT_CALC]]),3)</f>
        <v>0.09</v>
      </c>
      <c r="V500" s="11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36">
        <v>70</v>
      </c>
      <c r="X500" s="9">
        <v>8</v>
      </c>
      <c r="Y500" s="10">
        <v>0</v>
      </c>
      <c r="Z500" t="s">
        <v>876</v>
      </c>
      <c r="AA500" t="s">
        <v>868</v>
      </c>
      <c r="AB500" s="2" t="s">
        <v>886</v>
      </c>
      <c r="AC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0" s="2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H500" s="10" t="b">
        <v>0</v>
      </c>
      <c r="AY500"/>
      <c r="AZ500"/>
      <c r="BA500"/>
    </row>
    <row r="501" spans="1:53">
      <c r="A501" s="2" t="s">
        <v>521</v>
      </c>
      <c r="B501">
        <v>1955</v>
      </c>
      <c r="C501" cm="1">
        <f t="array" ref="C501">_xlfn.IFS(ISNUMBER(SEARCH("wagon",PROPERTIES[[#This Row],[VEHIDCODE]])),0,OR(MID(PROPERTIES[[#This Row],[VEHIDCODE]],2,2)="mu",_xlfn.TEXTBEFORE(PROPERTIES[[#This Row],[VEHIDCODE]],"_")="mtro"),1,1=1,0)</f>
        <v>1</v>
      </c>
      <c r="D501" t="s">
        <v>1815</v>
      </c>
      <c r="E501" t="str">
        <f>_xlfn.XLOOKUP(PROPERTIES[[#This Row],[COUNTRY]],COUNTRIES[COUNTRY_DESCRIPTION],COUNTRIES[COUNTRY_LABEL],"")</f>
        <v>IT</v>
      </c>
      <c r="F501" t="str" cm="1">
        <f t="array" ref="F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1" t="s">
        <v>17</v>
      </c>
      <c r="H501">
        <v>60</v>
      </c>
      <c r="I501">
        <v>8</v>
      </c>
      <c r="J501">
        <v>8</v>
      </c>
      <c r="K501" t="str" cm="1">
        <f t="array" ref="K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f>IF(ISNUMBER(SEARCH("passenger",PROPERTIES[[#This Row],[CARGODEF]])),1,0)</f>
        <v>1</v>
      </c>
      <c r="O501" s="32">
        <v>52</v>
      </c>
      <c r="P501">
        <v>1250</v>
      </c>
      <c r="Q501">
        <v>140</v>
      </c>
      <c r="R501" s="29">
        <f>98/2</f>
        <v>49</v>
      </c>
      <c r="S501" s="28">
        <f>IFERROR(PROPERTIES[[#This Row],[TE_STARTING_KN]]/(PROPERTIES[[#This Row],[WEIGHT]]*9.81),0)</f>
        <v>9.6055830000784131E-2</v>
      </c>
      <c r="T501" s="28">
        <v>0.13</v>
      </c>
      <c r="U501" s="25">
        <f>ROUND(IF(IFERROR(PROPERTIES[[#This Row],[TE_COEFFICIENT_CALC]],0)=0,PROPERTIES[[#This Row],[TE_COEFFICIENT_MANUAL]],PROPERTIES[[#This Row],[TE_COEFFICIENT_CALC]]),3)</f>
        <v>9.6000000000000002E-2</v>
      </c>
      <c r="V501" s="11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36">
        <v>60</v>
      </c>
      <c r="X501" s="9">
        <v>8</v>
      </c>
      <c r="Y501" s="10">
        <v>0</v>
      </c>
      <c r="Z501" t="s">
        <v>870</v>
      </c>
      <c r="AA501" t="s">
        <v>868</v>
      </c>
      <c r="AB501" s="2" t="s">
        <v>886</v>
      </c>
      <c r="AC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1" s="2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H501" s="10" t="b">
        <v>0</v>
      </c>
      <c r="AY501"/>
      <c r="AZ501"/>
      <c r="BA501"/>
    </row>
    <row r="502" spans="1:53">
      <c r="A502" s="2" t="s">
        <v>522</v>
      </c>
      <c r="B502">
        <v>1965</v>
      </c>
      <c r="C502" cm="1">
        <f t="array" ref="C502">_xlfn.IFS(ISNUMBER(SEARCH("wagon",PROPERTIES[[#This Row],[VEHIDCODE]])),0,OR(MID(PROPERTIES[[#This Row],[VEHIDCODE]],2,2)="mu",_xlfn.TEXTBEFORE(PROPERTIES[[#This Row],[VEHIDCODE]],"_")="mtro"),1,1=1,0)</f>
        <v>1</v>
      </c>
      <c r="D502" t="s">
        <v>1889</v>
      </c>
      <c r="E502" t="str">
        <f>_xlfn.XLOOKUP(PROPERTIES[[#This Row],[COUNTRY]],COUNTRIES[COUNTRY_DESCRIPTION],COUNTRIES[COUNTRY_LABEL],"")</f>
        <v>PT</v>
      </c>
      <c r="F502" t="str" cm="1">
        <f t="array" ref="F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2" t="s">
        <v>17</v>
      </c>
      <c r="H502">
        <f>INT(185/2)</f>
        <v>92</v>
      </c>
      <c r="I502">
        <v>8</v>
      </c>
      <c r="J502">
        <v>8</v>
      </c>
      <c r="K502" t="str" cm="1">
        <f t="array" ref="K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f>IF(ISNUMBER(SEARCH("passenger",PROPERTIES[[#This Row],[CARGODEF]])),1,0)</f>
        <v>1</v>
      </c>
      <c r="O502" s="32">
        <v>49</v>
      </c>
      <c r="P502">
        <f>520*2</f>
        <v>1040</v>
      </c>
      <c r="Q502">
        <v>110</v>
      </c>
      <c r="R502" s="29">
        <f>66/2</f>
        <v>33</v>
      </c>
      <c r="S502" s="28">
        <f>IFERROR(PROPERTIES[[#This Row],[TE_STARTING_KN]]/(PROPERTIES[[#This Row],[WEIGHT]]*9.81),0)</f>
        <v>6.865131373650378E-2</v>
      </c>
      <c r="T502" s="28">
        <v>0.13</v>
      </c>
      <c r="U502" s="25">
        <f>ROUND(IF(IFERROR(PROPERTIES[[#This Row],[TE_COEFFICIENT_CALC]],0)=0,PROPERTIES[[#This Row],[TE_COEFFICIENT_MANUAL]],PROPERTIES[[#This Row],[TE_COEFFICIENT_CALC]]),3)</f>
        <v>6.9000000000000006E-2</v>
      </c>
      <c r="V502" s="11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 s="46">
        <f>INT(185/2)</f>
        <v>92</v>
      </c>
      <c r="X502" s="9">
        <v>8</v>
      </c>
      <c r="Y502" s="10">
        <v>0</v>
      </c>
      <c r="Z502" t="s">
        <v>870</v>
      </c>
      <c r="AA502" t="s">
        <v>868</v>
      </c>
      <c r="AB502" s="2" t="s">
        <v>886</v>
      </c>
      <c r="AC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2" s="2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H502" s="10" t="b">
        <v>0</v>
      </c>
      <c r="AY502"/>
      <c r="AZ502"/>
      <c r="BA502"/>
    </row>
    <row r="503" spans="1:53">
      <c r="A503" s="2" t="s">
        <v>523</v>
      </c>
      <c r="B503">
        <v>1979</v>
      </c>
      <c r="C503" cm="1">
        <f t="array" ref="C503">_xlfn.IFS(ISNUMBER(SEARCH("wagon",PROPERTIES[[#This Row],[VEHIDCODE]])),0,OR(MID(PROPERTIES[[#This Row],[VEHIDCODE]],2,2)="mu",_xlfn.TEXTBEFORE(PROPERTIES[[#This Row],[VEHIDCODE]],"_")="mtro"),1,1=1,0)</f>
        <v>1</v>
      </c>
      <c r="D503" t="s">
        <v>1889</v>
      </c>
      <c r="E503" t="str">
        <f>_xlfn.XLOOKUP(PROPERTIES[[#This Row],[COUNTRY]],COUNTRIES[COUNTRY_DESCRIPTION],COUNTRIES[COUNTRY_LABEL],"")</f>
        <v>PT</v>
      </c>
      <c r="F503" t="str" cm="1">
        <f t="array" ref="F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3" t="s">
        <v>17</v>
      </c>
      <c r="H503">
        <f>INT(194/2)</f>
        <v>97</v>
      </c>
      <c r="I503">
        <v>8</v>
      </c>
      <c r="J503">
        <v>8</v>
      </c>
      <c r="K503" t="str" cm="1">
        <f t="array" ref="K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f>IF(ISNUMBER(SEARCH("passenger",PROPERTIES[[#This Row],[CARGODEF]])),1,0)</f>
        <v>1</v>
      </c>
      <c r="O503" s="32">
        <v>53</v>
      </c>
      <c r="P503">
        <f>776*2</f>
        <v>1552</v>
      </c>
      <c r="Q503">
        <v>120</v>
      </c>
      <c r="R503" s="29">
        <f>114/2</f>
        <v>57</v>
      </c>
      <c r="S503" s="28">
        <f>IFERROR(PROPERTIES[[#This Row],[TE_STARTING_KN]]/(PROPERTIES[[#This Row],[WEIGHT]]*9.81),0)</f>
        <v>0.10963014251918526</v>
      </c>
      <c r="T503" s="28">
        <v>0.21</v>
      </c>
      <c r="U503" s="25">
        <f>ROUND(IF(IFERROR(PROPERTIES[[#This Row],[TE_COEFFICIENT_CALC]],0)=0,PROPERTIES[[#This Row],[TE_COEFFICIENT_MANUAL]],PROPERTIES[[#This Row],[TE_COEFFICIENT_CALC]]),3)</f>
        <v>0.11</v>
      </c>
      <c r="V503" s="11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36">
        <f>INT(194/2)</f>
        <v>97</v>
      </c>
      <c r="X503" s="9">
        <v>8</v>
      </c>
      <c r="Y503" s="10">
        <v>0</v>
      </c>
      <c r="Z503" t="s">
        <v>870</v>
      </c>
      <c r="AA503" t="s">
        <v>868</v>
      </c>
      <c r="AB503" s="2" t="s">
        <v>886</v>
      </c>
      <c r="AC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3" s="2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H503" s="10" t="b">
        <v>0</v>
      </c>
      <c r="AY503"/>
      <c r="AZ503"/>
      <c r="BA503"/>
    </row>
    <row r="504" spans="1:53">
      <c r="A504" s="2" t="s">
        <v>524</v>
      </c>
      <c r="B504">
        <v>1983</v>
      </c>
      <c r="C504" cm="1">
        <f t="array" ref="C504">_xlfn.IFS(ISNUMBER(SEARCH("wagon",PROPERTIES[[#This Row],[VEHIDCODE]])),0,OR(MID(PROPERTIES[[#This Row],[VEHIDCODE]],2,2)="mu",_xlfn.TEXTBEFORE(PROPERTIES[[#This Row],[VEHIDCODE]],"_")="mtro"),1,1=1,0)</f>
        <v>1</v>
      </c>
      <c r="D504" t="s">
        <v>1774</v>
      </c>
      <c r="E504" t="str">
        <f>_xlfn.XLOOKUP(PROPERTIES[[#This Row],[COUNTRY]],COUNTRIES[COUNTRY_DESCRIPTION],COUNTRIES[COUNTRY_LABEL],"")</f>
        <v>ES</v>
      </c>
      <c r="F504" t="str" cm="1">
        <f t="array" ref="F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4" t="s">
        <v>17</v>
      </c>
      <c r="H504">
        <f>INT(350/3)</f>
        <v>116</v>
      </c>
      <c r="I504">
        <v>7</v>
      </c>
      <c r="J504">
        <v>7</v>
      </c>
      <c r="K504" t="str" cm="1">
        <f t="array" ref="K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f>IF(ISNUMBER(SEARCH("passenger",PROPERTIES[[#This Row],[CARGODEF]])),1,0)</f>
        <v>1</v>
      </c>
      <c r="O504" s="32">
        <v>44</v>
      </c>
      <c r="P504">
        <v>720</v>
      </c>
      <c r="Q504">
        <v>100</v>
      </c>
      <c r="R504" s="29">
        <v>0</v>
      </c>
      <c r="S504" s="28">
        <f>IFERROR(PROPERTIES[[#This Row],[TE_STARTING_KN]]/(PROPERTIES[[#This Row],[WEIGHT]]*9.81),0)</f>
        <v>0</v>
      </c>
      <c r="T504" s="28">
        <v>0.2</v>
      </c>
      <c r="U504" s="25">
        <f>ROUND(IF(IFERROR(PROPERTIES[[#This Row],[TE_COEFFICIENT_CALC]],0)=0,PROPERTIES[[#This Row],[TE_COEFFICIENT_MANUAL]],PROPERTIES[[#This Row],[TE_COEFFICIENT_CALC]]),3)</f>
        <v>0.2</v>
      </c>
      <c r="V504" s="11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36">
        <f>INT(350/3)</f>
        <v>116</v>
      </c>
      <c r="X504" s="9">
        <v>7</v>
      </c>
      <c r="Y504" s="10">
        <v>0</v>
      </c>
      <c r="Z504" t="s">
        <v>870</v>
      </c>
      <c r="AA504" t="s">
        <v>868</v>
      </c>
      <c r="AB504" s="2" t="s">
        <v>886</v>
      </c>
      <c r="AC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4" s="2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H504" s="10" t="b">
        <v>0</v>
      </c>
      <c r="AY504"/>
      <c r="AZ504"/>
      <c r="BA504"/>
    </row>
    <row r="505" spans="1:53">
      <c r="A505" s="2" t="s">
        <v>525</v>
      </c>
      <c r="B505">
        <v>1996</v>
      </c>
      <c r="C505" cm="1">
        <f t="array" ref="C505">_xlfn.IFS(ISNUMBER(SEARCH("wagon",PROPERTIES[[#This Row],[VEHIDCODE]])),0,OR(MID(PROPERTIES[[#This Row],[VEHIDCODE]],2,2)="mu",_xlfn.TEXTBEFORE(PROPERTIES[[#This Row],[VEHIDCODE]],"_")="mtro"),1,1=1,0)</f>
        <v>0</v>
      </c>
      <c r="D505" t="s">
        <v>1763</v>
      </c>
      <c r="E505" t="str">
        <f>_xlfn.XLOOKUP(PROPERTIES[[#This Row],[COUNTRY]],COUNTRIES[COUNTRY_DESCRIPTION],COUNTRIES[COUNTRY_LABEL],"")</f>
        <v>DE</v>
      </c>
      <c r="F505" t="str" cm="1">
        <f t="array" ref="F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5" t="s">
        <v>526</v>
      </c>
      <c r="H505">
        <v>40</v>
      </c>
      <c r="I505">
        <v>8</v>
      </c>
      <c r="J505">
        <v>8</v>
      </c>
      <c r="K505" t="str" cm="1">
        <f t="array" ref="K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f>IF(ISNUMBER(SEARCH("passenger",PROPERTIES[[#This Row],[CARGODEF]])),1,0)</f>
        <v>0</v>
      </c>
      <c r="O505" s="32">
        <f>111/2</f>
        <v>55.5</v>
      </c>
      <c r="P505">
        <f>355*2</f>
        <v>710</v>
      </c>
      <c r="Q505">
        <v>120</v>
      </c>
      <c r="R505" s="29">
        <v>0</v>
      </c>
      <c r="S505" s="28">
        <f>IFERROR(PROPERTIES[[#This Row],[TE_STARTING_KN]]/(PROPERTIES[[#This Row],[WEIGHT]]*9.81),0)</f>
        <v>0</v>
      </c>
      <c r="T505" s="28">
        <v>0.17</v>
      </c>
      <c r="U505" s="25">
        <f>ROUND(IF(IFERROR(PROPERTIES[[#This Row],[TE_COEFFICIENT_CALC]],0)=0,PROPERTIES[[#This Row],[TE_COEFFICIENT_MANUAL]],PROPERTIES[[#This Row],[TE_COEFFICIENT_CALC]]),3)</f>
        <v>0.17</v>
      </c>
      <c r="V505" s="11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36">
        <v>40</v>
      </c>
      <c r="X505" s="9">
        <v>7</v>
      </c>
      <c r="Y505" s="10">
        <v>0</v>
      </c>
      <c r="Z505" t="s">
        <v>869</v>
      </c>
      <c r="AA505" t="s">
        <v>868</v>
      </c>
      <c r="AB505" s="2" t="s">
        <v>886</v>
      </c>
      <c r="AC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5" s="2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H505" s="10" t="b">
        <v>0</v>
      </c>
      <c r="AY505"/>
      <c r="AZ505"/>
      <c r="BA505"/>
    </row>
    <row r="506" spans="1:53">
      <c r="A506" s="2" t="s">
        <v>527</v>
      </c>
      <c r="B506">
        <v>2011</v>
      </c>
      <c r="C506" cm="1">
        <f t="array" ref="C506">_xlfn.IFS(ISNUMBER(SEARCH("wagon",PROPERTIES[[#This Row],[VEHIDCODE]])),0,OR(MID(PROPERTIES[[#This Row],[VEHIDCODE]],2,2)="mu",_xlfn.TEXTBEFORE(PROPERTIES[[#This Row],[VEHIDCODE]],"_")="mtro"),1,1=1,0)</f>
        <v>1</v>
      </c>
      <c r="D506" t="s">
        <v>1719</v>
      </c>
      <c r="E506" t="str">
        <f>_xlfn.XLOOKUP(PROPERTIES[[#This Row],[COUNTRY]],COUNTRIES[COUNTRY_DESCRIPTION],COUNTRIES[COUNTRY_LABEL],"")</f>
        <v>AU</v>
      </c>
      <c r="F506" t="str" cm="1">
        <f t="array" ref="F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6" t="s">
        <v>17</v>
      </c>
      <c r="H506">
        <v>110</v>
      </c>
      <c r="I506">
        <v>8</v>
      </c>
      <c r="J506">
        <v>8</v>
      </c>
      <c r="K506" t="str" cm="1">
        <f t="array" ref="K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f>IF(ISNUMBER(SEARCH("passenger",PROPERTIES[[#This Row],[CARGODEF]])),1,0)</f>
        <v>1</v>
      </c>
      <c r="O506" s="32">
        <v>51</v>
      </c>
      <c r="P506">
        <f>INT(16*245)</f>
        <v>3920</v>
      </c>
      <c r="Q506">
        <v>130</v>
      </c>
      <c r="R506" s="29">
        <f>110/2</f>
        <v>55</v>
      </c>
      <c r="S506" s="28">
        <f>IFERROR(PROPERTIES[[#This Row],[TE_STARTING_KN]]/(PROPERTIES[[#This Row],[WEIGHT]]*9.81),0)</f>
        <v>0.10993184225780016</v>
      </c>
      <c r="T506" s="28">
        <v>0.25</v>
      </c>
      <c r="U506" s="25">
        <f>ROUND(IF(IFERROR(PROPERTIES[[#This Row],[TE_COEFFICIENT_CALC]],0)=0,PROPERTIES[[#This Row],[TE_COEFFICIENT_MANUAL]],PROPERTIES[[#This Row],[TE_COEFFICIENT_CALC]]),3)</f>
        <v>0.11</v>
      </c>
      <c r="V506" s="11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36">
        <v>110</v>
      </c>
      <c r="X506" s="9">
        <v>8</v>
      </c>
      <c r="Y506" s="10">
        <v>0</v>
      </c>
      <c r="Z506" t="s">
        <v>871</v>
      </c>
      <c r="AA506" t="s">
        <v>868</v>
      </c>
      <c r="AB506" s="2" t="s">
        <v>886</v>
      </c>
      <c r="AC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6" s="2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H506" s="10" t="b">
        <v>0</v>
      </c>
      <c r="AY506"/>
      <c r="AZ506"/>
      <c r="BA506"/>
    </row>
    <row r="507" spans="1:53">
      <c r="A507" s="2" t="s">
        <v>528</v>
      </c>
      <c r="B507">
        <v>1966</v>
      </c>
      <c r="C507" cm="1">
        <f t="array" ref="C507">_xlfn.IFS(ISNUMBER(SEARCH("wagon",PROPERTIES[[#This Row],[VEHIDCODE]])),0,OR(MID(PROPERTIES[[#This Row],[VEHIDCODE]],2,2)="mu",_xlfn.TEXTBEFORE(PROPERTIES[[#This Row],[VEHIDCODE]],"_")="mtro"),1,1=1,0)</f>
        <v>1</v>
      </c>
      <c r="D507" t="s">
        <v>1765</v>
      </c>
      <c r="E507" t="str">
        <f>_xlfn.XLOOKUP(PROPERTIES[[#This Row],[COUNTRY]],COUNTRIES[COUNTRY_DESCRIPTION],COUNTRIES[COUNTRY_LABEL],"")</f>
        <v>DK</v>
      </c>
      <c r="F507" t="str" cm="1">
        <f t="array" ref="F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7" t="s">
        <v>17</v>
      </c>
      <c r="H507">
        <v>56</v>
      </c>
      <c r="I507">
        <v>8</v>
      </c>
      <c r="J507">
        <v>8</v>
      </c>
      <c r="K507" t="str" cm="1">
        <f t="array" ref="K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f>IF(ISNUMBER(SEARCH("passenger",PROPERTIES[[#This Row],[CARGODEF]])),1,0)</f>
        <v>1</v>
      </c>
      <c r="O507" s="32">
        <v>43</v>
      </c>
      <c r="P507">
        <v>400</v>
      </c>
      <c r="Q507">
        <v>100</v>
      </c>
      <c r="R507" s="29">
        <f>60/2</f>
        <v>30</v>
      </c>
      <c r="S507" s="28">
        <f>IFERROR(PROPERTIES[[#This Row],[TE_STARTING_KN]]/(PROPERTIES[[#This Row],[WEIGHT]]*9.81),0)</f>
        <v>7.1118697105469017E-2</v>
      </c>
      <c r="T507" s="28">
        <v>0.14000000000000001</v>
      </c>
      <c r="U507" s="25">
        <f>ROUND(IF(IFERROR(PROPERTIES[[#This Row],[TE_COEFFICIENT_CALC]],0)=0,PROPERTIES[[#This Row],[TE_COEFFICIENT_MANUAL]],PROPERTIES[[#This Row],[TE_COEFFICIENT_CALC]]),3)</f>
        <v>7.0999999999999994E-2</v>
      </c>
      <c r="V507" s="11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36">
        <v>56</v>
      </c>
      <c r="X507" s="9">
        <v>8</v>
      </c>
      <c r="Y507" s="10">
        <v>0</v>
      </c>
      <c r="Z507" t="s">
        <v>873</v>
      </c>
      <c r="AA507" t="s">
        <v>868</v>
      </c>
      <c r="AB507" s="2" t="s">
        <v>886</v>
      </c>
      <c r="AC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7" s="2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H507" s="10" t="b">
        <v>0</v>
      </c>
      <c r="AY507"/>
      <c r="AZ507"/>
      <c r="BA507"/>
    </row>
    <row r="508" spans="1:53">
      <c r="A508" s="2" t="s">
        <v>529</v>
      </c>
      <c r="B508">
        <v>1996</v>
      </c>
      <c r="C508" cm="1">
        <f t="array" ref="C508">_xlfn.IFS(ISNUMBER(SEARCH("wagon",PROPERTIES[[#This Row],[VEHIDCODE]])),0,OR(MID(PROPERTIES[[#This Row],[VEHIDCODE]],2,2)="mu",_xlfn.TEXTBEFORE(PROPERTIES[[#This Row],[VEHIDCODE]],"_")="mtro"),1,1=1,0)</f>
        <v>1</v>
      </c>
      <c r="D508" t="s">
        <v>1765</v>
      </c>
      <c r="E508" t="str">
        <f>_xlfn.XLOOKUP(PROPERTIES[[#This Row],[COUNTRY]],COUNTRIES[COUNTRY_DESCRIPTION],COUNTRIES[COUNTRY_LABEL],"")</f>
        <v>DK</v>
      </c>
      <c r="F508" t="str" cm="1">
        <f t="array" ref="F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8" t="s">
        <v>17</v>
      </c>
      <c r="H508">
        <v>90</v>
      </c>
      <c r="I508">
        <v>5</v>
      </c>
      <c r="J508">
        <v>5</v>
      </c>
      <c r="K508" t="str" cm="1">
        <f t="array" ref="K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f>IF(ISNUMBER(SEARCH("passenger",PROPERTIES[[#This Row],[CARGODEF]])),1,0)</f>
        <v>1</v>
      </c>
      <c r="O508" s="32">
        <f>63/2</f>
        <v>31.5</v>
      </c>
      <c r="P508">
        <v>1150</v>
      </c>
      <c r="Q508">
        <v>120</v>
      </c>
      <c r="R508" s="29">
        <f>75/2</f>
        <v>37.5</v>
      </c>
      <c r="S508" s="28">
        <f>IFERROR(PROPERTIES[[#This Row],[TE_STARTING_KN]]/(PROPERTIES[[#This Row],[WEIGHT]]*9.81),0)</f>
        <v>0.12135333236250666</v>
      </c>
      <c r="T508" s="28">
        <v>0.47</v>
      </c>
      <c r="U508" s="25">
        <f>ROUND(IF(IFERROR(PROPERTIES[[#This Row],[TE_COEFFICIENT_CALC]],0)=0,PROPERTIES[[#This Row],[TE_COEFFICIENT_MANUAL]],PROPERTIES[[#This Row],[TE_COEFFICIENT_CALC]]),3)</f>
        <v>0.121</v>
      </c>
      <c r="V508" s="11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36">
        <v>90</v>
      </c>
      <c r="X508" s="9">
        <v>5</v>
      </c>
      <c r="Y508" s="10">
        <v>0</v>
      </c>
      <c r="Z508" t="s">
        <v>873</v>
      </c>
      <c r="AA508" t="s">
        <v>868</v>
      </c>
      <c r="AB508" s="2" t="s">
        <v>886</v>
      </c>
      <c r="AC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8" s="2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H508" s="10" t="b">
        <v>0</v>
      </c>
      <c r="AY508"/>
      <c r="AZ508"/>
      <c r="BA508"/>
    </row>
    <row r="509" spans="1:53">
      <c r="A509" s="2" t="s">
        <v>530</v>
      </c>
      <c r="B509">
        <v>1932</v>
      </c>
      <c r="C509" cm="1">
        <f t="array" ref="C509">_xlfn.IFS(ISNUMBER(SEARCH("wagon",PROPERTIES[[#This Row],[VEHIDCODE]])),0,OR(MID(PROPERTIES[[#This Row],[VEHIDCODE]],2,2)="mu",_xlfn.TEXTBEFORE(PROPERTIES[[#This Row],[VEHIDCODE]],"_")="mtro"),1,1=1,0)</f>
        <v>1</v>
      </c>
      <c r="D509" t="s">
        <v>1815</v>
      </c>
      <c r="E509" t="str">
        <f>_xlfn.XLOOKUP(PROPERTIES[[#This Row],[COUNTRY]],COUNTRIES[COUNTRY_DESCRIPTION],COUNTRIES[COUNTRY_LABEL],"")</f>
        <v>IT</v>
      </c>
      <c r="F509" t="str" cm="1">
        <f t="array" ref="F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9" t="s">
        <v>17</v>
      </c>
      <c r="H509">
        <v>34</v>
      </c>
      <c r="I509">
        <v>8</v>
      </c>
      <c r="J509">
        <v>8</v>
      </c>
      <c r="K509" t="str" cm="1">
        <f t="array" ref="K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f>IF(ISNUMBER(SEARCH("passenger",PROPERTIES[[#This Row],[CARGODEF]])),1,0)</f>
        <v>1</v>
      </c>
      <c r="O509" s="32">
        <f>74/2</f>
        <v>37</v>
      </c>
      <c r="P509">
        <v>650</v>
      </c>
      <c r="Q509">
        <v>72</v>
      </c>
      <c r="R509" s="29">
        <f>60/2</f>
        <v>30</v>
      </c>
      <c r="S509" s="28">
        <f>IFERROR(PROPERTIES[[#This Row],[TE_STARTING_KN]]/(PROPERTIES[[#This Row],[WEIGHT]]*9.81),0)</f>
        <v>8.2651458798247784E-2</v>
      </c>
      <c r="T509" s="28">
        <v>0.34</v>
      </c>
      <c r="U509" s="25">
        <f>ROUND(IF(IFERROR(PROPERTIES[[#This Row],[TE_COEFFICIENT_CALC]],0)=0,PROPERTIES[[#This Row],[TE_COEFFICIENT_MANUAL]],PROPERTIES[[#This Row],[TE_COEFFICIENT_CALC]]),3)</f>
        <v>8.3000000000000004E-2</v>
      </c>
      <c r="V509" s="11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36">
        <v>50</v>
      </c>
      <c r="X509" s="9">
        <v>8</v>
      </c>
      <c r="Y509" s="10">
        <v>0</v>
      </c>
      <c r="Z509" t="s">
        <v>870</v>
      </c>
      <c r="AA509" t="s">
        <v>868</v>
      </c>
      <c r="AB509" s="2" t="s">
        <v>886</v>
      </c>
      <c r="AC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9" s="2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H509" s="10" t="b">
        <v>0</v>
      </c>
      <c r="AY509"/>
      <c r="AZ509"/>
      <c r="BA509"/>
    </row>
    <row r="510" spans="1:53">
      <c r="A510" s="2" t="s">
        <v>531</v>
      </c>
      <c r="B510">
        <v>1924</v>
      </c>
      <c r="C510" cm="1">
        <f t="array" ref="C510">_xlfn.IFS(ISNUMBER(SEARCH("wagon",PROPERTIES[[#This Row],[VEHIDCODE]])),0,OR(MID(PROPERTIES[[#This Row],[VEHIDCODE]],2,2)="mu",_xlfn.TEXTBEFORE(PROPERTIES[[#This Row],[VEHIDCODE]],"_")="mtro"),1,1=1,0)</f>
        <v>1</v>
      </c>
      <c r="D510" t="s">
        <v>1871</v>
      </c>
      <c r="E510" t="str">
        <f>_xlfn.XLOOKUP(PROPERTIES[[#This Row],[COUNTRY]],COUNTRIES[COUNTRY_DESCRIPTION],COUNTRIES[COUNTRY_LABEL],"")</f>
        <v>NL</v>
      </c>
      <c r="F510" t="str" cm="1">
        <f t="array" ref="F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0" t="s">
        <v>17</v>
      </c>
      <c r="H510">
        <v>44</v>
      </c>
      <c r="I510">
        <v>8</v>
      </c>
      <c r="J510">
        <v>8</v>
      </c>
      <c r="K510" t="str" cm="1">
        <f t="array" ref="K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f>IF(ISNUMBER(SEARCH("passenger",PROPERTIES[[#This Row],[CARGODEF]])),1,0)</f>
        <v>1</v>
      </c>
      <c r="O510" s="32">
        <v>55</v>
      </c>
      <c r="P510">
        <v>888</v>
      </c>
      <c r="Q510">
        <v>100</v>
      </c>
      <c r="R510" s="29">
        <f>120/2</f>
        <v>60</v>
      </c>
      <c r="S510" s="28">
        <f>IFERROR(PROPERTIES[[#This Row],[TE_STARTING_KN]]/(PROPERTIES[[#This Row],[WEIGHT]]*9.81),0)</f>
        <v>0.11120378092855156</v>
      </c>
      <c r="T510" s="28">
        <v>0.41</v>
      </c>
      <c r="U510" s="25">
        <f>ROUND(IF(IFERROR(PROPERTIES[[#This Row],[TE_COEFFICIENT_CALC]],0)=0,PROPERTIES[[#This Row],[TE_COEFFICIENT_MANUAL]],PROPERTIES[[#This Row],[TE_COEFFICIENT_CALC]]),3)</f>
        <v>0.111</v>
      </c>
      <c r="V510" s="11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36">
        <v>88</v>
      </c>
      <c r="X510" s="9">
        <v>8</v>
      </c>
      <c r="Y510" s="10">
        <v>0</v>
      </c>
      <c r="Z510" t="s">
        <v>869</v>
      </c>
      <c r="AA510" t="s">
        <v>868</v>
      </c>
      <c r="AB510" s="2" t="s">
        <v>886</v>
      </c>
      <c r="AC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0" s="2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H510" s="10" t="b">
        <v>0</v>
      </c>
      <c r="AY510"/>
      <c r="AZ510"/>
      <c r="BA510"/>
    </row>
    <row r="511" spans="1:53">
      <c r="A511" s="2" t="s">
        <v>532</v>
      </c>
      <c r="B511">
        <v>1936</v>
      </c>
      <c r="C511" cm="1">
        <f t="array" ref="C511">_xlfn.IFS(ISNUMBER(SEARCH("wagon",PROPERTIES[[#This Row],[VEHIDCODE]])),0,OR(MID(PROPERTIES[[#This Row],[VEHIDCODE]],2,2)="mu",_xlfn.TEXTBEFORE(PROPERTIES[[#This Row],[VEHIDCODE]],"_")="mtro"),1,1=1,0)</f>
        <v>1</v>
      </c>
      <c r="D511" t="s">
        <v>1871</v>
      </c>
      <c r="E511" t="str">
        <f>_xlfn.XLOOKUP(PROPERTIES[[#This Row],[COUNTRY]],COUNTRIES[COUNTRY_DESCRIPTION],COUNTRIES[COUNTRY_LABEL],"")</f>
        <v>NL</v>
      </c>
      <c r="F511" t="str" cm="1">
        <f t="array" ref="F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1" t="s">
        <v>17</v>
      </c>
      <c r="H511">
        <f>144/2</f>
        <v>72</v>
      </c>
      <c r="I511">
        <v>8</v>
      </c>
      <c r="J511">
        <v>8</v>
      </c>
      <c r="K511" t="str" cm="1">
        <f t="array" ref="K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f>IF(ISNUMBER(SEARCH("passenger",PROPERTIES[[#This Row],[CARGODEF]])),1,0)</f>
        <v>1</v>
      </c>
      <c r="O511" s="32">
        <f>85/2</f>
        <v>42.5</v>
      </c>
      <c r="P511">
        <v>1032</v>
      </c>
      <c r="Q511">
        <v>125</v>
      </c>
      <c r="R511" s="29">
        <f>85/2</f>
        <v>42.5</v>
      </c>
      <c r="S511" s="28">
        <f>IFERROR(PROPERTIES[[#This Row],[TE_STARTING_KN]]/(PROPERTIES[[#This Row],[WEIGHT]]*9.81),0)</f>
        <v>0.1019367991845056</v>
      </c>
      <c r="T511" s="28">
        <v>0.38</v>
      </c>
      <c r="U511" s="25">
        <f>ROUND(IF(IFERROR(PROPERTIES[[#This Row],[TE_COEFFICIENT_CALC]],0)=0,PROPERTIES[[#This Row],[TE_COEFFICIENT_MANUAL]],PROPERTIES[[#This Row],[TE_COEFFICIENT_CALC]]),3)</f>
        <v>0.10199999999999999</v>
      </c>
      <c r="V511" s="11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36">
        <v>72</v>
      </c>
      <c r="X511" s="9">
        <v>8</v>
      </c>
      <c r="Y511" s="10">
        <v>0</v>
      </c>
      <c r="Z511" t="s">
        <v>869</v>
      </c>
      <c r="AA511" t="s">
        <v>868</v>
      </c>
      <c r="AB511" s="2" t="s">
        <v>886</v>
      </c>
      <c r="AC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1" s="2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H511" s="10" t="b">
        <v>0</v>
      </c>
      <c r="AY511"/>
      <c r="AZ511"/>
      <c r="BA511"/>
    </row>
    <row r="512" spans="1:53">
      <c r="A512" s="2" t="s">
        <v>533</v>
      </c>
      <c r="B512">
        <v>1954</v>
      </c>
      <c r="C512" cm="1">
        <f t="array" ref="C512">_xlfn.IFS(ISNUMBER(SEARCH("wagon",PROPERTIES[[#This Row],[VEHIDCODE]])),0,OR(MID(PROPERTIES[[#This Row],[VEHIDCODE]],2,2)="mu",_xlfn.TEXTBEFORE(PROPERTIES[[#This Row],[VEHIDCODE]],"_")="mtro"),1,1=1,0)</f>
        <v>1</v>
      </c>
      <c r="D512" t="s">
        <v>1871</v>
      </c>
      <c r="E512" t="str">
        <f>_xlfn.XLOOKUP(PROPERTIES[[#This Row],[COUNTRY]],COUNTRIES[COUNTRY_DESCRIPTION],COUNTRIES[COUNTRY_LABEL],"")</f>
        <v>NL</v>
      </c>
      <c r="F512" t="str" cm="1">
        <f t="array" ref="F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2" t="s">
        <v>17</v>
      </c>
      <c r="H512">
        <f>INT(113/2)</f>
        <v>56</v>
      </c>
      <c r="I512">
        <v>8</v>
      </c>
      <c r="J512">
        <v>8</v>
      </c>
      <c r="K512" t="str" cm="1">
        <f t="array" ref="K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f>IF(ISNUMBER(SEARCH("passenger",PROPERTIES[[#This Row],[CARGODEF]])),1,0)</f>
        <v>1</v>
      </c>
      <c r="O512" s="32">
        <f>109/2</f>
        <v>54.5</v>
      </c>
      <c r="P512">
        <v>910</v>
      </c>
      <c r="Q512">
        <v>140</v>
      </c>
      <c r="R512" s="29">
        <f>110/2</f>
        <v>55</v>
      </c>
      <c r="S512" s="28">
        <f>IFERROR(PROPERTIES[[#This Row],[TE_STARTING_KN]]/(PROPERTIES[[#This Row],[WEIGHT]]*9.81),0)</f>
        <v>0.10287199917702401</v>
      </c>
      <c r="T512" s="28">
        <v>0.28000000000000003</v>
      </c>
      <c r="U512" s="25">
        <f>ROUND(IF(IFERROR(PROPERTIES[[#This Row],[TE_COEFFICIENT_CALC]],0)=0,PROPERTIES[[#This Row],[TE_COEFFICIENT_MANUAL]],PROPERTIES[[#This Row],[TE_COEFFICIENT_CALC]]),3)</f>
        <v>0.10299999999999999</v>
      </c>
      <c r="V512" s="11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36">
        <v>56</v>
      </c>
      <c r="X512" s="9">
        <v>8</v>
      </c>
      <c r="Y512" s="10">
        <v>0</v>
      </c>
      <c r="Z512" t="s">
        <v>869</v>
      </c>
      <c r="AA512" t="s">
        <v>868</v>
      </c>
      <c r="AB512" s="2" t="s">
        <v>886</v>
      </c>
      <c r="AC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2" s="2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H512" s="10" t="b">
        <v>0</v>
      </c>
      <c r="AY512"/>
      <c r="AZ512"/>
      <c r="BA512"/>
    </row>
    <row r="513" spans="1:53">
      <c r="A513" s="2" t="s">
        <v>534</v>
      </c>
      <c r="B513">
        <v>1975</v>
      </c>
      <c r="C513" cm="1">
        <f t="array" ref="C513">_xlfn.IFS(ISNUMBER(SEARCH("wagon",PROPERTIES[[#This Row],[VEHIDCODE]])),0,OR(MID(PROPERTIES[[#This Row],[VEHIDCODE]],2,2)="mu",_xlfn.TEXTBEFORE(PROPERTIES[[#This Row],[VEHIDCODE]],"_")="mtro"),1,1=1,0)</f>
        <v>1</v>
      </c>
      <c r="D513" t="s">
        <v>1871</v>
      </c>
      <c r="E513" t="str">
        <f>_xlfn.XLOOKUP(PROPERTIES[[#This Row],[COUNTRY]],COUNTRIES[COUNTRY_DESCRIPTION],COUNTRIES[COUNTRY_LABEL],"")</f>
        <v>NL</v>
      </c>
      <c r="F513" t="str" cm="1">
        <f t="array" ref="F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3" t="s">
        <v>17</v>
      </c>
      <c r="H513">
        <v>77</v>
      </c>
      <c r="I513">
        <v>8</v>
      </c>
      <c r="J513">
        <v>8</v>
      </c>
      <c r="K513" t="str" cm="1">
        <f t="array" ref="K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f>IF(ISNUMBER(SEARCH("passenger",PROPERTIES[[#This Row],[CARGODEF]])),1,0)</f>
        <v>1</v>
      </c>
      <c r="O513" s="32">
        <v>53</v>
      </c>
      <c r="P513">
        <v>1720</v>
      </c>
      <c r="Q513">
        <v>125</v>
      </c>
      <c r="R513" s="29">
        <f>160/2</f>
        <v>80</v>
      </c>
      <c r="S513" s="28">
        <f>IFERROR(PROPERTIES[[#This Row],[TE_STARTING_KN]]/(PROPERTIES[[#This Row],[WEIGHT]]*9.81),0)</f>
        <v>0.15386686669359334</v>
      </c>
      <c r="T513" s="28">
        <v>0.19</v>
      </c>
      <c r="U513" s="25">
        <f>ROUND(IF(IFERROR(PROPERTIES[[#This Row],[TE_COEFFICIENT_CALC]],0)=0,PROPERTIES[[#This Row],[TE_COEFFICIENT_MANUAL]],PROPERTIES[[#This Row],[TE_COEFFICIENT_CALC]]),3)</f>
        <v>0.154</v>
      </c>
      <c r="V513" s="11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36">
        <v>77</v>
      </c>
      <c r="X513" s="9">
        <v>8</v>
      </c>
      <c r="Y513" s="10">
        <v>0</v>
      </c>
      <c r="Z513" t="s">
        <v>869</v>
      </c>
      <c r="AA513" t="s">
        <v>868</v>
      </c>
      <c r="AB513" s="2" t="s">
        <v>886</v>
      </c>
      <c r="AC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3" s="2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H513" s="10" t="b">
        <v>0</v>
      </c>
      <c r="AY513"/>
      <c r="AZ513"/>
      <c r="BA513"/>
    </row>
    <row r="514" spans="1:53">
      <c r="A514" s="2" t="s">
        <v>535</v>
      </c>
      <c r="B514">
        <v>1979</v>
      </c>
      <c r="C514" cm="1">
        <f t="array" ref="C514">_xlfn.IFS(ISNUMBER(SEARCH("wagon",PROPERTIES[[#This Row],[VEHIDCODE]])),0,OR(MID(PROPERTIES[[#This Row],[VEHIDCODE]],2,2)="mu",_xlfn.TEXTBEFORE(PROPERTIES[[#This Row],[VEHIDCODE]],"_")="mtro"),1,1=1,0)</f>
        <v>1</v>
      </c>
      <c r="D514" t="s">
        <v>1871</v>
      </c>
      <c r="E514" t="str">
        <f>_xlfn.XLOOKUP(PROPERTIES[[#This Row],[COUNTRY]],COUNTRIES[COUNTRY_DESCRIPTION],COUNTRIES[COUNTRY_LABEL],"")</f>
        <v>NL</v>
      </c>
      <c r="F514" t="str" cm="1">
        <f t="array" ref="F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4" t="s">
        <v>17</v>
      </c>
      <c r="H514">
        <f>INT(205/2)</f>
        <v>102</v>
      </c>
      <c r="I514">
        <v>8</v>
      </c>
      <c r="J514">
        <v>8</v>
      </c>
      <c r="K514" t="str" cm="1">
        <f t="array" ref="K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f>IF(ISNUMBER(SEARCH("passenger",PROPERTIES[[#This Row],[CARGODEF]])),1,0)</f>
        <v>1</v>
      </c>
      <c r="O514" s="32">
        <f>144/2</f>
        <v>72</v>
      </c>
      <c r="P514">
        <v>1720</v>
      </c>
      <c r="Q514">
        <v>140</v>
      </c>
      <c r="R514" s="29">
        <f>100/2</f>
        <v>50</v>
      </c>
      <c r="S514" s="28">
        <f>IFERROR(PROPERTIES[[#This Row],[TE_STARTING_KN]]/(PROPERTIES[[#This Row],[WEIGHT]]*9.81),0)</f>
        <v>7.0789443878128883E-2</v>
      </c>
      <c r="T514" s="28">
        <v>0.48</v>
      </c>
      <c r="U514" s="25">
        <f>ROUND(IF(IFERROR(PROPERTIES[[#This Row],[TE_COEFFICIENT_CALC]],0)=0,PROPERTIES[[#This Row],[TE_COEFFICIENT_MANUAL]],PROPERTIES[[#This Row],[TE_COEFFICIENT_CALC]]),3)</f>
        <v>7.0999999999999994E-2</v>
      </c>
      <c r="V514" s="11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36">
        <f>INT(205/2)</f>
        <v>102</v>
      </c>
      <c r="X514" s="9">
        <v>8</v>
      </c>
      <c r="Y514" s="10">
        <v>0</v>
      </c>
      <c r="Z514" t="s">
        <v>869</v>
      </c>
      <c r="AA514" t="s">
        <v>868</v>
      </c>
      <c r="AB514" s="2" t="s">
        <v>886</v>
      </c>
      <c r="AC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4" s="2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H514" s="10" t="b">
        <v>0</v>
      </c>
      <c r="AY514"/>
      <c r="AZ514"/>
      <c r="BA514"/>
    </row>
    <row r="515" spans="1:53">
      <c r="A515" s="2" t="s">
        <v>536</v>
      </c>
      <c r="B515">
        <v>1994</v>
      </c>
      <c r="C515" cm="1">
        <f t="array" ref="C515">_xlfn.IFS(ISNUMBER(SEARCH("wagon",PROPERTIES[[#This Row],[VEHIDCODE]])),0,OR(MID(PROPERTIES[[#This Row],[VEHIDCODE]],2,2)="mu",_xlfn.TEXTBEFORE(PROPERTIES[[#This Row],[VEHIDCODE]],"_")="mtro"),1,1=1,0)</f>
        <v>1</v>
      </c>
      <c r="D515" t="s">
        <v>1871</v>
      </c>
      <c r="E515" t="str">
        <f>_xlfn.XLOOKUP(PROPERTIES[[#This Row],[COUNTRY]],COUNTRIES[COUNTRY_DESCRIPTION],COUNTRIES[COUNTRY_LABEL],"")</f>
        <v>NL</v>
      </c>
      <c r="F515" t="str" cm="1">
        <f t="array" ref="F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5" t="s">
        <v>17</v>
      </c>
      <c r="H515">
        <f>INT((129+442)/6)</f>
        <v>95</v>
      </c>
      <c r="I515">
        <v>8</v>
      </c>
      <c r="J515">
        <v>8</v>
      </c>
      <c r="K515" t="str" cm="1">
        <f t="array" ref="K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f>IF(ISNUMBER(SEARCH("passenger",PROPERTIES[[#This Row],[CARGODEF]])),1,0)</f>
        <v>1</v>
      </c>
      <c r="O515" s="32">
        <f>104/2</f>
        <v>52</v>
      </c>
      <c r="P515">
        <v>1720</v>
      </c>
      <c r="Q515">
        <v>140</v>
      </c>
      <c r="R515" s="29">
        <f>105/2</f>
        <v>52.5</v>
      </c>
      <c r="S515" s="28">
        <f>IFERROR(PROPERTIES[[#This Row],[TE_STARTING_KN]]/(PROPERTIES[[#This Row],[WEIGHT]]*9.81),0)</f>
        <v>0.10291696071512585</v>
      </c>
      <c r="T515" s="28">
        <v>0.26</v>
      </c>
      <c r="U515" s="25">
        <f>ROUND(IF(IFERROR(PROPERTIES[[#This Row],[TE_COEFFICIENT_CALC]],0)=0,PROPERTIES[[#This Row],[TE_COEFFICIENT_MANUAL]],PROPERTIES[[#This Row],[TE_COEFFICIENT_CALC]]),3)</f>
        <v>0.10299999999999999</v>
      </c>
      <c r="V515" s="11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 s="46">
        <f>INT((129+442)/6)</f>
        <v>95</v>
      </c>
      <c r="X515" s="9">
        <v>8</v>
      </c>
      <c r="Y515" s="10">
        <v>0</v>
      </c>
      <c r="Z515" t="s">
        <v>869</v>
      </c>
      <c r="AA515" t="s">
        <v>868</v>
      </c>
      <c r="AB515" s="2" t="s">
        <v>886</v>
      </c>
      <c r="AC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5" s="2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H515" s="10" t="b">
        <v>0</v>
      </c>
      <c r="AY515"/>
      <c r="AZ515"/>
      <c r="BA515"/>
    </row>
    <row r="516" spans="1:53">
      <c r="A516" s="2" t="s">
        <v>537</v>
      </c>
      <c r="B516">
        <v>1997</v>
      </c>
      <c r="C516" cm="1">
        <f t="array" ref="C516">_xlfn.IFS(ISNUMBER(SEARCH("wagon",PROPERTIES[[#This Row],[VEHIDCODE]])),0,OR(MID(PROPERTIES[[#This Row],[VEHIDCODE]],2,2)="mu",_xlfn.TEXTBEFORE(PROPERTIES[[#This Row],[VEHIDCODE]],"_")="mtro"),1,1=1,0)</f>
        <v>1</v>
      </c>
      <c r="D516" t="s">
        <v>1871</v>
      </c>
      <c r="E516" t="str">
        <f>_xlfn.XLOOKUP(PROPERTIES[[#This Row],[COUNTRY]],COUNTRIES[COUNTRY_DESCRIPTION],COUNTRIES[COUNTRY_LABEL],"")</f>
        <v>NL</v>
      </c>
      <c r="F516" t="str" cm="1">
        <f t="array" ref="F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6" t="s">
        <v>17</v>
      </c>
      <c r="H516">
        <v>64</v>
      </c>
      <c r="I516">
        <v>8</v>
      </c>
      <c r="J516">
        <v>8</v>
      </c>
      <c r="K516" t="str" cm="1">
        <f t="array" ref="K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f>IF(ISNUMBER(SEARCH("passenger",PROPERTIES[[#This Row],[CARGODEF]])),1,0)</f>
        <v>1</v>
      </c>
      <c r="O516" s="32">
        <f>84/2</f>
        <v>42</v>
      </c>
      <c r="P516">
        <v>3219</v>
      </c>
      <c r="Q516">
        <v>160</v>
      </c>
      <c r="R516" s="29">
        <f>200/2</f>
        <v>100</v>
      </c>
      <c r="S516" s="28">
        <f>IFERROR(PROPERTIES[[#This Row],[TE_STARTING_KN]]/(PROPERTIES[[#This Row],[WEIGHT]]*9.81),0)</f>
        <v>0.24270666472501332</v>
      </c>
      <c r="T516" s="28">
        <v>0.31</v>
      </c>
      <c r="U516" s="25">
        <f>ROUND(IF(IFERROR(PROPERTIES[[#This Row],[TE_COEFFICIENT_CALC]],0)=0,PROPERTIES[[#This Row],[TE_COEFFICIENT_MANUAL]],PROPERTIES[[#This Row],[TE_COEFFICIENT_CALC]]),3)</f>
        <v>0.24299999999999999</v>
      </c>
      <c r="V516" s="11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36">
        <v>140</v>
      </c>
      <c r="X516" s="9">
        <v>8</v>
      </c>
      <c r="Y516" s="10">
        <v>0</v>
      </c>
      <c r="Z516" t="s">
        <v>869</v>
      </c>
      <c r="AA516" t="s">
        <v>868</v>
      </c>
      <c r="AB516" s="2" t="s">
        <v>886</v>
      </c>
      <c r="AC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6" s="2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H516" s="10" t="b">
        <v>0</v>
      </c>
      <c r="AY516"/>
      <c r="AZ516"/>
      <c r="BA516"/>
    </row>
    <row r="517" spans="1:53">
      <c r="A517" s="2" t="s">
        <v>538</v>
      </c>
      <c r="B517">
        <v>1924</v>
      </c>
      <c r="C517" cm="1">
        <f t="array" ref="C517">_xlfn.IFS(ISNUMBER(SEARCH("wagon",PROPERTIES[[#This Row],[VEHIDCODE]])),0,OR(MID(PROPERTIES[[#This Row],[VEHIDCODE]],2,2)="mu",_xlfn.TEXTBEFORE(PROPERTIES[[#This Row],[VEHIDCODE]],"_")="mtro"),1,1=1,0)</f>
        <v>1</v>
      </c>
      <c r="D517" t="s">
        <v>1884</v>
      </c>
      <c r="E517" t="str">
        <f>_xlfn.XLOOKUP(PROPERTIES[[#This Row],[COUNTRY]],COUNTRIES[COUNTRY_DESCRIPTION],COUNTRIES[COUNTRY_LABEL],"")</f>
        <v>PL</v>
      </c>
      <c r="F517" t="str" cm="1">
        <f t="array" ref="F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7" t="s">
        <v>17</v>
      </c>
      <c r="H517">
        <f>INT(119/2)</f>
        <v>59</v>
      </c>
      <c r="I517">
        <v>8</v>
      </c>
      <c r="J517">
        <v>8</v>
      </c>
      <c r="K517" t="str" cm="1">
        <f t="array" ref="K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f>IF(ISNUMBER(SEARCH("passenger",PROPERTIES[[#This Row],[CARGODEF]])),1,0)</f>
        <v>1</v>
      </c>
      <c r="O517" s="32">
        <v>38</v>
      </c>
      <c r="P517">
        <v>413</v>
      </c>
      <c r="Q517">
        <v>80</v>
      </c>
      <c r="R517" s="29">
        <f>80/2</f>
        <v>40</v>
      </c>
      <c r="S517" s="28">
        <f>IFERROR(PROPERTIES[[#This Row],[TE_STARTING_KN]]/(PROPERTIES[[#This Row],[WEIGHT]]*9.81),0)</f>
        <v>0.10730189387842695</v>
      </c>
      <c r="T517" s="28">
        <v>0.11</v>
      </c>
      <c r="U517" s="25">
        <f>ROUND(IF(IFERROR(PROPERTIES[[#This Row],[TE_COEFFICIENT_CALC]],0)=0,PROPERTIES[[#This Row],[TE_COEFFICIENT_MANUAL]],PROPERTIES[[#This Row],[TE_COEFFICIENT_CALC]]),3)</f>
        <v>0.107</v>
      </c>
      <c r="V517" s="11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36">
        <f>INT(119/2)</f>
        <v>59</v>
      </c>
      <c r="X517" s="9">
        <v>8</v>
      </c>
      <c r="Y517" s="10">
        <v>0</v>
      </c>
      <c r="Z517" t="s">
        <v>875</v>
      </c>
      <c r="AA517" t="s">
        <v>868</v>
      </c>
      <c r="AB517" s="2" t="s">
        <v>886</v>
      </c>
      <c r="AC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7" s="2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H517" s="10" t="b">
        <v>0</v>
      </c>
      <c r="AY517"/>
      <c r="AZ517"/>
      <c r="BA517"/>
    </row>
    <row r="518" spans="1:53">
      <c r="A518" s="2" t="s">
        <v>539</v>
      </c>
      <c r="B518">
        <v>1937</v>
      </c>
      <c r="C518" cm="1">
        <f t="array" ref="C518">_xlfn.IFS(ISNUMBER(SEARCH("wagon",PROPERTIES[[#This Row],[VEHIDCODE]])),0,OR(MID(PROPERTIES[[#This Row],[VEHIDCODE]],2,2)="mu",_xlfn.TEXTBEFORE(PROPERTIES[[#This Row],[VEHIDCODE]],"_")="mtro"),1,1=1,0)</f>
        <v>1</v>
      </c>
      <c r="D518" t="s">
        <v>1815</v>
      </c>
      <c r="E518" t="str">
        <f>_xlfn.XLOOKUP(PROPERTIES[[#This Row],[COUNTRY]],COUNTRIES[COUNTRY_DESCRIPTION],COUNTRIES[COUNTRY_LABEL],"")</f>
        <v>IT</v>
      </c>
      <c r="F518" t="str" cm="1">
        <f t="array" ref="F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8" t="s">
        <v>17</v>
      </c>
      <c r="H518">
        <f>INT(104/2)</f>
        <v>52</v>
      </c>
      <c r="I518">
        <v>8</v>
      </c>
      <c r="J518">
        <v>8</v>
      </c>
      <c r="K518" t="str" cm="1">
        <f t="array" ref="K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8">
        <f>_xlfn.XLOOKUP("LOADINGSPEEDDEF_"&amp;PROPERTIES[[#This Row],[LOADINGSPEED]],LOADINGSPEEDDEF[TYPE],LOADINGSPEEDDEF[SPEED])</f>
        <v>40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f>IF(ISNUMBER(SEARCH("passenger",PROPERTIES[[#This Row],[CARGODEF]])),1,0)</f>
        <v>1</v>
      </c>
      <c r="O518" s="32">
        <f>116.8/3</f>
        <v>38.93333333333333</v>
      </c>
      <c r="P518">
        <f>INT(1408*2/3)</f>
        <v>938</v>
      </c>
      <c r="Q518">
        <v>160</v>
      </c>
      <c r="R518" s="29">
        <f>50/2</f>
        <v>25</v>
      </c>
      <c r="S518" s="28">
        <f>IFERROR(PROPERTIES[[#This Row],[TE_STARTING_KN]]/(PROPERTIES[[#This Row],[WEIGHT]]*9.81),0)</f>
        <v>6.5455992627036996E-2</v>
      </c>
      <c r="T518" s="28">
        <v>0.18</v>
      </c>
      <c r="U518" s="25">
        <f>ROUND(IF(IFERROR(PROPERTIES[[#This Row],[TE_COEFFICIENT_CALC]],0)=0,PROPERTIES[[#This Row],[TE_COEFFICIENT_MANUAL]],PROPERTIES[[#This Row],[TE_COEFFICIENT_CALC]]),3)</f>
        <v>6.5000000000000002E-2</v>
      </c>
      <c r="V518" s="11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36">
        <f>INT(104/2)</f>
        <v>52</v>
      </c>
      <c r="X518" s="9">
        <v>8</v>
      </c>
      <c r="Y518" s="10">
        <v>0</v>
      </c>
      <c r="Z518" t="s">
        <v>870</v>
      </c>
      <c r="AA518" t="s">
        <v>868</v>
      </c>
      <c r="AB518" s="2" t="s">
        <v>886</v>
      </c>
      <c r="AC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8" s="2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H518" s="10" t="b">
        <v>0</v>
      </c>
      <c r="AY518"/>
      <c r="AZ518"/>
      <c r="BA518"/>
    </row>
    <row r="519" spans="1:53">
      <c r="A519" s="2" t="s">
        <v>540</v>
      </c>
      <c r="B519">
        <v>1952</v>
      </c>
      <c r="C519" cm="1">
        <f t="array" ref="C519">_xlfn.IFS(ISNUMBER(SEARCH("wagon",PROPERTIES[[#This Row],[VEHIDCODE]])),0,OR(MID(PROPERTIES[[#This Row],[VEHIDCODE]],2,2)="mu",_xlfn.TEXTBEFORE(PROPERTIES[[#This Row],[VEHIDCODE]],"_")="mtro"),1,1=1,0)</f>
        <v>1</v>
      </c>
      <c r="D519" t="s">
        <v>1815</v>
      </c>
      <c r="E519" t="str">
        <f>_xlfn.XLOOKUP(PROPERTIES[[#This Row],[COUNTRY]],COUNTRIES[COUNTRY_DESCRIPTION],COUNTRIES[COUNTRY_LABEL],"")</f>
        <v>IT</v>
      </c>
      <c r="F519" t="str" cm="1">
        <f t="array" ref="F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9" t="s">
        <v>17</v>
      </c>
      <c r="H519">
        <f>INT(190/7)</f>
        <v>27</v>
      </c>
      <c r="I519">
        <v>8</v>
      </c>
      <c r="J519">
        <v>8</v>
      </c>
      <c r="K519" t="str" cm="1">
        <f t="array" ref="K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f>IF(ISNUMBER(SEARCH("passenger",PROPERTIES[[#This Row],[CARGODEF]])),1,0)</f>
        <v>1</v>
      </c>
      <c r="O519" s="32">
        <f>311/7</f>
        <v>44.428571428571431</v>
      </c>
      <c r="P519">
        <v>1020</v>
      </c>
      <c r="Q519">
        <v>200</v>
      </c>
      <c r="R519" s="29">
        <f>70/2</f>
        <v>35</v>
      </c>
      <c r="S519" s="28">
        <f>IFERROR(PROPERTIES[[#This Row],[TE_STARTING_KN]]/(PROPERTIES[[#This Row],[WEIGHT]]*9.81),0)</f>
        <v>8.0303909325414369E-2</v>
      </c>
      <c r="T519" s="28">
        <v>0.36</v>
      </c>
      <c r="U519" s="25">
        <f>ROUND(IF(IFERROR(PROPERTIES[[#This Row],[TE_COEFFICIENT_CALC]],0)=0,PROPERTIES[[#This Row],[TE_COEFFICIENT_MANUAL]],PROPERTIES[[#This Row],[TE_COEFFICIENT_CALC]]),3)</f>
        <v>0.08</v>
      </c>
      <c r="V519" s="11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36">
        <f>INT(190/7)</f>
        <v>27</v>
      </c>
      <c r="X519" s="9">
        <v>8</v>
      </c>
      <c r="Y519" s="10">
        <v>0</v>
      </c>
      <c r="Z519" t="s">
        <v>870</v>
      </c>
      <c r="AA519" t="s">
        <v>868</v>
      </c>
      <c r="AB519" s="2" t="s">
        <v>886</v>
      </c>
      <c r="AC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9" s="2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H519" s="10" t="b">
        <v>0</v>
      </c>
      <c r="AY519"/>
      <c r="AZ519"/>
      <c r="BA519"/>
    </row>
    <row r="520" spans="1:53">
      <c r="A520" s="2" t="s">
        <v>541</v>
      </c>
      <c r="B520">
        <v>1993</v>
      </c>
      <c r="C520" cm="1">
        <f t="array" ref="C520">_xlfn.IFS(ISNUMBER(SEARCH("wagon",PROPERTIES[[#This Row],[VEHIDCODE]])),0,OR(MID(PROPERTIES[[#This Row],[VEHIDCODE]],2,2)="mu",_xlfn.TEXTBEFORE(PROPERTIES[[#This Row],[VEHIDCODE]],"_")="mtro"),1,1=1,0)</f>
        <v>1</v>
      </c>
      <c r="D520" t="s">
        <v>1815</v>
      </c>
      <c r="E520" t="str">
        <f>_xlfn.XLOOKUP(PROPERTIES[[#This Row],[COUNTRY]],COUNTRIES[COUNTRY_DESCRIPTION],COUNTRIES[COUNTRY_LABEL],"")</f>
        <v>IT</v>
      </c>
      <c r="F520" t="str" cm="1">
        <f t="array" ref="F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0" t="s">
        <v>17</v>
      </c>
      <c r="H520">
        <v>0</v>
      </c>
      <c r="I520">
        <v>8</v>
      </c>
      <c r="J520">
        <v>8</v>
      </c>
      <c r="K520" t="str" cm="1">
        <f t="array" ref="K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f>IF(ISNUMBER(SEARCH("passenger",PROPERTIES[[#This Row],[CARGODEF]])),1,0)</f>
        <v>1</v>
      </c>
      <c r="O520" s="32">
        <v>54</v>
      </c>
      <c r="P520">
        <v>11800</v>
      </c>
      <c r="Q520">
        <v>250</v>
      </c>
      <c r="R520" s="29">
        <f>400/2</f>
        <v>200</v>
      </c>
      <c r="S520" s="28">
        <f>IFERROR(PROPERTIES[[#This Row],[TE_STARTING_KN]]/(PROPERTIES[[#This Row],[WEIGHT]]*9.81),0)</f>
        <v>0.37754370068335408</v>
      </c>
      <c r="T520" s="28">
        <v>0.46</v>
      </c>
      <c r="U520" s="25">
        <f>ROUND(IF(IFERROR(PROPERTIES[[#This Row],[TE_COEFFICIENT_CALC]],0)=0,PROPERTIES[[#This Row],[TE_COEFFICIENT_MANUAL]],PROPERTIES[[#This Row],[TE_COEFFICIENT_CALC]]),3)</f>
        <v>0.378</v>
      </c>
      <c r="V520" s="11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36">
        <v>68</v>
      </c>
      <c r="X520" s="9">
        <v>8</v>
      </c>
      <c r="Y520" s="10">
        <v>0</v>
      </c>
      <c r="Z520" t="s">
        <v>870</v>
      </c>
      <c r="AA520" t="s">
        <v>868</v>
      </c>
      <c r="AB520" s="2" t="s">
        <v>886</v>
      </c>
      <c r="AC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0" s="2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H520" s="10" t="b">
        <v>0</v>
      </c>
      <c r="AY520"/>
      <c r="AZ520"/>
      <c r="BA520"/>
    </row>
    <row r="521" spans="1:53">
      <c r="A521" s="2" t="s">
        <v>542</v>
      </c>
      <c r="B521">
        <v>1996</v>
      </c>
      <c r="C521" cm="1">
        <f t="array" ref="C521">_xlfn.IFS(ISNUMBER(SEARCH("wagon",PROPERTIES[[#This Row],[VEHIDCODE]])),0,OR(MID(PROPERTIES[[#This Row],[VEHIDCODE]],2,2)="mu",_xlfn.TEXTBEFORE(PROPERTIES[[#This Row],[VEHIDCODE]],"_")="mtro"),1,1=1,0)</f>
        <v>1</v>
      </c>
      <c r="D521" t="s">
        <v>1815</v>
      </c>
      <c r="E521" t="str">
        <f>_xlfn.XLOOKUP(PROPERTIES[[#This Row],[COUNTRY]],COUNTRIES[COUNTRY_DESCRIPTION],COUNTRIES[COUNTRY_LABEL],"")</f>
        <v>IT</v>
      </c>
      <c r="F521" t="str" cm="1">
        <f t="array" ref="F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1" t="s">
        <v>17</v>
      </c>
      <c r="H521">
        <v>102</v>
      </c>
      <c r="I521">
        <v>8</v>
      </c>
      <c r="J521">
        <v>8</v>
      </c>
      <c r="K521" t="str" cm="1">
        <f t="array" ref="K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f>IF(ISNUMBER(SEARCH("passenger",PROPERTIES[[#This Row],[CARGODEF]])),1,0)</f>
        <v>1</v>
      </c>
      <c r="O521" s="32">
        <v>68</v>
      </c>
      <c r="P521">
        <v>2508</v>
      </c>
      <c r="Q521">
        <v>140</v>
      </c>
      <c r="R521" s="29">
        <f>214/2</f>
        <v>107</v>
      </c>
      <c r="S521" s="28">
        <f>IFERROR(PROPERTIES[[#This Row],[TE_STARTING_KN]]/(PROPERTIES[[#This Row],[WEIGHT]]*9.81),0)</f>
        <v>0.16040055165797204</v>
      </c>
      <c r="T521" s="28">
        <v>0.31</v>
      </c>
      <c r="U521" s="25">
        <f>ROUND(IF(IFERROR(PROPERTIES[[#This Row],[TE_COEFFICIENT_CALC]],0)=0,PROPERTIES[[#This Row],[TE_COEFFICIENT_MANUAL]],PROPERTIES[[#This Row],[TE_COEFFICIENT_CALC]]),3)</f>
        <v>0.16</v>
      </c>
      <c r="V521" s="11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36">
        <v>130</v>
      </c>
      <c r="X521" s="9">
        <v>8</v>
      </c>
      <c r="Y521" s="10">
        <v>0</v>
      </c>
      <c r="Z521" t="s">
        <v>870</v>
      </c>
      <c r="AA521" t="s">
        <v>868</v>
      </c>
      <c r="AB521" s="2" t="s">
        <v>886</v>
      </c>
      <c r="AC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1" s="2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H521" s="10" t="b">
        <v>0</v>
      </c>
      <c r="AY521"/>
      <c r="AZ521"/>
      <c r="BA521"/>
    </row>
    <row r="522" spans="1:53">
      <c r="A522" s="2" t="s">
        <v>543</v>
      </c>
      <c r="B522">
        <v>1984</v>
      </c>
      <c r="C522" cm="1">
        <f t="array" ref="C522">_xlfn.IFS(ISNUMBER(SEARCH("wagon",PROPERTIES[[#This Row],[VEHIDCODE]])),0,OR(MID(PROPERTIES[[#This Row],[VEHIDCODE]],2,2)="mu",_xlfn.TEXTBEFORE(PROPERTIES[[#This Row],[VEHIDCODE]],"_")="mtro"),1,1=1,0)</f>
        <v>1</v>
      </c>
      <c r="D522" t="s">
        <v>1842</v>
      </c>
      <c r="E522" t="str">
        <f>_xlfn.XLOOKUP(PROPERTIES[[#This Row],[COUNTRY]],COUNTRIES[COUNTRY_DESCRIPTION],COUNTRIES[COUNTRY_LABEL],"")</f>
        <v>MA</v>
      </c>
      <c r="F522" t="str" cm="1">
        <f t="array" ref="F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2" t="s">
        <v>17</v>
      </c>
      <c r="H522">
        <v>90</v>
      </c>
      <c r="I522">
        <v>8</v>
      </c>
      <c r="J522">
        <v>8</v>
      </c>
      <c r="K522" t="str" cm="1">
        <f t="array" ref="K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f>IF(ISNUMBER(SEARCH("passenger",PROPERTIES[[#This Row],[CARGODEF]])),1,0)</f>
        <v>1</v>
      </c>
      <c r="O522" s="32">
        <v>48</v>
      </c>
      <c r="P522">
        <v>1900</v>
      </c>
      <c r="Q522">
        <v>160</v>
      </c>
      <c r="R522" s="29">
        <f>102/2</f>
        <v>51</v>
      </c>
      <c r="S522" s="28">
        <f>IFERROR(PROPERTIES[[#This Row],[TE_STARTING_KN]]/(PROPERTIES[[#This Row],[WEIGHT]]*9.81),0)</f>
        <v>0.10830784913353721</v>
      </c>
      <c r="T522" s="28">
        <v>0.21</v>
      </c>
      <c r="U522" s="25">
        <f>ROUND(IF(IFERROR(PROPERTIES[[#This Row],[TE_COEFFICIENT_CALC]],0)=0,PROPERTIES[[#This Row],[TE_COEFFICIENT_MANUAL]],PROPERTIES[[#This Row],[TE_COEFFICIENT_CALC]]),3)</f>
        <v>0.108</v>
      </c>
      <c r="V522" s="11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36">
        <v>90</v>
      </c>
      <c r="X522" s="9">
        <v>8</v>
      </c>
      <c r="Y522" s="10">
        <v>0</v>
      </c>
      <c r="Z522" t="s">
        <v>872</v>
      </c>
      <c r="AA522" t="s">
        <v>868</v>
      </c>
      <c r="AB522" s="2" t="s">
        <v>886</v>
      </c>
      <c r="AC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2" s="2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H522" s="10" t="b">
        <v>0</v>
      </c>
      <c r="AY522"/>
      <c r="AZ522"/>
      <c r="BA522"/>
    </row>
    <row r="523" spans="1:53">
      <c r="A523" s="2" t="s">
        <v>544</v>
      </c>
      <c r="B523">
        <v>1950</v>
      </c>
      <c r="C523" cm="1">
        <f t="array" ref="C523">_xlfn.IFS(ISNUMBER(SEARCH("wagon",PROPERTIES[[#This Row],[VEHIDCODE]])),0,OR(MID(PROPERTIES[[#This Row],[VEHIDCODE]],2,2)="mu",_xlfn.TEXTBEFORE(PROPERTIES[[#This Row],[VEHIDCODE]],"_")="mtro"),1,1=1,0)</f>
        <v>1</v>
      </c>
      <c r="D523" t="s">
        <v>1884</v>
      </c>
      <c r="E523" t="str">
        <f>_xlfn.XLOOKUP(PROPERTIES[[#This Row],[COUNTRY]],COUNTRIES[COUNTRY_DESCRIPTION],COUNTRIES[COUNTRY_LABEL],"")</f>
        <v>PL</v>
      </c>
      <c r="F523" t="str" cm="1">
        <f t="array" ref="F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3" t="s">
        <v>17</v>
      </c>
      <c r="H523">
        <f>INT(530/3)</f>
        <v>176</v>
      </c>
      <c r="I523">
        <v>8</v>
      </c>
      <c r="J523">
        <v>8</v>
      </c>
      <c r="K523" t="str" cm="1">
        <f t="array" ref="K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f>IF(ISNUMBER(SEARCH("passenger",PROPERTIES[[#This Row],[CARGODEF]])),1,0)</f>
        <v>1</v>
      </c>
      <c r="O523" s="32">
        <v>40</v>
      </c>
      <c r="P523">
        <v>642</v>
      </c>
      <c r="Q523">
        <v>100</v>
      </c>
      <c r="R523" s="29">
        <f>92/2</f>
        <v>46</v>
      </c>
      <c r="S523" s="28">
        <f>IFERROR(PROPERTIES[[#This Row],[TE_STARTING_KN]]/(PROPERTIES[[#This Row],[WEIGHT]]*9.81),0)</f>
        <v>0.11722731906218144</v>
      </c>
      <c r="T523" s="28">
        <v>0.25</v>
      </c>
      <c r="U523" s="25">
        <f>ROUND(IF(IFERROR(PROPERTIES[[#This Row],[TE_COEFFICIENT_CALC]],0)=0,PROPERTIES[[#This Row],[TE_COEFFICIENT_MANUAL]],PROPERTIES[[#This Row],[TE_COEFFICIENT_CALC]]),3)</f>
        <v>0.11700000000000001</v>
      </c>
      <c r="V523" s="11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36">
        <f>INT(530/3)</f>
        <v>176</v>
      </c>
      <c r="X523" s="9">
        <v>8</v>
      </c>
      <c r="Y523" s="10">
        <v>0</v>
      </c>
      <c r="Z523" t="s">
        <v>875</v>
      </c>
      <c r="AA523" t="s">
        <v>868</v>
      </c>
      <c r="AB523" s="2" t="s">
        <v>886</v>
      </c>
      <c r="AC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3" s="2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H523" s="10" t="b">
        <v>0</v>
      </c>
      <c r="AY523"/>
      <c r="AZ523"/>
      <c r="BA523"/>
    </row>
    <row r="524" spans="1:53">
      <c r="A524" s="2" t="s">
        <v>545</v>
      </c>
      <c r="B524">
        <v>1975</v>
      </c>
      <c r="C524" cm="1">
        <f t="array" ref="C524">_xlfn.IFS(ISNUMBER(SEARCH("wagon",PROPERTIES[[#This Row],[VEHIDCODE]])),0,OR(MID(PROPERTIES[[#This Row],[VEHIDCODE]],2,2)="mu",_xlfn.TEXTBEFORE(PROPERTIES[[#This Row],[VEHIDCODE]],"_")="mtro"),1,1=1,0)</f>
        <v>1</v>
      </c>
      <c r="D524" t="s">
        <v>1815</v>
      </c>
      <c r="E524" t="str">
        <f>_xlfn.XLOOKUP(PROPERTIES[[#This Row],[COUNTRY]],COUNTRIES[COUNTRY_DESCRIPTION],COUNTRIES[COUNTRY_LABEL],"")</f>
        <v>IT</v>
      </c>
      <c r="F524" t="str" cm="1">
        <f t="array" ref="F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4" t="s">
        <v>17</v>
      </c>
      <c r="H524">
        <v>80</v>
      </c>
      <c r="I524">
        <v>7</v>
      </c>
      <c r="J524">
        <v>7</v>
      </c>
      <c r="K524" t="str" cm="1">
        <f t="array" ref="K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f>IF(ISNUMBER(SEARCH("passenger",PROPERTIES[[#This Row],[CARGODEF]])),1,0)</f>
        <v>1</v>
      </c>
      <c r="O524" s="32">
        <v>70</v>
      </c>
      <c r="P524">
        <v>702</v>
      </c>
      <c r="Q524">
        <v>150</v>
      </c>
      <c r="R524" s="29">
        <f>110/2</f>
        <v>55</v>
      </c>
      <c r="S524" s="28">
        <f>IFERROR(PROPERTIES[[#This Row],[TE_STARTING_KN]]/(PROPERTIES[[#This Row],[WEIGHT]]*9.81),0)</f>
        <v>8.0093199359254394E-2</v>
      </c>
      <c r="T524" s="28">
        <v>0.15</v>
      </c>
      <c r="U524" s="25">
        <f>ROUND(IF(IFERROR(PROPERTIES[[#This Row],[TE_COEFFICIENT_CALC]],0)=0,PROPERTIES[[#This Row],[TE_COEFFICIENT_MANUAL]],PROPERTIES[[#This Row],[TE_COEFFICIENT_CALC]]),3)</f>
        <v>0.08</v>
      </c>
      <c r="V524" s="11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36">
        <v>108</v>
      </c>
      <c r="X524" s="9">
        <v>7</v>
      </c>
      <c r="Y524" s="10">
        <v>0</v>
      </c>
      <c r="Z524" t="s">
        <v>870</v>
      </c>
      <c r="AA524" t="s">
        <v>868</v>
      </c>
      <c r="AB524" s="2" t="s">
        <v>886</v>
      </c>
      <c r="AC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4" s="2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H524" s="10" t="b">
        <v>0</v>
      </c>
      <c r="AY524"/>
      <c r="AZ524"/>
      <c r="BA524"/>
    </row>
    <row r="525" spans="1:53">
      <c r="A525" s="2" t="s">
        <v>546</v>
      </c>
      <c r="B525">
        <v>1956</v>
      </c>
      <c r="C525" cm="1">
        <f t="array" ref="C525">_xlfn.IFS(ISNUMBER(SEARCH("wagon",PROPERTIES[[#This Row],[VEHIDCODE]])),0,OR(MID(PROPERTIES[[#This Row],[VEHIDCODE]],2,2)="mu",_xlfn.TEXTBEFORE(PROPERTIES[[#This Row],[VEHIDCODE]],"_")="mtro"),1,1=1,0)</f>
        <v>1</v>
      </c>
      <c r="D525" t="s">
        <v>1718</v>
      </c>
      <c r="E525" t="str">
        <f>_xlfn.XLOOKUP(PROPERTIES[[#This Row],[COUNTRY]],COUNTRIES[COUNTRY_DESCRIPTION],COUNTRIES[COUNTRY_LABEL],"")</f>
        <v>AT</v>
      </c>
      <c r="F525" t="str" cm="1">
        <f t="array" ref="F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5" t="s">
        <v>17</v>
      </c>
      <c r="H525">
        <v>72</v>
      </c>
      <c r="I525">
        <v>7</v>
      </c>
      <c r="J525">
        <v>7</v>
      </c>
      <c r="K525" t="str" cm="1">
        <f t="array" ref="K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f>IF(ISNUMBER(SEARCH("passenger",PROPERTIES[[#This Row],[CARGODEF]])),1,0)</f>
        <v>1</v>
      </c>
      <c r="O525" s="32">
        <f>(56+32)/2</f>
        <v>44</v>
      </c>
      <c r="P525">
        <v>1341</v>
      </c>
      <c r="Q525">
        <v>100</v>
      </c>
      <c r="R525" s="29">
        <f>99/2</f>
        <v>49.5</v>
      </c>
      <c r="S525" s="28">
        <f>IFERROR(PROPERTIES[[#This Row],[TE_STARTING_KN]]/(PROPERTIES[[#This Row],[WEIGHT]]*9.81),0)</f>
        <v>0.1146788990825688</v>
      </c>
      <c r="T525" s="28">
        <v>0.27</v>
      </c>
      <c r="U525" s="25">
        <f>ROUND(IF(IFERROR(PROPERTIES[[#This Row],[TE_COEFFICIENT_CALC]],0)=0,PROPERTIES[[#This Row],[TE_COEFFICIENT_MANUAL]],PROPERTIES[[#This Row],[TE_COEFFICIENT_CALC]]),3)</f>
        <v>0.115</v>
      </c>
      <c r="V525" s="11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36">
        <v>72</v>
      </c>
      <c r="X525" s="9">
        <v>7</v>
      </c>
      <c r="Y525" s="10">
        <v>0</v>
      </c>
      <c r="Z525" t="s">
        <v>869</v>
      </c>
      <c r="AA525" t="s">
        <v>868</v>
      </c>
      <c r="AB525" s="2" t="s">
        <v>886</v>
      </c>
      <c r="AC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5" s="2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H525" s="10" t="b">
        <v>0</v>
      </c>
      <c r="AY525"/>
      <c r="AZ525"/>
      <c r="BA525"/>
    </row>
    <row r="526" spans="1:53">
      <c r="A526" s="2" t="s">
        <v>547</v>
      </c>
      <c r="B526">
        <v>1929</v>
      </c>
      <c r="C526" cm="1">
        <f t="array" ref="C526">_xlfn.IFS(ISNUMBER(SEARCH("wagon",PROPERTIES[[#This Row],[VEHIDCODE]])),0,OR(MID(PROPERTIES[[#This Row],[VEHIDCODE]],2,2)="mu",_xlfn.TEXTBEFORE(PROPERTIES[[#This Row],[VEHIDCODE]],"_")="mtro"),1,1=1,0)</f>
        <v>1</v>
      </c>
      <c r="D526" t="s">
        <v>1718</v>
      </c>
      <c r="E526" t="str">
        <f>_xlfn.XLOOKUP(PROPERTIES[[#This Row],[COUNTRY]],COUNTRIES[COUNTRY_DESCRIPTION],COUNTRIES[COUNTRY_LABEL],"")</f>
        <v>AT</v>
      </c>
      <c r="F526" t="str" cm="1">
        <f t="array" ref="F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6" t="s">
        <v>17</v>
      </c>
      <c r="H526">
        <v>62</v>
      </c>
      <c r="I526">
        <v>8</v>
      </c>
      <c r="J526">
        <v>8</v>
      </c>
      <c r="K526" t="str" cm="1">
        <f t="array" ref="K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f>IF(ISNUMBER(SEARCH("passenger",PROPERTIES[[#This Row],[CARGODEF]])),1,0)</f>
        <v>1</v>
      </c>
      <c r="O526" s="32">
        <v>72.7</v>
      </c>
      <c r="P526">
        <f>555*2</f>
        <v>1110</v>
      </c>
      <c r="Q526">
        <v>62</v>
      </c>
      <c r="R526" s="29">
        <f>200/2</f>
        <v>100</v>
      </c>
      <c r="S526" s="28">
        <f>IFERROR(PROPERTIES[[#This Row],[TE_STARTING_KN]]/(PROPERTIES[[#This Row],[WEIGHT]]*9.81),0)</f>
        <v>0.14021567975860469</v>
      </c>
      <c r="T526" s="28">
        <v>0.08</v>
      </c>
      <c r="U526" s="25">
        <f>ROUND(IF(IFERROR(PROPERTIES[[#This Row],[TE_COEFFICIENT_CALC]],0)=0,PROPERTIES[[#This Row],[TE_COEFFICIENT_MANUAL]],PROPERTIES[[#This Row],[TE_COEFFICIENT_CALC]]),3)</f>
        <v>0.14000000000000001</v>
      </c>
      <c r="V526" s="11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36">
        <v>62</v>
      </c>
      <c r="X526" s="9">
        <v>8</v>
      </c>
      <c r="Y526" s="10">
        <v>0</v>
      </c>
      <c r="Z526" t="s">
        <v>869</v>
      </c>
      <c r="AA526" t="s">
        <v>868</v>
      </c>
      <c r="AB526" s="2" t="s">
        <v>886</v>
      </c>
      <c r="AC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6" s="2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H526" s="10" t="b">
        <v>0</v>
      </c>
      <c r="AY526"/>
      <c r="AZ526"/>
      <c r="BA526"/>
    </row>
    <row r="527" spans="1:53">
      <c r="A527" s="2" t="s">
        <v>548</v>
      </c>
      <c r="B527">
        <v>2011</v>
      </c>
      <c r="C527" cm="1">
        <f t="array" ref="C527">_xlfn.IFS(ISNUMBER(SEARCH("wagon",PROPERTIES[[#This Row],[VEHIDCODE]])),0,OR(MID(PROPERTIES[[#This Row],[VEHIDCODE]],2,2)="mu",_xlfn.TEXTBEFORE(PROPERTIES[[#This Row],[VEHIDCODE]],"_")="mtro"),1,1=1,0)</f>
        <v>1</v>
      </c>
      <c r="D527" t="s">
        <v>1718</v>
      </c>
      <c r="E527" t="str">
        <f>_xlfn.XLOOKUP(PROPERTIES[[#This Row],[COUNTRY]],COUNTRIES[COUNTRY_DESCRIPTION],COUNTRIES[COUNTRY_LABEL],"")</f>
        <v>AT</v>
      </c>
      <c r="F527" t="str" cm="1">
        <f t="array" ref="F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7" t="s">
        <v>17</v>
      </c>
      <c r="H527">
        <v>60</v>
      </c>
      <c r="I527">
        <v>8</v>
      </c>
      <c r="J527">
        <v>8</v>
      </c>
      <c r="K527" t="str" cm="1">
        <f t="array" ref="K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7">
        <f>_xlfn.XLOOKUP("LOADINGSPEEDDEF_"&amp;PROPERTIES[[#This Row],[LOADINGSPEED]],LOADINGSPEEDDEF[TYPE],LOADINGSPEEDDEF[SPEED])</f>
        <v>16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f>IF(ISNUMBER(SEARCH("passenger",PROPERTIES[[#This Row],[CARGODEF]])),1,0)</f>
        <v>1</v>
      </c>
      <c r="O527" s="32">
        <v>78</v>
      </c>
      <c r="P527">
        <v>5340</v>
      </c>
      <c r="Q527">
        <v>200</v>
      </c>
      <c r="R527" s="29">
        <f>200/2</f>
        <v>100</v>
      </c>
      <c r="S527" s="28">
        <f>IFERROR(PROPERTIES[[#This Row],[TE_STARTING_KN]]/(PROPERTIES[[#This Row],[WEIGHT]]*9.81),0)</f>
        <v>0.13068820408269949</v>
      </c>
      <c r="T527" s="28">
        <v>0.62</v>
      </c>
      <c r="U527" s="25">
        <f>ROUND(IF(IFERROR(PROPERTIES[[#This Row],[TE_COEFFICIENT_CALC]],0)=0,PROPERTIES[[#This Row],[TE_COEFFICIENT_MANUAL]],PROPERTIES[[#This Row],[TE_COEFFICIENT_CALC]]),3)</f>
        <v>0.13100000000000001</v>
      </c>
      <c r="V527" s="11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36">
        <v>140</v>
      </c>
      <c r="X527" s="9">
        <v>8</v>
      </c>
      <c r="Y527" s="10">
        <v>0</v>
      </c>
      <c r="Z527" t="s">
        <v>869</v>
      </c>
      <c r="AA527" t="s">
        <v>868</v>
      </c>
      <c r="AB527" s="2" t="s">
        <v>886</v>
      </c>
      <c r="AC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7" s="2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H527" s="10" t="b">
        <v>0</v>
      </c>
      <c r="AY527"/>
      <c r="AZ527"/>
      <c r="BA527"/>
    </row>
    <row r="528" spans="1:53">
      <c r="A528" s="2" t="s">
        <v>549</v>
      </c>
      <c r="B528">
        <v>1969</v>
      </c>
      <c r="C528" cm="1">
        <f t="array" ref="C528">_xlfn.IFS(ISNUMBER(SEARCH("wagon",PROPERTIES[[#This Row],[VEHIDCODE]])),0,OR(MID(PROPERTIES[[#This Row],[VEHIDCODE]],2,2)="mu",_xlfn.TEXTBEFORE(PROPERTIES[[#This Row],[VEHIDCODE]],"_")="mtro"),1,1=1,0)</f>
        <v>1</v>
      </c>
      <c r="D528" t="s">
        <v>1763</v>
      </c>
      <c r="E528" t="str">
        <f>_xlfn.XLOOKUP(PROPERTIES[[#This Row],[COUNTRY]],COUNTRIES[COUNTRY_DESCRIPTION],COUNTRIES[COUNTRY_LABEL],"")</f>
        <v>DE</v>
      </c>
      <c r="F528" t="str" cm="1">
        <f t="array" ref="F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8" t="s">
        <v>17</v>
      </c>
      <c r="H528">
        <f>INT((192+266)/3)</f>
        <v>152</v>
      </c>
      <c r="I528">
        <v>8</v>
      </c>
      <c r="J528">
        <v>8</v>
      </c>
      <c r="K528" t="str" cm="1">
        <f t="array" ref="K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f>IF(ISNUMBER(SEARCH("passenger",PROPERTIES[[#This Row],[CARGODEF]])),1,0)</f>
        <v>1</v>
      </c>
      <c r="O528" s="32">
        <v>46</v>
      </c>
      <c r="P528">
        <f>1072*2</f>
        <v>2144</v>
      </c>
      <c r="Q528">
        <v>125</v>
      </c>
      <c r="R528" s="29">
        <v>63</v>
      </c>
      <c r="S528" s="28">
        <f>IFERROR(PROPERTIES[[#This Row],[TE_STARTING_KN]]/(PROPERTIES[[#This Row],[WEIGHT]]*9.81),0)</f>
        <v>0.13960909453530115</v>
      </c>
      <c r="T528" s="28">
        <v>0.31</v>
      </c>
      <c r="U528" s="25">
        <f>ROUND(IF(IFERROR(PROPERTIES[[#This Row],[TE_COEFFICIENT_CALC]],0)=0,PROPERTIES[[#This Row],[TE_COEFFICIENT_MANUAL]],PROPERTIES[[#This Row],[TE_COEFFICIENT_CALC]]),3)</f>
        <v>0.14000000000000001</v>
      </c>
      <c r="V528" s="11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 s="46">
        <f>INT((192+266)/3)</f>
        <v>152</v>
      </c>
      <c r="X528" s="9">
        <v>8</v>
      </c>
      <c r="Y528" s="10">
        <v>0</v>
      </c>
      <c r="Z528" t="s">
        <v>869</v>
      </c>
      <c r="AA528" t="s">
        <v>868</v>
      </c>
      <c r="AB528" s="2" t="s">
        <v>886</v>
      </c>
      <c r="AC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8" s="2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H528" s="10" t="b">
        <v>0</v>
      </c>
      <c r="AY528"/>
      <c r="AZ528"/>
      <c r="BA528"/>
    </row>
    <row r="529" spans="1:53">
      <c r="A529" s="2" t="s">
        <v>550</v>
      </c>
      <c r="B529">
        <v>1998</v>
      </c>
      <c r="C529" cm="1">
        <f t="array" ref="C529">_xlfn.IFS(ISNUMBER(SEARCH("wagon",PROPERTIES[[#This Row],[VEHIDCODE]])),0,OR(MID(PROPERTIES[[#This Row],[VEHIDCODE]],2,2)="mu",_xlfn.TEXTBEFORE(PROPERTIES[[#This Row],[VEHIDCODE]],"_")="mtro"),1,1=1,0)</f>
        <v>1</v>
      </c>
      <c r="D529" t="s">
        <v>1872</v>
      </c>
      <c r="E529" t="str">
        <f>_xlfn.XLOOKUP(PROPERTIES[[#This Row],[COUNTRY]],COUNTRIES[COUNTRY_DESCRIPTION],COUNTRIES[COUNTRY_LABEL],"")</f>
        <v>NO</v>
      </c>
      <c r="F529" t="str" cm="1">
        <f t="array" ref="F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9" t="s">
        <v>17</v>
      </c>
      <c r="H529">
        <v>54</v>
      </c>
      <c r="I529">
        <v>8</v>
      </c>
      <c r="J529">
        <v>8</v>
      </c>
      <c r="K529" t="str" cm="1">
        <f t="array" ref="K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f>IF(ISNUMBER(SEARCH("passenger",PROPERTIES[[#This Row],[CARGODEF]])),1,0)</f>
        <v>1</v>
      </c>
      <c r="O529" s="32">
        <v>54</v>
      </c>
      <c r="P529">
        <f>1166*2</f>
        <v>2332</v>
      </c>
      <c r="Q529">
        <v>210</v>
      </c>
      <c r="R529" s="29">
        <f>117/2</f>
        <v>58.5</v>
      </c>
      <c r="S529" s="28">
        <f>IFERROR(PROPERTIES[[#This Row],[TE_STARTING_KN]]/(PROPERTIES[[#This Row],[WEIGHT]]*9.81),0)</f>
        <v>0.11043153244988108</v>
      </c>
      <c r="T529" s="28">
        <v>0.69</v>
      </c>
      <c r="U529" s="25">
        <f>ROUND(IF(IFERROR(PROPERTIES[[#This Row],[TE_COEFFICIENT_CALC]],0)=0,PROPERTIES[[#This Row],[TE_COEFFICIENT_MANUAL]],PROPERTIES[[#This Row],[TE_COEFFICIENT_CALC]]),3)</f>
        <v>0.11</v>
      </c>
      <c r="V529" s="11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36">
        <v>54</v>
      </c>
      <c r="X529" s="9">
        <v>8</v>
      </c>
      <c r="Y529" s="10">
        <v>0</v>
      </c>
      <c r="Z529" t="s">
        <v>873</v>
      </c>
      <c r="AA529" t="s">
        <v>868</v>
      </c>
      <c r="AB529" s="2" t="s">
        <v>886</v>
      </c>
      <c r="AC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9" s="2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H529" s="10" t="b">
        <v>0</v>
      </c>
      <c r="AY529"/>
      <c r="AZ529"/>
      <c r="BA529"/>
    </row>
    <row r="530" spans="1:53">
      <c r="A530" s="2" t="s">
        <v>551</v>
      </c>
      <c r="B530">
        <v>1942</v>
      </c>
      <c r="C530" cm="1">
        <f t="array" ref="C530">_xlfn.IFS(ISNUMBER(SEARCH("wagon",PROPERTIES[[#This Row],[VEHIDCODE]])),0,OR(MID(PROPERTIES[[#This Row],[VEHIDCODE]],2,2)="mu",_xlfn.TEXTBEFORE(PROPERTIES[[#This Row],[VEHIDCODE]],"_")="mtro"),1,1=1,0)</f>
        <v>1</v>
      </c>
      <c r="D530" t="s">
        <v>1872</v>
      </c>
      <c r="E530" t="str">
        <f>_xlfn.XLOOKUP(PROPERTIES[[#This Row],[COUNTRY]],COUNTRIES[COUNTRY_DESCRIPTION],COUNTRIES[COUNTRY_LABEL],"")</f>
        <v>NO</v>
      </c>
      <c r="F530" t="str" cm="1">
        <f t="array" ref="F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0" t="s">
        <v>17</v>
      </c>
      <c r="H530">
        <v>50</v>
      </c>
      <c r="I530">
        <v>8</v>
      </c>
      <c r="J530">
        <v>8</v>
      </c>
      <c r="K530" t="str" cm="1">
        <f t="array" ref="K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f>IF(ISNUMBER(SEARCH("passenger",PROPERTIES[[#This Row],[CARGODEF]])),1,0)</f>
        <v>1</v>
      </c>
      <c r="O530" s="32">
        <f>(47+30)/2</f>
        <v>38.5</v>
      </c>
      <c r="P530">
        <v>622</v>
      </c>
      <c r="Q530">
        <v>70</v>
      </c>
      <c r="R530" s="29">
        <f>85/2</f>
        <v>42.5</v>
      </c>
      <c r="S530" s="28">
        <f>IFERROR(PROPERTIES[[#This Row],[TE_STARTING_KN]]/(PROPERTIES[[#This Row],[WEIGHT]]*9.81),0)</f>
        <v>0.11252763546341528</v>
      </c>
      <c r="T530" s="28">
        <v>0.23</v>
      </c>
      <c r="U530" s="25">
        <f>ROUND(IF(IFERROR(PROPERTIES[[#This Row],[TE_COEFFICIENT_CALC]],0)=0,PROPERTIES[[#This Row],[TE_COEFFICIENT_MANUAL]],PROPERTIES[[#This Row],[TE_COEFFICIENT_CALC]]),3)</f>
        <v>0.113</v>
      </c>
      <c r="V530" s="11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36">
        <v>50</v>
      </c>
      <c r="X530" s="9">
        <v>7</v>
      </c>
      <c r="Y530" s="10">
        <v>0</v>
      </c>
      <c r="Z530" t="s">
        <v>873</v>
      </c>
      <c r="AA530" t="s">
        <v>868</v>
      </c>
      <c r="AB530" s="2" t="s">
        <v>886</v>
      </c>
      <c r="AC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0" s="2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H530" s="10" t="b">
        <v>0</v>
      </c>
      <c r="AY530"/>
      <c r="AZ530"/>
      <c r="BA530"/>
    </row>
    <row r="531" spans="1:53">
      <c r="A531" s="2" t="s">
        <v>552</v>
      </c>
      <c r="B531">
        <v>1990</v>
      </c>
      <c r="C531" cm="1">
        <f t="array" ref="C531">_xlfn.IFS(ISNUMBER(SEARCH("wagon",PROPERTIES[[#This Row],[VEHIDCODE]])),0,OR(MID(PROPERTIES[[#This Row],[VEHIDCODE]],2,2)="mu",_xlfn.TEXTBEFORE(PROPERTIES[[#This Row],[VEHIDCODE]],"_")="mtro"),1,1=1,0)</f>
        <v>1</v>
      </c>
      <c r="D531" t="s">
        <v>1902</v>
      </c>
      <c r="E531" t="str">
        <f>_xlfn.XLOOKUP(PROPERTIES[[#This Row],[COUNTRY]],COUNTRIES[COUNTRY_DESCRIPTION],COUNTRIES[COUNTRY_LABEL],"")</f>
        <v>SE</v>
      </c>
      <c r="F531" t="str" cm="1">
        <f t="array" ref="F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1" t="s">
        <v>17</v>
      </c>
      <c r="H531">
        <v>0</v>
      </c>
      <c r="I531">
        <v>8</v>
      </c>
      <c r="J531">
        <v>8</v>
      </c>
      <c r="K531" t="str" cm="1">
        <f t="array" ref="K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f>IF(ISNUMBER(SEARCH("passenger",PROPERTIES[[#This Row],[CARGODEF]])),1,0)</f>
        <v>1</v>
      </c>
      <c r="O531" s="32">
        <v>73</v>
      </c>
      <c r="P531">
        <v>4400</v>
      </c>
      <c r="Q531">
        <v>200</v>
      </c>
      <c r="R531" s="29">
        <f>160/2</f>
        <v>80</v>
      </c>
      <c r="S531" s="28">
        <f>IFERROR(PROPERTIES[[#This Row],[TE_STARTING_KN]]/(PROPERTIES[[#This Row],[WEIGHT]]*9.81),0)</f>
        <v>0.11171156075014313</v>
      </c>
      <c r="T531" s="28">
        <v>0.49</v>
      </c>
      <c r="U531" s="25">
        <f>ROUND(IF(IFERROR(PROPERTIES[[#This Row],[TE_COEFFICIENT_CALC]],0)=0,PROPERTIES[[#This Row],[TE_COEFFICIENT_MANUAL]],PROPERTIES[[#This Row],[TE_COEFFICIENT_CALC]]),3)</f>
        <v>0.112</v>
      </c>
      <c r="V531" s="11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36">
        <v>72</v>
      </c>
      <c r="X531" s="9">
        <v>8</v>
      </c>
      <c r="Y531" s="10">
        <v>0</v>
      </c>
      <c r="Z531" t="s">
        <v>873</v>
      </c>
      <c r="AA531" t="s">
        <v>871</v>
      </c>
      <c r="AB531" s="2" t="s">
        <v>886</v>
      </c>
      <c r="AC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1" s="2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H531" s="10" t="b">
        <v>0</v>
      </c>
      <c r="AY531"/>
      <c r="AZ531"/>
      <c r="BA531"/>
    </row>
    <row r="532" spans="1:53">
      <c r="A532" s="2" t="s">
        <v>553</v>
      </c>
      <c r="B532">
        <v>1965</v>
      </c>
      <c r="C532" cm="1">
        <f t="array" ref="C532">_xlfn.IFS(ISNUMBER(SEARCH("wagon",PROPERTIES[[#This Row],[VEHIDCODE]])),0,OR(MID(PROPERTIES[[#This Row],[VEHIDCODE]],2,2)="mu",_xlfn.TEXTBEFORE(PROPERTIES[[#This Row],[VEHIDCODE]],"_")="mtro"),1,1=1,0)</f>
        <v>1</v>
      </c>
      <c r="D532" t="s">
        <v>1749</v>
      </c>
      <c r="E532" t="str">
        <f>_xlfn.XLOOKUP(PROPERTIES[[#This Row],[COUNTRY]],COUNTRIES[COUNTRY_DESCRIPTION],COUNTRIES[COUNTRY_LABEL],"")</f>
        <v>CH</v>
      </c>
      <c r="F532" t="str" cm="1">
        <f t="array" ref="F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2" t="s">
        <v>17</v>
      </c>
      <c r="H532">
        <v>56</v>
      </c>
      <c r="I532">
        <v>8</v>
      </c>
      <c r="J532">
        <v>8</v>
      </c>
      <c r="K532" t="str" cm="1">
        <f t="array" ref="K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f>IF(ISNUMBER(SEARCH("passenger",PROPERTIES[[#This Row],[CARGODEF]])),1,0)</f>
        <v>1</v>
      </c>
      <c r="O532" s="32">
        <f>INT(200/3)</f>
        <v>66</v>
      </c>
      <c r="P532">
        <f>INT(3277*2/3)</f>
        <v>2184</v>
      </c>
      <c r="Q532">
        <v>125</v>
      </c>
      <c r="R532" s="29">
        <f>239/2</f>
        <v>119.5</v>
      </c>
      <c r="S532" s="28">
        <f>IFERROR(PROPERTIES[[#This Row],[TE_STARTING_KN]]/(PROPERTIES[[#This Row],[WEIGHT]]*9.81),0)</f>
        <v>0.18456738640224879</v>
      </c>
      <c r="T532" s="28">
        <v>0.43</v>
      </c>
      <c r="U532" s="25">
        <f>ROUND(IF(IFERROR(PROPERTIES[[#This Row],[TE_COEFFICIENT_CALC]],0)=0,PROPERTIES[[#This Row],[TE_COEFFICIENT_MANUAL]],PROPERTIES[[#This Row],[TE_COEFFICIENT_CALC]]),3)</f>
        <v>0.185</v>
      </c>
      <c r="V532" s="11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36">
        <f>INT(200/3)</f>
        <v>66</v>
      </c>
      <c r="X532" s="9">
        <v>8</v>
      </c>
      <c r="Y532" s="10">
        <v>0</v>
      </c>
      <c r="Z532" t="s">
        <v>869</v>
      </c>
      <c r="AA532" t="s">
        <v>868</v>
      </c>
      <c r="AB532" s="2" t="s">
        <v>886</v>
      </c>
      <c r="AC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2" s="2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H532" s="10" t="b">
        <v>0</v>
      </c>
      <c r="AY532"/>
      <c r="AZ532"/>
      <c r="BA532"/>
    </row>
    <row r="533" spans="1:53">
      <c r="A533" s="2" t="s">
        <v>554</v>
      </c>
      <c r="B533">
        <v>1984</v>
      </c>
      <c r="C533" cm="1">
        <f t="array" ref="C533">_xlfn.IFS(ISNUMBER(SEARCH("wagon",PROPERTIES[[#This Row],[VEHIDCODE]])),0,OR(MID(PROPERTIES[[#This Row],[VEHIDCODE]],2,2)="mu",_xlfn.TEXTBEFORE(PROPERTIES[[#This Row],[VEHIDCODE]],"_")="mtro"),1,1=1,0)</f>
        <v>1</v>
      </c>
      <c r="D533" t="s">
        <v>1749</v>
      </c>
      <c r="E533" t="str">
        <f>_xlfn.XLOOKUP(PROPERTIES[[#This Row],[COUNTRY]],COUNTRIES[COUNTRY_DESCRIPTION],COUNTRIES[COUNTRY_LABEL],"")</f>
        <v>CH</v>
      </c>
      <c r="F533" t="str" cm="1">
        <f t="array" ref="F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3" t="s">
        <v>17</v>
      </c>
      <c r="H533">
        <v>56</v>
      </c>
      <c r="I533">
        <v>8</v>
      </c>
      <c r="J533">
        <v>8</v>
      </c>
      <c r="K533" t="str" cm="1">
        <f t="array" ref="K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f>IF(ISNUMBER(SEARCH("passenger",PROPERTIES[[#This Row],[CARGODEF]])),1,0)</f>
        <v>1</v>
      </c>
      <c r="O533" s="32">
        <v>35</v>
      </c>
      <c r="P533">
        <v>2210</v>
      </c>
      <c r="Q533">
        <v>140</v>
      </c>
      <c r="R533" s="29">
        <f>182/2</f>
        <v>91</v>
      </c>
      <c r="S533" s="28">
        <f>IFERROR(PROPERTIES[[#This Row],[TE_STARTING_KN]]/(PROPERTIES[[#This Row],[WEIGHT]]*9.81),0)</f>
        <v>0.26503567787971455</v>
      </c>
      <c r="T533" s="28">
        <v>0.52</v>
      </c>
      <c r="U533" s="25">
        <f>ROUND(IF(IFERROR(PROPERTIES[[#This Row],[TE_COEFFICIENT_CALC]],0)=0,PROPERTIES[[#This Row],[TE_COEFFICIENT_MANUAL]],PROPERTIES[[#This Row],[TE_COEFFICIENT_CALC]]),3)</f>
        <v>0.26500000000000001</v>
      </c>
      <c r="V533" s="11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36">
        <v>56</v>
      </c>
      <c r="X533" s="9">
        <v>8</v>
      </c>
      <c r="Y533" s="10">
        <v>0</v>
      </c>
      <c r="Z533" t="s">
        <v>869</v>
      </c>
      <c r="AA533" t="s">
        <v>868</v>
      </c>
      <c r="AB533" s="2" t="s">
        <v>886</v>
      </c>
      <c r="AC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3" s="2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H533" s="10" t="b">
        <v>0</v>
      </c>
      <c r="AY533"/>
      <c r="AZ533"/>
      <c r="BA533"/>
    </row>
    <row r="534" spans="1:53">
      <c r="A534" s="2" t="s">
        <v>555</v>
      </c>
      <c r="B534">
        <v>2004</v>
      </c>
      <c r="C534" cm="1">
        <f t="array" ref="C534">_xlfn.IFS(ISNUMBER(SEARCH("wagon",PROPERTIES[[#This Row],[VEHIDCODE]])),0,OR(MID(PROPERTIES[[#This Row],[VEHIDCODE]],2,2)="mu",_xlfn.TEXTBEFORE(PROPERTIES[[#This Row],[VEHIDCODE]],"_")="mtro"),1,1=1,0)</f>
        <v>1</v>
      </c>
      <c r="D534" t="s">
        <v>1749</v>
      </c>
      <c r="E534" t="str">
        <f>_xlfn.XLOOKUP(PROPERTIES[[#This Row],[COUNTRY]],COUNTRIES[COUNTRY_DESCRIPTION],COUNTRIES[COUNTRY_LABEL],"")</f>
        <v>CH</v>
      </c>
      <c r="F534" t="str" cm="1">
        <f t="array" ref="F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4" t="s">
        <v>17</v>
      </c>
      <c r="H534">
        <v>50</v>
      </c>
      <c r="I534">
        <v>8</v>
      </c>
      <c r="J534">
        <v>8</v>
      </c>
      <c r="K534" t="str" cm="1">
        <f t="array" ref="K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f>IF(ISNUMBER(SEARCH("passenger",PROPERTIES[[#This Row],[CARGODEF]])),1,0)</f>
        <v>1</v>
      </c>
      <c r="O534" s="32">
        <v>31</v>
      </c>
      <c r="P534">
        <v>2682</v>
      </c>
      <c r="Q534">
        <v>160</v>
      </c>
      <c r="R534" s="29">
        <f>200/2</f>
        <v>100</v>
      </c>
      <c r="S534" s="28">
        <f>IFERROR(PROPERTIES[[#This Row],[TE_STARTING_KN]]/(PROPERTIES[[#This Row],[WEIGHT]]*9.81),0)</f>
        <v>0.32882838446614709</v>
      </c>
      <c r="T534" s="28">
        <v>0.65</v>
      </c>
      <c r="U534" s="25">
        <f>ROUND(IF(IFERROR(PROPERTIES[[#This Row],[TE_COEFFICIENT_CALC]],0)=0,PROPERTIES[[#This Row],[TE_COEFFICIENT_MANUAL]],PROPERTIES[[#This Row],[TE_COEFFICIENT_CALC]]),3)</f>
        <v>0.32900000000000001</v>
      </c>
      <c r="V534" s="11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36">
        <v>50</v>
      </c>
      <c r="X534" s="9">
        <v>7</v>
      </c>
      <c r="Y534" s="10">
        <v>0</v>
      </c>
      <c r="Z534" t="s">
        <v>869</v>
      </c>
      <c r="AA534" t="s">
        <v>868</v>
      </c>
      <c r="AB534" s="2" t="s">
        <v>886</v>
      </c>
      <c r="AC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4" s="2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H534" s="10" t="b">
        <v>0</v>
      </c>
      <c r="AY534"/>
      <c r="AZ534"/>
      <c r="BA534"/>
    </row>
    <row r="535" spans="1:53">
      <c r="A535" s="2" t="s">
        <v>556</v>
      </c>
      <c r="B535">
        <v>1969</v>
      </c>
      <c r="C535" cm="1">
        <f t="array" ref="C535">_xlfn.IFS(ISNUMBER(SEARCH("wagon",PROPERTIES[[#This Row],[VEHIDCODE]])),0,OR(MID(PROPERTIES[[#This Row],[VEHIDCODE]],2,2)="mu",_xlfn.TEXTBEFORE(PROPERTIES[[#This Row],[VEHIDCODE]],"_")="mtro"),1,1=1,0)</f>
        <v>1</v>
      </c>
      <c r="D535" t="s">
        <v>1937</v>
      </c>
      <c r="E535" t="str">
        <f>_xlfn.XLOOKUP(PROPERTIES[[#This Row],[COUNTRY]],COUNTRIES[COUNTRY_DESCRIPTION],COUNTRIES[COUNTRY_LABEL],"")</f>
        <v>US</v>
      </c>
      <c r="F535" t="str" cm="1">
        <f t="array" ref="F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5" t="s">
        <v>17</v>
      </c>
      <c r="H535">
        <v>76</v>
      </c>
      <c r="I535">
        <v>8</v>
      </c>
      <c r="J535">
        <v>8</v>
      </c>
      <c r="K535" t="str" cm="1">
        <f t="array" ref="K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5">
        <f>_xlfn.XLOOKUP("LOADINGSPEEDDEF_"&amp;PROPERTIES[[#This Row],[LOADINGSPEED]],LOADINGSPEEDDEF[TYPE],LOADINGSPEEDDEF[SPEED])</f>
        <v>16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f>IF(ISNUMBER(SEARCH("passenger",PROPERTIES[[#This Row],[CARGODEF]])),1,0)</f>
        <v>1</v>
      </c>
      <c r="O535" s="32">
        <v>75</v>
      </c>
      <c r="P535">
        <v>2400</v>
      </c>
      <c r="Q535">
        <v>190</v>
      </c>
      <c r="R535" s="29">
        <f>200/2</f>
        <v>100</v>
      </c>
      <c r="S535" s="28">
        <f>IFERROR(PROPERTIES[[#This Row],[TE_STARTING_KN]]/(PROPERTIES[[#This Row],[WEIGHT]]*9.81),0)</f>
        <v>0.13591573224600748</v>
      </c>
      <c r="T535" s="28">
        <v>0.15</v>
      </c>
      <c r="U535" s="25">
        <f>ROUND(IF(IFERROR(PROPERTIES[[#This Row],[TE_COEFFICIENT_CALC]],0)=0,PROPERTIES[[#This Row],[TE_COEFFICIENT_MANUAL]],PROPERTIES[[#This Row],[TE_COEFFICIENT_CALC]]),3)</f>
        <v>0.13600000000000001</v>
      </c>
      <c r="V535" s="11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 s="46">
        <v>76</v>
      </c>
      <c r="X535" s="9">
        <v>8</v>
      </c>
      <c r="Y535" s="10">
        <v>0</v>
      </c>
      <c r="Z535" t="s">
        <v>874</v>
      </c>
      <c r="AA535" t="s">
        <v>868</v>
      </c>
      <c r="AB535" s="2" t="s">
        <v>886</v>
      </c>
      <c r="AC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5" s="2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H535" s="10" t="b">
        <v>0</v>
      </c>
      <c r="AY535"/>
      <c r="AZ535"/>
      <c r="BA535"/>
    </row>
    <row r="536" spans="1:53">
      <c r="A536" s="2" t="s">
        <v>557</v>
      </c>
      <c r="B536">
        <v>2000</v>
      </c>
      <c r="C536" cm="1">
        <f t="array" ref="C536">_xlfn.IFS(ISNUMBER(SEARCH("wagon",PROPERTIES[[#This Row],[VEHIDCODE]])),0,OR(MID(PROPERTIES[[#This Row],[VEHIDCODE]],2,2)="mu",_xlfn.TEXTBEFORE(PROPERTIES[[#This Row],[VEHIDCODE]],"_")="mtro"),1,1=1,0)</f>
        <v>1</v>
      </c>
      <c r="D536" t="s">
        <v>1763</v>
      </c>
      <c r="E536" t="str">
        <f>_xlfn.XLOOKUP(PROPERTIES[[#This Row],[COUNTRY]],COUNTRIES[COUNTRY_DESCRIPTION],COUNTRIES[COUNTRY_LABEL],"")</f>
        <v>DE</v>
      </c>
      <c r="F536" t="str" cm="1">
        <f t="array" ref="F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6" t="s">
        <v>17</v>
      </c>
      <c r="H536">
        <f>INT(441/8)</f>
        <v>55</v>
      </c>
      <c r="I536">
        <v>7</v>
      </c>
      <c r="J536">
        <v>7</v>
      </c>
      <c r="K536" t="str" cm="1">
        <f t="array" ref="K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f>IF(ISNUMBER(SEARCH("passenger",PROPERTIES[[#This Row],[CARGODEF]])),1,0)</f>
        <v>1</v>
      </c>
      <c r="O536" s="32">
        <f>409/8</f>
        <v>51.125</v>
      </c>
      <c r="P536">
        <v>10728</v>
      </c>
      <c r="Q536">
        <v>328</v>
      </c>
      <c r="R536" s="29">
        <f>300/2</f>
        <v>150</v>
      </c>
      <c r="S536" s="28">
        <f>IFERROR(PROPERTIES[[#This Row],[TE_STARTING_KN]]/(PROPERTIES[[#This Row],[WEIGHT]]*9.81),0)</f>
        <v>0.29908107340197243</v>
      </c>
      <c r="T536" s="28">
        <v>0.98</v>
      </c>
      <c r="U536" s="25">
        <f>ROUND(IF(IFERROR(PROPERTIES[[#This Row],[TE_COEFFICIENT_CALC]],0)=0,PROPERTIES[[#This Row],[TE_COEFFICIENT_MANUAL]],PROPERTIES[[#This Row],[TE_COEFFICIENT_CALC]]),3)</f>
        <v>0.29899999999999999</v>
      </c>
      <c r="V536" s="11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36">
        <f>INT(441/8)</f>
        <v>55</v>
      </c>
      <c r="X536" s="9">
        <v>8</v>
      </c>
      <c r="Y536" s="10">
        <v>0</v>
      </c>
      <c r="Z536" t="s">
        <v>869</v>
      </c>
      <c r="AA536" t="s">
        <v>868</v>
      </c>
      <c r="AB536" s="2" t="s">
        <v>886</v>
      </c>
      <c r="AC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6" s="2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H536" s="10" t="b">
        <v>0</v>
      </c>
      <c r="AY536"/>
      <c r="AZ536"/>
      <c r="BA536"/>
    </row>
    <row r="537" spans="1:53">
      <c r="A537" s="2" t="s">
        <v>558</v>
      </c>
      <c r="B537">
        <v>2005</v>
      </c>
      <c r="C537" cm="1">
        <f t="array" ref="C537">_xlfn.IFS(ISNUMBER(SEARCH("wagon",PROPERTIES[[#This Row],[VEHIDCODE]])),0,OR(MID(PROPERTIES[[#This Row],[VEHIDCODE]],2,2)="mu",_xlfn.TEXTBEFORE(PROPERTIES[[#This Row],[VEHIDCODE]],"_")="mtro"),1,1=1,0)</f>
        <v>1</v>
      </c>
      <c r="D537" t="s">
        <v>1728</v>
      </c>
      <c r="E537" t="str">
        <f>_xlfn.XLOOKUP(PROPERTIES[[#This Row],[COUNTRY]],COUNTRIES[COUNTRY_DESCRIPTION],COUNTRIES[COUNTRY_LABEL],"")</f>
        <v>BG</v>
      </c>
      <c r="F537" t="str" cm="1">
        <f t="array" ref="F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7" t="s">
        <v>17</v>
      </c>
      <c r="H537" s="9">
        <f>INT(190/2)</f>
        <v>95</v>
      </c>
      <c r="I537">
        <v>8</v>
      </c>
      <c r="J537">
        <v>8</v>
      </c>
      <c r="K537" t="str" cm="1">
        <f t="array" ref="K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f>IF(ISNUMBER(SEARCH("passenger",PROPERTIES[[#This Row],[CARGODEF]])),1,0)</f>
        <v>1</v>
      </c>
      <c r="O537" s="32">
        <f>88/2</f>
        <v>44</v>
      </c>
      <c r="P537">
        <v>1740</v>
      </c>
      <c r="Q537">
        <v>120</v>
      </c>
      <c r="R537" s="29">
        <v>0</v>
      </c>
      <c r="S537" s="28">
        <f>IFERROR(PROPERTIES[[#This Row],[TE_STARTING_KN]]/(PROPERTIES[[#This Row],[WEIGHT]]*9.81),0)</f>
        <v>0</v>
      </c>
      <c r="T537" s="28">
        <v>0.21</v>
      </c>
      <c r="U537" s="25">
        <f>ROUND(IF(IFERROR(PROPERTIES[[#This Row],[TE_COEFFICIENT_CALC]],0)=0,PROPERTIES[[#This Row],[TE_COEFFICIENT_MANUAL]],PROPERTIES[[#This Row],[TE_COEFFICIENT_CALC]]),3)</f>
        <v>0.21</v>
      </c>
      <c r="V537" s="11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36">
        <f>INT(190/2)</f>
        <v>95</v>
      </c>
      <c r="X537" s="9">
        <v>8</v>
      </c>
      <c r="Y537" s="10">
        <v>0</v>
      </c>
      <c r="Z537" t="s">
        <v>875</v>
      </c>
      <c r="AA537" t="s">
        <v>868</v>
      </c>
      <c r="AB537" s="2" t="s">
        <v>886</v>
      </c>
      <c r="AC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7" s="2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H537" s="10" t="b">
        <v>0</v>
      </c>
      <c r="AY537"/>
      <c r="AZ537"/>
      <c r="BA537"/>
    </row>
    <row r="538" spans="1:53">
      <c r="A538" s="2" t="s">
        <v>559</v>
      </c>
      <c r="B538">
        <v>1975</v>
      </c>
      <c r="C538" cm="1">
        <f t="array" ref="C538">_xlfn.IFS(ISNUMBER(SEARCH("wagon",PROPERTIES[[#This Row],[VEHIDCODE]])),0,OR(MID(PROPERTIES[[#This Row],[VEHIDCODE]],2,2)="mu",_xlfn.TEXTBEFORE(PROPERTIES[[#This Row],[VEHIDCODE]],"_")="mtro"),1,1=1,0)</f>
        <v>1</v>
      </c>
      <c r="D538" t="s">
        <v>1776</v>
      </c>
      <c r="E538" t="str">
        <f>_xlfn.XLOOKUP(PROPERTIES[[#This Row],[COUNTRY]],COUNTRIES[COUNTRY_DESCRIPTION],COUNTRIES[COUNTRY_LABEL],"")</f>
        <v>FI</v>
      </c>
      <c r="F538" t="str" cm="1">
        <f t="array" ref="F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8" t="s">
        <v>17</v>
      </c>
      <c r="H538">
        <v>100</v>
      </c>
      <c r="I538">
        <v>8</v>
      </c>
      <c r="J538">
        <v>8</v>
      </c>
      <c r="K538" t="str" cm="1">
        <f t="array" ref="K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f>IF(ISNUMBER(SEARCH("passenger",PROPERTIES[[#This Row],[CARGODEF]])),1,0)</f>
        <v>1</v>
      </c>
      <c r="O538" s="32">
        <f>(46.5+76)/2</f>
        <v>61.25</v>
      </c>
      <c r="P538">
        <v>818</v>
      </c>
      <c r="Q538">
        <v>120</v>
      </c>
      <c r="R538" s="29">
        <f>85/2</f>
        <v>42.5</v>
      </c>
      <c r="S538" s="28">
        <f>IFERROR(PROPERTIES[[#This Row],[TE_STARTING_KN]]/(PROPERTIES[[#This Row],[WEIGHT]]*9.81),0)</f>
        <v>7.0731656577003879E-2</v>
      </c>
      <c r="T538" s="28">
        <v>0.22</v>
      </c>
      <c r="U538" s="25">
        <f>ROUND(IF(IFERROR(PROPERTIES[[#This Row],[TE_COEFFICIENT_CALC]],0)=0,PROPERTIES[[#This Row],[TE_COEFFICIENT_MANUAL]],PROPERTIES[[#This Row],[TE_COEFFICIENT_CALC]]),3)</f>
        <v>7.0999999999999994E-2</v>
      </c>
      <c r="V538" s="11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36">
        <v>100</v>
      </c>
      <c r="X538" s="9">
        <v>8</v>
      </c>
      <c r="Y538" s="10">
        <v>0</v>
      </c>
      <c r="Z538" t="s">
        <v>873</v>
      </c>
      <c r="AA538" t="s">
        <v>868</v>
      </c>
      <c r="AB538" s="2" t="s">
        <v>886</v>
      </c>
      <c r="AC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8" s="2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H538" s="10" t="b">
        <v>0</v>
      </c>
      <c r="AY538"/>
      <c r="AZ538"/>
      <c r="BA538"/>
    </row>
    <row r="539" spans="1:53">
      <c r="A539" s="2" t="s">
        <v>560</v>
      </c>
      <c r="B539">
        <v>1999</v>
      </c>
      <c r="C539" cm="1">
        <f t="array" ref="C539">_xlfn.IFS(ISNUMBER(SEARCH("wagon",PROPERTIES[[#This Row],[VEHIDCODE]])),0,OR(MID(PROPERTIES[[#This Row],[VEHIDCODE]],2,2)="mu",_xlfn.TEXTBEFORE(PROPERTIES[[#This Row],[VEHIDCODE]],"_")="mtro"),1,1=1,0)</f>
        <v>1</v>
      </c>
      <c r="D539" t="s">
        <v>1776</v>
      </c>
      <c r="E539" t="str">
        <f>_xlfn.XLOOKUP(PROPERTIES[[#This Row],[COUNTRY]],COUNTRIES[COUNTRY_DESCRIPTION],COUNTRIES[COUNTRY_LABEL],"")</f>
        <v>FI</v>
      </c>
      <c r="F539" t="str" cm="1">
        <f t="array" ref="F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9" t="s">
        <v>17</v>
      </c>
      <c r="H539">
        <f>184/2</f>
        <v>92</v>
      </c>
      <c r="I539">
        <v>8</v>
      </c>
      <c r="J539">
        <v>8</v>
      </c>
      <c r="K539" t="str" cm="1">
        <f t="array" ref="K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f>IF(ISNUMBER(SEARCH("passenger",PROPERTIES[[#This Row],[CARGODEF]])),1,0)</f>
        <v>1</v>
      </c>
      <c r="O539" s="32">
        <v>57</v>
      </c>
      <c r="P539">
        <v>1636</v>
      </c>
      <c r="Q539">
        <v>160</v>
      </c>
      <c r="R539" s="29">
        <v>0</v>
      </c>
      <c r="S539" s="28">
        <f>IFERROR(PROPERTIES[[#This Row],[TE_STARTING_KN]]/(PROPERTIES[[#This Row],[WEIGHT]]*9.81),0)</f>
        <v>0</v>
      </c>
      <c r="T539" s="28">
        <v>0.18</v>
      </c>
      <c r="U539" s="25">
        <f>ROUND(IF(IFERROR(PROPERTIES[[#This Row],[TE_COEFFICIENT_CALC]],0)=0,PROPERTIES[[#This Row],[TE_COEFFICIENT_MANUAL]],PROPERTIES[[#This Row],[TE_COEFFICIENT_CALC]]),3)</f>
        <v>0.18</v>
      </c>
      <c r="V539" s="11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36">
        <f>184/2</f>
        <v>92</v>
      </c>
      <c r="X539" s="9">
        <v>8</v>
      </c>
      <c r="Y539" s="10">
        <v>0</v>
      </c>
      <c r="Z539" t="s">
        <v>873</v>
      </c>
      <c r="AA539" t="s">
        <v>868</v>
      </c>
      <c r="AB539" s="2" t="s">
        <v>886</v>
      </c>
      <c r="AC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9" s="2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H539" s="10" t="b">
        <v>0</v>
      </c>
      <c r="AY539"/>
      <c r="AZ539"/>
      <c r="BA539"/>
    </row>
    <row r="540" spans="1:53">
      <c r="A540" s="2" t="s">
        <v>561</v>
      </c>
      <c r="B540">
        <v>1988</v>
      </c>
      <c r="C540" cm="1">
        <f t="array" ref="C540">_xlfn.IFS(ISNUMBER(SEARCH("wagon",PROPERTIES[[#This Row],[VEHIDCODE]])),0,OR(MID(PROPERTIES[[#This Row],[VEHIDCODE]],2,2)="mu",_xlfn.TEXTBEFORE(PROPERTIES[[#This Row],[VEHIDCODE]],"_")="mtro"),1,1=1,0)</f>
        <v>1</v>
      </c>
      <c r="D540" t="s">
        <v>1805</v>
      </c>
      <c r="E540" t="str">
        <f>_xlfn.XLOOKUP(PROPERTIES[[#This Row],[COUNTRY]],COUNTRIES[COUNTRY_DESCRIPTION],COUNTRIES[COUNTRY_LABEL],"")</f>
        <v>HU</v>
      </c>
      <c r="F540" t="str" cm="1">
        <f t="array" ref="F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0" t="s">
        <v>17</v>
      </c>
      <c r="H540">
        <f>INT(344/4)</f>
        <v>86</v>
      </c>
      <c r="I540">
        <v>8</v>
      </c>
      <c r="J540">
        <v>8</v>
      </c>
      <c r="K540" t="str" cm="1">
        <f t="array" ref="K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f>IF(ISNUMBER(SEARCH("passenger",PROPERTIES[[#This Row],[CARGODEF]])),1,0)</f>
        <v>1</v>
      </c>
      <c r="O540" s="32">
        <v>66</v>
      </c>
      <c r="P540">
        <v>2040</v>
      </c>
      <c r="Q540">
        <v>120</v>
      </c>
      <c r="R540" s="29">
        <v>0</v>
      </c>
      <c r="S540" s="28">
        <f>IFERROR(PROPERTIES[[#This Row],[TE_STARTING_KN]]/(PROPERTIES[[#This Row],[WEIGHT]]*9.81),0)</f>
        <v>0</v>
      </c>
      <c r="T540" s="28">
        <v>0.11</v>
      </c>
      <c r="U540" s="25">
        <f>ROUND(IF(IFERROR(PROPERTIES[[#This Row],[TE_COEFFICIENT_CALC]],0)=0,PROPERTIES[[#This Row],[TE_COEFFICIENT_MANUAL]],PROPERTIES[[#This Row],[TE_COEFFICIENT_CALC]]),3)</f>
        <v>0.11</v>
      </c>
      <c r="V540" s="11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36">
        <f>INT(344/4)</f>
        <v>86</v>
      </c>
      <c r="X540" s="9">
        <v>8</v>
      </c>
      <c r="Y540" s="10">
        <v>0</v>
      </c>
      <c r="Z540" t="s">
        <v>875</v>
      </c>
      <c r="AA540" t="s">
        <v>868</v>
      </c>
      <c r="AB540" s="2" t="s">
        <v>886</v>
      </c>
      <c r="AC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0" s="2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H540" s="10" t="b">
        <v>0</v>
      </c>
      <c r="AY540"/>
      <c r="AZ540"/>
      <c r="BA540"/>
    </row>
    <row r="541" spans="1:53">
      <c r="A541" s="2" t="s">
        <v>562</v>
      </c>
      <c r="B541">
        <v>2030</v>
      </c>
      <c r="C541" cm="1">
        <f t="array" ref="C541">_xlfn.IFS(ISNUMBER(SEARCH("wagon",PROPERTIES[[#This Row],[VEHIDCODE]])),0,OR(MID(PROPERTIES[[#This Row],[VEHIDCODE]],2,2)="mu",_xlfn.TEXTBEFORE(PROPERTIES[[#This Row],[VEHIDCODE]],"_")="mtro"),1,1=1,0)</f>
        <v>1</v>
      </c>
      <c r="D541" t="s">
        <v>1955</v>
      </c>
      <c r="E541" t="str">
        <f>_xlfn.XLOOKUP(PROPERTIES[[#This Row],[COUNTRY]],COUNTRIES[COUNTRY_DESCRIPTION],COUNTRIES[COUNTRY_LABEL],"")</f>
        <v>EU</v>
      </c>
      <c r="F541" t="str" cm="1">
        <f t="array" ref="F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1" t="s">
        <v>17</v>
      </c>
      <c r="H541">
        <v>85</v>
      </c>
      <c r="I541">
        <v>8</v>
      </c>
      <c r="J541">
        <v>8</v>
      </c>
      <c r="K541" t="str" cm="1">
        <f t="array" ref="K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f>IF(ISNUMBER(SEARCH("passenger",PROPERTIES[[#This Row],[CARGODEF]])),1,0)</f>
        <v>1</v>
      </c>
      <c r="O541" s="32">
        <v>50</v>
      </c>
      <c r="P541">
        <v>16000</v>
      </c>
      <c r="Q541">
        <v>300</v>
      </c>
      <c r="R541" s="29">
        <v>0</v>
      </c>
      <c r="S541" s="28">
        <f>IFERROR(PROPERTIES[[#This Row],[TE_STARTING_KN]]/(PROPERTIES[[#This Row],[WEIGHT]]*9.81),0)</f>
        <v>0</v>
      </c>
      <c r="T541" s="28">
        <v>0.22</v>
      </c>
      <c r="U541" s="25">
        <f>ROUND(IF(IFERROR(PROPERTIES[[#This Row],[TE_COEFFICIENT_CALC]],0)=0,PROPERTIES[[#This Row],[TE_COEFFICIENT_MANUAL]],PROPERTIES[[#This Row],[TE_COEFFICIENT_CALC]]),3)</f>
        <v>0.22</v>
      </c>
      <c r="V541" s="11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36">
        <v>85</v>
      </c>
      <c r="X541" s="9">
        <v>8</v>
      </c>
      <c r="Y541" s="10">
        <v>0</v>
      </c>
      <c r="Z541" t="s">
        <v>878</v>
      </c>
      <c r="AA541" t="s">
        <v>868</v>
      </c>
      <c r="AB541" s="2" t="s">
        <v>887</v>
      </c>
      <c r="AC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1" s="2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H541" s="10" t="b">
        <v>0</v>
      </c>
      <c r="AY541"/>
      <c r="AZ541"/>
      <c r="BA541"/>
    </row>
    <row r="542" spans="1:53">
      <c r="A542" s="2" t="s">
        <v>563</v>
      </c>
      <c r="B542">
        <v>1964</v>
      </c>
      <c r="C542" cm="1">
        <f t="array" ref="C542">_xlfn.IFS(ISNUMBER(SEARCH("wagon",PROPERTIES[[#This Row],[VEHIDCODE]])),0,OR(MID(PROPERTIES[[#This Row],[VEHIDCODE]],2,2)="mu",_xlfn.TEXTBEFORE(PROPERTIES[[#This Row],[VEHIDCODE]],"_")="mtro"),1,1=1,0)</f>
        <v>1</v>
      </c>
      <c r="D542" t="s">
        <v>1819</v>
      </c>
      <c r="E542" t="str">
        <f>_xlfn.XLOOKUP(PROPERTIES[[#This Row],[COUNTRY]],COUNTRIES[COUNTRY_DESCRIPTION],COUNTRIES[COUNTRY_LABEL],"")</f>
        <v>JP</v>
      </c>
      <c r="F542" t="str" cm="1">
        <f t="array" ref="F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2" t="s">
        <v>17</v>
      </c>
      <c r="H542">
        <v>75</v>
      </c>
      <c r="I542">
        <v>8</v>
      </c>
      <c r="J542">
        <v>8</v>
      </c>
      <c r="K542" t="str" cm="1">
        <f t="array" ref="K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f>IF(ISNUMBER(SEARCH("passenger",PROPERTIES[[#This Row],[CARGODEF]])),1,0)</f>
        <v>1</v>
      </c>
      <c r="O542" s="32">
        <v>59</v>
      </c>
      <c r="P542">
        <f>992*2</f>
        <v>1984</v>
      </c>
      <c r="Q542">
        <v>210</v>
      </c>
      <c r="R542" s="29">
        <v>65</v>
      </c>
      <c r="S542" s="28">
        <f>IFERROR(PROPERTIES[[#This Row],[TE_STARTING_KN]]/(PROPERTIES[[#This Row],[WEIGHT]]*9.81),0)</f>
        <v>0.1123032533388621</v>
      </c>
      <c r="T542" s="28">
        <v>0.3</v>
      </c>
      <c r="U542" s="25">
        <f>ROUND(IF(IFERROR(PROPERTIES[[#This Row],[TE_COEFFICIENT_CALC]],0)=0,PROPERTIES[[#This Row],[TE_COEFFICIENT_MANUAL]],PROPERTIES[[#This Row],[TE_COEFFICIENT_CALC]]),3)</f>
        <v>0.112</v>
      </c>
      <c r="V542" s="11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36">
        <v>100</v>
      </c>
      <c r="X542" s="9">
        <v>8</v>
      </c>
      <c r="Y542" s="10">
        <v>0</v>
      </c>
      <c r="Z542" t="s">
        <v>877</v>
      </c>
      <c r="AA542" t="s">
        <v>868</v>
      </c>
      <c r="AB542" s="2" t="s">
        <v>886</v>
      </c>
      <c r="AC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2" s="2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H542" s="10" t="b">
        <v>0</v>
      </c>
      <c r="AY542"/>
      <c r="AZ542"/>
      <c r="BA542"/>
    </row>
    <row r="543" spans="1:53">
      <c r="A543" s="2" t="s">
        <v>564</v>
      </c>
      <c r="B543">
        <v>1997</v>
      </c>
      <c r="C543" cm="1">
        <f t="array" ref="C543">_xlfn.IFS(ISNUMBER(SEARCH("wagon",PROPERTIES[[#This Row],[VEHIDCODE]])),0,OR(MID(PROPERTIES[[#This Row],[VEHIDCODE]],2,2)="mu",_xlfn.TEXTBEFORE(PROPERTIES[[#This Row],[VEHIDCODE]],"_")="mtro"),1,1=1,0)</f>
        <v>1</v>
      </c>
      <c r="D543" t="s">
        <v>1819</v>
      </c>
      <c r="E543" t="str">
        <f>_xlfn.XLOOKUP(PROPERTIES[[#This Row],[COUNTRY]],COUNTRIES[COUNTRY_DESCRIPTION],COUNTRIES[COUNTRY_LABEL],"")</f>
        <v>JP</v>
      </c>
      <c r="F543" t="str" cm="1">
        <f t="array" ref="F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3" t="s">
        <v>17</v>
      </c>
      <c r="H543">
        <v>65</v>
      </c>
      <c r="I543">
        <v>8</v>
      </c>
      <c r="J543">
        <v>8</v>
      </c>
      <c r="K543" t="str" cm="1">
        <f t="array" ref="K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f>IF(ISNUMBER(SEARCH("passenger",PROPERTIES[[#This Row],[CARGODEF]])),1,0)</f>
        <v>1</v>
      </c>
      <c r="O543" s="32">
        <v>45</v>
      </c>
      <c r="P543">
        <f>905*2</f>
        <v>1810</v>
      </c>
      <c r="Q543">
        <v>270</v>
      </c>
      <c r="R543" s="29">
        <v>60</v>
      </c>
      <c r="S543" s="28">
        <f>IFERROR(PROPERTIES[[#This Row],[TE_STARTING_KN]]/(PROPERTIES[[#This Row],[WEIGHT]]*9.81),0)</f>
        <v>0.13591573224600745</v>
      </c>
      <c r="T543" s="28">
        <v>0.56000000000000005</v>
      </c>
      <c r="U543" s="25">
        <f>ROUND(IF(IFERROR(PROPERTIES[[#This Row],[TE_COEFFICIENT_CALC]],0)=0,PROPERTIES[[#This Row],[TE_COEFFICIENT_MANUAL]],PROPERTIES[[#This Row],[TE_COEFFICIENT_CALC]]),3)</f>
        <v>0.13600000000000001</v>
      </c>
      <c r="V543" s="11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36">
        <v>100</v>
      </c>
      <c r="X543" s="9">
        <v>8</v>
      </c>
      <c r="Y543" s="10">
        <v>0</v>
      </c>
      <c r="Z543" t="s">
        <v>877</v>
      </c>
      <c r="AA543" t="s">
        <v>868</v>
      </c>
      <c r="AB543" s="2" t="s">
        <v>886</v>
      </c>
      <c r="AC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3" s="2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H543" s="10" t="b">
        <v>0</v>
      </c>
      <c r="AY543"/>
      <c r="AZ543"/>
      <c r="BA543"/>
    </row>
    <row r="544" spans="1:53">
      <c r="A544" s="2" t="s">
        <v>565</v>
      </c>
      <c r="B544">
        <v>1994</v>
      </c>
      <c r="C544" cm="1">
        <f t="array" ref="C544">_xlfn.IFS(ISNUMBER(SEARCH("wagon",PROPERTIES[[#This Row],[VEHIDCODE]])),0,OR(MID(PROPERTIES[[#This Row],[VEHIDCODE]],2,2)="mu",_xlfn.TEXTBEFORE(PROPERTIES[[#This Row],[VEHIDCODE]],"_")="mtro"),1,1=1,0)</f>
        <v>1</v>
      </c>
      <c r="D544" t="s">
        <v>1819</v>
      </c>
      <c r="E544" t="str">
        <f>_xlfn.XLOOKUP(PROPERTIES[[#This Row],[COUNTRY]],COUNTRIES[COUNTRY_DESCRIPTION],COUNTRIES[COUNTRY_LABEL],"")</f>
        <v>JP</v>
      </c>
      <c r="F544" t="str" cm="1">
        <f t="array" ref="F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4" t="s">
        <v>17</v>
      </c>
      <c r="H544">
        <v>80</v>
      </c>
      <c r="I544">
        <v>8</v>
      </c>
      <c r="J544">
        <v>8</v>
      </c>
      <c r="K544" t="str" cm="1">
        <f t="array" ref="K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4">
        <f>_xlfn.XLOOKUP("LOADINGSPEEDDEF_"&amp;PROPERTIES[[#This Row],[LOADINGSPEED]],LOADINGSPEEDDEF[TYPE],LOADINGSPEEDDEF[SPEED])</f>
        <v>16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f>IF(ISNUMBER(SEARCH("passenger",PROPERTIES[[#This Row],[CARGODEF]])),1,0)</f>
        <v>1</v>
      </c>
      <c r="O544" s="32">
        <v>59.2</v>
      </c>
      <c r="P544">
        <f>1395*2</f>
        <v>2790</v>
      </c>
      <c r="Q544">
        <v>240</v>
      </c>
      <c r="R544" s="29">
        <v>80</v>
      </c>
      <c r="S544" s="28">
        <f>IFERROR(PROPERTIES[[#This Row],[TE_STARTING_KN]]/(PROPERTIES[[#This Row],[WEIGHT]]*9.81),0)</f>
        <v>0.13775243133041296</v>
      </c>
      <c r="T544" s="28">
        <v>0.3</v>
      </c>
      <c r="U544" s="25">
        <f>ROUND(IF(IFERROR(PROPERTIES[[#This Row],[TE_COEFFICIENT_CALC]],0)=0,PROPERTIES[[#This Row],[TE_COEFFICIENT_MANUAL]],PROPERTIES[[#This Row],[TE_COEFFICIENT_CALC]]),3)</f>
        <v>0.13800000000000001</v>
      </c>
      <c r="V544" s="11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36">
        <v>103</v>
      </c>
      <c r="X544" s="9">
        <v>8</v>
      </c>
      <c r="Y544" s="10">
        <v>0</v>
      </c>
      <c r="Z544" t="s">
        <v>877</v>
      </c>
      <c r="AA544" t="s">
        <v>868</v>
      </c>
      <c r="AB544" s="2" t="s">
        <v>886</v>
      </c>
      <c r="AC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4" s="2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H544" s="10" t="b">
        <v>0</v>
      </c>
      <c r="AY544"/>
      <c r="AZ544"/>
      <c r="BA544"/>
    </row>
    <row r="545" spans="1:53">
      <c r="A545" s="2" t="s">
        <v>566</v>
      </c>
      <c r="B545">
        <v>1999</v>
      </c>
      <c r="C545" cm="1">
        <f t="array" ref="C545">_xlfn.IFS(ISNUMBER(SEARCH("wagon",PROPERTIES[[#This Row],[VEHIDCODE]])),0,OR(MID(PROPERTIES[[#This Row],[VEHIDCODE]],2,2)="mu",_xlfn.TEXTBEFORE(PROPERTIES[[#This Row],[VEHIDCODE]],"_")="mtro"),1,1=1,0)</f>
        <v>1</v>
      </c>
      <c r="D545" t="s">
        <v>1839</v>
      </c>
      <c r="E545" t="str">
        <f>_xlfn.XLOOKUP(PROPERTIES[[#This Row],[COUNTRY]],COUNTRIES[COUNTRY_DESCRIPTION],COUNTRIES[COUNTRY_LABEL],"")</f>
        <v>LU</v>
      </c>
      <c r="F545" t="str" cm="1">
        <f t="array" ref="F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5" t="s">
        <v>17</v>
      </c>
      <c r="H545">
        <v>111</v>
      </c>
      <c r="I545">
        <v>8</v>
      </c>
      <c r="J545">
        <v>8</v>
      </c>
      <c r="K545" t="str" cm="1">
        <f t="array" ref="K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f>IF(ISNUMBER(SEARCH("passenger",PROPERTIES[[#This Row],[CARGODEF]])),1,0)</f>
        <v>1</v>
      </c>
      <c r="O545" s="32">
        <v>64</v>
      </c>
      <c r="P545">
        <v>3410</v>
      </c>
      <c r="Q545">
        <v>160</v>
      </c>
      <c r="R545" s="29">
        <f>240/2</f>
        <v>120</v>
      </c>
      <c r="S545" s="28">
        <f>IFERROR(PROPERTIES[[#This Row],[TE_STARTING_KN]]/(PROPERTIES[[#This Row],[WEIGHT]]*9.81),0)</f>
        <v>0.19113149847094801</v>
      </c>
      <c r="T545" s="28">
        <v>0.26</v>
      </c>
      <c r="U545" s="25">
        <f>ROUND(IF(IFERROR(PROPERTIES[[#This Row],[TE_COEFFICIENT_CALC]],0)=0,PROPERTIES[[#This Row],[TE_COEFFICIENT_MANUAL]],PROPERTIES[[#This Row],[TE_COEFFICIENT_CALC]]),3)</f>
        <v>0.191</v>
      </c>
      <c r="V545" s="11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36">
        <v>111</v>
      </c>
      <c r="X545" s="9">
        <v>8</v>
      </c>
      <c r="Y545" s="10">
        <v>0</v>
      </c>
      <c r="Z545" t="s">
        <v>869</v>
      </c>
      <c r="AA545" t="s">
        <v>868</v>
      </c>
      <c r="AB545" s="2" t="s">
        <v>886</v>
      </c>
      <c r="AC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5" s="2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H545" s="10" t="b">
        <v>0</v>
      </c>
      <c r="AY545"/>
      <c r="AZ545"/>
      <c r="BA545"/>
    </row>
    <row r="546" spans="1:53">
      <c r="A546" s="2" t="s">
        <v>567</v>
      </c>
      <c r="B546">
        <v>1980</v>
      </c>
      <c r="C546" cm="1">
        <f t="array" ref="C546">_xlfn.IFS(ISNUMBER(SEARCH("wagon",PROPERTIES[[#This Row],[VEHIDCODE]])),0,OR(MID(PROPERTIES[[#This Row],[VEHIDCODE]],2,2)="mu",_xlfn.TEXTBEFORE(PROPERTIES[[#This Row],[VEHIDCODE]],"_")="mtro"),1,1=1,0)</f>
        <v>1</v>
      </c>
      <c r="D546" t="s">
        <v>1849</v>
      </c>
      <c r="E546" t="str">
        <f>_xlfn.XLOOKUP(PROPERTIES[[#This Row],[COUNTRY]],COUNTRIES[COUNTRY_DESCRIPTION],COUNTRIES[COUNTRY_LABEL],"")</f>
        <v>MK</v>
      </c>
      <c r="F546" t="str" cm="1">
        <f t="array" ref="F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6" t="s">
        <v>17</v>
      </c>
      <c r="H546">
        <v>68</v>
      </c>
      <c r="I546">
        <v>8</v>
      </c>
      <c r="J546">
        <v>8</v>
      </c>
      <c r="K546" t="str" cm="1">
        <f t="array" ref="K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f>IF(ISNUMBER(SEARCH("passenger",PROPERTIES[[#This Row],[CARGODEF]])),1,0)</f>
        <v>1</v>
      </c>
      <c r="O546" s="32">
        <v>55</v>
      </c>
      <c r="P546">
        <v>340</v>
      </c>
      <c r="Q546">
        <v>120</v>
      </c>
      <c r="R546" s="29">
        <v>0</v>
      </c>
      <c r="S546" s="28">
        <f>IFERROR(PROPERTIES[[#This Row],[TE_STARTING_KN]]/(PROPERTIES[[#This Row],[WEIGHT]]*9.81),0)</f>
        <v>0</v>
      </c>
      <c r="T546" s="28">
        <v>0.15</v>
      </c>
      <c r="U546" s="25">
        <f>ROUND(IF(IFERROR(PROPERTIES[[#This Row],[TE_COEFFICIENT_CALC]],0)=0,PROPERTIES[[#This Row],[TE_COEFFICIENT_MANUAL]],PROPERTIES[[#This Row],[TE_COEFFICIENT_CALC]]),3)</f>
        <v>0.15</v>
      </c>
      <c r="V546" s="11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36">
        <v>68</v>
      </c>
      <c r="X546" s="9">
        <v>8</v>
      </c>
      <c r="Y546" s="10">
        <v>0</v>
      </c>
      <c r="Z546" t="s">
        <v>870</v>
      </c>
      <c r="AA546" t="s">
        <v>868</v>
      </c>
      <c r="AB546" s="2" t="s">
        <v>886</v>
      </c>
      <c r="AC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6" s="2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H546" s="10" t="b">
        <v>0</v>
      </c>
      <c r="AY546"/>
      <c r="AZ546"/>
      <c r="BA546"/>
    </row>
    <row r="547" spans="1:53">
      <c r="A547" s="2" t="s">
        <v>568</v>
      </c>
      <c r="B547">
        <v>1965</v>
      </c>
      <c r="C547" cm="1">
        <f t="array" ref="C547">_xlfn.IFS(ISNUMBER(SEARCH("wagon",PROPERTIES[[#This Row],[VEHIDCODE]])),0,OR(MID(PROPERTIES[[#This Row],[VEHIDCODE]],2,2)="mu",_xlfn.TEXTBEFORE(PROPERTIES[[#This Row],[VEHIDCODE]],"_")="mtro"),1,1=1,0)</f>
        <v>1</v>
      </c>
      <c r="D547" t="s">
        <v>1894</v>
      </c>
      <c r="E547" t="str">
        <f>_xlfn.XLOOKUP(PROPERTIES[[#This Row],[COUNTRY]],COUNTRIES[COUNTRY_DESCRIPTION],COUNTRIES[COUNTRY_LABEL],"")</f>
        <v>RO</v>
      </c>
      <c r="F547" t="str" cm="1">
        <f t="array" ref="F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7" t="s">
        <v>17</v>
      </c>
      <c r="H547">
        <f>INT(273/4)</f>
        <v>68</v>
      </c>
      <c r="I547">
        <v>8</v>
      </c>
      <c r="J547">
        <v>8</v>
      </c>
      <c r="K547" t="str" cm="1">
        <f t="array" ref="K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f>IF(ISNUMBER(SEARCH("passenger",PROPERTIES[[#This Row],[CARGODEF]])),1,0)</f>
        <v>1</v>
      </c>
      <c r="O547" s="32">
        <v>35</v>
      </c>
      <c r="P547">
        <v>824</v>
      </c>
      <c r="Q547">
        <v>120</v>
      </c>
      <c r="R547" s="29">
        <v>73.5</v>
      </c>
      <c r="S547" s="28">
        <f>IFERROR(PROPERTIES[[#This Row],[TE_STARTING_KN]]/(PROPERTIES[[#This Row],[WEIGHT]]*9.81),0)</f>
        <v>0.21406727828746175</v>
      </c>
      <c r="T547" s="28">
        <v>0.42</v>
      </c>
      <c r="U547" s="25">
        <f>ROUND(IF(IFERROR(PROPERTIES[[#This Row],[TE_COEFFICIENT_CALC]],0)=0,PROPERTIES[[#This Row],[TE_COEFFICIENT_MANUAL]],PROPERTIES[[#This Row],[TE_COEFFICIENT_CALC]]),3)</f>
        <v>0.214</v>
      </c>
      <c r="V547" s="11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36">
        <f>INT(273/4)</f>
        <v>68</v>
      </c>
      <c r="X547" s="9">
        <v>8</v>
      </c>
      <c r="Y547" s="10">
        <v>0</v>
      </c>
      <c r="Z547" t="s">
        <v>875</v>
      </c>
      <c r="AA547" t="s">
        <v>868</v>
      </c>
      <c r="AB547" s="2" t="s">
        <v>886</v>
      </c>
      <c r="AC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7" s="2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H547" s="10" t="b">
        <v>0</v>
      </c>
      <c r="AY547"/>
      <c r="AZ547"/>
      <c r="BA547"/>
    </row>
    <row r="548" spans="1:53">
      <c r="A548" s="2" t="s">
        <v>569</v>
      </c>
      <c r="B548">
        <v>2010</v>
      </c>
      <c r="C548" cm="1">
        <f t="array" ref="C548">_xlfn.IFS(ISNUMBER(SEARCH("wagon",PROPERTIES[[#This Row],[VEHIDCODE]])),0,OR(MID(PROPERTIES[[#This Row],[VEHIDCODE]],2,2)="mu",_xlfn.TEXTBEFORE(PROPERTIES[[#This Row],[VEHIDCODE]],"_")="mtro"),1,1=1,0)</f>
        <v>1</v>
      </c>
      <c r="D548" t="s">
        <v>1951</v>
      </c>
      <c r="E548" t="str">
        <f>_xlfn.XLOOKUP(PROPERTIES[[#This Row],[COUNTRY]],COUNTRIES[COUNTRY_DESCRIPTION],COUNTRIES[COUNTRY_LABEL],"")</f>
        <v>ZA</v>
      </c>
      <c r="F548" t="str" cm="1">
        <f t="array" ref="F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8" t="s">
        <v>17</v>
      </c>
      <c r="H548">
        <v>64</v>
      </c>
      <c r="I548">
        <v>8</v>
      </c>
      <c r="J548">
        <v>8</v>
      </c>
      <c r="K548" t="str" cm="1">
        <f t="array" ref="K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8">
        <f>_xlfn.XLOOKUP("LOADINGSPEEDDEF_"&amp;PROPERTIES[[#This Row],[LOADINGSPEED]],LOADINGSPEEDDEF[TYPE],LOADINGSPEEDDEF[SPEED])</f>
        <v>40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f>IF(ISNUMBER(SEARCH("passenger",PROPERTIES[[#This Row],[CARGODEF]])),1,0)</f>
        <v>1</v>
      </c>
      <c r="O548" s="32">
        <v>42</v>
      </c>
      <c r="P548">
        <v>2253</v>
      </c>
      <c r="Q548">
        <v>160</v>
      </c>
      <c r="R548" s="29">
        <f>150/2</f>
        <v>75</v>
      </c>
      <c r="S548" s="28">
        <f>IFERROR(PROPERTIES[[#This Row],[TE_STARTING_KN]]/(PROPERTIES[[#This Row],[WEIGHT]]*9.81),0)</f>
        <v>0.18202999854376001</v>
      </c>
      <c r="T548" s="28">
        <v>0.3</v>
      </c>
      <c r="U548" s="25">
        <f>ROUND(IF(IFERROR(PROPERTIES[[#This Row],[TE_COEFFICIENT_CALC]],0)=0,PROPERTIES[[#This Row],[TE_COEFFICIENT_MANUAL]],PROPERTIES[[#This Row],[TE_COEFFICIENT_CALC]]),3)</f>
        <v>0.182</v>
      </c>
      <c r="V548" s="11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36">
        <v>64</v>
      </c>
      <c r="X548" s="9">
        <v>8</v>
      </c>
      <c r="Y548" s="10">
        <v>0</v>
      </c>
      <c r="Z548" t="s">
        <v>872</v>
      </c>
      <c r="AA548" t="s">
        <v>868</v>
      </c>
      <c r="AB548" s="2" t="s">
        <v>886</v>
      </c>
      <c r="AC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8" s="2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H548" s="10" t="b">
        <v>0</v>
      </c>
      <c r="AY548"/>
      <c r="AZ548"/>
      <c r="BA548"/>
    </row>
    <row r="549" spans="1:53">
      <c r="A549" s="2" t="s">
        <v>570</v>
      </c>
      <c r="B549">
        <v>1955</v>
      </c>
      <c r="C549" cm="1">
        <f t="array" ref="C549">_xlfn.IFS(ISNUMBER(SEARCH("wagon",PROPERTIES[[#This Row],[VEHIDCODE]])),0,OR(MID(PROPERTIES[[#This Row],[VEHIDCODE]],2,2)="mu",_xlfn.TEXTBEFORE(PROPERTIES[[#This Row],[VEHIDCODE]],"_")="mtro"),1,1=1,0)</f>
        <v>1</v>
      </c>
      <c r="D549" t="s">
        <v>2208</v>
      </c>
      <c r="E549" t="str">
        <f>_xlfn.XLOOKUP(PROPERTIES[[#This Row],[COUNTRY]],COUNTRIES[COUNTRY_DESCRIPTION],COUNTRIES[COUNTRY_LABEL],"")</f>
        <v>TR</v>
      </c>
      <c r="F549" t="str" cm="1">
        <f t="array" ref="F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9" t="s">
        <v>17</v>
      </c>
      <c r="H549">
        <v>81</v>
      </c>
      <c r="I549">
        <v>8</v>
      </c>
      <c r="J549">
        <v>8</v>
      </c>
      <c r="K549" t="str" cm="1">
        <f t="array" ref="K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f>IF(ISNUMBER(SEARCH("passenger",PROPERTIES[[#This Row],[CARGODEF]])),1,0)</f>
        <v>1</v>
      </c>
      <c r="O549" s="32">
        <v>40</v>
      </c>
      <c r="P549">
        <v>1100</v>
      </c>
      <c r="Q549">
        <v>90</v>
      </c>
      <c r="R549" s="29">
        <f>140/2</f>
        <v>70</v>
      </c>
      <c r="S549" s="28">
        <f>IFERROR(PROPERTIES[[#This Row],[TE_STARTING_KN]]/(PROPERTIES[[#This Row],[WEIGHT]]*9.81),0)</f>
        <v>0.1783893985728848</v>
      </c>
      <c r="T549" s="28">
        <v>0.2</v>
      </c>
      <c r="U549" s="25">
        <f>ROUND(IF(IFERROR(PROPERTIES[[#This Row],[TE_COEFFICIENT_CALC]],0)=0,PROPERTIES[[#This Row],[TE_COEFFICIENT_MANUAL]],PROPERTIES[[#This Row],[TE_COEFFICIENT_CALC]]),3)</f>
        <v>0.17799999999999999</v>
      </c>
      <c r="V549" s="11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36">
        <v>81</v>
      </c>
      <c r="X549" s="9">
        <v>8</v>
      </c>
      <c r="Y549" s="10">
        <v>0</v>
      </c>
      <c r="Z549" t="s">
        <v>877</v>
      </c>
      <c r="AA549" t="s">
        <v>868</v>
      </c>
      <c r="AB549" s="2" t="s">
        <v>886</v>
      </c>
      <c r="AC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9" s="2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H549" s="10" t="b">
        <v>0</v>
      </c>
      <c r="AY549"/>
      <c r="AZ549"/>
      <c r="BA549"/>
    </row>
    <row r="550" spans="1:53">
      <c r="A550" s="2" t="s">
        <v>571</v>
      </c>
      <c r="B550">
        <v>2010</v>
      </c>
      <c r="C550" cm="1">
        <f t="array" ref="C550">_xlfn.IFS(ISNUMBER(SEARCH("wagon",PROPERTIES[[#This Row],[VEHIDCODE]])),0,OR(MID(PROPERTIES[[#This Row],[VEHIDCODE]],2,2)="mu",_xlfn.TEXTBEFORE(PROPERTIES[[#This Row],[VEHIDCODE]],"_")="mtro"),1,1=1,0)</f>
        <v>1</v>
      </c>
      <c r="D550" t="s">
        <v>1754</v>
      </c>
      <c r="E550" t="str">
        <f>_xlfn.XLOOKUP(PROPERTIES[[#This Row],[COUNTRY]],COUNTRIES[COUNTRY_DESCRIPTION],COUNTRIES[COUNTRY_LABEL],"")</f>
        <v>CN</v>
      </c>
      <c r="F550" t="str" cm="1">
        <f t="array" ref="F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0" t="s">
        <v>17</v>
      </c>
      <c r="H550">
        <v>70</v>
      </c>
      <c r="I550">
        <v>8</v>
      </c>
      <c r="J550">
        <v>8</v>
      </c>
      <c r="K550" t="str" cm="1">
        <f t="array" ref="K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0">
        <f>_xlfn.XLOOKUP("LOADINGSPEEDDEF_"&amp;PROPERTIES[[#This Row],[LOADINGSPEED]],LOADINGSPEEDDEF[TYPE],LOADINGSPEEDDEF[SPEED])</f>
        <v>16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f>IF(ISNUMBER(SEARCH("passenger",PROPERTIES[[#This Row],[CARGODEF]])),1,0)</f>
        <v>1</v>
      </c>
      <c r="O550" s="32">
        <v>48</v>
      </c>
      <c r="P550">
        <f>12840/8*2</f>
        <v>3210</v>
      </c>
      <c r="Q550">
        <v>350</v>
      </c>
      <c r="R550" s="29">
        <v>60</v>
      </c>
      <c r="S550" s="28">
        <f>IFERROR(PROPERTIES[[#This Row],[TE_STARTING_KN]]/(PROPERTIES[[#This Row],[WEIGHT]]*9.81),0)</f>
        <v>0.127420998980632</v>
      </c>
      <c r="T550" s="28">
        <v>0.14000000000000001</v>
      </c>
      <c r="U550" s="25">
        <f>ROUND(IF(IFERROR(PROPERTIES[[#This Row],[TE_COEFFICIENT_CALC]],0)=0,PROPERTIES[[#This Row],[TE_COEFFICIENT_MANUAL]],PROPERTIES[[#This Row],[TE_COEFFICIENT_CALC]]),3)</f>
        <v>0.127</v>
      </c>
      <c r="V550" s="11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36">
        <v>70</v>
      </c>
      <c r="X550" s="9">
        <v>8</v>
      </c>
      <c r="Y550" s="10">
        <v>0</v>
      </c>
      <c r="Z550" t="s">
        <v>877</v>
      </c>
      <c r="AA550" t="s">
        <v>868</v>
      </c>
      <c r="AB550" s="2" t="s">
        <v>886</v>
      </c>
      <c r="AC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0" s="2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H550" s="10" t="b">
        <v>0</v>
      </c>
      <c r="AY550"/>
      <c r="AZ550"/>
      <c r="BA550"/>
    </row>
    <row r="551" spans="1:53">
      <c r="A551" s="2" t="s">
        <v>572</v>
      </c>
      <c r="B551">
        <v>1908</v>
      </c>
      <c r="C551" cm="1">
        <f t="array" ref="C551">_xlfn.IFS(ISNUMBER(SEARCH("wagon",PROPERTIES[[#This Row],[VEHIDCODE]])),0,OR(MID(PROPERTIES[[#This Row],[VEHIDCODE]],2,2)="mu",_xlfn.TEXTBEFORE(PROPERTIES[[#This Row],[VEHIDCODE]],"_")="mtro"),1,1=1,0)</f>
        <v>1</v>
      </c>
      <c r="D551" t="s">
        <v>1937</v>
      </c>
      <c r="E551" t="str">
        <f>_xlfn.XLOOKUP(PROPERTIES[[#This Row],[COUNTRY]],COUNTRIES[COUNTRY_DESCRIPTION],COUNTRIES[COUNTRY_LABEL],"")</f>
        <v>US</v>
      </c>
      <c r="F551" t="str" cm="1">
        <f t="array" ref="F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1" t="s">
        <v>17</v>
      </c>
      <c r="H551">
        <v>72</v>
      </c>
      <c r="I551">
        <v>8</v>
      </c>
      <c r="J551">
        <v>8</v>
      </c>
      <c r="K551" t="str" cm="1">
        <f t="array" ref="K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f>IF(ISNUMBER(SEARCH("passenger",PROPERTIES[[#This Row],[CARGODEF]])),1,0)</f>
        <v>1</v>
      </c>
      <c r="O551" s="32">
        <v>54</v>
      </c>
      <c r="P551">
        <v>450</v>
      </c>
      <c r="Q551">
        <v>105</v>
      </c>
      <c r="R551" s="29">
        <v>80</v>
      </c>
      <c r="S551" s="28">
        <f>IFERROR(PROPERTIES[[#This Row],[TE_STARTING_KN]]/(PROPERTIES[[#This Row],[WEIGHT]]*9.81),0)</f>
        <v>0.15101748027334164</v>
      </c>
      <c r="T551" s="28">
        <v>0.22</v>
      </c>
      <c r="U551" s="25">
        <f>ROUND(IF(IFERROR(PROPERTIES[[#This Row],[TE_COEFFICIENT_CALC]],0)=0,PROPERTIES[[#This Row],[TE_COEFFICIENT_MANUAL]],PROPERTIES[[#This Row],[TE_COEFFICIENT_CALC]]),3)</f>
        <v>0.151</v>
      </c>
      <c r="V551" s="11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36">
        <v>72</v>
      </c>
      <c r="X551" s="9">
        <v>8</v>
      </c>
      <c r="Y551" s="10">
        <v>0</v>
      </c>
      <c r="Z551" t="s">
        <v>874</v>
      </c>
      <c r="AA551" t="s">
        <v>868</v>
      </c>
      <c r="AB551" s="2" t="s">
        <v>886</v>
      </c>
      <c r="AC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1" s="2" t="str">
        <f>SUBSTITUTE(SUBSTITUTE(PROPERTIES[[#This Row],[PURCHASECOST_VALUE]], "PURCHASECOST_", ""), "_VALUE", "")</f>
        <v>EMU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H551" s="10" t="b">
        <v>0</v>
      </c>
      <c r="AY551"/>
      <c r="AZ551"/>
      <c r="BA551"/>
    </row>
    <row r="552" spans="1:53">
      <c r="A552" s="2" t="s">
        <v>573</v>
      </c>
      <c r="B552">
        <v>2011</v>
      </c>
      <c r="C552" cm="1">
        <f t="array" ref="C552">_xlfn.IFS(ISNUMBER(SEARCH("wagon",PROPERTIES[[#This Row],[VEHIDCODE]])),0,OR(MID(PROPERTIES[[#This Row],[VEHIDCODE]],2,2)="mu",_xlfn.TEXTBEFORE(PROPERTIES[[#This Row],[VEHIDCODE]],"_")="mtro"),1,1=1,0)</f>
        <v>1</v>
      </c>
      <c r="D552" t="s">
        <v>1815</v>
      </c>
      <c r="E552" t="str">
        <f>_xlfn.XLOOKUP(PROPERTIES[[#This Row],[COUNTRY]],COUNTRIES[COUNTRY_DESCRIPTION],COUNTRIES[COUNTRY_LABEL],"")</f>
        <v>IT</v>
      </c>
      <c r="F552" t="str" cm="1">
        <f t="array" ref="F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2" t="s">
        <v>17</v>
      </c>
      <c r="H552">
        <v>42</v>
      </c>
      <c r="I552">
        <v>8</v>
      </c>
      <c r="J552">
        <v>8</v>
      </c>
      <c r="K552" t="str" cm="1">
        <f t="array" ref="K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f>IF(ISNUMBER(SEARCH("passenger",PROPERTIES[[#This Row],[CARGODEF]])),1,0)</f>
        <v>1</v>
      </c>
      <c r="O552" s="32">
        <f>272/7</f>
        <v>38.857142857142854</v>
      </c>
      <c r="P552">
        <f>1020*2</f>
        <v>2040</v>
      </c>
      <c r="Q552">
        <v>360</v>
      </c>
      <c r="R552" s="29">
        <v>30</v>
      </c>
      <c r="S552" s="28">
        <f>IFERROR(PROPERTIES[[#This Row],[TE_STARTING_KN]]/(PROPERTIES[[#This Row],[WEIGHT]]*9.81),0)</f>
        <v>7.8701205252743295E-2</v>
      </c>
      <c r="T552" s="28">
        <v>0.9</v>
      </c>
      <c r="U552" s="25">
        <f>ROUND(IF(IFERROR(PROPERTIES[[#This Row],[TE_COEFFICIENT_CALC]],0)=0,PROPERTIES[[#This Row],[TE_COEFFICIENT_MANUAL]],PROPERTIES[[#This Row],[TE_COEFFICIENT_CALC]]),3)</f>
        <v>7.9000000000000001E-2</v>
      </c>
      <c r="V552" s="11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36">
        <v>42</v>
      </c>
      <c r="X552" s="9">
        <v>7</v>
      </c>
      <c r="Y552" s="10">
        <v>0</v>
      </c>
      <c r="Z552" t="s">
        <v>870</v>
      </c>
      <c r="AA552" t="s">
        <v>868</v>
      </c>
      <c r="AB552" s="2" t="s">
        <v>886</v>
      </c>
      <c r="AC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2" s="2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H552" s="10" t="b">
        <v>0</v>
      </c>
      <c r="AY552"/>
      <c r="AZ552"/>
      <c r="BA552"/>
    </row>
    <row r="553" spans="1:53">
      <c r="A553" s="2" t="s">
        <v>574</v>
      </c>
      <c r="B553">
        <v>2015</v>
      </c>
      <c r="C553" cm="1">
        <f t="array" ref="C553">_xlfn.IFS(ISNUMBER(SEARCH("wagon",PROPERTIES[[#This Row],[VEHIDCODE]])),0,OR(MID(PROPERTIES[[#This Row],[VEHIDCODE]],2,2)="mu",_xlfn.TEXTBEFORE(PROPERTIES[[#This Row],[VEHIDCODE]],"_")="mtro"),1,1=1,0)</f>
        <v>1</v>
      </c>
      <c r="D553" t="s">
        <v>1815</v>
      </c>
      <c r="E553" t="str">
        <f>_xlfn.XLOOKUP(PROPERTIES[[#This Row],[COUNTRY]],COUNTRIES[COUNTRY_DESCRIPTION],COUNTRIES[COUNTRY_LABEL],"")</f>
        <v>IT</v>
      </c>
      <c r="F553" t="str" cm="1">
        <f t="array" ref="F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3" t="s">
        <v>17</v>
      </c>
      <c r="H553">
        <v>80</v>
      </c>
      <c r="I553">
        <v>8</v>
      </c>
      <c r="J553">
        <v>8</v>
      </c>
      <c r="K553" t="str" cm="1">
        <f t="array" ref="K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f>IF(ISNUMBER(SEARCH("passenger",PROPERTIES[[#This Row],[CARGODEF]])),1,0)</f>
        <v>1</v>
      </c>
      <c r="O553" s="32">
        <v>44</v>
      </c>
      <c r="P553">
        <f>INT(9000*1.38/8)*2</f>
        <v>3104</v>
      </c>
      <c r="Q553">
        <v>360</v>
      </c>
      <c r="R553" s="29">
        <v>200</v>
      </c>
      <c r="S553" s="28">
        <f>IFERROR(PROPERTIES[[#This Row],[TE_STARTING_KN]]/(PROPERTIES[[#This Row],[WEIGHT]]*9.81),0)</f>
        <v>0.46334908720229817</v>
      </c>
      <c r="T553" s="28">
        <v>0.83</v>
      </c>
      <c r="U553" s="25">
        <f>ROUND(IF(IFERROR(PROPERTIES[[#This Row],[TE_COEFFICIENT_CALC]],0)=0,PROPERTIES[[#This Row],[TE_COEFFICIENT_MANUAL]],PROPERTIES[[#This Row],[TE_COEFFICIENT_CALC]]),3)</f>
        <v>0.46300000000000002</v>
      </c>
      <c r="V553" s="11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36">
        <v>100</v>
      </c>
      <c r="X553" s="9">
        <v>7</v>
      </c>
      <c r="Y553" s="10">
        <v>0</v>
      </c>
      <c r="Z553" t="s">
        <v>870</v>
      </c>
      <c r="AA553" t="s">
        <v>868</v>
      </c>
      <c r="AB553" s="2" t="s">
        <v>886</v>
      </c>
      <c r="AC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3" s="2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H553" s="10" t="b">
        <v>0</v>
      </c>
      <c r="AY553"/>
      <c r="AZ553"/>
      <c r="BA553"/>
    </row>
    <row r="554" spans="1:53">
      <c r="A554" s="2" t="s">
        <v>575</v>
      </c>
      <c r="B554">
        <v>2012</v>
      </c>
      <c r="C554" cm="1">
        <f t="array" ref="C554">_xlfn.IFS(ISNUMBER(SEARCH("wagon",PROPERTIES[[#This Row],[VEHIDCODE]])),0,OR(MID(PROPERTIES[[#This Row],[VEHIDCODE]],2,2)="mu",_xlfn.TEXTBEFORE(PROPERTIES[[#This Row],[VEHIDCODE]],"_")="mtro"),1,1=1,0)</f>
        <v>1</v>
      </c>
      <c r="D554" t="s">
        <v>1871</v>
      </c>
      <c r="E554" t="str">
        <f>_xlfn.XLOOKUP(PROPERTIES[[#This Row],[COUNTRY]],COUNTRIES[COUNTRY_DESCRIPTION],COUNTRIES[COUNTRY_LABEL],"")</f>
        <v>NL</v>
      </c>
      <c r="F554" t="str" cm="1">
        <f t="array" ref="F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4" t="s">
        <v>17</v>
      </c>
      <c r="H554">
        <v>71</v>
      </c>
      <c r="I554">
        <v>8</v>
      </c>
      <c r="J554">
        <v>8</v>
      </c>
      <c r="K554" t="str" cm="1">
        <f t="array" ref="K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4">
        <f>_xlfn.XLOOKUP("LOADINGSPEEDDEF_"&amp;PROPERTIES[[#This Row],[LOADINGSPEED]],LOADINGSPEEDDEF[TYPE],LOADINGSPEEDDEF[SPEED])</f>
        <v>16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f>IF(ISNUMBER(SEARCH("passenger",PROPERTIES[[#This Row],[CARGODEF]])),1,0)</f>
        <v>1</v>
      </c>
      <c r="O554" s="32">
        <v>61</v>
      </c>
      <c r="P554">
        <f>1810*2</f>
        <v>3620</v>
      </c>
      <c r="Q554">
        <v>251</v>
      </c>
      <c r="R554" s="29">
        <f>300/2</f>
        <v>150</v>
      </c>
      <c r="S554" s="28">
        <f>IFERROR(PROPERTIES[[#This Row],[TE_STARTING_KN]]/(PROPERTIES[[#This Row],[WEIGHT]]*9.81),0)</f>
        <v>0.25066426028976785</v>
      </c>
      <c r="T554" s="28">
        <v>0.52</v>
      </c>
      <c r="U554" s="25">
        <f>ROUND(IF(IFERROR(PROPERTIES[[#This Row],[TE_COEFFICIENT_CALC]],0)=0,PROPERTIES[[#This Row],[TE_COEFFICIENT_MANUAL]],PROPERTIES[[#This Row],[TE_COEFFICIENT_CALC]]),3)</f>
        <v>0.251</v>
      </c>
      <c r="V554" s="11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36">
        <v>71</v>
      </c>
      <c r="X554" s="9">
        <v>8</v>
      </c>
      <c r="Y554" s="10">
        <v>0</v>
      </c>
      <c r="Z554" t="s">
        <v>869</v>
      </c>
      <c r="AA554" t="s">
        <v>868</v>
      </c>
      <c r="AB554" s="2" t="s">
        <v>886</v>
      </c>
      <c r="AC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4" s="2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H554" s="10" t="b">
        <v>0</v>
      </c>
      <c r="AY554"/>
      <c r="AZ554"/>
      <c r="BA554"/>
    </row>
    <row r="555" spans="1:53">
      <c r="A555" s="2" t="s">
        <v>576</v>
      </c>
      <c r="B555">
        <v>2012</v>
      </c>
      <c r="C555" cm="1">
        <f t="array" ref="C555">_xlfn.IFS(ISNUMBER(SEARCH("wagon",PROPERTIES[[#This Row],[VEHIDCODE]])),0,OR(MID(PROPERTIES[[#This Row],[VEHIDCODE]],2,2)="mu",_xlfn.TEXTBEFORE(PROPERTIES[[#This Row],[VEHIDCODE]],"_")="mtro"),1,1=1,0)</f>
        <v>1</v>
      </c>
      <c r="D555" t="s">
        <v>1871</v>
      </c>
      <c r="E555" t="str">
        <f>_xlfn.XLOOKUP(PROPERTIES[[#This Row],[COUNTRY]],COUNTRIES[COUNTRY_DESCRIPTION],COUNTRIES[COUNTRY_LABEL],"")</f>
        <v>NL</v>
      </c>
      <c r="F555" t="str" cm="1">
        <f t="array" ref="F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5" t="s">
        <v>17</v>
      </c>
      <c r="H555">
        <v>42</v>
      </c>
      <c r="I555">
        <v>8</v>
      </c>
      <c r="J555">
        <v>8</v>
      </c>
      <c r="K555" t="str" cm="1">
        <f t="array" ref="K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f>IF(ISNUMBER(SEARCH("passenger",PROPERTIES[[#This Row],[CARGODEF]])),1,0)</f>
        <v>1</v>
      </c>
      <c r="O555" s="32">
        <v>52</v>
      </c>
      <c r="P555">
        <f>2213*2</f>
        <v>4426</v>
      </c>
      <c r="Q555">
        <v>300</v>
      </c>
      <c r="R555" s="29">
        <v>150</v>
      </c>
      <c r="S555" s="28">
        <f>IFERROR(PROPERTIES[[#This Row],[TE_STARTING_KN]]/(PROPERTIES[[#This Row],[WEIGHT]]*9.81),0)</f>
        <v>0.29404845918607386</v>
      </c>
      <c r="T555" s="28">
        <v>0.8</v>
      </c>
      <c r="U555" s="25">
        <f>ROUND(IF(IFERROR(PROPERTIES[[#This Row],[TE_COEFFICIENT_CALC]],0)=0,PROPERTIES[[#This Row],[TE_COEFFICIENT_MANUAL]],PROPERTIES[[#This Row],[TE_COEFFICIENT_CALC]]),3)</f>
        <v>0.29399999999999998</v>
      </c>
      <c r="V555" s="11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36">
        <v>42</v>
      </c>
      <c r="X555" s="9">
        <v>8</v>
      </c>
      <c r="Y555" s="10">
        <v>0</v>
      </c>
      <c r="Z555" t="s">
        <v>869</v>
      </c>
      <c r="AA555" t="s">
        <v>868</v>
      </c>
      <c r="AB555" s="2" t="s">
        <v>887</v>
      </c>
      <c r="AC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5" s="2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H555" s="10" t="b">
        <v>0</v>
      </c>
      <c r="AY555"/>
      <c r="AZ555"/>
      <c r="BA555"/>
    </row>
    <row r="556" spans="1:53">
      <c r="A556" s="2" t="s">
        <v>577</v>
      </c>
      <c r="B556">
        <v>1961</v>
      </c>
      <c r="C556" cm="1">
        <f t="array" ref="C556">_xlfn.IFS(ISNUMBER(SEARCH("wagon",PROPERTIES[[#This Row],[VEHIDCODE]])),0,OR(MID(PROPERTIES[[#This Row],[VEHIDCODE]],2,2)="mu",_xlfn.TEXTBEFORE(PROPERTIES[[#This Row],[VEHIDCODE]],"_")="mtro"),1,1=1,0)</f>
        <v>1</v>
      </c>
      <c r="D556" t="s">
        <v>1749</v>
      </c>
      <c r="E556" t="str">
        <f>_xlfn.XLOOKUP(PROPERTIES[[#This Row],[COUNTRY]],COUNTRIES[COUNTRY_DESCRIPTION],COUNTRIES[COUNTRY_LABEL],"")</f>
        <v>CH</v>
      </c>
      <c r="F556" t="str" cm="1">
        <f t="array" ref="F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6" t="s">
        <v>17</v>
      </c>
      <c r="H556">
        <f>INT(168+126+54)/6</f>
        <v>58</v>
      </c>
      <c r="I556">
        <v>8</v>
      </c>
      <c r="J556">
        <v>8</v>
      </c>
      <c r="K556" t="str" cm="1">
        <f t="array" ref="K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6">
        <f>_xlfn.XLOOKUP("LOADINGSPEEDDEF_"&amp;PROPERTIES[[#This Row],[LOADINGSPEED]],LOADINGSPEEDDEF[TYPE],LOADINGSPEEDDEF[SPEED])</f>
        <v>40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f>IF(ISNUMBER(SEARCH("passenger",PROPERTIES[[#This Row],[CARGODEF]])),1,0)</f>
        <v>1</v>
      </c>
      <c r="O556" s="32">
        <f>296/6</f>
        <v>49.333333333333336</v>
      </c>
      <c r="P556">
        <v>3100</v>
      </c>
      <c r="Q556">
        <v>160</v>
      </c>
      <c r="R556" s="29">
        <f>188/2</f>
        <v>94</v>
      </c>
      <c r="S556" s="28">
        <f>IFERROR(PROPERTIES[[#This Row],[TE_STARTING_KN]]/(PROPERTIES[[#This Row],[WEIGHT]]*9.81),0)</f>
        <v>0.19423092817588228</v>
      </c>
      <c r="T556" s="28">
        <v>0.26</v>
      </c>
      <c r="U556" s="25">
        <f>ROUND(IF(IFERROR(PROPERTIES[[#This Row],[TE_COEFFICIENT_CALC]],0)=0,PROPERTIES[[#This Row],[TE_COEFFICIENT_MANUAL]],PROPERTIES[[#This Row],[TE_COEFFICIENT_CALC]]),3)</f>
        <v>0.19400000000000001</v>
      </c>
      <c r="V556" s="11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36">
        <f>INT(168+126+54)/6</f>
        <v>58</v>
      </c>
      <c r="X556" s="9">
        <v>8</v>
      </c>
      <c r="Y556" s="10">
        <v>0</v>
      </c>
      <c r="Z556" t="s">
        <v>869</v>
      </c>
      <c r="AA556" t="s">
        <v>868</v>
      </c>
      <c r="AB556" s="2" t="s">
        <v>886</v>
      </c>
      <c r="AC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6" s="2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H556" s="10" t="b">
        <v>0</v>
      </c>
      <c r="AY556"/>
      <c r="AZ556"/>
      <c r="BA556"/>
    </row>
    <row r="557" spans="1:53">
      <c r="A557" s="2" t="s">
        <v>578</v>
      </c>
      <c r="B557">
        <v>1930</v>
      </c>
      <c r="C557" cm="1">
        <f t="array" ref="C557">_xlfn.IFS(ISNUMBER(SEARCH("wagon",PROPERTIES[[#This Row],[VEHIDCODE]])),0,OR(MID(PROPERTIES[[#This Row],[VEHIDCODE]],2,2)="mu",_xlfn.TEXTBEFORE(PROPERTIES[[#This Row],[VEHIDCODE]],"_")="mtro"),1,1=1,0)</f>
        <v>1</v>
      </c>
      <c r="D557" t="s">
        <v>1937</v>
      </c>
      <c r="E557" t="str">
        <f>_xlfn.XLOOKUP(PROPERTIES[[#This Row],[COUNTRY]],COUNTRIES[COUNTRY_DESCRIPTION],COUNTRIES[COUNTRY_LABEL],"")</f>
        <v>US</v>
      </c>
      <c r="F557" t="str" cm="1">
        <f t="array" ref="F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7" t="s">
        <v>17</v>
      </c>
      <c r="H557">
        <v>82</v>
      </c>
      <c r="I557">
        <v>8</v>
      </c>
      <c r="J557">
        <v>8</v>
      </c>
      <c r="K557" t="str" cm="1">
        <f t="array" ref="K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f>IF(ISNUMBER(SEARCH("passenger",PROPERTIES[[#This Row],[CARGODEF]])),1,0)</f>
        <v>1</v>
      </c>
      <c r="O557" s="32">
        <v>61</v>
      </c>
      <c r="P557">
        <v>1020</v>
      </c>
      <c r="Q557">
        <v>101</v>
      </c>
      <c r="R557" s="29">
        <v>135</v>
      </c>
      <c r="S557" s="28">
        <f>IFERROR(PROPERTIES[[#This Row],[TE_STARTING_KN]]/(PROPERTIES[[#This Row],[WEIGHT]]*9.81),0)</f>
        <v>0.22559783426079105</v>
      </c>
      <c r="T557" s="28">
        <v>0.25</v>
      </c>
      <c r="U557" s="25">
        <f>ROUND(IF(IFERROR(PROPERTIES[[#This Row],[TE_COEFFICIENT_CALC]],0)=0,PROPERTIES[[#This Row],[TE_COEFFICIENT_MANUAL]],PROPERTIES[[#This Row],[TE_COEFFICIENT_CALC]]),3)</f>
        <v>0.22600000000000001</v>
      </c>
      <c r="V557" s="11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36">
        <v>84</v>
      </c>
      <c r="X557" s="9">
        <v>8</v>
      </c>
      <c r="Y557" s="10">
        <v>0</v>
      </c>
      <c r="Z557" t="s">
        <v>874</v>
      </c>
      <c r="AA557" t="s">
        <v>868</v>
      </c>
      <c r="AB557" s="2" t="s">
        <v>886</v>
      </c>
      <c r="AC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7" s="2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H557" s="10" t="b">
        <v>0</v>
      </c>
      <c r="AY557"/>
      <c r="AZ557"/>
      <c r="BA557"/>
    </row>
    <row r="558" spans="1:53">
      <c r="A558" s="2" t="s">
        <v>579</v>
      </c>
      <c r="B558">
        <v>1981</v>
      </c>
      <c r="C558" cm="1">
        <f t="array" ref="C558">_xlfn.IFS(ISNUMBER(SEARCH("wagon",PROPERTIES[[#This Row],[VEHIDCODE]])),0,OR(MID(PROPERTIES[[#This Row],[VEHIDCODE]],2,2)="mu",_xlfn.TEXTBEFORE(PROPERTIES[[#This Row],[VEHIDCODE]],"_")="mtro"),1,1=1,0)</f>
        <v>1</v>
      </c>
      <c r="D558" t="s">
        <v>1781</v>
      </c>
      <c r="E558" t="str">
        <f>_xlfn.XLOOKUP(PROPERTIES[[#This Row],[COUNTRY]],COUNTRIES[COUNTRY_DESCRIPTION],COUNTRIES[COUNTRY_LABEL],"")</f>
        <v>FR</v>
      </c>
      <c r="F558" t="str" cm="1">
        <f t="array" ref="F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8" t="s">
        <v>17</v>
      </c>
      <c r="H558">
        <v>0</v>
      </c>
      <c r="I558">
        <v>8</v>
      </c>
      <c r="J558">
        <v>8</v>
      </c>
      <c r="K558" t="str" cm="1">
        <f t="array" ref="K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f>IF(ISNUMBER(SEARCH("passenger",PROPERTIES[[#This Row],[CARGODEF]])),1,0)</f>
        <v>1</v>
      </c>
      <c r="O558" s="32">
        <v>68</v>
      </c>
      <c r="P558">
        <v>9119</v>
      </c>
      <c r="Q558">
        <v>240</v>
      </c>
      <c r="R558" s="29">
        <f>210/2</f>
        <v>105</v>
      </c>
      <c r="S558" s="28">
        <f>IFERROR(PROPERTIES[[#This Row],[TE_STARTING_KN]]/(PROPERTIES[[#This Row],[WEIGHT]]*9.81),0)</f>
        <v>0.15740241050548659</v>
      </c>
      <c r="T558" s="28">
        <v>0.92</v>
      </c>
      <c r="U558" s="25">
        <f>ROUND(IF(IFERROR(PROPERTIES[[#This Row],[TE_COEFFICIENT_CALC]],0)=0,PROPERTIES[[#This Row],[TE_COEFFICIENT_MANUAL]],PROPERTIES[[#This Row],[TE_COEFFICIENT_CALC]]),3)</f>
        <v>0.157</v>
      </c>
      <c r="V558" s="11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36">
        <v>43</v>
      </c>
      <c r="X558" s="9">
        <v>6</v>
      </c>
      <c r="Y558" s="10">
        <v>0</v>
      </c>
      <c r="Z558" t="s">
        <v>869</v>
      </c>
      <c r="AA558" t="s">
        <v>868</v>
      </c>
      <c r="AB558" s="2" t="s">
        <v>886</v>
      </c>
      <c r="AC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8" s="2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H558" s="10" t="b">
        <v>0</v>
      </c>
      <c r="AY558"/>
      <c r="AZ558"/>
      <c r="BA558"/>
    </row>
    <row r="559" spans="1:53">
      <c r="A559" s="2" t="s">
        <v>580</v>
      </c>
      <c r="B559">
        <v>1995</v>
      </c>
      <c r="C559" cm="1">
        <f t="array" ref="C559">_xlfn.IFS(ISNUMBER(SEARCH("wagon",PROPERTIES[[#This Row],[VEHIDCODE]])),0,OR(MID(PROPERTIES[[#This Row],[VEHIDCODE]],2,2)="mu",_xlfn.TEXTBEFORE(PROPERTIES[[#This Row],[VEHIDCODE]],"_")="mtro"),1,1=1,0)</f>
        <v>1</v>
      </c>
      <c r="D559" t="s">
        <v>1781</v>
      </c>
      <c r="E559" t="str">
        <f>_xlfn.XLOOKUP(PROPERTIES[[#This Row],[COUNTRY]],COUNTRIES[COUNTRY_DESCRIPTION],COUNTRIES[COUNTRY_LABEL],"")</f>
        <v>FR</v>
      </c>
      <c r="F559" t="str" cm="1">
        <f t="array" ref="F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9" t="s">
        <v>17</v>
      </c>
      <c r="H559">
        <v>0</v>
      </c>
      <c r="I559">
        <v>8</v>
      </c>
      <c r="J559">
        <v>8</v>
      </c>
      <c r="K559" t="str" cm="1">
        <f t="array" ref="K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f>IF(ISNUMBER(SEARCH("passenger",PROPERTIES[[#This Row],[CARGODEF]])),1,0)</f>
        <v>1</v>
      </c>
      <c r="O559" s="32">
        <v>68</v>
      </c>
      <c r="P559">
        <v>11800</v>
      </c>
      <c r="Q559">
        <v>320</v>
      </c>
      <c r="R559" s="29">
        <f t="shared" ref="R559" si="0">220/2</f>
        <v>110</v>
      </c>
      <c r="S559" s="28">
        <f>IFERROR(PROPERTIES[[#This Row],[TE_STARTING_KN]]/(PROPERTIES[[#This Row],[WEIGHT]]*9.81),0)</f>
        <v>0.16489776338670023</v>
      </c>
      <c r="T559" s="28">
        <v>0.81</v>
      </c>
      <c r="U559" s="25">
        <f>ROUND(IF(IFERROR(PROPERTIES[[#This Row],[TE_COEFFICIENT_CALC]],0)=0,PROPERTIES[[#This Row],[TE_COEFFICIENT_MANUAL]],PROPERTIES[[#This Row],[TE_COEFFICIENT_CALC]]),3)</f>
        <v>0.16500000000000001</v>
      </c>
      <c r="V559" s="11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36">
        <v>72</v>
      </c>
      <c r="X559" s="9">
        <v>6</v>
      </c>
      <c r="Y559" s="10">
        <v>0</v>
      </c>
      <c r="Z559" t="s">
        <v>869</v>
      </c>
      <c r="AA559" t="s">
        <v>868</v>
      </c>
      <c r="AB559" s="2" t="s">
        <v>886</v>
      </c>
      <c r="AC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9" s="2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H559" s="10" t="b">
        <v>0</v>
      </c>
      <c r="AY559"/>
      <c r="AZ559"/>
      <c r="BA559"/>
    </row>
    <row r="560" spans="1:53">
      <c r="A560" s="2" t="s">
        <v>581</v>
      </c>
      <c r="B560">
        <v>1995</v>
      </c>
      <c r="C560" cm="1">
        <f t="array" ref="C560">_xlfn.IFS(ISNUMBER(SEARCH("wagon",PROPERTIES[[#This Row],[VEHIDCODE]])),0,OR(MID(PROPERTIES[[#This Row],[VEHIDCODE]],2,2)="mu",_xlfn.TEXTBEFORE(PROPERTIES[[#This Row],[VEHIDCODE]],"_")="mtro"),1,1=1,0)</f>
        <v>1</v>
      </c>
      <c r="D560" t="s">
        <v>1781</v>
      </c>
      <c r="E560" t="str">
        <f>_xlfn.XLOOKUP(PROPERTIES[[#This Row],[COUNTRY]],COUNTRIES[COUNTRY_DESCRIPTION],COUNTRIES[COUNTRY_LABEL],"")</f>
        <v>FR</v>
      </c>
      <c r="F560" t="str" cm="1">
        <f t="array" ref="F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0" t="s">
        <v>17</v>
      </c>
      <c r="H560">
        <v>0</v>
      </c>
      <c r="I560">
        <v>8</v>
      </c>
      <c r="J560">
        <v>8</v>
      </c>
      <c r="K560" t="str" cm="1">
        <f t="array" ref="K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f>IF(ISNUMBER(SEARCH("passenger",PROPERTIES[[#This Row],[CARGODEF]])),1,0)</f>
        <v>1</v>
      </c>
      <c r="O560" s="32">
        <v>68</v>
      </c>
      <c r="P560">
        <v>11800</v>
      </c>
      <c r="Q560">
        <v>300</v>
      </c>
      <c r="R560" s="29">
        <f>210/2</f>
        <v>105</v>
      </c>
      <c r="S560" s="28">
        <f>IFERROR(PROPERTIES[[#This Row],[TE_STARTING_KN]]/(PROPERTIES[[#This Row],[WEIGHT]]*9.81),0)</f>
        <v>0.15740241050548659</v>
      </c>
      <c r="T560" s="28">
        <v>0.85</v>
      </c>
      <c r="U560" s="25">
        <f>ROUND(IF(IFERROR(PROPERTIES[[#This Row],[TE_COEFFICIENT_CALC]],0)=0,PROPERTIES[[#This Row],[TE_COEFFICIENT_MANUAL]],PROPERTIES[[#This Row],[TE_COEFFICIENT_CALC]]),3)</f>
        <v>0.157</v>
      </c>
      <c r="V560" s="11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36">
        <v>47</v>
      </c>
      <c r="X560" s="9">
        <v>6</v>
      </c>
      <c r="Y560" s="10">
        <v>0</v>
      </c>
      <c r="Z560" t="s">
        <v>869</v>
      </c>
      <c r="AA560" t="s">
        <v>868</v>
      </c>
      <c r="AB560" s="2" t="s">
        <v>886</v>
      </c>
      <c r="AC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0" s="2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H560" s="10" t="b">
        <v>0</v>
      </c>
      <c r="AY560"/>
      <c r="AZ560"/>
      <c r="BA560"/>
    </row>
    <row r="561" spans="1:53">
      <c r="A561" s="2" t="s">
        <v>582</v>
      </c>
      <c r="B561">
        <v>1999</v>
      </c>
      <c r="C561" cm="1">
        <f t="array" ref="C561">_xlfn.IFS(ISNUMBER(SEARCH("wagon",PROPERTIES[[#This Row],[VEHIDCODE]])),0,OR(MID(PROPERTIES[[#This Row],[VEHIDCODE]],2,2)="mu",_xlfn.TEXTBEFORE(PROPERTIES[[#This Row],[VEHIDCODE]],"_")="mtro"),1,1=1,0)</f>
        <v>1</v>
      </c>
      <c r="D561" t="s">
        <v>1762</v>
      </c>
      <c r="E561" t="str">
        <f>_xlfn.XLOOKUP(PROPERTIES[[#This Row],[COUNTRY]],COUNTRIES[COUNTRY_DESCRIPTION],COUNTRIES[COUNTRY_LABEL],"")</f>
        <v>CZ</v>
      </c>
      <c r="F561" t="str" cm="1">
        <f t="array" ref="F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1" t="s">
        <v>17</v>
      </c>
      <c r="H561">
        <v>47</v>
      </c>
      <c r="I561">
        <v>8</v>
      </c>
      <c r="J561">
        <v>8</v>
      </c>
      <c r="K561" t="str" cm="1">
        <f t="array" ref="K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f>IF(ISNUMBER(SEARCH("passenger",PROPERTIES[[#This Row],[CARGODEF]])),1,0)</f>
        <v>1</v>
      </c>
      <c r="O561" s="32">
        <v>55</v>
      </c>
      <c r="P561">
        <v>1318</v>
      </c>
      <c r="Q561">
        <v>200</v>
      </c>
      <c r="R561" s="29">
        <v>50</v>
      </c>
      <c r="S561" s="28">
        <f>IFERROR(PROPERTIES[[#This Row],[TE_STARTING_KN]]/(PROPERTIES[[#This Row],[WEIGHT]]*9.81),0)</f>
        <v>9.2669817440459629E-2</v>
      </c>
      <c r="T561" s="28">
        <v>0.67</v>
      </c>
      <c r="U561" s="25">
        <f>ROUND(IF(IFERROR(PROPERTIES[[#This Row],[TE_COEFFICIENT_CALC]],0)=0,PROPERTIES[[#This Row],[TE_COEFFICIENT_MANUAL]],PROPERTIES[[#This Row],[TE_COEFFICIENT_CALC]]),3)</f>
        <v>9.2999999999999999E-2</v>
      </c>
      <c r="V561" s="11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36">
        <v>47</v>
      </c>
      <c r="X561" s="9">
        <v>8</v>
      </c>
      <c r="Y561" s="10">
        <v>0</v>
      </c>
      <c r="Z561" t="s">
        <v>875</v>
      </c>
      <c r="AA561" t="s">
        <v>868</v>
      </c>
      <c r="AB561" s="2" t="s">
        <v>886</v>
      </c>
      <c r="AC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1" s="2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H561" s="10" t="b">
        <v>0</v>
      </c>
      <c r="AY561"/>
      <c r="AZ561"/>
      <c r="BA561"/>
    </row>
    <row r="562" spans="1:53">
      <c r="A562" s="2" t="s">
        <v>583</v>
      </c>
      <c r="B562">
        <v>2001</v>
      </c>
      <c r="C562" cm="1">
        <f t="array" ref="C562">_xlfn.IFS(ISNUMBER(SEARCH("wagon",PROPERTIES[[#This Row],[VEHIDCODE]])),0,OR(MID(PROPERTIES[[#This Row],[VEHIDCODE]],2,2)="mu",_xlfn.TEXTBEFORE(PROPERTIES[[#This Row],[VEHIDCODE]],"_")="mtro"),1,1=1,0)</f>
        <v>1</v>
      </c>
      <c r="D562" t="s">
        <v>1774</v>
      </c>
      <c r="E562" t="str">
        <f>_xlfn.XLOOKUP(PROPERTIES[[#This Row],[COUNTRY]],COUNTRIES[COUNTRY_DESCRIPTION],COUNTRIES[COUNTRY_LABEL],"")</f>
        <v>ES</v>
      </c>
      <c r="F562" t="str" cm="1">
        <f t="array" ref="F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2" t="s">
        <v>17</v>
      </c>
      <c r="H562">
        <v>60</v>
      </c>
      <c r="I562">
        <v>8</v>
      </c>
      <c r="J562">
        <v>8</v>
      </c>
      <c r="K562" t="str" cm="1">
        <f t="array" ref="K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2">
        <f>_xlfn.XLOOKUP("LOADINGSPEEDDEF_"&amp;PROPERTIES[[#This Row],[LOADINGSPEED]],LOADINGSPEEDDEF[TYPE],LOADINGSPEEDDEF[SPEED])</f>
        <v>16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f>IF(ISNUMBER(SEARCH("passenger",PROPERTIES[[#This Row],[CARGODEF]])),1,0)</f>
        <v>1</v>
      </c>
      <c r="O562" s="32">
        <v>61</v>
      </c>
      <c r="P562">
        <f>1340*2</f>
        <v>2680</v>
      </c>
      <c r="Q562">
        <v>250</v>
      </c>
      <c r="R562" s="29">
        <v>48</v>
      </c>
      <c r="S562" s="28">
        <f>IFERROR(PROPERTIES[[#This Row],[TE_STARTING_KN]]/(PROPERTIES[[#This Row],[WEIGHT]]*9.81),0)</f>
        <v>8.0212563292725705E-2</v>
      </c>
      <c r="T562" s="28">
        <v>0.36</v>
      </c>
      <c r="U562" s="25">
        <f>ROUND(IF(IFERROR(PROPERTIES[[#This Row],[TE_COEFFICIENT_CALC]],0)=0,PROPERTIES[[#This Row],[TE_COEFFICIENT_MANUAL]],PROPERTIES[[#This Row],[TE_COEFFICIENT_CALC]]),3)</f>
        <v>0.08</v>
      </c>
      <c r="V562" s="11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36">
        <v>60</v>
      </c>
      <c r="X562" s="9">
        <v>8</v>
      </c>
      <c r="Y562" s="10">
        <v>0</v>
      </c>
      <c r="Z562" t="s">
        <v>870</v>
      </c>
      <c r="AA562" t="s">
        <v>868</v>
      </c>
      <c r="AB562" s="2" t="s">
        <v>886</v>
      </c>
      <c r="AC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2" s="2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H562" s="10" t="b">
        <v>0</v>
      </c>
      <c r="AY562"/>
      <c r="AZ562"/>
      <c r="BA562"/>
    </row>
    <row r="563" spans="1:53">
      <c r="A563" s="2" t="s">
        <v>584</v>
      </c>
      <c r="B563">
        <v>1999</v>
      </c>
      <c r="C563" cm="1">
        <f t="array" ref="C563">_xlfn.IFS(ISNUMBER(SEARCH("wagon",PROPERTIES[[#This Row],[VEHIDCODE]])),0,OR(MID(PROPERTIES[[#This Row],[VEHIDCODE]],2,2)="mu",_xlfn.TEXTBEFORE(PROPERTIES[[#This Row],[VEHIDCODE]],"_")="mtro"),1,1=1,0)</f>
        <v>1</v>
      </c>
      <c r="D563" t="s">
        <v>1937</v>
      </c>
      <c r="E563" t="str">
        <f>_xlfn.XLOOKUP(PROPERTIES[[#This Row],[COUNTRY]],COUNTRIES[COUNTRY_DESCRIPTION],COUNTRIES[COUNTRY_LABEL],"")</f>
        <v>US</v>
      </c>
      <c r="F563" t="str" cm="1">
        <f t="array" ref="F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3" t="s">
        <v>17</v>
      </c>
      <c r="H563">
        <v>0</v>
      </c>
      <c r="I563">
        <v>8</v>
      </c>
      <c r="J563">
        <v>8</v>
      </c>
      <c r="K563" t="str" cm="1">
        <f t="array" ref="K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3">
        <f>_xlfn.XLOOKUP("LOADINGSPEEDDEF_"&amp;PROPERTIES[[#This Row],[LOADINGSPEED]],LOADINGSPEEDDEF[TYPE],LOADINGSPEEDDEF[SPEED])</f>
        <v>16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f>IF(ISNUMBER(SEARCH("passenger",PROPERTIES[[#This Row],[CARGODEF]])),1,0)</f>
        <v>1</v>
      </c>
      <c r="O563" s="32">
        <v>93</v>
      </c>
      <c r="P563">
        <v>6200</v>
      </c>
      <c r="Q563">
        <v>240</v>
      </c>
      <c r="R563" s="29">
        <v>220.2</v>
      </c>
      <c r="S563" s="28">
        <f>IFERROR(PROPERTIES[[#This Row],[TE_STARTING_KN]]/(PROPERTIES[[#This Row],[WEIGHT]]*9.81),0)</f>
        <v>0.24136003419815197</v>
      </c>
      <c r="T563" s="28">
        <v>0.24</v>
      </c>
      <c r="U563" s="25">
        <f>ROUND(IF(IFERROR(PROPERTIES[[#This Row],[TE_COEFFICIENT_CALC]],0)=0,PROPERTIES[[#This Row],[TE_COEFFICIENT_MANUAL]],PROPERTIES[[#This Row],[TE_COEFFICIENT_CALC]]),3)</f>
        <v>0.24099999999999999</v>
      </c>
      <c r="V563" s="11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36">
        <v>50</v>
      </c>
      <c r="X563" s="9">
        <v>8</v>
      </c>
      <c r="Y563" s="10">
        <v>0</v>
      </c>
      <c r="Z563" t="s">
        <v>874</v>
      </c>
      <c r="AA563" t="s">
        <v>868</v>
      </c>
      <c r="AB563" s="2" t="s">
        <v>886</v>
      </c>
      <c r="AC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3" s="2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H563" s="10" t="b">
        <v>0</v>
      </c>
      <c r="AY563"/>
      <c r="AZ563"/>
      <c r="BA563"/>
    </row>
    <row r="564" spans="1:53">
      <c r="A564" s="2" t="s">
        <v>585</v>
      </c>
      <c r="B564">
        <v>1880</v>
      </c>
      <c r="C564" cm="1">
        <f t="array" ref="C564">_xlfn.IFS(ISNUMBER(SEARCH("wagon",PROPERTIES[[#This Row],[VEHIDCODE]])),0,OR(MID(PROPERTIES[[#This Row],[VEHIDCODE]],2,2)="mu",_xlfn.TEXTBEFORE(PROPERTIES[[#This Row],[VEHIDCODE]],"_")="mtro"),1,1=1,0)</f>
        <v>0</v>
      </c>
      <c r="D564" t="s">
        <v>1937</v>
      </c>
      <c r="E564" t="str">
        <f>_xlfn.XLOOKUP(PROPERTIES[[#This Row],[COUNTRY]],COUNTRIES[COUNTRY_DESCRIPTION],COUNTRIES[COUNTRY_LABEL],"")</f>
        <v>US</v>
      </c>
      <c r="F564" t="str" cm="1">
        <f t="array" ref="F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4" t="s">
        <v>320</v>
      </c>
      <c r="H564">
        <v>48</v>
      </c>
      <c r="I564">
        <v>7</v>
      </c>
      <c r="J564">
        <v>7</v>
      </c>
      <c r="K564" t="str" cm="1">
        <f t="array" ref="K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f>IF(ISNUMBER(SEARCH("passenger",PROPERTIES[[#This Row],[CARGODEF]])),1,0)</f>
        <v>1</v>
      </c>
      <c r="O564" s="32">
        <v>28</v>
      </c>
      <c r="P564">
        <v>200</v>
      </c>
      <c r="Q564">
        <v>50</v>
      </c>
      <c r="R564" s="29">
        <v>25</v>
      </c>
      <c r="S564" s="28">
        <f>IFERROR(PROPERTIES[[#This Row],[TE_STARTING_KN]]/(PROPERTIES[[#This Row],[WEIGHT]]*9.81),0)</f>
        <v>9.1014999271880004E-2</v>
      </c>
      <c r="T564" s="28">
        <v>0.5</v>
      </c>
      <c r="U564" s="25">
        <f>ROUND(IF(IFERROR(PROPERTIES[[#This Row],[TE_COEFFICIENT_CALC]],0)=0,PROPERTIES[[#This Row],[TE_COEFFICIENT_MANUAL]],PROPERTIES[[#This Row],[TE_COEFFICIENT_CALC]]),3)</f>
        <v>9.0999999999999998E-2</v>
      </c>
      <c r="V564" s="11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36">
        <v>0</v>
      </c>
      <c r="X564" s="9">
        <v>0</v>
      </c>
      <c r="Y564" s="10">
        <v>0</v>
      </c>
      <c r="Z564" t="s">
        <v>874</v>
      </c>
      <c r="AA564" t="s">
        <v>868</v>
      </c>
      <c r="AB564" s="2" t="s">
        <v>886</v>
      </c>
      <c r="AC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4" s="2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H564" s="10" t="b">
        <v>0</v>
      </c>
      <c r="AY564"/>
      <c r="AZ564"/>
      <c r="BA564"/>
    </row>
    <row r="565" spans="1:53">
      <c r="A565" s="2" t="s">
        <v>586</v>
      </c>
      <c r="B565">
        <v>1903</v>
      </c>
      <c r="C565" cm="1">
        <f t="array" ref="C565">_xlfn.IFS(ISNUMBER(SEARCH("wagon",PROPERTIES[[#This Row],[VEHIDCODE]])),0,OR(MID(PROPERTIES[[#This Row],[VEHIDCODE]],2,2)="mu",_xlfn.TEXTBEFORE(PROPERTIES[[#This Row],[VEHIDCODE]],"_")="mtro"),1,1=1,0)</f>
        <v>0</v>
      </c>
      <c r="D565" t="s">
        <v>1805</v>
      </c>
      <c r="E565" t="str">
        <f>_xlfn.XLOOKUP(PROPERTIES[[#This Row],[COUNTRY]],COUNTRIES[COUNTRY_DESCRIPTION],COUNTRIES[COUNTRY_LABEL],"")</f>
        <v>HU</v>
      </c>
      <c r="F565" t="str" cm="1">
        <f t="array" ref="F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5" t="s">
        <v>320</v>
      </c>
      <c r="H565">
        <v>46</v>
      </c>
      <c r="I565">
        <v>8</v>
      </c>
      <c r="J565">
        <v>8</v>
      </c>
      <c r="K565" t="str" cm="1">
        <f t="array" ref="K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f>IF(ISNUMBER(SEARCH("passenger",PROPERTIES[[#This Row],[CARGODEF]])),1,0)</f>
        <v>1</v>
      </c>
      <c r="O565" s="32">
        <v>16.5</v>
      </c>
      <c r="P565">
        <v>200</v>
      </c>
      <c r="Q565">
        <v>60</v>
      </c>
      <c r="R565" s="29">
        <v>18</v>
      </c>
      <c r="S565" s="28">
        <f>IFERROR(PROPERTIES[[#This Row],[TE_STARTING_KN]]/(PROPERTIES[[#This Row],[WEIGHT]]*9.81),0)</f>
        <v>0.11120378092855157</v>
      </c>
      <c r="T565" s="28">
        <v>0.32</v>
      </c>
      <c r="U565" s="25">
        <f>ROUND(IF(IFERROR(PROPERTIES[[#This Row],[TE_COEFFICIENT_CALC]],0)=0,PROPERTIES[[#This Row],[TE_COEFFICIENT_MANUAL]],PROPERTIES[[#This Row],[TE_COEFFICIENT_CALC]]),3)</f>
        <v>0.111</v>
      </c>
      <c r="V565" s="11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36">
        <v>0</v>
      </c>
      <c r="X565" s="9">
        <v>0</v>
      </c>
      <c r="Y565" s="10">
        <v>0</v>
      </c>
      <c r="Z565" t="s">
        <v>875</v>
      </c>
      <c r="AA565" t="s">
        <v>868</v>
      </c>
      <c r="AB565" s="2" t="s">
        <v>886</v>
      </c>
      <c r="AC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5" s="2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H565" s="10" t="b">
        <v>0</v>
      </c>
      <c r="AY565"/>
      <c r="AZ565"/>
      <c r="BA565"/>
    </row>
    <row r="566" spans="1:53">
      <c r="A566" s="2" t="s">
        <v>587</v>
      </c>
      <c r="B566">
        <v>1907</v>
      </c>
      <c r="C566" cm="1">
        <f t="array" ref="C566">_xlfn.IFS(ISNUMBER(SEARCH("wagon",PROPERTIES[[#This Row],[VEHIDCODE]])),0,OR(MID(PROPERTIES[[#This Row],[VEHIDCODE]],2,2)="mu",_xlfn.TEXTBEFORE(PROPERTIES[[#This Row],[VEHIDCODE]],"_")="mtro"),1,1=1,0)</f>
        <v>0</v>
      </c>
      <c r="D566" t="s">
        <v>1937</v>
      </c>
      <c r="E566" t="str">
        <f>_xlfn.XLOOKUP(PROPERTIES[[#This Row],[COUNTRY]],COUNTRIES[COUNTRY_DESCRIPTION],COUNTRIES[COUNTRY_LABEL],"")</f>
        <v>US</v>
      </c>
      <c r="F566" t="str" cm="1">
        <f t="array" ref="F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6" t="s">
        <v>320</v>
      </c>
      <c r="H566">
        <v>130</v>
      </c>
      <c r="I566">
        <v>8</v>
      </c>
      <c r="J566">
        <v>8</v>
      </c>
      <c r="K566" t="str" cm="1">
        <f t="array" ref="K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f>IF(ISNUMBER(SEARCH("passenger",PROPERTIES[[#This Row],[CARGODEF]])),1,0)</f>
        <v>1</v>
      </c>
      <c r="O566" s="32">
        <v>31.5</v>
      </c>
      <c r="P566">
        <v>250</v>
      </c>
      <c r="Q566">
        <v>70</v>
      </c>
      <c r="R566" s="29">
        <v>38</v>
      </c>
      <c r="S566" s="28">
        <f>IFERROR(PROPERTIES[[#This Row],[TE_STARTING_KN]]/(PROPERTIES[[#This Row],[WEIGHT]]*9.81),0)</f>
        <v>0.12297137679400674</v>
      </c>
      <c r="T566" s="28">
        <v>0.1</v>
      </c>
      <c r="U566" s="25">
        <f>ROUND(IF(IFERROR(PROPERTIES[[#This Row],[TE_COEFFICIENT_CALC]],0)=0,PROPERTIES[[#This Row],[TE_COEFFICIENT_MANUAL]],PROPERTIES[[#This Row],[TE_COEFFICIENT_CALC]]),3)</f>
        <v>0.123</v>
      </c>
      <c r="V566" s="11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36">
        <v>0</v>
      </c>
      <c r="X566" s="9">
        <v>0</v>
      </c>
      <c r="Y566" s="10">
        <v>0</v>
      </c>
      <c r="Z566" t="s">
        <v>874</v>
      </c>
      <c r="AA566" t="s">
        <v>868</v>
      </c>
      <c r="AB566" s="2" t="s">
        <v>886</v>
      </c>
      <c r="AC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6" s="2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H566" s="10" t="b">
        <v>0</v>
      </c>
      <c r="AY566"/>
      <c r="AZ566"/>
      <c r="BA566"/>
    </row>
    <row r="567" spans="1:53">
      <c r="A567" s="2" t="s">
        <v>588</v>
      </c>
      <c r="B567">
        <v>1929</v>
      </c>
      <c r="C567" cm="1">
        <f t="array" ref="C567">_xlfn.IFS(ISNUMBER(SEARCH("wagon",PROPERTIES[[#This Row],[VEHIDCODE]])),0,OR(MID(PROPERTIES[[#This Row],[VEHIDCODE]],2,2)="mu",_xlfn.TEXTBEFORE(PROPERTIES[[#This Row],[VEHIDCODE]],"_")="mtro"),1,1=1,0)</f>
        <v>0</v>
      </c>
      <c r="D567" t="s">
        <v>1763</v>
      </c>
      <c r="E567" t="str">
        <f>_xlfn.XLOOKUP(PROPERTIES[[#This Row],[COUNTRY]],COUNTRIES[COUNTRY_DESCRIPTION],COUNTRIES[COUNTRY_LABEL],"")</f>
        <v>DE</v>
      </c>
      <c r="F567" t="str" cm="1">
        <f t="array" ref="F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7" t="s">
        <v>320</v>
      </c>
      <c r="H567">
        <v>157</v>
      </c>
      <c r="I567">
        <v>8</v>
      </c>
      <c r="J567">
        <v>8</v>
      </c>
      <c r="K567" t="str" cm="1">
        <f t="array" ref="K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f>IF(ISNUMBER(SEARCH("passenger",PROPERTIES[[#This Row],[CARGODEF]])),1,0)</f>
        <v>1</v>
      </c>
      <c r="O567" s="32">
        <v>45.2</v>
      </c>
      <c r="P567">
        <v>375</v>
      </c>
      <c r="Q567">
        <v>60</v>
      </c>
      <c r="R567" s="29">
        <v>42</v>
      </c>
      <c r="S567" s="28">
        <f>IFERROR(PROPERTIES[[#This Row],[TE_STARTING_KN]]/(PROPERTIES[[#This Row],[WEIGHT]]*9.81),0)</f>
        <v>9.4720034640469811E-2</v>
      </c>
      <c r="T567" s="28">
        <v>7.0000000000000007E-2</v>
      </c>
      <c r="U567" s="25">
        <f>ROUND(IF(IFERROR(PROPERTIES[[#This Row],[TE_COEFFICIENT_CALC]],0)=0,PROPERTIES[[#This Row],[TE_COEFFICIENT_MANUAL]],PROPERTIES[[#This Row],[TE_COEFFICIENT_CALC]]),3)</f>
        <v>9.5000000000000001E-2</v>
      </c>
      <c r="V567" s="11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36">
        <v>0</v>
      </c>
      <c r="X567" s="9">
        <v>0</v>
      </c>
      <c r="Y567" s="10">
        <v>0</v>
      </c>
      <c r="Z567" t="s">
        <v>869</v>
      </c>
      <c r="AA567" t="s">
        <v>868</v>
      </c>
      <c r="AB567" s="2" t="s">
        <v>886</v>
      </c>
      <c r="AC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7" s="2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H567" s="10" t="b">
        <v>0</v>
      </c>
      <c r="AY567"/>
      <c r="AZ567"/>
      <c r="BA567"/>
    </row>
    <row r="568" spans="1:53">
      <c r="A568" s="2" t="s">
        <v>589</v>
      </c>
      <c r="B568">
        <v>2040</v>
      </c>
      <c r="C568" cm="1">
        <f t="array" ref="C568">_xlfn.IFS(ISNUMBER(SEARCH("wagon",PROPERTIES[[#This Row],[VEHIDCODE]])),0,OR(MID(PROPERTIES[[#This Row],[VEHIDCODE]],2,2)="mu",_xlfn.TEXTBEFORE(PROPERTIES[[#This Row],[VEHIDCODE]],"_")="mtro"),1,1=1,0)</f>
        <v>0</v>
      </c>
      <c r="D568" t="s">
        <v>2209</v>
      </c>
      <c r="E568" t="str">
        <f>_xlfn.XLOOKUP(PROPERTIES[[#This Row],[COUNTRY]],COUNTRIES[COUNTRY_DESCRIPTION],COUNTRIES[COUNTRY_LABEL],"")</f>
        <v>WRLD</v>
      </c>
      <c r="F568" t="str" cm="1">
        <f t="array" ref="F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8" t="s">
        <v>17</v>
      </c>
      <c r="H568">
        <v>45</v>
      </c>
      <c r="I568">
        <v>8</v>
      </c>
      <c r="J568">
        <v>4</v>
      </c>
      <c r="K568" t="str" cm="1">
        <f t="array" ref="K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8">
        <f>_xlfn.XLOOKUP("LOADINGSPEEDDEF_"&amp;PROPERTIES[[#This Row],[LOADINGSPEED]],LOADINGSPEEDDEF[TYPE],LOADINGSPEEDDEF[SPEED])</f>
        <v>16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f>IF(ISNUMBER(SEARCH("passenger",PROPERTIES[[#This Row],[CARGODEF]])),1,0)</f>
        <v>1</v>
      </c>
      <c r="O568" s="32">
        <v>30</v>
      </c>
      <c r="P568">
        <v>5070</v>
      </c>
      <c r="Q568">
        <v>753</v>
      </c>
      <c r="R568" s="29">
        <v>0</v>
      </c>
      <c r="S568" s="28">
        <f>IFERROR(PROPERTIES[[#This Row],[TE_STARTING_KN]]/(PROPERTIES[[#This Row],[WEIGHT]]*9.81),0)</f>
        <v>0</v>
      </c>
      <c r="T568" s="28">
        <v>0.28999999999999998</v>
      </c>
      <c r="U568" s="25">
        <f>ROUND(IF(IFERROR(PROPERTIES[[#This Row],[TE_COEFFICIENT_CALC]],0)=0,PROPERTIES[[#This Row],[TE_COEFFICIENT_MANUAL]],PROPERTIES[[#This Row],[TE_COEFFICIENT_CALC]]),3)</f>
        <v>0.28999999999999998</v>
      </c>
      <c r="V568" s="11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36">
        <v>0</v>
      </c>
      <c r="X568" s="9">
        <v>2</v>
      </c>
      <c r="Y568" s="10">
        <v>0</v>
      </c>
      <c r="Z568" t="s">
        <v>882</v>
      </c>
      <c r="AA568" t="s">
        <v>868</v>
      </c>
      <c r="AB568" s="2" t="s">
        <v>887</v>
      </c>
      <c r="AC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D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E568" s="2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H568" s="10" t="b">
        <v>0</v>
      </c>
      <c r="AY568"/>
      <c r="AZ568"/>
      <c r="BA568"/>
    </row>
    <row r="569" spans="1:53">
      <c r="A569" s="2" t="s">
        <v>590</v>
      </c>
      <c r="B569">
        <v>2005</v>
      </c>
      <c r="C569" cm="1">
        <f t="array" ref="C569">_xlfn.IFS(ISNUMBER(SEARCH("wagon",PROPERTIES[[#This Row],[VEHIDCODE]])),0,OR(MID(PROPERTIES[[#This Row],[VEHIDCODE]],2,2)="mu",_xlfn.TEXTBEFORE(PROPERTIES[[#This Row],[VEHIDCODE]],"_")="mtro"),1,1=1,0)</f>
        <v>0</v>
      </c>
      <c r="D569" t="s">
        <v>1763</v>
      </c>
      <c r="E569" t="str">
        <f>_xlfn.XLOOKUP(PROPERTIES[[#This Row],[COUNTRY]],COUNTRIES[COUNTRY_DESCRIPTION],COUNTRIES[COUNTRY_LABEL],"")</f>
        <v>DE</v>
      </c>
      <c r="F569" t="str" cm="1">
        <f t="array" ref="F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9" t="s">
        <v>19</v>
      </c>
      <c r="H569">
        <v>0</v>
      </c>
      <c r="I569">
        <v>8</v>
      </c>
      <c r="J569">
        <v>8</v>
      </c>
      <c r="K569" t="str" cm="1">
        <f t="array" ref="K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69">
        <f>_xlfn.XLOOKUP("LOADINGSPEEDDEF_"&amp;PROPERTIES[[#This Row],[LOADINGSPEED]],LOADINGSPEEDDEF[TYPE],LOADINGSPEEDDEF[SPEED])</f>
        <v>20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f>IF(ISNUMBER(SEARCH("passenger",PROPERTIES[[#This Row],[CARGODEF]])),1,0)</f>
        <v>0</v>
      </c>
      <c r="O569" s="32">
        <v>90</v>
      </c>
      <c r="P569">
        <v>18875</v>
      </c>
      <c r="Q569">
        <v>250</v>
      </c>
      <c r="R569" s="29">
        <v>600</v>
      </c>
      <c r="S569" s="28">
        <f>IFERROR(PROPERTIES[[#This Row],[TE_STARTING_KN]]/(PROPERTIES[[#This Row],[WEIGHT]]*9.81),0)</f>
        <v>0.6795786612300373</v>
      </c>
      <c r="T569" s="28">
        <v>0.35</v>
      </c>
      <c r="U569" s="25">
        <f>ROUND(IF(IFERROR(PROPERTIES[[#This Row],[TE_COEFFICIENT_CALC]],0)=0,PROPERTIES[[#This Row],[TE_COEFFICIENT_MANUAL]],PROPERTIES[[#This Row],[TE_COEFFICIENT_CALC]]),3)</f>
        <v>0.68</v>
      </c>
      <c r="V569" s="11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36">
        <v>0</v>
      </c>
      <c r="X569" s="9">
        <v>0</v>
      </c>
      <c r="Y569" s="10">
        <v>0</v>
      </c>
      <c r="Z569" t="s">
        <v>869</v>
      </c>
      <c r="AA569" t="s">
        <v>868</v>
      </c>
      <c r="AB569" s="2" t="s">
        <v>887</v>
      </c>
      <c r="AC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569" s="2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H569" s="10" t="b">
        <v>0</v>
      </c>
      <c r="AY569"/>
      <c r="AZ569"/>
      <c r="BA569"/>
    </row>
    <row r="570" spans="1:53">
      <c r="A570" s="2" t="s">
        <v>3333</v>
      </c>
      <c r="B570">
        <v>2004</v>
      </c>
      <c r="C570" cm="1">
        <f t="array" ref="C570">_xlfn.IFS(ISNUMBER(SEARCH("wagon",PROPERTIES[[#This Row],[VEHIDCODE]])),0,OR(MID(PROPERTIES[[#This Row],[VEHIDCODE]],2,2)="mu",_xlfn.TEXTBEFORE(PROPERTIES[[#This Row],[VEHIDCODE]],"_")="mtro"),1,1=1,0)</f>
        <v>1</v>
      </c>
      <c r="D570" t="s">
        <v>1754</v>
      </c>
      <c r="E570" t="str">
        <f>_xlfn.XLOOKUP(PROPERTIES[[#This Row],[COUNTRY]],COUNTRIES[COUNTRY_DESCRIPTION],COUNTRIES[COUNTRY_LABEL],"")</f>
        <v>CN</v>
      </c>
      <c r="F570" t="str" cm="1">
        <f t="array" ref="F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0" t="s">
        <v>17</v>
      </c>
      <c r="H570">
        <v>50</v>
      </c>
      <c r="I570">
        <v>8</v>
      </c>
      <c r="J570">
        <v>8</v>
      </c>
      <c r="K570" t="str" cm="1">
        <f t="array" ref="K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f>IF(ISNUMBER(SEARCH("passenger",PROPERTIES[[#This Row],[CARGODEF]])),1,0)</f>
        <v>1</v>
      </c>
      <c r="O570" s="32">
        <v>53</v>
      </c>
      <c r="P570">
        <v>13450</v>
      </c>
      <c r="Q570">
        <v>433</v>
      </c>
      <c r="R570" s="29">
        <v>450</v>
      </c>
      <c r="S570" s="28">
        <f>IFERROR(PROPERTIES[[#This Row],[TE_STARTING_KN]]/(PROPERTIES[[#This Row],[WEIGHT]]*9.81),0)</f>
        <v>0.8655011251514626</v>
      </c>
      <c r="T570" s="28">
        <v>0.3</v>
      </c>
      <c r="U570" s="25">
        <f>ROUND(IF(IFERROR(PROPERTIES[[#This Row],[TE_COEFFICIENT_CALC]],0)=0,PROPERTIES[[#This Row],[TE_COEFFICIENT_MANUAL]],PROPERTIES[[#This Row],[TE_COEFFICIENT_CALC]]),3)</f>
        <v>0.86599999999999999</v>
      </c>
      <c r="V570" s="11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36">
        <v>55</v>
      </c>
      <c r="X570" s="9">
        <v>8</v>
      </c>
      <c r="Y570" s="10">
        <v>0</v>
      </c>
      <c r="Z570" t="s">
        <v>877</v>
      </c>
      <c r="AA570" t="s">
        <v>868</v>
      </c>
      <c r="AB570" s="2" t="s">
        <v>886</v>
      </c>
      <c r="AC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0" s="2" t="str">
        <f>SUBSTITUTE(SUBSTITUTE(PROPERTIES[[#This Row],[PURCHASECOST_VALUE]], "PURCHASECOST_", ""), "_VALUE", "")</f>
        <v>MMU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H570" s="10" t="b">
        <v>0</v>
      </c>
      <c r="AY570"/>
      <c r="AZ570"/>
      <c r="BA570"/>
    </row>
    <row r="571" spans="1:53">
      <c r="A571" s="2" t="s">
        <v>3334</v>
      </c>
      <c r="B571">
        <v>2025</v>
      </c>
      <c r="C571" cm="1">
        <f t="array" ref="C571">_xlfn.IFS(ISNUMBER(SEARCH("wagon",PROPERTIES[[#This Row],[VEHIDCODE]])),0,OR(MID(PROPERTIES[[#This Row],[VEHIDCODE]],2,2)="mu",_xlfn.TEXTBEFORE(PROPERTIES[[#This Row],[VEHIDCODE]],"_")="mtro"),1,1=1,0)</f>
        <v>1</v>
      </c>
      <c r="D571" t="s">
        <v>1819</v>
      </c>
      <c r="E571" t="str">
        <f>_xlfn.XLOOKUP(PROPERTIES[[#This Row],[COUNTRY]],COUNTRIES[COUNTRY_DESCRIPTION],COUNTRIES[COUNTRY_LABEL],"")</f>
        <v>JP</v>
      </c>
      <c r="F571" t="str" cm="1">
        <f t="array" ref="F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1" t="s">
        <v>17</v>
      </c>
      <c r="H571">
        <f>38/2</f>
        <v>19</v>
      </c>
      <c r="I571">
        <v>8</v>
      </c>
      <c r="J571">
        <v>8</v>
      </c>
      <c r="K571" t="str" cm="1">
        <f t="array" ref="K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f>IF(ISNUMBER(SEARCH("passenger",PROPERTIES[[#This Row],[CARGODEF]])),1,0)</f>
        <v>1</v>
      </c>
      <c r="O571" s="32">
        <v>72</v>
      </c>
      <c r="P571">
        <v>20115</v>
      </c>
      <c r="Q571">
        <v>500</v>
      </c>
      <c r="R571" s="29">
        <v>500</v>
      </c>
      <c r="S571" s="28">
        <f>IFERROR(PROPERTIES[[#This Row],[TE_STARTING_KN]]/(PROPERTIES[[#This Row],[WEIGHT]]*9.81),0)</f>
        <v>0.70789443878128888</v>
      </c>
      <c r="T571" s="28">
        <v>0.3</v>
      </c>
      <c r="U571" s="25">
        <f>ROUND(IF(IFERROR(PROPERTIES[[#This Row],[TE_COEFFICIENT_CALC]],0)=0,PROPERTIES[[#This Row],[TE_COEFFICIENT_MANUAL]],PROPERTIES[[#This Row],[TE_COEFFICIENT_CALC]]),3)</f>
        <v>0.70799999999999996</v>
      </c>
      <c r="V571" s="11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36">
        <v>60</v>
      </c>
      <c r="X571" s="9">
        <v>8</v>
      </c>
      <c r="Y571" s="10">
        <v>0</v>
      </c>
      <c r="Z571" t="s">
        <v>877</v>
      </c>
      <c r="AA571" t="s">
        <v>868</v>
      </c>
      <c r="AB571" s="2" t="s">
        <v>887</v>
      </c>
      <c r="AC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1" s="2" t="str">
        <f>SUBSTITUTE(SUBSTITUTE(PROPERTIES[[#This Row],[PURCHASECOST_VALUE]], "PURCHASECOST_", ""), "_VALUE", "")</f>
        <v>MMU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H571" s="10" t="b">
        <v>0</v>
      </c>
      <c r="AY571"/>
      <c r="AZ571"/>
      <c r="BA571"/>
    </row>
    <row r="572" spans="1:53">
      <c r="A572" s="2" t="s">
        <v>866</v>
      </c>
      <c r="B572">
        <v>2010</v>
      </c>
      <c r="C572" cm="1">
        <f t="array" ref="C572">_xlfn.IFS(ISNUMBER(SEARCH("wagon",PROPERTIES[[#This Row],[VEHIDCODE]])),0,OR(MID(PROPERTIES[[#This Row],[VEHIDCODE]],2,2)="mu",_xlfn.TEXTBEFORE(PROPERTIES[[#This Row],[VEHIDCODE]],"_")="mtro"),1,1=1,0)</f>
        <v>0</v>
      </c>
      <c r="E572" t="str">
        <f>_xlfn.XLOOKUP(PROPERTIES[[#This Row],[COUNTRY]],COUNTRIES[COUNTRY_DESCRIPTION],COUNTRIES[COUNTRY_LABEL],"")</f>
        <v/>
      </c>
      <c r="F572" t="str" cm="1">
        <f t="array" ref="F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2" t="s">
        <v>2925</v>
      </c>
      <c r="H572">
        <v>74</v>
      </c>
      <c r="I572">
        <v>8</v>
      </c>
      <c r="J572">
        <v>8</v>
      </c>
      <c r="K572" t="str" cm="1">
        <f t="array" ref="K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f>IF(ISNUMBER(SEARCH("passenger",PROPERTIES[[#This Row],[CARGODEF]])),1,0)</f>
        <v>0</v>
      </c>
      <c r="O572" s="32">
        <v>27</v>
      </c>
      <c r="P572">
        <v>0</v>
      </c>
      <c r="Q572">
        <v>160</v>
      </c>
      <c r="R572" s="29">
        <v>0</v>
      </c>
      <c r="S572" s="28">
        <f>IFERROR(PROPERTIES[[#This Row],[TE_STARTING_KN]]/(PROPERTIES[[#This Row],[WEIGHT]]*9.81),0)</f>
        <v>0</v>
      </c>
      <c r="T572" s="28">
        <v>0.3</v>
      </c>
      <c r="U572" s="25">
        <f>ROUND(IF(IFERROR(PROPERTIES[[#This Row],[TE_COEFFICIENT_CALC]],0)=0,PROPERTIES[[#This Row],[TE_COEFFICIENT_MANUAL]],PROPERTIES[[#This Row],[TE_COEFFICIENT_CALC]]),3)</f>
        <v>0.3</v>
      </c>
      <c r="V572" s="11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36">
        <v>0</v>
      </c>
      <c r="X572" s="9">
        <v>0</v>
      </c>
      <c r="Y572" s="10">
        <v>0</v>
      </c>
      <c r="Z572" t="s">
        <v>882</v>
      </c>
      <c r="AA572" t="s">
        <v>868</v>
      </c>
      <c r="AB572" s="2" t="s">
        <v>887</v>
      </c>
      <c r="AC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2" s="2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H572" s="10" t="b">
        <v>0</v>
      </c>
      <c r="AY572"/>
      <c r="AZ572"/>
      <c r="BA572"/>
    </row>
    <row r="573" spans="1:53">
      <c r="A573" s="2" t="s">
        <v>850</v>
      </c>
      <c r="B573">
        <v>2010</v>
      </c>
      <c r="C573" cm="1">
        <f t="array" ref="C573">_xlfn.IFS(ISNUMBER(SEARCH("wagon",PROPERTIES[[#This Row],[VEHIDCODE]])),0,OR(MID(PROPERTIES[[#This Row],[VEHIDCODE]],2,2)="mu",_xlfn.TEXTBEFORE(PROPERTIES[[#This Row],[VEHIDCODE]],"_")="mtro"),1,1=1,0)</f>
        <v>0</v>
      </c>
      <c r="E573" t="str">
        <f>_xlfn.XLOOKUP(PROPERTIES[[#This Row],[COUNTRY]],COUNTRIES[COUNTRY_DESCRIPTION],COUNTRIES[COUNTRY_LABEL],"")</f>
        <v/>
      </c>
      <c r="F573" t="str" cm="1">
        <f t="array" ref="F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3" t="s">
        <v>2928</v>
      </c>
      <c r="H573">
        <v>74</v>
      </c>
      <c r="I573">
        <v>8</v>
      </c>
      <c r="J573">
        <v>8</v>
      </c>
      <c r="K573" t="str" cm="1">
        <f t="array" ref="K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f>IF(ISNUMBER(SEARCH("passenger",PROPERTIES[[#This Row],[CARGODEF]])),1,0)</f>
        <v>0</v>
      </c>
      <c r="O573" s="32">
        <v>27</v>
      </c>
      <c r="P573">
        <v>0</v>
      </c>
      <c r="Q573">
        <v>160</v>
      </c>
      <c r="R573" s="29">
        <v>0</v>
      </c>
      <c r="S573" s="28">
        <f>IFERROR(PROPERTIES[[#This Row],[TE_STARTING_KN]]/(PROPERTIES[[#This Row],[WEIGHT]]*9.81),0)</f>
        <v>0</v>
      </c>
      <c r="T573" s="28">
        <v>0.3</v>
      </c>
      <c r="U573" s="25">
        <f>ROUND(IF(IFERROR(PROPERTIES[[#This Row],[TE_COEFFICIENT_CALC]],0)=0,PROPERTIES[[#This Row],[TE_COEFFICIENT_MANUAL]],PROPERTIES[[#This Row],[TE_COEFFICIENT_CALC]]),3)</f>
        <v>0.3</v>
      </c>
      <c r="V573" s="11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36">
        <v>0</v>
      </c>
      <c r="X573" s="9">
        <v>0</v>
      </c>
      <c r="Y573" s="10">
        <v>0</v>
      </c>
      <c r="Z573" t="s">
        <v>882</v>
      </c>
      <c r="AA573" t="s">
        <v>868</v>
      </c>
      <c r="AB573" s="2" t="s">
        <v>887</v>
      </c>
      <c r="AC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3" s="2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H573" s="10" t="b">
        <v>0</v>
      </c>
      <c r="AY573"/>
      <c r="AZ573"/>
      <c r="BA573"/>
    </row>
    <row r="574" spans="1:53">
      <c r="A574" s="2" t="s">
        <v>851</v>
      </c>
      <c r="B574">
        <v>2020</v>
      </c>
      <c r="C574" cm="1">
        <f t="array" ref="C574">_xlfn.IFS(ISNUMBER(SEARCH("wagon",PROPERTIES[[#This Row],[VEHIDCODE]])),0,OR(MID(PROPERTIES[[#This Row],[VEHIDCODE]],2,2)="mu",_xlfn.TEXTBEFORE(PROPERTIES[[#This Row],[VEHIDCODE]],"_")="mtro"),1,1=1,0)</f>
        <v>0</v>
      </c>
      <c r="E574" t="str">
        <f>_xlfn.XLOOKUP(PROPERTIES[[#This Row],[COUNTRY]],COUNTRIES[COUNTRY_DESCRIPTION],COUNTRIES[COUNTRY_LABEL],"")</f>
        <v/>
      </c>
      <c r="F574" t="str" cm="1">
        <f t="array" ref="F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4" t="s">
        <v>592</v>
      </c>
      <c r="H574">
        <v>20</v>
      </c>
      <c r="I574">
        <v>8</v>
      </c>
      <c r="J574">
        <v>8</v>
      </c>
      <c r="K574" t="str" cm="1">
        <f t="array" ref="K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f>IF(ISNUMBER(SEARCH("passenger",PROPERTIES[[#This Row],[CARGODEF]])),1,0)</f>
        <v>0</v>
      </c>
      <c r="O574" s="32">
        <v>28</v>
      </c>
      <c r="P574">
        <v>0</v>
      </c>
      <c r="Q574">
        <v>160</v>
      </c>
      <c r="R574" s="29">
        <v>0</v>
      </c>
      <c r="S574" s="28">
        <f>IFERROR(PROPERTIES[[#This Row],[TE_STARTING_KN]]/(PROPERTIES[[#This Row],[WEIGHT]]*9.81),0)</f>
        <v>0</v>
      </c>
      <c r="T574" s="28">
        <v>0.3</v>
      </c>
      <c r="U574" s="25">
        <f>ROUND(IF(IFERROR(PROPERTIES[[#This Row],[TE_COEFFICIENT_CALC]],0)=0,PROPERTIES[[#This Row],[TE_COEFFICIENT_MANUAL]],PROPERTIES[[#This Row],[TE_COEFFICIENT_CALC]]),3)</f>
        <v>0.3</v>
      </c>
      <c r="V574" s="11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36">
        <v>0</v>
      </c>
      <c r="X574" s="9">
        <v>0</v>
      </c>
      <c r="Y574" s="10">
        <v>0</v>
      </c>
      <c r="Z574" t="s">
        <v>882</v>
      </c>
      <c r="AA574" t="s">
        <v>868</v>
      </c>
      <c r="AB574" s="2" t="s">
        <v>887</v>
      </c>
      <c r="AC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4" s="2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H574" s="10" t="b">
        <v>0</v>
      </c>
      <c r="AY574"/>
      <c r="AZ574"/>
      <c r="BA574"/>
    </row>
    <row r="575" spans="1:53">
      <c r="A575" s="2" t="s">
        <v>852</v>
      </c>
      <c r="B575">
        <v>2010</v>
      </c>
      <c r="C575" cm="1">
        <f t="array" ref="C575">_xlfn.IFS(ISNUMBER(SEARCH("wagon",PROPERTIES[[#This Row],[VEHIDCODE]])),0,OR(MID(PROPERTIES[[#This Row],[VEHIDCODE]],2,2)="mu",_xlfn.TEXTBEFORE(PROPERTIES[[#This Row],[VEHIDCODE]],"_")="mtro"),1,1=1,0)</f>
        <v>0</v>
      </c>
      <c r="E575" t="str">
        <f>_xlfn.XLOOKUP(PROPERTIES[[#This Row],[COUNTRY]],COUNTRIES[COUNTRY_DESCRIPTION],COUNTRIES[COUNTRY_LABEL],"")</f>
        <v/>
      </c>
      <c r="F575" t="str" cm="1">
        <f t="array" ref="F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5" t="s">
        <v>593</v>
      </c>
      <c r="H575">
        <v>65</v>
      </c>
      <c r="I575">
        <v>8</v>
      </c>
      <c r="J575">
        <v>8</v>
      </c>
      <c r="K575" t="str" cm="1">
        <f t="array" ref="K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f>IF(ISNUMBER(SEARCH("passenger",PROPERTIES[[#This Row],[CARGODEF]])),1,0)</f>
        <v>0</v>
      </c>
      <c r="O575" s="32">
        <v>40</v>
      </c>
      <c r="P575">
        <v>0</v>
      </c>
      <c r="Q575">
        <v>160</v>
      </c>
      <c r="R575" s="29">
        <v>0</v>
      </c>
      <c r="S575" s="28">
        <f>IFERROR(PROPERTIES[[#This Row],[TE_STARTING_KN]]/(PROPERTIES[[#This Row],[WEIGHT]]*9.81),0)</f>
        <v>0</v>
      </c>
      <c r="T575" s="28">
        <v>0.3</v>
      </c>
      <c r="U575" s="25">
        <f>ROUND(IF(IFERROR(PROPERTIES[[#This Row],[TE_COEFFICIENT_CALC]],0)=0,PROPERTIES[[#This Row],[TE_COEFFICIENT_MANUAL]],PROPERTIES[[#This Row],[TE_COEFFICIENT_CALC]]),3)</f>
        <v>0.3</v>
      </c>
      <c r="V575" s="11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36">
        <v>0</v>
      </c>
      <c r="X575" s="9">
        <v>0</v>
      </c>
      <c r="Y575" s="10">
        <v>0</v>
      </c>
      <c r="Z575" t="s">
        <v>882</v>
      </c>
      <c r="AA575" t="s">
        <v>868</v>
      </c>
      <c r="AB575" s="2" t="s">
        <v>887</v>
      </c>
      <c r="AC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5" s="2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H575" s="10" t="b">
        <v>0</v>
      </c>
      <c r="AY575"/>
      <c r="AZ575"/>
      <c r="BA575"/>
    </row>
    <row r="576" spans="1:53">
      <c r="A576" s="2" t="s">
        <v>853</v>
      </c>
      <c r="B576">
        <v>2010</v>
      </c>
      <c r="C576" cm="1">
        <f t="array" ref="C576">_xlfn.IFS(ISNUMBER(SEARCH("wagon",PROPERTIES[[#This Row],[VEHIDCODE]])),0,OR(MID(PROPERTIES[[#This Row],[VEHIDCODE]],2,2)="mu",_xlfn.TEXTBEFORE(PROPERTIES[[#This Row],[VEHIDCODE]],"_")="mtro"),1,1=1,0)</f>
        <v>0</v>
      </c>
      <c r="E576" t="str">
        <f>_xlfn.XLOOKUP(PROPERTIES[[#This Row],[COUNTRY]],COUNTRIES[COUNTRY_DESCRIPTION],COUNTRIES[COUNTRY_LABEL],"")</f>
        <v/>
      </c>
      <c r="F576" t="str" cm="1">
        <f t="array" ref="F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6" t="s">
        <v>526</v>
      </c>
      <c r="H576">
        <v>60</v>
      </c>
      <c r="I576">
        <v>8</v>
      </c>
      <c r="J576">
        <v>8</v>
      </c>
      <c r="K576" t="str" cm="1">
        <f t="array" ref="K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f>IF(ISNUMBER(SEARCH("passenger",PROPERTIES[[#This Row],[CARGODEF]])),1,0)</f>
        <v>0</v>
      </c>
      <c r="O576" s="32">
        <v>22</v>
      </c>
      <c r="P576">
        <v>0</v>
      </c>
      <c r="Q576">
        <v>160</v>
      </c>
      <c r="R576" s="29">
        <v>0</v>
      </c>
      <c r="S576" s="28">
        <f>IFERROR(PROPERTIES[[#This Row],[TE_STARTING_KN]]/(PROPERTIES[[#This Row],[WEIGHT]]*9.81),0)</f>
        <v>0</v>
      </c>
      <c r="T576" s="28">
        <v>0.3</v>
      </c>
      <c r="U576" s="25">
        <f>ROUND(IF(IFERROR(PROPERTIES[[#This Row],[TE_COEFFICIENT_CALC]],0)=0,PROPERTIES[[#This Row],[TE_COEFFICIENT_MANUAL]],PROPERTIES[[#This Row],[TE_COEFFICIENT_CALC]]),3)</f>
        <v>0.3</v>
      </c>
      <c r="V576" s="11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36">
        <v>0</v>
      </c>
      <c r="X576" s="9">
        <v>0</v>
      </c>
      <c r="Y576" s="10">
        <v>0</v>
      </c>
      <c r="Z576" t="s">
        <v>882</v>
      </c>
      <c r="AA576" t="s">
        <v>868</v>
      </c>
      <c r="AB576" s="2" t="s">
        <v>887</v>
      </c>
      <c r="AC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6" s="2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H576" s="10" t="b">
        <v>0</v>
      </c>
      <c r="AY576"/>
      <c r="AZ576"/>
      <c r="BA576"/>
    </row>
    <row r="577" spans="1:53">
      <c r="A577" s="2" t="s">
        <v>854</v>
      </c>
      <c r="B577">
        <v>2000</v>
      </c>
      <c r="C577" cm="1">
        <f t="array" ref="C577">_xlfn.IFS(ISNUMBER(SEARCH("wagon",PROPERTIES[[#This Row],[VEHIDCODE]])),0,OR(MID(PROPERTIES[[#This Row],[VEHIDCODE]],2,2)="mu",_xlfn.TEXTBEFORE(PROPERTIES[[#This Row],[VEHIDCODE]],"_")="mtro"),1,1=1,0)</f>
        <v>0</v>
      </c>
      <c r="E577" t="str">
        <f>_xlfn.XLOOKUP(PROPERTIES[[#This Row],[COUNTRY]],COUNTRIES[COUNTRY_DESCRIPTION],COUNTRIES[COUNTRY_LABEL],"")</f>
        <v/>
      </c>
      <c r="F577" t="str" cm="1">
        <f t="array" ref="F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7" t="s">
        <v>594</v>
      </c>
      <c r="H577">
        <v>75</v>
      </c>
      <c r="I577">
        <v>8</v>
      </c>
      <c r="J577">
        <v>8</v>
      </c>
      <c r="K577" t="str" cm="1">
        <f t="array" ref="K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f>IF(ISNUMBER(SEARCH("passenger",PROPERTIES[[#This Row],[CARGODEF]])),1,0)</f>
        <v>0</v>
      </c>
      <c r="O577" s="32">
        <v>25</v>
      </c>
      <c r="P577">
        <v>0</v>
      </c>
      <c r="Q577">
        <v>160</v>
      </c>
      <c r="R577" s="29">
        <v>0</v>
      </c>
      <c r="S577" s="28">
        <f>IFERROR(PROPERTIES[[#This Row],[TE_STARTING_KN]]/(PROPERTIES[[#This Row],[WEIGHT]]*9.81),0)</f>
        <v>0</v>
      </c>
      <c r="T577" s="28">
        <v>0.3</v>
      </c>
      <c r="U577" s="25">
        <f>ROUND(IF(IFERROR(PROPERTIES[[#This Row],[TE_COEFFICIENT_CALC]],0)=0,PROPERTIES[[#This Row],[TE_COEFFICIENT_MANUAL]],PROPERTIES[[#This Row],[TE_COEFFICIENT_CALC]]),3)</f>
        <v>0.3</v>
      </c>
      <c r="V577" s="11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36">
        <v>0</v>
      </c>
      <c r="X577" s="9">
        <v>0</v>
      </c>
      <c r="Y577" s="10">
        <v>0</v>
      </c>
      <c r="Z577" t="s">
        <v>882</v>
      </c>
      <c r="AA577" t="s">
        <v>868</v>
      </c>
      <c r="AB577" s="2" t="s">
        <v>887</v>
      </c>
      <c r="AC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7" s="2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H577" s="10" t="b">
        <v>0</v>
      </c>
      <c r="AY577"/>
      <c r="AZ577"/>
      <c r="BA577"/>
    </row>
    <row r="578" spans="1:53">
      <c r="A578" s="2" t="s">
        <v>855</v>
      </c>
      <c r="B578">
        <v>2010</v>
      </c>
      <c r="C578" cm="1">
        <f t="array" ref="C578">_xlfn.IFS(ISNUMBER(SEARCH("wagon",PROPERTIES[[#This Row],[VEHIDCODE]])),0,OR(MID(PROPERTIES[[#This Row],[VEHIDCODE]],2,2)="mu",_xlfn.TEXTBEFORE(PROPERTIES[[#This Row],[VEHIDCODE]],"_")="mtro"),1,1=1,0)</f>
        <v>0</v>
      </c>
      <c r="E578" t="str">
        <f>_xlfn.XLOOKUP(PROPERTIES[[#This Row],[COUNTRY]],COUNTRIES[COUNTRY_DESCRIPTION],COUNTRIES[COUNTRY_LABEL],"")</f>
        <v/>
      </c>
      <c r="F578" t="str" cm="1">
        <f t="array" ref="F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8" t="s">
        <v>595</v>
      </c>
      <c r="H578">
        <v>72</v>
      </c>
      <c r="I578">
        <v>8</v>
      </c>
      <c r="J578">
        <v>8</v>
      </c>
      <c r="K578" t="str" cm="1">
        <f t="array" ref="K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f>IF(ISNUMBER(SEARCH("passenger",PROPERTIES[[#This Row],[CARGODEF]])),1,0)</f>
        <v>0</v>
      </c>
      <c r="O578" s="32">
        <v>23</v>
      </c>
      <c r="P578">
        <v>0</v>
      </c>
      <c r="Q578">
        <v>160</v>
      </c>
      <c r="R578" s="29">
        <v>0</v>
      </c>
      <c r="S578" s="28">
        <f>IFERROR(PROPERTIES[[#This Row],[TE_STARTING_KN]]/(PROPERTIES[[#This Row],[WEIGHT]]*9.81),0)</f>
        <v>0</v>
      </c>
      <c r="T578" s="28">
        <v>0.3</v>
      </c>
      <c r="U578" s="25">
        <f>ROUND(IF(IFERROR(PROPERTIES[[#This Row],[TE_COEFFICIENT_CALC]],0)=0,PROPERTIES[[#This Row],[TE_COEFFICIENT_MANUAL]],PROPERTIES[[#This Row],[TE_COEFFICIENT_CALC]]),3)</f>
        <v>0.3</v>
      </c>
      <c r="V578" s="11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36">
        <v>0</v>
      </c>
      <c r="X578" s="9">
        <v>0</v>
      </c>
      <c r="Y578" s="10">
        <v>0</v>
      </c>
      <c r="Z578" t="s">
        <v>882</v>
      </c>
      <c r="AA578" t="s">
        <v>868</v>
      </c>
      <c r="AB578" s="2" t="s">
        <v>887</v>
      </c>
      <c r="AC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8" s="2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H578" s="10" t="b">
        <v>0</v>
      </c>
      <c r="AY578"/>
      <c r="AZ578"/>
      <c r="BA578"/>
    </row>
    <row r="579" spans="1:53">
      <c r="A579" s="2" t="s">
        <v>856</v>
      </c>
      <c r="B579">
        <v>2010</v>
      </c>
      <c r="C579" cm="1">
        <f t="array" ref="C579">_xlfn.IFS(ISNUMBER(SEARCH("wagon",PROPERTIES[[#This Row],[VEHIDCODE]])),0,OR(MID(PROPERTIES[[#This Row],[VEHIDCODE]],2,2)="mu",_xlfn.TEXTBEFORE(PROPERTIES[[#This Row],[VEHIDCODE]],"_")="mtro"),1,1=1,0)</f>
        <v>0</v>
      </c>
      <c r="E579" t="str">
        <f>_xlfn.XLOOKUP(PROPERTIES[[#This Row],[COUNTRY]],COUNTRIES[COUNTRY_DESCRIPTION],COUNTRIES[COUNTRY_LABEL],"")</f>
        <v/>
      </c>
      <c r="F579" t="str" cm="1">
        <f t="array" ref="F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9" t="s">
        <v>596</v>
      </c>
      <c r="H579">
        <v>75</v>
      </c>
      <c r="I579">
        <v>8</v>
      </c>
      <c r="J579">
        <v>8</v>
      </c>
      <c r="K579" t="str" cm="1">
        <f t="array" ref="K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f>IF(ISNUMBER(SEARCH("passenger",PROPERTIES[[#This Row],[CARGODEF]])),1,0)</f>
        <v>0</v>
      </c>
      <c r="O579" s="32">
        <v>22</v>
      </c>
      <c r="P579">
        <v>0</v>
      </c>
      <c r="Q579">
        <v>160</v>
      </c>
      <c r="R579" s="29">
        <v>0</v>
      </c>
      <c r="S579" s="28">
        <f>IFERROR(PROPERTIES[[#This Row],[TE_STARTING_KN]]/(PROPERTIES[[#This Row],[WEIGHT]]*9.81),0)</f>
        <v>0</v>
      </c>
      <c r="T579" s="28">
        <v>0.3</v>
      </c>
      <c r="U579" s="25">
        <f>ROUND(IF(IFERROR(PROPERTIES[[#This Row],[TE_COEFFICIENT_CALC]],0)=0,PROPERTIES[[#This Row],[TE_COEFFICIENT_MANUAL]],PROPERTIES[[#This Row],[TE_COEFFICIENT_CALC]]),3)</f>
        <v>0.3</v>
      </c>
      <c r="V579" s="11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36">
        <v>0</v>
      </c>
      <c r="X579" s="9">
        <v>0</v>
      </c>
      <c r="Y579" s="10">
        <v>0</v>
      </c>
      <c r="Z579" t="s">
        <v>882</v>
      </c>
      <c r="AA579" t="s">
        <v>868</v>
      </c>
      <c r="AB579" s="2" t="s">
        <v>887</v>
      </c>
      <c r="AC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9" s="2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H579" s="10" t="b">
        <v>0</v>
      </c>
      <c r="AY579"/>
      <c r="AZ579"/>
      <c r="BA579"/>
    </row>
    <row r="580" spans="1:53">
      <c r="A580" s="2" t="s">
        <v>857</v>
      </c>
      <c r="B580">
        <v>2020</v>
      </c>
      <c r="C580" cm="1">
        <f t="array" ref="C580">_xlfn.IFS(ISNUMBER(SEARCH("wagon",PROPERTIES[[#This Row],[VEHIDCODE]])),0,OR(MID(PROPERTIES[[#This Row],[VEHIDCODE]],2,2)="mu",_xlfn.TEXTBEFORE(PROPERTIES[[#This Row],[VEHIDCODE]],"_")="mtro"),1,1=1,0)</f>
        <v>0</v>
      </c>
      <c r="E580" t="str">
        <f>_xlfn.XLOOKUP(PROPERTIES[[#This Row],[COUNTRY]],COUNTRIES[COUNTRY_DESCRIPTION],COUNTRIES[COUNTRY_LABEL],"")</f>
        <v/>
      </c>
      <c r="F580" t="str" cm="1">
        <f t="array" ref="F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0" t="s">
        <v>597</v>
      </c>
      <c r="H580">
        <v>96</v>
      </c>
      <c r="I580">
        <v>8</v>
      </c>
      <c r="J580">
        <v>8</v>
      </c>
      <c r="K580" t="str" cm="1">
        <f t="array" ref="K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f>IF(ISNUMBER(SEARCH("passenger",PROPERTIES[[#This Row],[CARGODEF]])),1,0)</f>
        <v>0</v>
      </c>
      <c r="O580" s="32">
        <v>42</v>
      </c>
      <c r="P580">
        <v>0</v>
      </c>
      <c r="Q580">
        <v>140</v>
      </c>
      <c r="R580" s="29">
        <v>0</v>
      </c>
      <c r="S580" s="28">
        <f>IFERROR(PROPERTIES[[#This Row],[TE_STARTING_KN]]/(PROPERTIES[[#This Row],[WEIGHT]]*9.81),0)</f>
        <v>0</v>
      </c>
      <c r="T580" s="28">
        <v>0.3</v>
      </c>
      <c r="U580" s="25">
        <f>ROUND(IF(IFERROR(PROPERTIES[[#This Row],[TE_COEFFICIENT_CALC]],0)=0,PROPERTIES[[#This Row],[TE_COEFFICIENT_MANUAL]],PROPERTIES[[#This Row],[TE_COEFFICIENT_CALC]]),3)</f>
        <v>0.3</v>
      </c>
      <c r="V580" s="11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36">
        <v>0</v>
      </c>
      <c r="X580" s="9">
        <v>0</v>
      </c>
      <c r="Y580" s="10">
        <v>0</v>
      </c>
      <c r="Z580" t="s">
        <v>882</v>
      </c>
      <c r="AA580" t="s">
        <v>868</v>
      </c>
      <c r="AB580" s="2" t="s">
        <v>887</v>
      </c>
      <c r="AC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0" s="2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H580" s="10" t="b">
        <v>0</v>
      </c>
      <c r="AY580"/>
      <c r="AZ580"/>
      <c r="BA580"/>
    </row>
    <row r="581" spans="1:53">
      <c r="A581" s="2" t="s">
        <v>858</v>
      </c>
      <c r="B581">
        <v>2020</v>
      </c>
      <c r="C581" cm="1">
        <f t="array" ref="C581">_xlfn.IFS(ISNUMBER(SEARCH("wagon",PROPERTIES[[#This Row],[VEHIDCODE]])),0,OR(MID(PROPERTIES[[#This Row],[VEHIDCODE]],2,2)="mu",_xlfn.TEXTBEFORE(PROPERTIES[[#This Row],[VEHIDCODE]],"_")="mtro"),1,1=1,0)</f>
        <v>0</v>
      </c>
      <c r="E581" t="str">
        <f>_xlfn.XLOOKUP(PROPERTIES[[#This Row],[COUNTRY]],COUNTRIES[COUNTRY_DESCRIPTION],COUNTRIES[COUNTRY_LABEL],"")</f>
        <v/>
      </c>
      <c r="F581" t="str" cm="1">
        <f t="array" ref="F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1" t="s">
        <v>2926</v>
      </c>
      <c r="H581">
        <v>75</v>
      </c>
      <c r="I581">
        <v>8</v>
      </c>
      <c r="J581">
        <v>8</v>
      </c>
      <c r="K581" t="str" cm="1">
        <f t="array" ref="K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f>IF(ISNUMBER(SEARCH("passenger",PROPERTIES[[#This Row],[CARGODEF]])),1,0)</f>
        <v>0</v>
      </c>
      <c r="O581" s="32">
        <v>26</v>
      </c>
      <c r="P581">
        <v>0</v>
      </c>
      <c r="Q581">
        <v>160</v>
      </c>
      <c r="R581" s="29">
        <v>0</v>
      </c>
      <c r="S581" s="28">
        <f>IFERROR(PROPERTIES[[#This Row],[TE_STARTING_KN]]/(PROPERTIES[[#This Row],[WEIGHT]]*9.81),0)</f>
        <v>0</v>
      </c>
      <c r="T581" s="28">
        <v>0.3</v>
      </c>
      <c r="U581" s="25">
        <f>ROUND(IF(IFERROR(PROPERTIES[[#This Row],[TE_COEFFICIENT_CALC]],0)=0,PROPERTIES[[#This Row],[TE_COEFFICIENT_MANUAL]],PROPERTIES[[#This Row],[TE_COEFFICIENT_CALC]]),3)</f>
        <v>0.3</v>
      </c>
      <c r="V581" s="11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36">
        <v>0</v>
      </c>
      <c r="X581" s="9">
        <v>0</v>
      </c>
      <c r="Y581" s="10">
        <v>0</v>
      </c>
      <c r="Z581" t="s">
        <v>882</v>
      </c>
      <c r="AA581" t="s">
        <v>868</v>
      </c>
      <c r="AB581" s="2" t="s">
        <v>887</v>
      </c>
      <c r="AC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1" s="2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H581" s="10" t="b">
        <v>0</v>
      </c>
      <c r="AY581"/>
      <c r="AZ581"/>
      <c r="BA581"/>
    </row>
    <row r="582" spans="1:53">
      <c r="A582" s="2" t="s">
        <v>859</v>
      </c>
      <c r="B582">
        <v>2020</v>
      </c>
      <c r="C582" cm="1">
        <f t="array" ref="C582">_xlfn.IFS(ISNUMBER(SEARCH("wagon",PROPERTIES[[#This Row],[VEHIDCODE]])),0,OR(MID(PROPERTIES[[#This Row],[VEHIDCODE]],2,2)="mu",_xlfn.TEXTBEFORE(PROPERTIES[[#This Row],[VEHIDCODE]],"_")="mtro"),1,1=1,0)</f>
        <v>0</v>
      </c>
      <c r="E582" t="str">
        <f>_xlfn.XLOOKUP(PROPERTIES[[#This Row],[COUNTRY]],COUNTRIES[COUNTRY_DESCRIPTION],COUNTRIES[COUNTRY_LABEL],"")</f>
        <v/>
      </c>
      <c r="F582" t="str" cm="1">
        <f t="array" ref="F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2" t="s">
        <v>2929</v>
      </c>
      <c r="H582">
        <v>75</v>
      </c>
      <c r="I582">
        <v>8</v>
      </c>
      <c r="J582">
        <v>8</v>
      </c>
      <c r="K582" t="str" cm="1">
        <f t="array" ref="K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f>IF(ISNUMBER(SEARCH("passenger",PROPERTIES[[#This Row],[CARGODEF]])),1,0)</f>
        <v>0</v>
      </c>
      <c r="O582" s="32">
        <v>26</v>
      </c>
      <c r="P582">
        <v>0</v>
      </c>
      <c r="Q582">
        <v>160</v>
      </c>
      <c r="R582" s="29">
        <v>0</v>
      </c>
      <c r="S582" s="28">
        <f>IFERROR(PROPERTIES[[#This Row],[TE_STARTING_KN]]/(PROPERTIES[[#This Row],[WEIGHT]]*9.81),0)</f>
        <v>0</v>
      </c>
      <c r="T582" s="28">
        <v>0.3</v>
      </c>
      <c r="U582" s="25">
        <f>ROUND(IF(IFERROR(PROPERTIES[[#This Row],[TE_COEFFICIENT_CALC]],0)=0,PROPERTIES[[#This Row],[TE_COEFFICIENT_MANUAL]],PROPERTIES[[#This Row],[TE_COEFFICIENT_CALC]]),3)</f>
        <v>0.3</v>
      </c>
      <c r="V582" s="11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36">
        <v>0</v>
      </c>
      <c r="X582" s="9">
        <v>0</v>
      </c>
      <c r="Y582" s="10">
        <v>0</v>
      </c>
      <c r="Z582" t="s">
        <v>882</v>
      </c>
      <c r="AA582" t="s">
        <v>868</v>
      </c>
      <c r="AB582" s="2" t="s">
        <v>887</v>
      </c>
      <c r="AC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2" s="2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H582" s="10" t="b">
        <v>0</v>
      </c>
      <c r="AY582"/>
      <c r="AZ582"/>
      <c r="BA582"/>
    </row>
    <row r="583" spans="1:53">
      <c r="A583" s="2" t="s">
        <v>860</v>
      </c>
      <c r="B583">
        <v>2020</v>
      </c>
      <c r="C583" cm="1">
        <f t="array" ref="C583">_xlfn.IFS(ISNUMBER(SEARCH("wagon",PROPERTIES[[#This Row],[VEHIDCODE]])),0,OR(MID(PROPERTIES[[#This Row],[VEHIDCODE]],2,2)="mu",_xlfn.TEXTBEFORE(PROPERTIES[[#This Row],[VEHIDCODE]],"_")="mtro"),1,1=1,0)</f>
        <v>0</v>
      </c>
      <c r="E583" t="str">
        <f>_xlfn.XLOOKUP(PROPERTIES[[#This Row],[COUNTRY]],COUNTRIES[COUNTRY_DESCRIPTION],COUNTRIES[COUNTRY_LABEL],"")</f>
        <v/>
      </c>
      <c r="F583" t="str" cm="1">
        <f t="array" ref="F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3" t="s">
        <v>2927</v>
      </c>
      <c r="H583">
        <v>75</v>
      </c>
      <c r="I583">
        <v>8</v>
      </c>
      <c r="J583">
        <v>8</v>
      </c>
      <c r="K583" t="str" cm="1">
        <f t="array" ref="K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f>IF(ISNUMBER(SEARCH("passenger",PROPERTIES[[#This Row],[CARGODEF]])),1,0)</f>
        <v>0</v>
      </c>
      <c r="O583" s="32">
        <v>27</v>
      </c>
      <c r="P583">
        <v>0</v>
      </c>
      <c r="Q583">
        <v>160</v>
      </c>
      <c r="R583" s="29">
        <v>0</v>
      </c>
      <c r="S583" s="28">
        <f>IFERROR(PROPERTIES[[#This Row],[TE_STARTING_KN]]/(PROPERTIES[[#This Row],[WEIGHT]]*9.81),0)</f>
        <v>0</v>
      </c>
      <c r="T583" s="28">
        <v>0.3</v>
      </c>
      <c r="U583" s="25">
        <f>ROUND(IF(IFERROR(PROPERTIES[[#This Row],[TE_COEFFICIENT_CALC]],0)=0,PROPERTIES[[#This Row],[TE_COEFFICIENT_MANUAL]],PROPERTIES[[#This Row],[TE_COEFFICIENT_CALC]]),3)</f>
        <v>0.3</v>
      </c>
      <c r="V583" s="11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36">
        <v>0</v>
      </c>
      <c r="X583" s="9">
        <v>0</v>
      </c>
      <c r="Y583" s="10">
        <v>0</v>
      </c>
      <c r="Z583" t="s">
        <v>882</v>
      </c>
      <c r="AA583" t="s">
        <v>868</v>
      </c>
      <c r="AB583" s="2" t="s">
        <v>887</v>
      </c>
      <c r="AC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3" s="2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H583" s="10" t="b">
        <v>0</v>
      </c>
      <c r="AY583"/>
      <c r="AZ583"/>
      <c r="BA583"/>
    </row>
    <row r="584" spans="1:53">
      <c r="A584" s="2" t="s">
        <v>861</v>
      </c>
      <c r="B584">
        <v>2020</v>
      </c>
      <c r="C584" cm="1">
        <f t="array" ref="C584">_xlfn.IFS(ISNUMBER(SEARCH("wagon",PROPERTIES[[#This Row],[VEHIDCODE]])),0,OR(MID(PROPERTIES[[#This Row],[VEHIDCODE]],2,2)="mu",_xlfn.TEXTBEFORE(PROPERTIES[[#This Row],[VEHIDCODE]],"_")="mtro"),1,1=1,0)</f>
        <v>0</v>
      </c>
      <c r="E584" t="str">
        <f>_xlfn.XLOOKUP(PROPERTIES[[#This Row],[COUNTRY]],COUNTRIES[COUNTRY_DESCRIPTION],COUNTRIES[COUNTRY_LABEL],"")</f>
        <v/>
      </c>
      <c r="F584" t="str" cm="1">
        <f t="array" ref="F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4" t="s">
        <v>2930</v>
      </c>
      <c r="H584">
        <v>75</v>
      </c>
      <c r="I584">
        <v>8</v>
      </c>
      <c r="J584">
        <v>8</v>
      </c>
      <c r="K584" t="str" cm="1">
        <f t="array" ref="K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f>IF(ISNUMBER(SEARCH("passenger",PROPERTIES[[#This Row],[CARGODEF]])),1,0)</f>
        <v>0</v>
      </c>
      <c r="O584" s="32">
        <v>27</v>
      </c>
      <c r="P584">
        <v>0</v>
      </c>
      <c r="Q584">
        <v>160</v>
      </c>
      <c r="R584" s="29">
        <v>0</v>
      </c>
      <c r="S584" s="28">
        <f>IFERROR(PROPERTIES[[#This Row],[TE_STARTING_KN]]/(PROPERTIES[[#This Row],[WEIGHT]]*9.81),0)</f>
        <v>0</v>
      </c>
      <c r="T584" s="28">
        <v>0.3</v>
      </c>
      <c r="U584" s="25">
        <f>ROUND(IF(IFERROR(PROPERTIES[[#This Row],[TE_COEFFICIENT_CALC]],0)=0,PROPERTIES[[#This Row],[TE_COEFFICIENT_MANUAL]],PROPERTIES[[#This Row],[TE_COEFFICIENT_CALC]]),3)</f>
        <v>0.3</v>
      </c>
      <c r="V584" s="11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36">
        <v>0</v>
      </c>
      <c r="X584" s="9">
        <v>0</v>
      </c>
      <c r="Y584" s="10">
        <v>0</v>
      </c>
      <c r="Z584" t="s">
        <v>882</v>
      </c>
      <c r="AA584" t="s">
        <v>868</v>
      </c>
      <c r="AB584" s="2" t="s">
        <v>887</v>
      </c>
      <c r="AC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4" s="2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H584" s="10" t="b">
        <v>0</v>
      </c>
      <c r="AY584"/>
      <c r="AZ584"/>
      <c r="BA584"/>
    </row>
    <row r="585" spans="1:53">
      <c r="A585" s="2" t="s">
        <v>862</v>
      </c>
      <c r="B585">
        <v>2010</v>
      </c>
      <c r="C585" cm="1">
        <f t="array" ref="C585">_xlfn.IFS(ISNUMBER(SEARCH("wagon",PROPERTIES[[#This Row],[VEHIDCODE]])),0,OR(MID(PROPERTIES[[#This Row],[VEHIDCODE]],2,2)="mu",_xlfn.TEXTBEFORE(PROPERTIES[[#This Row],[VEHIDCODE]],"_")="mtro"),1,1=1,0)</f>
        <v>0</v>
      </c>
      <c r="E585" t="str">
        <f>_xlfn.XLOOKUP(PROPERTIES[[#This Row],[COUNTRY]],COUNTRIES[COUNTRY_DESCRIPTION],COUNTRIES[COUNTRY_LABEL],"")</f>
        <v/>
      </c>
      <c r="F585" t="str" cm="1">
        <f t="array" ref="F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5" t="s">
        <v>600</v>
      </c>
      <c r="H585">
        <v>65</v>
      </c>
      <c r="I585">
        <v>4</v>
      </c>
      <c r="J585">
        <v>12</v>
      </c>
      <c r="K585" t="str" cm="1">
        <f t="array" ref="K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f>IF(ISNUMBER(SEARCH("passenger",PROPERTIES[[#This Row],[CARGODEF]])),1,0)</f>
        <v>0</v>
      </c>
      <c r="O585" s="32">
        <v>50</v>
      </c>
      <c r="P585">
        <v>0</v>
      </c>
      <c r="Q585">
        <v>140</v>
      </c>
      <c r="R585" s="29">
        <v>0</v>
      </c>
      <c r="S585" s="28">
        <f>IFERROR(PROPERTIES[[#This Row],[TE_STARTING_KN]]/(PROPERTIES[[#This Row],[WEIGHT]]*9.81),0)</f>
        <v>0</v>
      </c>
      <c r="T585" s="28">
        <v>0.3</v>
      </c>
      <c r="U585" s="25">
        <f>ROUND(IF(IFERROR(PROPERTIES[[#This Row],[TE_COEFFICIENT_CALC]],0)=0,PROPERTIES[[#This Row],[TE_COEFFICIENT_MANUAL]],PROPERTIES[[#This Row],[TE_COEFFICIENT_CALC]]),3)</f>
        <v>0.3</v>
      </c>
      <c r="V585" s="11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36">
        <v>0</v>
      </c>
      <c r="X585" s="9">
        <v>0</v>
      </c>
      <c r="Y585" s="10">
        <v>0</v>
      </c>
      <c r="Z585" t="s">
        <v>882</v>
      </c>
      <c r="AA585" t="s">
        <v>868</v>
      </c>
      <c r="AB585" s="2" t="s">
        <v>887</v>
      </c>
      <c r="AC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5" s="2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H585" s="10" t="b">
        <v>0</v>
      </c>
      <c r="AY585"/>
      <c r="AZ585"/>
      <c r="BA585"/>
    </row>
    <row r="586" spans="1:53">
      <c r="A586" s="2" t="s">
        <v>863</v>
      </c>
      <c r="B586">
        <v>2020</v>
      </c>
      <c r="C586" cm="1">
        <f t="array" ref="C586">_xlfn.IFS(ISNUMBER(SEARCH("wagon",PROPERTIES[[#This Row],[VEHIDCODE]])),0,OR(MID(PROPERTIES[[#This Row],[VEHIDCODE]],2,2)="mu",_xlfn.TEXTBEFORE(PROPERTIES[[#This Row],[VEHIDCODE]],"_")="mtro"),1,1=1,0)</f>
        <v>0</v>
      </c>
      <c r="E586" t="str">
        <f>_xlfn.XLOOKUP(PROPERTIES[[#This Row],[COUNTRY]],COUNTRIES[COUNTRY_DESCRIPTION],COUNTRIES[COUNTRY_LABEL],"")</f>
        <v/>
      </c>
      <c r="F586" t="str" cm="1">
        <f t="array" ref="F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6" t="s">
        <v>601</v>
      </c>
      <c r="H586">
        <v>105</v>
      </c>
      <c r="I586">
        <v>8</v>
      </c>
      <c r="J586">
        <v>8</v>
      </c>
      <c r="K586" t="str" cm="1">
        <f t="array" ref="K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f>IF(ISNUMBER(SEARCH("passenger",PROPERTIES[[#This Row],[CARGODEF]])),1,0)</f>
        <v>0</v>
      </c>
      <c r="O586" s="32">
        <v>24</v>
      </c>
      <c r="P586">
        <v>0</v>
      </c>
      <c r="Q586">
        <v>160</v>
      </c>
      <c r="R586" s="29">
        <v>0</v>
      </c>
      <c r="S586" s="28">
        <f>IFERROR(PROPERTIES[[#This Row],[TE_STARTING_KN]]/(PROPERTIES[[#This Row],[WEIGHT]]*9.81),0)</f>
        <v>0</v>
      </c>
      <c r="T586" s="28">
        <v>0.3</v>
      </c>
      <c r="U586" s="25">
        <f>ROUND(IF(IFERROR(PROPERTIES[[#This Row],[TE_COEFFICIENT_CALC]],0)=0,PROPERTIES[[#This Row],[TE_COEFFICIENT_MANUAL]],PROPERTIES[[#This Row],[TE_COEFFICIENT_CALC]]),3)</f>
        <v>0.3</v>
      </c>
      <c r="V586" s="11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36">
        <v>0</v>
      </c>
      <c r="X586" s="9">
        <v>0</v>
      </c>
      <c r="Y586" s="10">
        <v>0</v>
      </c>
      <c r="Z586" t="s">
        <v>882</v>
      </c>
      <c r="AA586" t="s">
        <v>868</v>
      </c>
      <c r="AB586" s="2" t="s">
        <v>887</v>
      </c>
      <c r="AC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6" s="2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H586" s="10" t="b">
        <v>0</v>
      </c>
      <c r="AY586"/>
      <c r="AZ586"/>
      <c r="BA586"/>
    </row>
    <row r="587" spans="1:53">
      <c r="A587" s="2" t="s">
        <v>602</v>
      </c>
      <c r="B587">
        <v>1990</v>
      </c>
      <c r="C587" cm="1">
        <f t="array" ref="C587">_xlfn.IFS(ISNUMBER(SEARCH("wagon",PROPERTIES[[#This Row],[VEHIDCODE]])),0,OR(MID(PROPERTIES[[#This Row],[VEHIDCODE]],2,2)="mu",_xlfn.TEXTBEFORE(PROPERTIES[[#This Row],[VEHIDCODE]],"_")="mtro"),1,1=1,0)</f>
        <v>0</v>
      </c>
      <c r="D587" t="s">
        <v>1819</v>
      </c>
      <c r="E587" t="str">
        <f>_xlfn.XLOOKUP(PROPERTIES[[#This Row],[COUNTRY]],COUNTRIES[COUNTRY_DESCRIPTION],COUNTRIES[COUNTRY_LABEL],"")</f>
        <v>JP</v>
      </c>
      <c r="F587" t="str" cm="1">
        <f t="array" ref="F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7" t="s">
        <v>17</v>
      </c>
      <c r="H587">
        <v>151</v>
      </c>
      <c r="I587">
        <v>7</v>
      </c>
      <c r="J587">
        <v>7</v>
      </c>
      <c r="K587" t="str" cm="1">
        <f t="array" ref="K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f>IF(ISNUMBER(SEARCH("passenger",PROPERTIES[[#This Row],[CARGODEF]])),1,0)</f>
        <v>1</v>
      </c>
      <c r="O587" s="32">
        <v>32</v>
      </c>
      <c r="P587">
        <v>400</v>
      </c>
      <c r="Q587">
        <v>110</v>
      </c>
      <c r="R587" s="29">
        <v>65</v>
      </c>
      <c r="S587" s="28">
        <f>IFERROR(PROPERTIES[[#This Row],[TE_STARTING_KN]]/(PROPERTIES[[#This Row],[WEIGHT]]*9.81),0)</f>
        <v>0.207059123343527</v>
      </c>
      <c r="T587" s="28">
        <v>0.34</v>
      </c>
      <c r="U587" s="25">
        <f>ROUND(IF(IFERROR(PROPERTIES[[#This Row],[TE_COEFFICIENT_CALC]],0)=0,PROPERTIES[[#This Row],[TE_COEFFICIENT_MANUAL]],PROPERTIES[[#This Row],[TE_COEFFICIENT_CALC]]),3)</f>
        <v>0.20699999999999999</v>
      </c>
      <c r="V587" s="11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36">
        <v>0</v>
      </c>
      <c r="X587" s="9">
        <v>0</v>
      </c>
      <c r="Y587" s="10">
        <v>0</v>
      </c>
      <c r="Z587" t="s">
        <v>877</v>
      </c>
      <c r="AA587" t="s">
        <v>868</v>
      </c>
      <c r="AB587" s="2" t="s">
        <v>886</v>
      </c>
      <c r="AC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7" s="2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H587" s="10" t="b">
        <v>0</v>
      </c>
      <c r="AY587"/>
      <c r="AZ587"/>
      <c r="BA587"/>
    </row>
    <row r="588" spans="1:53">
      <c r="A588" s="2" t="s">
        <v>603</v>
      </c>
      <c r="B588">
        <v>2008</v>
      </c>
      <c r="C588" cm="1">
        <f t="array" ref="C588">_xlfn.IFS(ISNUMBER(SEARCH("wagon",PROPERTIES[[#This Row],[VEHIDCODE]])),0,OR(MID(PROPERTIES[[#This Row],[VEHIDCODE]],2,2)="mu",_xlfn.TEXTBEFORE(PROPERTIES[[#This Row],[VEHIDCODE]],"_")="mtro"),1,1=1,0)</f>
        <v>0</v>
      </c>
      <c r="D588" t="s">
        <v>1819</v>
      </c>
      <c r="E588" t="str">
        <f>_xlfn.XLOOKUP(PROPERTIES[[#This Row],[COUNTRY]],COUNTRIES[COUNTRY_DESCRIPTION],COUNTRIES[COUNTRY_LABEL],"")</f>
        <v>JP</v>
      </c>
      <c r="F588" t="str" cm="1">
        <f t="array" ref="F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8" t="s">
        <v>17</v>
      </c>
      <c r="H588">
        <v>114</v>
      </c>
      <c r="I588">
        <v>8</v>
      </c>
      <c r="J588">
        <v>8</v>
      </c>
      <c r="K588" t="str" cm="1">
        <f t="array" ref="K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f>IF(ISNUMBER(SEARCH("passenger",PROPERTIES[[#This Row],[CARGODEF]])),1,0)</f>
        <v>1</v>
      </c>
      <c r="O588" s="32">
        <v>39</v>
      </c>
      <c r="P588">
        <v>444</v>
      </c>
      <c r="Q588">
        <v>100</v>
      </c>
      <c r="R588" s="29">
        <v>60</v>
      </c>
      <c r="S588" s="28">
        <f>IFERROR(PROPERTIES[[#This Row],[TE_STARTING_KN]]/(PROPERTIES[[#This Row],[WEIGHT]]*9.81),0)</f>
        <v>0.15682584489923937</v>
      </c>
      <c r="T588" s="28">
        <v>0.26</v>
      </c>
      <c r="U588" s="25">
        <f>ROUND(IF(IFERROR(PROPERTIES[[#This Row],[TE_COEFFICIENT_CALC]],0)=0,PROPERTIES[[#This Row],[TE_COEFFICIENT_MANUAL]],PROPERTIES[[#This Row],[TE_COEFFICIENT_CALC]]),3)</f>
        <v>0.157</v>
      </c>
      <c r="V588" s="11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36">
        <v>0</v>
      </c>
      <c r="X588" s="9">
        <v>0</v>
      </c>
      <c r="Y588" s="10">
        <v>0</v>
      </c>
      <c r="Z588" t="s">
        <v>877</v>
      </c>
      <c r="AA588" t="s">
        <v>868</v>
      </c>
      <c r="AB588" s="2" t="s">
        <v>886</v>
      </c>
      <c r="AC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8" s="2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H588" s="10" t="b">
        <v>0</v>
      </c>
      <c r="AY588"/>
      <c r="AZ588"/>
      <c r="BA588"/>
    </row>
    <row r="589" spans="1:53">
      <c r="A589" s="2" t="s">
        <v>604</v>
      </c>
      <c r="B589">
        <v>1961</v>
      </c>
      <c r="C589" cm="1">
        <f t="array" ref="C589">_xlfn.IFS(ISNUMBER(SEARCH("wagon",PROPERTIES[[#This Row],[VEHIDCODE]])),0,OR(MID(PROPERTIES[[#This Row],[VEHIDCODE]],2,2)="mu",_xlfn.TEXTBEFORE(PROPERTIES[[#This Row],[VEHIDCODE]],"_")="mtro"),1,1=1,0)</f>
        <v>0</v>
      </c>
      <c r="D589" t="s">
        <v>1752</v>
      </c>
      <c r="E589" t="str">
        <f>_xlfn.XLOOKUP(PROPERTIES[[#This Row],[COUNTRY]],COUNTRIES[COUNTRY_DESCRIPTION],COUNTRIES[COUNTRY_LABEL],"")</f>
        <v>CL</v>
      </c>
      <c r="F589" t="str" cm="1">
        <f t="array" ref="F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9" t="s">
        <v>17</v>
      </c>
      <c r="H589">
        <v>40</v>
      </c>
      <c r="I589">
        <v>8</v>
      </c>
      <c r="J589">
        <v>8</v>
      </c>
      <c r="K589" t="str" cm="1">
        <f t="array" ref="K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f>IF(ISNUMBER(SEARCH("passenger",PROPERTIES[[#This Row],[CARGODEF]])),1,0)</f>
        <v>1</v>
      </c>
      <c r="O589" s="32">
        <v>20</v>
      </c>
      <c r="P589">
        <v>180</v>
      </c>
      <c r="Q589">
        <v>60</v>
      </c>
      <c r="R589" s="29">
        <v>22</v>
      </c>
      <c r="S589" s="28">
        <f>IFERROR(PROPERTIES[[#This Row],[TE_STARTING_KN]]/(PROPERTIES[[#This Row],[WEIGHT]]*9.81),0)</f>
        <v>0.11213047910295616</v>
      </c>
      <c r="T589" s="28">
        <v>0.22</v>
      </c>
      <c r="U589" s="25">
        <f>ROUND(IF(IFERROR(PROPERTIES[[#This Row],[TE_COEFFICIENT_CALC]],0)=0,PROPERTIES[[#This Row],[TE_COEFFICIENT_MANUAL]],PROPERTIES[[#This Row],[TE_COEFFICIENT_CALC]]),3)</f>
        <v>0.112</v>
      </c>
      <c r="V589" s="11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36">
        <v>0</v>
      </c>
      <c r="X589" s="9">
        <v>0</v>
      </c>
      <c r="Y589" s="10">
        <v>0</v>
      </c>
      <c r="Z589" t="s">
        <v>876</v>
      </c>
      <c r="AA589" t="s">
        <v>868</v>
      </c>
      <c r="AB589" s="2" t="s">
        <v>886</v>
      </c>
      <c r="AC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9" s="2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H589" s="10" t="b">
        <v>0</v>
      </c>
      <c r="AY589"/>
      <c r="AZ589"/>
      <c r="BA589"/>
    </row>
    <row r="590" spans="1:53">
      <c r="A590" s="2" t="s">
        <v>605</v>
      </c>
      <c r="B590">
        <v>1935</v>
      </c>
      <c r="C590" cm="1">
        <f t="array" ref="C590">_xlfn.IFS(ISNUMBER(SEARCH("wagon",PROPERTIES[[#This Row],[VEHIDCODE]])),0,OR(MID(PROPERTIES[[#This Row],[VEHIDCODE]],2,2)="mu",_xlfn.TEXTBEFORE(PROPERTIES[[#This Row],[VEHIDCODE]],"_")="mtro"),1,1=1,0)</f>
        <v>0</v>
      </c>
      <c r="D590" t="s">
        <v>1716</v>
      </c>
      <c r="E590" t="str">
        <f>_xlfn.XLOOKUP(PROPERTIES[[#This Row],[COUNTRY]],COUNTRIES[COUNTRY_DESCRIPTION],COUNTRIES[COUNTRY_LABEL],"")</f>
        <v>AR</v>
      </c>
      <c r="F590" t="str" cm="1">
        <f t="array" ref="F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0" t="s">
        <v>17</v>
      </c>
      <c r="H590">
        <v>40</v>
      </c>
      <c r="I590">
        <v>7</v>
      </c>
      <c r="J590">
        <v>7</v>
      </c>
      <c r="K590" t="str" cm="1">
        <f t="array" ref="K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f>IF(ISNUMBER(SEARCH("passenger",PROPERTIES[[#This Row],[CARGODEF]])),1,0)</f>
        <v>1</v>
      </c>
      <c r="O590" s="32">
        <v>37</v>
      </c>
      <c r="P590">
        <v>270</v>
      </c>
      <c r="Q590">
        <v>80</v>
      </c>
      <c r="R590" s="29">
        <v>42</v>
      </c>
      <c r="S590" s="28">
        <f>IFERROR(PROPERTIES[[#This Row],[TE_STARTING_KN]]/(PROPERTIES[[#This Row],[WEIGHT]]*9.81),0)</f>
        <v>0.11571204231754689</v>
      </c>
      <c r="T590" s="28">
        <v>0.14000000000000001</v>
      </c>
      <c r="U590" s="25">
        <f>ROUND(IF(IFERROR(PROPERTIES[[#This Row],[TE_COEFFICIENT_CALC]],0)=0,PROPERTIES[[#This Row],[TE_COEFFICIENT_MANUAL]],PROPERTIES[[#This Row],[TE_COEFFICIENT_CALC]]),3)</f>
        <v>0.11600000000000001</v>
      </c>
      <c r="V590" s="11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36">
        <v>0</v>
      </c>
      <c r="X590" s="9">
        <v>0</v>
      </c>
      <c r="Y590" s="10">
        <v>0</v>
      </c>
      <c r="Z590" t="s">
        <v>876</v>
      </c>
      <c r="AA590" t="s">
        <v>868</v>
      </c>
      <c r="AB590" s="2" t="s">
        <v>886</v>
      </c>
      <c r="AC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0" s="2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H590" s="10" t="b">
        <v>0</v>
      </c>
      <c r="AY590"/>
      <c r="AZ590"/>
      <c r="BA590"/>
    </row>
    <row r="591" spans="1:53">
      <c r="A591" s="2" t="s">
        <v>606</v>
      </c>
      <c r="B591">
        <v>1937</v>
      </c>
      <c r="C591" cm="1">
        <f t="array" ref="C591">_xlfn.IFS(ISNUMBER(SEARCH("wagon",PROPERTIES[[#This Row],[VEHIDCODE]])),0,OR(MID(PROPERTIES[[#This Row],[VEHIDCODE]],2,2)="mu",_xlfn.TEXTBEFORE(PROPERTIES[[#This Row],[VEHIDCODE]],"_")="mtro"),1,1=1,0)</f>
        <v>0</v>
      </c>
      <c r="D591" t="s">
        <v>1773</v>
      </c>
      <c r="E591" t="str">
        <f>_xlfn.XLOOKUP(PROPERTIES[[#This Row],[COUNTRY]],COUNTRIES[COUNTRY_DESCRIPTION],COUNTRIES[COUNTRY_LABEL],"")</f>
        <v>ER</v>
      </c>
      <c r="F591" t="str" cm="1">
        <f t="array" ref="F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1" t="s">
        <v>17</v>
      </c>
      <c r="H591">
        <v>62</v>
      </c>
      <c r="I591">
        <v>7</v>
      </c>
      <c r="J591">
        <v>5</v>
      </c>
      <c r="K591" t="str" cm="1">
        <f t="array" ref="K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f>IF(ISNUMBER(SEARCH("passenger",PROPERTIES[[#This Row],[CARGODEF]])),1,0)</f>
        <v>1</v>
      </c>
      <c r="O591" s="32">
        <v>24</v>
      </c>
      <c r="P591">
        <v>290</v>
      </c>
      <c r="Q591">
        <v>80</v>
      </c>
      <c r="R591" s="29">
        <v>32</v>
      </c>
      <c r="S591" s="28">
        <f>IFERROR(PROPERTIES[[#This Row],[TE_STARTING_KN]]/(PROPERTIES[[#This Row],[WEIGHT]]*9.81),0)</f>
        <v>0.13591573224600748</v>
      </c>
      <c r="T591" s="28">
        <v>0.26</v>
      </c>
      <c r="U591" s="25">
        <f>ROUND(IF(IFERROR(PROPERTIES[[#This Row],[TE_COEFFICIENT_CALC]],0)=0,PROPERTIES[[#This Row],[TE_COEFFICIENT_MANUAL]],PROPERTIES[[#This Row],[TE_COEFFICIENT_CALC]]),3)</f>
        <v>0.13600000000000001</v>
      </c>
      <c r="V591" s="11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36">
        <v>0</v>
      </c>
      <c r="X591" s="9">
        <v>0</v>
      </c>
      <c r="Y591" s="10">
        <v>0</v>
      </c>
      <c r="Z591" t="s">
        <v>872</v>
      </c>
      <c r="AA591" t="s">
        <v>868</v>
      </c>
      <c r="AB591" s="2" t="s">
        <v>886</v>
      </c>
      <c r="AC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1" s="2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H591" s="10" t="b">
        <v>0</v>
      </c>
      <c r="AY591"/>
      <c r="AZ591"/>
      <c r="BA591"/>
    </row>
    <row r="592" spans="1:53">
      <c r="A592" s="2" t="s">
        <v>607</v>
      </c>
      <c r="B592">
        <v>1911</v>
      </c>
      <c r="C592" cm="1">
        <f t="array" ref="C592">_xlfn.IFS(ISNUMBER(SEARCH("wagon",PROPERTIES[[#This Row],[VEHIDCODE]])),0,OR(MID(PROPERTIES[[#This Row],[VEHIDCODE]],2,2)="mu",_xlfn.TEXTBEFORE(PROPERTIES[[#This Row],[VEHIDCODE]],"_")="mtro"),1,1=1,0)</f>
        <v>0</v>
      </c>
      <c r="D592" t="s">
        <v>1749</v>
      </c>
      <c r="E592" t="str">
        <f>_xlfn.XLOOKUP(PROPERTIES[[#This Row],[COUNTRY]],COUNTRIES[COUNTRY_DESCRIPTION],COUNTRIES[COUNTRY_LABEL],"")</f>
        <v>CH</v>
      </c>
      <c r="F592" t="str" cm="1">
        <f t="array" ref="F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2" t="s">
        <v>17</v>
      </c>
      <c r="H592">
        <v>32</v>
      </c>
      <c r="I592">
        <v>6</v>
      </c>
      <c r="J592">
        <v>6</v>
      </c>
      <c r="K592" t="str" cm="1">
        <f t="array" ref="K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f>IF(ISNUMBER(SEARCH("passenger",PROPERTIES[[#This Row],[CARGODEF]])),1,0)</f>
        <v>1</v>
      </c>
      <c r="O592" s="32">
        <v>34</v>
      </c>
      <c r="P592">
        <v>340</v>
      </c>
      <c r="Q592">
        <v>35</v>
      </c>
      <c r="R592" s="29">
        <v>78</v>
      </c>
      <c r="S592" s="28">
        <f>IFERROR(PROPERTIES[[#This Row],[TE_STARTING_KN]]/(PROPERTIES[[#This Row],[WEIGHT]]*9.81),0)</f>
        <v>0.23385500989386579</v>
      </c>
      <c r="T592" s="28">
        <v>0.15</v>
      </c>
      <c r="U592" s="25">
        <f>ROUND(IF(IFERROR(PROPERTIES[[#This Row],[TE_COEFFICIENT_CALC]],0)=0,PROPERTIES[[#This Row],[TE_COEFFICIENT_MANUAL]],PROPERTIES[[#This Row],[TE_COEFFICIENT_CALC]]),3)</f>
        <v>0.23400000000000001</v>
      </c>
      <c r="V592" s="11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36">
        <v>0</v>
      </c>
      <c r="X592" s="9">
        <v>0</v>
      </c>
      <c r="Y592" s="10">
        <v>0</v>
      </c>
      <c r="Z592" t="s">
        <v>869</v>
      </c>
      <c r="AA592" t="s">
        <v>868</v>
      </c>
      <c r="AB592" s="2" t="s">
        <v>886</v>
      </c>
      <c r="AC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2" s="2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H592" s="10" t="b">
        <v>0</v>
      </c>
      <c r="AY592"/>
      <c r="AZ592"/>
      <c r="BA592"/>
    </row>
    <row r="593" spans="1:53">
      <c r="A593" s="2" t="s">
        <v>608</v>
      </c>
      <c r="B593">
        <v>1907</v>
      </c>
      <c r="C593" cm="1">
        <f t="array" ref="C593">_xlfn.IFS(ISNUMBER(SEARCH("wagon",PROPERTIES[[#This Row],[VEHIDCODE]])),0,OR(MID(PROPERTIES[[#This Row],[VEHIDCODE]],2,2)="mu",_xlfn.TEXTBEFORE(PROPERTIES[[#This Row],[VEHIDCODE]],"_")="mtro"),1,1=1,0)</f>
        <v>0</v>
      </c>
      <c r="D593" t="s">
        <v>1749</v>
      </c>
      <c r="E593" t="str">
        <f>_xlfn.XLOOKUP(PROPERTIES[[#This Row],[COUNTRY]],COUNTRIES[COUNTRY_DESCRIPTION],COUNTRIES[COUNTRY_LABEL],"")</f>
        <v>CH</v>
      </c>
      <c r="F593" t="str" cm="1">
        <f t="array" ref="F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3" t="s">
        <v>17</v>
      </c>
      <c r="H593">
        <v>20</v>
      </c>
      <c r="I593">
        <v>4</v>
      </c>
      <c r="J593">
        <v>4</v>
      </c>
      <c r="K593" t="str" cm="1">
        <f t="array" ref="K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f>IF(ISNUMBER(SEARCH("passenger",PROPERTIES[[#This Row],[CARGODEF]])),1,0)</f>
        <v>1</v>
      </c>
      <c r="O593" s="32">
        <v>15</v>
      </c>
      <c r="P593">
        <v>320</v>
      </c>
      <c r="Q593">
        <v>25</v>
      </c>
      <c r="R593" s="29">
        <v>45</v>
      </c>
      <c r="S593" s="28">
        <f>IFERROR(PROPERTIES[[#This Row],[TE_STARTING_KN]]/(PROPERTIES[[#This Row],[WEIGHT]]*9.81),0)</f>
        <v>0.3058103975535168</v>
      </c>
      <c r="T593" s="28">
        <v>0.33</v>
      </c>
      <c r="U593" s="25">
        <f>ROUND(IF(IFERROR(PROPERTIES[[#This Row],[TE_COEFFICIENT_CALC]],0)=0,PROPERTIES[[#This Row],[TE_COEFFICIENT_MANUAL]],PROPERTIES[[#This Row],[TE_COEFFICIENT_CALC]]),3)</f>
        <v>0.30599999999999999</v>
      </c>
      <c r="V593" s="11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36">
        <v>0</v>
      </c>
      <c r="X593" s="9">
        <v>0</v>
      </c>
      <c r="Y593" s="10">
        <v>0</v>
      </c>
      <c r="Z593" t="s">
        <v>869</v>
      </c>
      <c r="AA593" t="s">
        <v>868</v>
      </c>
      <c r="AB593" s="2" t="s">
        <v>886</v>
      </c>
      <c r="AC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3" s="2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H593" s="10" t="b">
        <v>0</v>
      </c>
      <c r="AY593"/>
      <c r="AZ593"/>
      <c r="BA593"/>
    </row>
    <row r="594" spans="1:53">
      <c r="A594" s="2" t="s">
        <v>609</v>
      </c>
      <c r="B594">
        <v>1998</v>
      </c>
      <c r="C594" cm="1">
        <f t="array" ref="C594">_xlfn.IFS(ISNUMBER(SEARCH("wagon",PROPERTIES[[#This Row],[VEHIDCODE]])),0,OR(MID(PROPERTIES[[#This Row],[VEHIDCODE]],2,2)="mu",_xlfn.TEXTBEFORE(PROPERTIES[[#This Row],[VEHIDCODE]],"_")="mtro"),1,1=1,0)</f>
        <v>0</v>
      </c>
      <c r="D594" t="s">
        <v>1749</v>
      </c>
      <c r="E594" t="str">
        <f>_xlfn.XLOOKUP(PROPERTIES[[#This Row],[COUNTRY]],COUNTRIES[COUNTRY_DESCRIPTION],COUNTRIES[COUNTRY_LABEL],"")</f>
        <v>CH</v>
      </c>
      <c r="F594" t="str" cm="1">
        <f t="array" ref="F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4" t="s">
        <v>17</v>
      </c>
      <c r="H594">
        <v>52</v>
      </c>
      <c r="I594">
        <v>8</v>
      </c>
      <c r="J594">
        <v>8</v>
      </c>
      <c r="K594" t="str" cm="1">
        <f t="array" ref="K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f>IF(ISNUMBER(SEARCH("passenger",PROPERTIES[[#This Row],[CARGODEF]])),1,0)</f>
        <v>1</v>
      </c>
      <c r="O594" s="32">
        <v>32</v>
      </c>
      <c r="P594">
        <v>574</v>
      </c>
      <c r="Q594">
        <v>50</v>
      </c>
      <c r="R594" s="29">
        <v>110</v>
      </c>
      <c r="S594" s="28">
        <f>IFERROR(PROPERTIES[[#This Row],[TE_STARTING_KN]]/(PROPERTIES[[#This Row],[WEIGHT]]*9.81),0)</f>
        <v>0.35040774719673801</v>
      </c>
      <c r="T594" s="28">
        <v>0.27</v>
      </c>
      <c r="U594" s="25">
        <f>ROUND(IF(IFERROR(PROPERTIES[[#This Row],[TE_COEFFICIENT_CALC]],0)=0,PROPERTIES[[#This Row],[TE_COEFFICIENT_MANUAL]],PROPERTIES[[#This Row],[TE_COEFFICIENT_CALC]]),3)</f>
        <v>0.35</v>
      </c>
      <c r="V594" s="11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36">
        <v>0</v>
      </c>
      <c r="X594" s="9">
        <v>0</v>
      </c>
      <c r="Y594" s="10">
        <v>0</v>
      </c>
      <c r="Z594" t="s">
        <v>869</v>
      </c>
      <c r="AA594" t="s">
        <v>868</v>
      </c>
      <c r="AB594" s="2" t="s">
        <v>886</v>
      </c>
      <c r="AC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4" s="2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H594" s="10" t="b">
        <v>0</v>
      </c>
      <c r="AY594"/>
      <c r="AZ594"/>
      <c r="BA594"/>
    </row>
    <row r="595" spans="1:53">
      <c r="A595" s="2" t="s">
        <v>610</v>
      </c>
      <c r="B595">
        <v>1929</v>
      </c>
      <c r="C595" cm="1">
        <f t="array" ref="C595">_xlfn.IFS(ISNUMBER(SEARCH("wagon",PROPERTIES[[#This Row],[VEHIDCODE]])),0,OR(MID(PROPERTIES[[#This Row],[VEHIDCODE]],2,2)="mu",_xlfn.TEXTBEFORE(PROPERTIES[[#This Row],[VEHIDCODE]],"_")="mtro"),1,1=1,0)</f>
        <v>0</v>
      </c>
      <c r="D595" t="s">
        <v>1774</v>
      </c>
      <c r="E595" t="str">
        <f>_xlfn.XLOOKUP(PROPERTIES[[#This Row],[COUNTRY]],COUNTRIES[COUNTRY_DESCRIPTION],COUNTRIES[COUNTRY_LABEL],"")</f>
        <v>ES</v>
      </c>
      <c r="F595" t="str" cm="1">
        <f t="array" ref="F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5" t="s">
        <v>17</v>
      </c>
      <c r="H595">
        <v>36</v>
      </c>
      <c r="I595">
        <v>6</v>
      </c>
      <c r="J595">
        <v>6</v>
      </c>
      <c r="K595" t="str" cm="1">
        <f t="array" ref="K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f>IF(ISNUMBER(SEARCH("passenger",PROPERTIES[[#This Row],[CARGODEF]])),1,0)</f>
        <v>1</v>
      </c>
      <c r="O595" s="32">
        <v>33</v>
      </c>
      <c r="P595">
        <v>350</v>
      </c>
      <c r="Q595">
        <v>45</v>
      </c>
      <c r="R595" s="29">
        <v>52</v>
      </c>
      <c r="S595" s="28">
        <f>IFERROR(PROPERTIES[[#This Row],[TE_STARTING_KN]]/(PROPERTIES[[#This Row],[WEIGHT]]*9.81),0)</f>
        <v>0.16062768356346338</v>
      </c>
      <c r="T595" s="28">
        <v>0.05</v>
      </c>
      <c r="U595" s="25">
        <f>ROUND(IF(IFERROR(PROPERTIES[[#This Row],[TE_COEFFICIENT_CALC]],0)=0,PROPERTIES[[#This Row],[TE_COEFFICIENT_MANUAL]],PROPERTIES[[#This Row],[TE_COEFFICIENT_CALC]]),3)</f>
        <v>0.161</v>
      </c>
      <c r="V595" s="11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36">
        <v>0</v>
      </c>
      <c r="X595" s="9">
        <v>0</v>
      </c>
      <c r="Y595" s="10">
        <v>0</v>
      </c>
      <c r="Z595" t="s">
        <v>870</v>
      </c>
      <c r="AA595" t="s">
        <v>868</v>
      </c>
      <c r="AB595" s="2" t="s">
        <v>886</v>
      </c>
      <c r="AC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5" s="2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H595" s="10" t="b">
        <v>0</v>
      </c>
      <c r="AY595"/>
      <c r="AZ595"/>
      <c r="BA595"/>
    </row>
    <row r="596" spans="1:53">
      <c r="A596" s="2" t="s">
        <v>611</v>
      </c>
      <c r="B596">
        <v>1960</v>
      </c>
      <c r="C596" cm="1">
        <f t="array" ref="C596">_xlfn.IFS(ISNUMBER(SEARCH("wagon",PROPERTIES[[#This Row],[VEHIDCODE]])),0,OR(MID(PROPERTIES[[#This Row],[VEHIDCODE]],2,2)="mu",_xlfn.TEXTBEFORE(PROPERTIES[[#This Row],[VEHIDCODE]],"_")="mtro"),1,1=1,0)</f>
        <v>0</v>
      </c>
      <c r="D596" t="s">
        <v>1819</v>
      </c>
      <c r="E596" t="str">
        <f>_xlfn.XLOOKUP(PROPERTIES[[#This Row],[COUNTRY]],COUNTRIES[COUNTRY_DESCRIPTION],COUNTRIES[COUNTRY_LABEL],"")</f>
        <v>JP</v>
      </c>
      <c r="F596" t="str" cm="1">
        <f t="array" ref="F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6" t="s">
        <v>17</v>
      </c>
      <c r="H596">
        <v>34</v>
      </c>
      <c r="I596">
        <v>7</v>
      </c>
      <c r="J596">
        <v>7</v>
      </c>
      <c r="K596" t="str" cm="1">
        <f t="array" ref="K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f>IF(ISNUMBER(SEARCH("passenger",PROPERTIES[[#This Row],[CARGODEF]])),1,0)</f>
        <v>1</v>
      </c>
      <c r="O596" s="32">
        <v>31</v>
      </c>
      <c r="P596">
        <v>402</v>
      </c>
      <c r="Q596">
        <v>40</v>
      </c>
      <c r="R596" s="29">
        <v>54</v>
      </c>
      <c r="S596" s="28">
        <f>IFERROR(PROPERTIES[[#This Row],[TE_STARTING_KN]]/(PROPERTIES[[#This Row],[WEIGHT]]*9.81),0)</f>
        <v>0.17756732761171942</v>
      </c>
      <c r="T596" s="28">
        <v>0.18</v>
      </c>
      <c r="U596" s="25">
        <f>ROUND(IF(IFERROR(PROPERTIES[[#This Row],[TE_COEFFICIENT_CALC]],0)=0,PROPERTIES[[#This Row],[TE_COEFFICIENT_MANUAL]],PROPERTIES[[#This Row],[TE_COEFFICIENT_CALC]]),3)</f>
        <v>0.17799999999999999</v>
      </c>
      <c r="V596" s="11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36">
        <v>0</v>
      </c>
      <c r="X596" s="9">
        <v>0</v>
      </c>
      <c r="Y596" s="10">
        <v>0</v>
      </c>
      <c r="Z596" t="s">
        <v>877</v>
      </c>
      <c r="AA596" t="s">
        <v>868</v>
      </c>
      <c r="AB596" s="2" t="s">
        <v>886</v>
      </c>
      <c r="AC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6" s="2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H596" s="10" t="b">
        <v>0</v>
      </c>
      <c r="AY596"/>
      <c r="AZ596"/>
      <c r="BA596"/>
    </row>
    <row r="597" spans="1:53">
      <c r="A597" s="2" t="s">
        <v>612</v>
      </c>
      <c r="B597">
        <v>1889</v>
      </c>
      <c r="C597" cm="1">
        <f t="array" ref="C597">_xlfn.IFS(ISNUMBER(SEARCH("wagon",PROPERTIES[[#This Row],[VEHIDCODE]])),0,OR(MID(PROPERTIES[[#This Row],[VEHIDCODE]],2,2)="mu",_xlfn.TEXTBEFORE(PROPERTIES[[#This Row],[VEHIDCODE]],"_")="mtro"),1,1=1,0)</f>
        <v>0</v>
      </c>
      <c r="D597" t="s">
        <v>1749</v>
      </c>
      <c r="E597" t="str">
        <f>_xlfn.XLOOKUP(PROPERTIES[[#This Row],[COUNTRY]],COUNTRIES[COUNTRY_DESCRIPTION],COUNTRIES[COUNTRY_LABEL],"")</f>
        <v>CH</v>
      </c>
      <c r="F597" t="str" cm="1">
        <f t="array" ref="F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7" t="s">
        <v>17</v>
      </c>
      <c r="H597">
        <v>0</v>
      </c>
      <c r="I597">
        <v>6</v>
      </c>
      <c r="J597">
        <v>6</v>
      </c>
      <c r="K597" t="str" cm="1">
        <f t="array" ref="K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7">
        <f>_xlfn.XLOOKUP("LOADINGSPEEDDEF_"&amp;PROPERTIES[[#This Row],[LOADINGSPEED]],LOADINGSPEEDDEF[TYPE],LOADINGSPEEDDEF[SPEED])</f>
        <v>40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f>IF(ISNUMBER(SEARCH("passenger",PROPERTIES[[#This Row],[CARGODEF]])),1,0)</f>
        <v>1</v>
      </c>
      <c r="O597" s="32">
        <v>30</v>
      </c>
      <c r="P597">
        <v>247</v>
      </c>
      <c r="Q597">
        <v>45</v>
      </c>
      <c r="R597" s="29">
        <v>38</v>
      </c>
      <c r="S597" s="28">
        <f>IFERROR(PROPERTIES[[#This Row],[TE_STARTING_KN]]/(PROPERTIES[[#This Row],[WEIGHT]]*9.81),0)</f>
        <v>0.1291199456337071</v>
      </c>
      <c r="T597" s="28">
        <v>0.19</v>
      </c>
      <c r="U597" s="25">
        <f>ROUND(IF(IFERROR(PROPERTIES[[#This Row],[TE_COEFFICIENT_CALC]],0)=0,PROPERTIES[[#This Row],[TE_COEFFICIENT_MANUAL]],PROPERTIES[[#This Row],[TE_COEFFICIENT_CALC]]),3)</f>
        <v>0.129</v>
      </c>
      <c r="V597" s="11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36">
        <v>0</v>
      </c>
      <c r="X597" s="9">
        <v>0</v>
      </c>
      <c r="Y597" s="10">
        <v>0</v>
      </c>
      <c r="Z597" t="s">
        <v>869</v>
      </c>
      <c r="AA597" t="s">
        <v>868</v>
      </c>
      <c r="AB597" s="2" t="s">
        <v>886</v>
      </c>
      <c r="AC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7" s="2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H597" s="10" t="b">
        <v>0</v>
      </c>
      <c r="AY597"/>
      <c r="AZ597"/>
      <c r="BA597"/>
    </row>
    <row r="598" spans="1:53">
      <c r="A598" s="2" t="s">
        <v>613</v>
      </c>
      <c r="B598">
        <v>1948</v>
      </c>
      <c r="C598" cm="1">
        <f t="array" ref="C598">_xlfn.IFS(ISNUMBER(SEARCH("wagon",PROPERTIES[[#This Row],[VEHIDCODE]])),0,OR(MID(PROPERTIES[[#This Row],[VEHIDCODE]],2,2)="mu",_xlfn.TEXTBEFORE(PROPERTIES[[#This Row],[VEHIDCODE]],"_")="mtro"),1,1=1,0)</f>
        <v>0</v>
      </c>
      <c r="D598" t="s">
        <v>1819</v>
      </c>
      <c r="E598" t="str">
        <f>_xlfn.XLOOKUP(PROPERTIES[[#This Row],[COUNTRY]],COUNTRIES[COUNTRY_DESCRIPTION],COUNTRIES[COUNTRY_LABEL],"")</f>
        <v>JP</v>
      </c>
      <c r="F598" t="str" cm="1">
        <f t="array" ref="F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8" t="s">
        <v>17</v>
      </c>
      <c r="H598">
        <v>0</v>
      </c>
      <c r="I598">
        <v>7</v>
      </c>
      <c r="J598">
        <v>7</v>
      </c>
      <c r="K598" t="str" cm="1">
        <f t="array" ref="K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8">
        <f>_xlfn.XLOOKUP("LOADINGSPEEDDEF_"&amp;PROPERTIES[[#This Row],[LOADINGSPEED]],LOADINGSPEEDDEF[TYPE],LOADINGSPEEDDEF[SPEED])</f>
        <v>40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f>IF(ISNUMBER(SEARCH("passenger",PROPERTIES[[#This Row],[CARGODEF]])),1,0)</f>
        <v>1</v>
      </c>
      <c r="O598" s="32">
        <v>102</v>
      </c>
      <c r="P598">
        <v>1340</v>
      </c>
      <c r="Q598">
        <v>65</v>
      </c>
      <c r="R598" s="29">
        <v>213</v>
      </c>
      <c r="S598" s="28">
        <f>IFERROR(PROPERTIES[[#This Row],[TE_STARTING_KN]]/(PROPERTIES[[#This Row],[WEIGHT]]*9.81),0)</f>
        <v>0.21286802182646758</v>
      </c>
      <c r="T598" s="28">
        <v>0.21</v>
      </c>
      <c r="U598" s="25">
        <f>ROUND(IF(IFERROR(PROPERTIES[[#This Row],[TE_COEFFICIENT_CALC]],0)=0,PROPERTIES[[#This Row],[TE_COEFFICIENT_MANUAL]],PROPERTIES[[#This Row],[TE_COEFFICIENT_CALC]]),3)</f>
        <v>0.21299999999999999</v>
      </c>
      <c r="V598" s="11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36">
        <v>0</v>
      </c>
      <c r="X598" s="9">
        <v>0</v>
      </c>
      <c r="Y598" s="10">
        <v>0</v>
      </c>
      <c r="Z598" t="s">
        <v>877</v>
      </c>
      <c r="AA598" t="s">
        <v>868</v>
      </c>
      <c r="AB598" s="2" t="s">
        <v>886</v>
      </c>
      <c r="AC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8" s="2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8" s="2" t="b">
        <v>0</v>
      </c>
      <c r="AH598" s="10" t="b">
        <v>0</v>
      </c>
      <c r="AY598"/>
      <c r="AZ598"/>
      <c r="BA598"/>
    </row>
    <row r="599" spans="1:53">
      <c r="A599" s="2" t="s">
        <v>614</v>
      </c>
      <c r="B599">
        <v>1880</v>
      </c>
      <c r="C599" cm="1">
        <f t="array" ref="C599">_xlfn.IFS(ISNUMBER(SEARCH("wagon",PROPERTIES[[#This Row],[VEHIDCODE]])),0,OR(MID(PROPERTIES[[#This Row],[VEHIDCODE]],2,2)="mu",_xlfn.TEXTBEFORE(PROPERTIES[[#This Row],[VEHIDCODE]],"_")="mtro"),1,1=1,0)</f>
        <v>0</v>
      </c>
      <c r="D599" t="s">
        <v>1819</v>
      </c>
      <c r="E599" t="str">
        <f>_xlfn.XLOOKUP(PROPERTIES[[#This Row],[COUNTRY]],COUNTRIES[COUNTRY_DESCRIPTION],COUNTRIES[COUNTRY_LABEL],"")</f>
        <v>JP</v>
      </c>
      <c r="F599" t="str" cm="1">
        <f t="array" ref="F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9" t="s">
        <v>19</v>
      </c>
      <c r="H599">
        <v>0</v>
      </c>
      <c r="I599">
        <v>5</v>
      </c>
      <c r="J599">
        <v>9</v>
      </c>
      <c r="K599" t="str" cm="1">
        <f t="array" ref="K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9">
        <f>_xlfn.XLOOKUP("LOADINGSPEEDDEF_"&amp;PROPERTIES[[#This Row],[LOADINGSPEED]],LOADINGSPEEDDEF[TYPE],LOADINGSPEEDDEF[SPEED])</f>
        <v>20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f>IF(ISNUMBER(SEARCH("passenger",PROPERTIES[[#This Row],[CARGODEF]])),1,0)</f>
        <v>0</v>
      </c>
      <c r="O599" s="32">
        <v>31</v>
      </c>
      <c r="P599">
        <v>200</v>
      </c>
      <c r="Q599">
        <v>36</v>
      </c>
      <c r="R599" s="29">
        <v>22</v>
      </c>
      <c r="S599" s="28">
        <f>IFERROR(PROPERTIES[[#This Row],[TE_STARTING_KN]]/(PROPERTIES[[#This Row],[WEIGHT]]*9.81),0)</f>
        <v>7.2342244582552367E-2</v>
      </c>
      <c r="T599" s="28">
        <v>7.0000000000000007E-2</v>
      </c>
      <c r="U599" s="25">
        <f>ROUND(IF(IFERROR(PROPERTIES[[#This Row],[TE_COEFFICIENT_CALC]],0)=0,PROPERTIES[[#This Row],[TE_COEFFICIENT_MANUAL]],PROPERTIES[[#This Row],[TE_COEFFICIENT_CALC]]),3)</f>
        <v>7.1999999999999995E-2</v>
      </c>
      <c r="V599" s="11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36">
        <v>0</v>
      </c>
      <c r="X599" s="9">
        <v>4</v>
      </c>
      <c r="Y599" s="10">
        <v>0</v>
      </c>
      <c r="Z599" t="s">
        <v>877</v>
      </c>
      <c r="AA599" t="s">
        <v>868</v>
      </c>
      <c r="AB599" s="2" t="s">
        <v>886</v>
      </c>
      <c r="AC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9" s="2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H599" s="10" t="b">
        <v>0</v>
      </c>
      <c r="AY599"/>
      <c r="AZ599"/>
      <c r="BA599"/>
    </row>
    <row r="600" spans="1:53">
      <c r="A600" s="2" t="s">
        <v>615</v>
      </c>
      <c r="B600">
        <v>1893</v>
      </c>
      <c r="C600" cm="1">
        <f t="array" ref="C600">_xlfn.IFS(ISNUMBER(SEARCH("wagon",PROPERTIES[[#This Row],[VEHIDCODE]])),0,OR(MID(PROPERTIES[[#This Row],[VEHIDCODE]],2,2)="mu",_xlfn.TEXTBEFORE(PROPERTIES[[#This Row],[VEHIDCODE]],"_")="mtro"),1,1=1,0)</f>
        <v>0</v>
      </c>
      <c r="D600" t="s">
        <v>1819</v>
      </c>
      <c r="E600" t="str">
        <f>_xlfn.XLOOKUP(PROPERTIES[[#This Row],[COUNTRY]],COUNTRIES[COUNTRY_DESCRIPTION],COUNTRIES[COUNTRY_LABEL],"")</f>
        <v>JP</v>
      </c>
      <c r="F600" t="str" cm="1">
        <f t="array" ref="F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0" t="s">
        <v>19</v>
      </c>
      <c r="H600">
        <v>0</v>
      </c>
      <c r="I600">
        <v>5</v>
      </c>
      <c r="J600">
        <v>5</v>
      </c>
      <c r="K600" t="str" cm="1">
        <f t="array" ref="K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0">
        <f>_xlfn.XLOOKUP("LOADINGSPEEDDEF_"&amp;PROPERTIES[[#This Row],[LOADINGSPEED]],LOADINGSPEEDDEF[TYPE],LOADINGSPEEDDEF[SPEED])</f>
        <v>20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f>IF(ISNUMBER(SEARCH("passenger",PROPERTIES[[#This Row],[CARGODEF]])),1,0)</f>
        <v>0</v>
      </c>
      <c r="O600" s="32">
        <v>32</v>
      </c>
      <c r="P600">
        <v>186</v>
      </c>
      <c r="Q600">
        <v>48</v>
      </c>
      <c r="R600" s="29">
        <v>48</v>
      </c>
      <c r="S600" s="28">
        <f>IFERROR(PROPERTIES[[#This Row],[TE_STARTING_KN]]/(PROPERTIES[[#This Row],[WEIGHT]]*9.81),0)</f>
        <v>0.1529051987767584</v>
      </c>
      <c r="T600" s="28">
        <v>0.15</v>
      </c>
      <c r="U600" s="25">
        <f>ROUND(IF(IFERROR(PROPERTIES[[#This Row],[TE_COEFFICIENT_CALC]],0)=0,PROPERTIES[[#This Row],[TE_COEFFICIENT_MANUAL]],PROPERTIES[[#This Row],[TE_COEFFICIENT_CALC]]),3)</f>
        <v>0.153</v>
      </c>
      <c r="V600" s="11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36">
        <v>0</v>
      </c>
      <c r="X600" s="9">
        <v>0</v>
      </c>
      <c r="Y600" s="10">
        <v>0</v>
      </c>
      <c r="Z600" t="s">
        <v>877</v>
      </c>
      <c r="AA600" t="s">
        <v>868</v>
      </c>
      <c r="AB600" s="2" t="s">
        <v>886</v>
      </c>
      <c r="AC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0" s="2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H600" s="10" t="b">
        <v>0</v>
      </c>
      <c r="AY600"/>
      <c r="AZ600"/>
      <c r="BA600"/>
    </row>
    <row r="601" spans="1:53">
      <c r="A601" s="2" t="s">
        <v>616</v>
      </c>
      <c r="B601">
        <v>1913</v>
      </c>
      <c r="C601" cm="1">
        <f t="array" ref="C601">_xlfn.IFS(ISNUMBER(SEARCH("wagon",PROPERTIES[[#This Row],[VEHIDCODE]])),0,OR(MID(PROPERTIES[[#This Row],[VEHIDCODE]],2,2)="mu",_xlfn.TEXTBEFORE(PROPERTIES[[#This Row],[VEHIDCODE]],"_")="mtro"),1,1=1,0)</f>
        <v>0</v>
      </c>
      <c r="D601" t="s">
        <v>1819</v>
      </c>
      <c r="E601" t="str">
        <f>_xlfn.XLOOKUP(PROPERTIES[[#This Row],[COUNTRY]],COUNTRIES[COUNTRY_DESCRIPTION],COUNTRIES[COUNTRY_LABEL],"")</f>
        <v>JP</v>
      </c>
      <c r="F601" t="str" cm="1">
        <f t="array" ref="F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1" t="s">
        <v>19</v>
      </c>
      <c r="H601">
        <v>0</v>
      </c>
      <c r="I601">
        <v>7</v>
      </c>
      <c r="J601">
        <v>11</v>
      </c>
      <c r="K601" t="str" cm="1">
        <f t="array" ref="K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1">
        <f>_xlfn.XLOOKUP("LOADINGSPEEDDEF_"&amp;PROPERTIES[[#This Row],[LOADINGSPEED]],LOADINGSPEEDDEF[TYPE],LOADINGSPEEDDEF[SPEED])</f>
        <v>20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f>IF(ISNUMBER(SEARCH("passenger",PROPERTIES[[#This Row],[CARGODEF]])),1,0)</f>
        <v>0</v>
      </c>
      <c r="O601" s="32">
        <v>95</v>
      </c>
      <c r="P601">
        <v>870</v>
      </c>
      <c r="Q601">
        <v>65</v>
      </c>
      <c r="R601" s="29">
        <v>139</v>
      </c>
      <c r="S601" s="28">
        <f>IFERROR(PROPERTIES[[#This Row],[TE_STARTING_KN]]/(PROPERTIES[[#This Row],[WEIGHT]]*9.81),0)</f>
        <v>0.14914963249101346</v>
      </c>
      <c r="T601" s="28">
        <v>0.15</v>
      </c>
      <c r="U601" s="25">
        <f>ROUND(IF(IFERROR(PROPERTIES[[#This Row],[TE_COEFFICIENT_CALC]],0)=0,PROPERTIES[[#This Row],[TE_COEFFICIENT_MANUAL]],PROPERTIES[[#This Row],[TE_COEFFICIENT_CALC]]),3)</f>
        <v>0.14899999999999999</v>
      </c>
      <c r="V601" s="11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36">
        <v>0</v>
      </c>
      <c r="X601" s="9">
        <v>4</v>
      </c>
      <c r="Y601" s="10">
        <v>0</v>
      </c>
      <c r="Z601" t="s">
        <v>877</v>
      </c>
      <c r="AA601" t="s">
        <v>868</v>
      </c>
      <c r="AB601" s="2" t="s">
        <v>886</v>
      </c>
      <c r="AC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1" s="2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1" s="2" t="b">
        <v>0</v>
      </c>
      <c r="AH601" s="10" t="b">
        <v>0</v>
      </c>
      <c r="AY601"/>
      <c r="AZ601"/>
      <c r="BA601"/>
    </row>
    <row r="602" spans="1:53">
      <c r="A602" s="2" t="s">
        <v>617</v>
      </c>
      <c r="B602">
        <v>1923</v>
      </c>
      <c r="C602" cm="1">
        <f t="array" ref="C602">_xlfn.IFS(ISNUMBER(SEARCH("wagon",PROPERTIES[[#This Row],[VEHIDCODE]])),0,OR(MID(PROPERTIES[[#This Row],[VEHIDCODE]],2,2)="mu",_xlfn.TEXTBEFORE(PROPERTIES[[#This Row],[VEHIDCODE]],"_")="mtro"),1,1=1,0)</f>
        <v>0</v>
      </c>
      <c r="D602" t="s">
        <v>1819</v>
      </c>
      <c r="E602" t="str">
        <f>_xlfn.XLOOKUP(PROPERTIES[[#This Row],[COUNTRY]],COUNTRIES[COUNTRY_DESCRIPTION],COUNTRIES[COUNTRY_LABEL],"")</f>
        <v>JP</v>
      </c>
      <c r="F602" t="str" cm="1">
        <f t="array" ref="F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2" t="s">
        <v>19</v>
      </c>
      <c r="H602">
        <v>0</v>
      </c>
      <c r="I602">
        <v>6</v>
      </c>
      <c r="J602">
        <v>10</v>
      </c>
      <c r="K602" t="str" cm="1">
        <f t="array" ref="K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2">
        <f>_xlfn.XLOOKUP("LOADINGSPEEDDEF_"&amp;PROPERTIES[[#This Row],[LOADINGSPEED]],LOADINGSPEEDDEF[TYPE],LOADINGSPEEDDEF[SPEED])</f>
        <v>20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f>IF(ISNUMBER(SEARCH("passenger",PROPERTIES[[#This Row],[CARGODEF]])),1,0)</f>
        <v>0</v>
      </c>
      <c r="O602" s="32">
        <v>122</v>
      </c>
      <c r="P602">
        <v>1280</v>
      </c>
      <c r="Q602">
        <v>70</v>
      </c>
      <c r="R602" s="29">
        <v>166</v>
      </c>
      <c r="S602" s="28">
        <f>IFERROR(PROPERTIES[[#This Row],[TE_STARTING_KN]]/(PROPERTIES[[#This Row],[WEIGHT]]*9.81),0)</f>
        <v>0.13870089069367153</v>
      </c>
      <c r="T602" s="28">
        <v>0.16</v>
      </c>
      <c r="U602" s="25">
        <f>ROUND(IF(IFERROR(PROPERTIES[[#This Row],[TE_COEFFICIENT_CALC]],0)=0,PROPERTIES[[#This Row],[TE_COEFFICIENT_MANUAL]],PROPERTIES[[#This Row],[TE_COEFFICIENT_CALC]]),3)</f>
        <v>0.13900000000000001</v>
      </c>
      <c r="V602" s="11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36">
        <v>0</v>
      </c>
      <c r="X602" s="9">
        <v>4</v>
      </c>
      <c r="Y602" s="10">
        <v>0</v>
      </c>
      <c r="Z602" t="s">
        <v>877</v>
      </c>
      <c r="AA602" t="s">
        <v>868</v>
      </c>
      <c r="AB602" s="2" t="s">
        <v>886</v>
      </c>
      <c r="AC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2" s="2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H602" s="10" t="b">
        <v>0</v>
      </c>
      <c r="AY602"/>
      <c r="AZ602"/>
      <c r="BA602"/>
    </row>
    <row r="603" spans="1:53">
      <c r="A603" s="2" t="s">
        <v>618</v>
      </c>
      <c r="B603">
        <v>1957</v>
      </c>
      <c r="C603" cm="1">
        <f t="array" ref="C603">_xlfn.IFS(ISNUMBER(SEARCH("wagon",PROPERTIES[[#This Row],[VEHIDCODE]])),0,OR(MID(PROPERTIES[[#This Row],[VEHIDCODE]],2,2)="mu",_xlfn.TEXTBEFORE(PROPERTIES[[#This Row],[VEHIDCODE]],"_")="mtro"),1,1=1,0)</f>
        <v>0</v>
      </c>
      <c r="D603" t="s">
        <v>1819</v>
      </c>
      <c r="E603" t="str">
        <f>_xlfn.XLOOKUP(PROPERTIES[[#This Row],[COUNTRY]],COUNTRIES[COUNTRY_DESCRIPTION],COUNTRIES[COUNTRY_LABEL],"")</f>
        <v>JP</v>
      </c>
      <c r="F603" t="str" cm="1">
        <f t="array" ref="F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03" t="s">
        <v>19</v>
      </c>
      <c r="H603">
        <v>0</v>
      </c>
      <c r="I603">
        <v>7</v>
      </c>
      <c r="J603">
        <v>7</v>
      </c>
      <c r="K603" t="str" cm="1">
        <f t="array" ref="K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3">
        <f>_xlfn.XLOOKUP("LOADINGSPEEDDEF_"&amp;PROPERTIES[[#This Row],[LOADINGSPEED]],LOADINGSPEEDDEF[TYPE],LOADINGSPEEDDEF[SPEED])</f>
        <v>20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f>IF(ISNUMBER(SEARCH("passenger",PROPERTIES[[#This Row],[CARGODEF]])),1,0)</f>
        <v>0</v>
      </c>
      <c r="O603" s="32">
        <v>85</v>
      </c>
      <c r="P603">
        <v>1060</v>
      </c>
      <c r="Q603">
        <v>90</v>
      </c>
      <c r="R603" s="29">
        <v>123</v>
      </c>
      <c r="S603" s="28">
        <f>IFERROR(PROPERTIES[[#This Row],[TE_STARTING_KN]]/(PROPERTIES[[#This Row],[WEIGHT]]*9.81),0)</f>
        <v>0.14750854470228458</v>
      </c>
      <c r="T603" s="28">
        <v>0.28999999999999998</v>
      </c>
      <c r="U603" s="25">
        <f>ROUND(IF(IFERROR(PROPERTIES[[#This Row],[TE_COEFFICIENT_CALC]],0)=0,PROPERTIES[[#This Row],[TE_COEFFICIENT_MANUAL]],PROPERTIES[[#This Row],[TE_COEFFICIENT_CALC]]),3)</f>
        <v>0.14799999999999999</v>
      </c>
      <c r="V603" s="11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36">
        <v>0</v>
      </c>
      <c r="X603" s="9">
        <v>0</v>
      </c>
      <c r="Y603" s="10">
        <v>0</v>
      </c>
      <c r="Z603" t="s">
        <v>877</v>
      </c>
      <c r="AA603" t="s">
        <v>868</v>
      </c>
      <c r="AB603" s="2" t="s">
        <v>886</v>
      </c>
      <c r="AC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603" s="2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H603" s="10" t="b">
        <v>0</v>
      </c>
      <c r="AY603"/>
      <c r="AZ603"/>
      <c r="BA603"/>
    </row>
    <row r="604" spans="1:53">
      <c r="A604" s="2" t="s">
        <v>619</v>
      </c>
      <c r="B604">
        <v>1909</v>
      </c>
      <c r="C604" cm="1">
        <f t="array" ref="C604">_xlfn.IFS(ISNUMBER(SEARCH("wagon",PROPERTIES[[#This Row],[VEHIDCODE]])),0,OR(MID(PROPERTIES[[#This Row],[VEHIDCODE]],2,2)="mu",_xlfn.TEXTBEFORE(PROPERTIES[[#This Row],[VEHIDCODE]],"_")="mtro"),1,1=1,0)</f>
        <v>0</v>
      </c>
      <c r="D604" t="s">
        <v>1749</v>
      </c>
      <c r="E604" t="str">
        <f>_xlfn.XLOOKUP(PROPERTIES[[#This Row],[COUNTRY]],COUNTRIES[COUNTRY_DESCRIPTION],COUNTRIES[COUNTRY_LABEL],"")</f>
        <v>CH</v>
      </c>
      <c r="F604" t="str" cm="1">
        <f t="array" ref="F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4" t="s">
        <v>19</v>
      </c>
      <c r="H604">
        <v>0</v>
      </c>
      <c r="I604">
        <v>5</v>
      </c>
      <c r="J604">
        <v>5</v>
      </c>
      <c r="K604" t="str" cm="1">
        <f t="array" ref="K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4">
        <f>_xlfn.XLOOKUP("LOADINGSPEEDDEF_"&amp;PROPERTIES[[#This Row],[LOADINGSPEED]],LOADINGSPEEDDEF[TYPE],LOADINGSPEEDDEF[SPEED])</f>
        <v>20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f>IF(ISNUMBER(SEARCH("passenger",PROPERTIES[[#This Row],[CARGODEF]])),1,0)</f>
        <v>0</v>
      </c>
      <c r="O604" s="32">
        <v>16</v>
      </c>
      <c r="P604">
        <v>200</v>
      </c>
      <c r="Q604">
        <v>45</v>
      </c>
      <c r="R604" s="29">
        <v>24.5</v>
      </c>
      <c r="S604" s="28">
        <f>IFERROR(PROPERTIES[[#This Row],[TE_STARTING_KN]]/(PROPERTIES[[#This Row],[WEIGHT]]*9.81),0)</f>
        <v>0.1560907237512742</v>
      </c>
      <c r="T604" s="28">
        <v>0.3</v>
      </c>
      <c r="U604" s="25">
        <f>ROUND(IF(IFERROR(PROPERTIES[[#This Row],[TE_COEFFICIENT_CALC]],0)=0,PROPERTIES[[#This Row],[TE_COEFFICIENT_MANUAL]],PROPERTIES[[#This Row],[TE_COEFFICIENT_CALC]]),3)</f>
        <v>0.156</v>
      </c>
      <c r="V604" s="11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36">
        <v>0</v>
      </c>
      <c r="X604" s="9">
        <v>0</v>
      </c>
      <c r="Y604" s="10">
        <v>0</v>
      </c>
      <c r="Z604" t="s">
        <v>869</v>
      </c>
      <c r="AA604" t="s">
        <v>868</v>
      </c>
      <c r="AB604" s="2" t="s">
        <v>886</v>
      </c>
      <c r="AC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4" s="2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H604" s="10" t="b">
        <v>0</v>
      </c>
      <c r="AY604"/>
      <c r="AZ604"/>
      <c r="BA604"/>
    </row>
    <row r="605" spans="1:53">
      <c r="A605" s="2" t="s">
        <v>620</v>
      </c>
      <c r="B605">
        <v>1954</v>
      </c>
      <c r="C605" cm="1">
        <f t="array" ref="C605">_xlfn.IFS(ISNUMBER(SEARCH("wagon",PROPERTIES[[#This Row],[VEHIDCODE]])),0,OR(MID(PROPERTIES[[#This Row],[VEHIDCODE]],2,2)="mu",_xlfn.TEXTBEFORE(PROPERTIES[[#This Row],[VEHIDCODE]],"_")="mtro"),1,1=1,0)</f>
        <v>0</v>
      </c>
      <c r="D605" t="s">
        <v>1819</v>
      </c>
      <c r="E605" t="str">
        <f>_xlfn.XLOOKUP(PROPERTIES[[#This Row],[COUNTRY]],COUNTRIES[COUNTRY_DESCRIPTION],COUNTRIES[COUNTRY_LABEL],"")</f>
        <v>JP</v>
      </c>
      <c r="F605" t="str" cm="1">
        <f t="array" ref="F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5" t="s">
        <v>19</v>
      </c>
      <c r="H605">
        <v>0</v>
      </c>
      <c r="I605">
        <v>7</v>
      </c>
      <c r="J605">
        <v>14</v>
      </c>
      <c r="K605" t="str" cm="1">
        <f t="array" ref="K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5">
        <f>_xlfn.XLOOKUP("LOADINGSPEEDDEF_"&amp;PROPERTIES[[#This Row],[LOADINGSPEED]],LOADINGSPEEDDEF[TYPE],LOADINGSPEEDDEF[SPEED])</f>
        <v>20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f>IF(ISNUMBER(SEARCH("passenger",PROPERTIES[[#This Row],[CARGODEF]])),1,0)</f>
        <v>0</v>
      </c>
      <c r="O605" s="32">
        <v>116</v>
      </c>
      <c r="P605">
        <v>3390</v>
      </c>
      <c r="Q605">
        <v>110</v>
      </c>
      <c r="R605" s="29">
        <v>238</v>
      </c>
      <c r="S605" s="28">
        <f>IFERROR(PROPERTIES[[#This Row],[TE_STARTING_KN]]/(PROPERTIES[[#This Row],[WEIGHT]]*9.81),0)</f>
        <v>0.20914619143027874</v>
      </c>
      <c r="T605" s="28">
        <v>0.16</v>
      </c>
      <c r="U605" s="25">
        <f>ROUND(IF(IFERROR(PROPERTIES[[#This Row],[TE_COEFFICIENT_CALC]],0)=0,PROPERTIES[[#This Row],[TE_COEFFICIENT_MANUAL]],PROPERTIES[[#This Row],[TE_COEFFICIENT_CALC]]),3)</f>
        <v>0.20899999999999999</v>
      </c>
      <c r="V605" s="11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36">
        <v>0</v>
      </c>
      <c r="X605" s="9">
        <v>7</v>
      </c>
      <c r="Y605" s="10">
        <v>0</v>
      </c>
      <c r="Z605" t="s">
        <v>877</v>
      </c>
      <c r="AA605" t="s">
        <v>868</v>
      </c>
      <c r="AB605" s="2" t="s">
        <v>886</v>
      </c>
      <c r="AC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5" s="2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H605" s="10" t="b">
        <v>0</v>
      </c>
      <c r="AY605"/>
      <c r="AZ605"/>
      <c r="BA605"/>
    </row>
    <row r="606" spans="1:53">
      <c r="A606" s="2" t="s">
        <v>621</v>
      </c>
      <c r="B606">
        <v>1964</v>
      </c>
      <c r="C606" cm="1">
        <f t="array" ref="C606">_xlfn.IFS(ISNUMBER(SEARCH("wagon",PROPERTIES[[#This Row],[VEHIDCODE]])),0,OR(MID(PROPERTIES[[#This Row],[VEHIDCODE]],2,2)="mu",_xlfn.TEXTBEFORE(PROPERTIES[[#This Row],[VEHIDCODE]],"_")="mtro"),1,1=1,0)</f>
        <v>0</v>
      </c>
      <c r="D606" t="s">
        <v>1819</v>
      </c>
      <c r="E606" t="str">
        <f>_xlfn.XLOOKUP(PROPERTIES[[#This Row],[COUNTRY]],COUNTRIES[COUNTRY_DESCRIPTION],COUNTRIES[COUNTRY_LABEL],"")</f>
        <v>JP</v>
      </c>
      <c r="F606" t="str" cm="1">
        <f t="array" ref="F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6" t="s">
        <v>19</v>
      </c>
      <c r="H606">
        <v>0</v>
      </c>
      <c r="I606">
        <v>8</v>
      </c>
      <c r="J606">
        <v>8</v>
      </c>
      <c r="K606" t="str" cm="1">
        <f t="array" ref="K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6">
        <f>_xlfn.XLOOKUP("LOADINGSPEEDDEF_"&amp;PROPERTIES[[#This Row],[LOADINGSPEED]],LOADINGSPEEDDEF[TYPE],LOADINGSPEEDDEF[SPEED])</f>
        <v>20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f>IF(ISNUMBER(SEARCH("passenger",PROPERTIES[[#This Row],[CARGODEF]])),1,0)</f>
        <v>0</v>
      </c>
      <c r="O606" s="32">
        <v>96</v>
      </c>
      <c r="P606">
        <v>3420</v>
      </c>
      <c r="Q606">
        <v>100</v>
      </c>
      <c r="R606" s="29">
        <v>196</v>
      </c>
      <c r="S606" s="28">
        <f>IFERROR(PROPERTIES[[#This Row],[TE_STARTING_KN]]/(PROPERTIES[[#This Row],[WEIGHT]]*9.81),0)</f>
        <v>0.20812096500169894</v>
      </c>
      <c r="T606" s="28">
        <v>0.3</v>
      </c>
      <c r="U606" s="25">
        <f>ROUND(IF(IFERROR(PROPERTIES[[#This Row],[TE_COEFFICIENT_CALC]],0)=0,PROPERTIES[[#This Row],[TE_COEFFICIENT_MANUAL]],PROPERTIES[[#This Row],[TE_COEFFICIENT_CALC]]),3)</f>
        <v>0.20799999999999999</v>
      </c>
      <c r="V606" s="11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36">
        <v>0</v>
      </c>
      <c r="X606" s="9">
        <v>0</v>
      </c>
      <c r="Y606" s="10">
        <v>0</v>
      </c>
      <c r="Z606" t="s">
        <v>877</v>
      </c>
      <c r="AA606" t="s">
        <v>868</v>
      </c>
      <c r="AB606" s="2" t="s">
        <v>886</v>
      </c>
      <c r="AC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6" s="2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H606" s="10" t="b">
        <v>0</v>
      </c>
      <c r="AY606"/>
      <c r="AZ606"/>
      <c r="BA606"/>
    </row>
    <row r="607" spans="1:53">
      <c r="A607" s="2" t="s">
        <v>622</v>
      </c>
      <c r="B607">
        <v>1923</v>
      </c>
      <c r="C607" cm="1">
        <f t="array" ref="C607">_xlfn.IFS(ISNUMBER(SEARCH("wagon",PROPERTIES[[#This Row],[VEHIDCODE]])),0,OR(MID(PROPERTIES[[#This Row],[VEHIDCODE]],2,2)="mu",_xlfn.TEXTBEFORE(PROPERTIES[[#This Row],[VEHIDCODE]],"_")="mtro"),1,1=1,0)</f>
        <v>0</v>
      </c>
      <c r="D607" t="s">
        <v>1876</v>
      </c>
      <c r="E607" t="str">
        <f>_xlfn.XLOOKUP(PROPERTIES[[#This Row],[COUNTRY]],COUNTRIES[COUNTRY_DESCRIPTION],COUNTRIES[COUNTRY_LABEL],"")</f>
        <v>NZ</v>
      </c>
      <c r="F607" t="str" cm="1">
        <f t="array" ref="F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7" t="s">
        <v>19</v>
      </c>
      <c r="H607">
        <v>0</v>
      </c>
      <c r="I607">
        <v>7</v>
      </c>
      <c r="J607">
        <v>7</v>
      </c>
      <c r="K607" t="str" cm="1">
        <f t="array" ref="K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7">
        <f>_xlfn.XLOOKUP("LOADINGSPEEDDEF_"&amp;PROPERTIES[[#This Row],[LOADINGSPEED]],LOADINGSPEEDDEF[TYPE],LOADINGSPEEDDEF[SPEED])</f>
        <v>20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f>IF(ISNUMBER(SEARCH("passenger",PROPERTIES[[#This Row],[CARGODEF]])),1,0)</f>
        <v>0</v>
      </c>
      <c r="O607" s="32">
        <v>50</v>
      </c>
      <c r="P607">
        <v>680</v>
      </c>
      <c r="Q607">
        <v>64</v>
      </c>
      <c r="R607" s="29">
        <v>63</v>
      </c>
      <c r="S607" s="28">
        <f>IFERROR(PROPERTIES[[#This Row],[TE_STARTING_KN]]/(PROPERTIES[[#This Row],[WEIGHT]]*9.81),0)</f>
        <v>0.12844036697247707</v>
      </c>
      <c r="T607" s="28">
        <v>0.13</v>
      </c>
      <c r="U607" s="25">
        <f>ROUND(IF(IFERROR(PROPERTIES[[#This Row],[TE_COEFFICIENT_CALC]],0)=0,PROPERTIES[[#This Row],[TE_COEFFICIENT_MANUAL]],PROPERTIES[[#This Row],[TE_COEFFICIENT_CALC]]),3)</f>
        <v>0.128</v>
      </c>
      <c r="V607" s="11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36">
        <v>0</v>
      </c>
      <c r="X607" s="9">
        <v>0</v>
      </c>
      <c r="Y607" s="10">
        <v>0</v>
      </c>
      <c r="Z607" t="s">
        <v>871</v>
      </c>
      <c r="AA607" t="s">
        <v>868</v>
      </c>
      <c r="AB607" s="2" t="s">
        <v>886</v>
      </c>
      <c r="AC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7" s="2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H607" s="10" t="b">
        <v>0</v>
      </c>
      <c r="AY607"/>
      <c r="AZ607"/>
      <c r="BA607"/>
    </row>
    <row r="608" spans="1:53">
      <c r="A608" s="2" t="s">
        <v>623</v>
      </c>
      <c r="B608">
        <v>1952</v>
      </c>
      <c r="C608" cm="1">
        <f t="array" ref="C608">_xlfn.IFS(ISNUMBER(SEARCH("wagon",PROPERTIES[[#This Row],[VEHIDCODE]])),0,OR(MID(PROPERTIES[[#This Row],[VEHIDCODE]],2,2)="mu",_xlfn.TEXTBEFORE(PROPERTIES[[#This Row],[VEHIDCODE]],"_")="mtro"),1,1=1,0)</f>
        <v>0</v>
      </c>
      <c r="D608" t="s">
        <v>1719</v>
      </c>
      <c r="E608" t="str">
        <f>_xlfn.XLOOKUP(PROPERTIES[[#This Row],[COUNTRY]],COUNTRIES[COUNTRY_DESCRIPTION],COUNTRIES[COUNTRY_LABEL],"")</f>
        <v>AU</v>
      </c>
      <c r="F608" t="str" cm="1">
        <f t="array" ref="F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8" t="s">
        <v>19</v>
      </c>
      <c r="H608">
        <v>0</v>
      </c>
      <c r="I608">
        <v>7</v>
      </c>
      <c r="J608">
        <v>7</v>
      </c>
      <c r="K608" t="str" cm="1">
        <f t="array" ref="K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8">
        <f>_xlfn.XLOOKUP("LOADINGSPEEDDEF_"&amp;PROPERTIES[[#This Row],[LOADINGSPEED]],LOADINGSPEEDDEF[TYPE],LOADINGSPEEDDEF[SPEED])</f>
        <v>20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f>IF(ISNUMBER(SEARCH("passenger",PROPERTIES[[#This Row],[CARGODEF]])),1,0)</f>
        <v>0</v>
      </c>
      <c r="O608" s="32">
        <v>110</v>
      </c>
      <c r="P608">
        <v>2700</v>
      </c>
      <c r="Q608">
        <v>113</v>
      </c>
      <c r="R608" s="29">
        <v>267</v>
      </c>
      <c r="S608" s="28">
        <f>IFERROR(PROPERTIES[[#This Row],[TE_STARTING_KN]]/(PROPERTIES[[#This Row],[WEIGHT]]*9.81),0)</f>
        <v>0.24742841256602721</v>
      </c>
      <c r="T608" s="28">
        <v>0.11</v>
      </c>
      <c r="U608" s="25">
        <f>ROUND(IF(IFERROR(PROPERTIES[[#This Row],[TE_COEFFICIENT_CALC]],0)=0,PROPERTIES[[#This Row],[TE_COEFFICIENT_MANUAL]],PROPERTIES[[#This Row],[TE_COEFFICIENT_CALC]]),3)</f>
        <v>0.247</v>
      </c>
      <c r="V608" s="11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36">
        <v>0</v>
      </c>
      <c r="X608" s="9">
        <v>0</v>
      </c>
      <c r="Y608" s="10">
        <v>0</v>
      </c>
      <c r="Z608" t="s">
        <v>871</v>
      </c>
      <c r="AA608" t="s">
        <v>868</v>
      </c>
      <c r="AB608" s="2" t="s">
        <v>886</v>
      </c>
      <c r="AC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8" s="2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H608" s="10" t="b">
        <v>0</v>
      </c>
      <c r="AY608"/>
      <c r="AZ608"/>
      <c r="BA608"/>
    </row>
    <row r="609" spans="1:53">
      <c r="A609" s="2" t="s">
        <v>624</v>
      </c>
      <c r="B609">
        <v>1952</v>
      </c>
      <c r="C609" cm="1">
        <f t="array" ref="C609">_xlfn.IFS(ISNUMBER(SEARCH("wagon",PROPERTIES[[#This Row],[VEHIDCODE]])),0,OR(MID(PROPERTIES[[#This Row],[VEHIDCODE]],2,2)="mu",_xlfn.TEXTBEFORE(PROPERTIES[[#This Row],[VEHIDCODE]],"_")="mtro"),1,1=1,0)</f>
        <v>0</v>
      </c>
      <c r="D609" t="s">
        <v>1951</v>
      </c>
      <c r="E609" t="str">
        <f>_xlfn.XLOOKUP(PROPERTIES[[#This Row],[COUNTRY]],COUNTRIES[COUNTRY_DESCRIPTION],COUNTRIES[COUNTRY_LABEL],"")</f>
        <v>ZA</v>
      </c>
      <c r="F609" t="str" cm="1">
        <f t="array" ref="F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9" t="s">
        <v>19</v>
      </c>
      <c r="H609">
        <v>0</v>
      </c>
      <c r="I609">
        <v>8</v>
      </c>
      <c r="J609">
        <v>8</v>
      </c>
      <c r="K609" t="str" cm="1">
        <f t="array" ref="K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9">
        <f>_xlfn.XLOOKUP("LOADINGSPEEDDEF_"&amp;PROPERTIES[[#This Row],[LOADINGSPEED]],LOADINGSPEEDDEF[TYPE],LOADINGSPEEDDEF[SPEED])</f>
        <v>20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f>IF(ISNUMBER(SEARCH("passenger",PROPERTIES[[#This Row],[CARGODEF]])),1,0)</f>
        <v>0</v>
      </c>
      <c r="O609" s="32">
        <v>155</v>
      </c>
      <c r="P609">
        <v>2520</v>
      </c>
      <c r="Q609">
        <v>97</v>
      </c>
      <c r="R609" s="29">
        <v>322</v>
      </c>
      <c r="S609" s="28">
        <f>IFERROR(PROPERTIES[[#This Row],[TE_STARTING_KN]]/(PROPERTIES[[#This Row],[WEIGHT]]*9.81),0)</f>
        <v>0.21176547959619871</v>
      </c>
      <c r="T609" s="28">
        <v>0.09</v>
      </c>
      <c r="U609" s="25">
        <f>ROUND(IF(IFERROR(PROPERTIES[[#This Row],[TE_COEFFICIENT_CALC]],0)=0,PROPERTIES[[#This Row],[TE_COEFFICIENT_MANUAL]],PROPERTIES[[#This Row],[TE_COEFFICIENT_CALC]]),3)</f>
        <v>0.21199999999999999</v>
      </c>
      <c r="V609" s="11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36">
        <v>0</v>
      </c>
      <c r="X609" s="9">
        <v>0</v>
      </c>
      <c r="Y609" s="10">
        <v>0</v>
      </c>
      <c r="Z609" t="s">
        <v>872</v>
      </c>
      <c r="AA609" t="s">
        <v>868</v>
      </c>
      <c r="AB609" s="2" t="s">
        <v>886</v>
      </c>
      <c r="AC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9" s="2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H609" s="10" t="b">
        <v>0</v>
      </c>
      <c r="AY609"/>
      <c r="AZ609"/>
      <c r="BA609"/>
    </row>
    <row r="610" spans="1:53">
      <c r="A610" s="2" t="s">
        <v>625</v>
      </c>
      <c r="B610">
        <v>1965</v>
      </c>
      <c r="C610" cm="1">
        <f t="array" ref="C610">_xlfn.IFS(ISNUMBER(SEARCH("wagon",PROPERTIES[[#This Row],[VEHIDCODE]])),0,OR(MID(PROPERTIES[[#This Row],[VEHIDCODE]],2,2)="mu",_xlfn.TEXTBEFORE(PROPERTIES[[#This Row],[VEHIDCODE]],"_")="mtro"),1,1=1,0)</f>
        <v>0</v>
      </c>
      <c r="D610" t="s">
        <v>1951</v>
      </c>
      <c r="E610" t="str">
        <f>_xlfn.XLOOKUP(PROPERTIES[[#This Row],[COUNTRY]],COUNTRIES[COUNTRY_DESCRIPTION],COUNTRIES[COUNTRY_LABEL],"")</f>
        <v>ZA</v>
      </c>
      <c r="F610" t="str" cm="1">
        <f t="array" ref="F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0" t="s">
        <v>19</v>
      </c>
      <c r="H610">
        <v>0</v>
      </c>
      <c r="I610">
        <v>7</v>
      </c>
      <c r="J610">
        <v>7</v>
      </c>
      <c r="K610" t="str" cm="1">
        <f t="array" ref="K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0">
        <f>_xlfn.XLOOKUP("LOADINGSPEEDDEF_"&amp;PROPERTIES[[#This Row],[LOADINGSPEED]],LOADINGSPEEDDEF[TYPE],LOADINGSPEEDDEF[SPEED])</f>
        <v>20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f>IF(ISNUMBER(SEARCH("passenger",PROPERTIES[[#This Row],[CARGODEF]])),1,0)</f>
        <v>0</v>
      </c>
      <c r="O610" s="32">
        <v>86</v>
      </c>
      <c r="P610">
        <v>1953</v>
      </c>
      <c r="Q610">
        <v>97</v>
      </c>
      <c r="R610" s="29">
        <v>250</v>
      </c>
      <c r="S610" s="28">
        <f>IFERROR(PROPERTIES[[#This Row],[TE_STARTING_KN]]/(PROPERTIES[[#This Row],[WEIGHT]]*9.81),0)</f>
        <v>0.29632790460612091</v>
      </c>
      <c r="T610" s="28">
        <v>0.15</v>
      </c>
      <c r="U610" s="25">
        <f>ROUND(IF(IFERROR(PROPERTIES[[#This Row],[TE_COEFFICIENT_CALC]],0)=0,PROPERTIES[[#This Row],[TE_COEFFICIENT_MANUAL]],PROPERTIES[[#This Row],[TE_COEFFICIENT_CALC]]),3)</f>
        <v>0.29599999999999999</v>
      </c>
      <c r="V610" s="11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36">
        <v>0</v>
      </c>
      <c r="X610" s="9">
        <v>0</v>
      </c>
      <c r="Y610" s="10">
        <v>0</v>
      </c>
      <c r="Z610" t="s">
        <v>872</v>
      </c>
      <c r="AA610" t="s">
        <v>868</v>
      </c>
      <c r="AB610" s="2" t="s">
        <v>886</v>
      </c>
      <c r="AC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0" s="2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H610" s="10" t="b">
        <v>0</v>
      </c>
      <c r="AY610"/>
      <c r="AZ610"/>
      <c r="BA610"/>
    </row>
    <row r="611" spans="1:53">
      <c r="A611" s="2" t="s">
        <v>626</v>
      </c>
      <c r="B611">
        <v>1970</v>
      </c>
      <c r="C611" cm="1">
        <f t="array" ref="C611">_xlfn.IFS(ISNUMBER(SEARCH("wagon",PROPERTIES[[#This Row],[VEHIDCODE]])),0,OR(MID(PROPERTIES[[#This Row],[VEHIDCODE]],2,2)="mu",_xlfn.TEXTBEFORE(PROPERTIES[[#This Row],[VEHIDCODE]],"_")="mtro"),1,1=1,0)</f>
        <v>0</v>
      </c>
      <c r="D611" t="s">
        <v>1951</v>
      </c>
      <c r="E611" t="str">
        <f>_xlfn.XLOOKUP(PROPERTIES[[#This Row],[COUNTRY]],COUNTRIES[COUNTRY_DESCRIPTION],COUNTRIES[COUNTRY_LABEL],"")</f>
        <v>ZA</v>
      </c>
      <c r="F611" t="str" cm="1">
        <f t="array" ref="F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1" t="s">
        <v>19</v>
      </c>
      <c r="H611">
        <v>0</v>
      </c>
      <c r="I611">
        <v>8</v>
      </c>
      <c r="J611">
        <v>8</v>
      </c>
      <c r="K611" t="str" cm="1">
        <f t="array" ref="K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1">
        <f>_xlfn.XLOOKUP("LOADINGSPEEDDEF_"&amp;PROPERTIES[[#This Row],[LOADINGSPEED]],LOADINGSPEEDDEF[TYPE],LOADINGSPEEDDEF[SPEED])</f>
        <v>20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f>IF(ISNUMBER(SEARCH("passenger",PROPERTIES[[#This Row],[CARGODEF]])),1,0)</f>
        <v>0</v>
      </c>
      <c r="O611" s="32">
        <v>89</v>
      </c>
      <c r="P611">
        <v>3020</v>
      </c>
      <c r="Q611">
        <v>113</v>
      </c>
      <c r="R611" s="29">
        <v>311</v>
      </c>
      <c r="S611" s="28">
        <f>IFERROR(PROPERTIES[[#This Row],[TE_STARTING_KN]]/(PROPERTIES[[#This Row],[WEIGHT]]*9.81),0)</f>
        <v>0.35620611849866562</v>
      </c>
      <c r="T611" s="28">
        <v>0.22</v>
      </c>
      <c r="U611" s="25">
        <f>ROUND(IF(IFERROR(PROPERTIES[[#This Row],[TE_COEFFICIENT_CALC]],0)=0,PROPERTIES[[#This Row],[TE_COEFFICIENT_MANUAL]],PROPERTIES[[#This Row],[TE_COEFFICIENT_CALC]]),3)</f>
        <v>0.35599999999999998</v>
      </c>
      <c r="V611" s="11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36">
        <v>0</v>
      </c>
      <c r="X611" s="9">
        <v>0</v>
      </c>
      <c r="Y611" s="10">
        <v>0</v>
      </c>
      <c r="Z611" t="s">
        <v>872</v>
      </c>
      <c r="AA611" t="s">
        <v>868</v>
      </c>
      <c r="AB611" s="2" t="s">
        <v>886</v>
      </c>
      <c r="AC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1" s="2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H611" s="10" t="b">
        <v>0</v>
      </c>
      <c r="AY611"/>
      <c r="AZ611"/>
      <c r="BA611"/>
    </row>
    <row r="612" spans="1:53">
      <c r="A612" s="2" t="s">
        <v>627</v>
      </c>
      <c r="B612">
        <v>1947</v>
      </c>
      <c r="C612" cm="1">
        <f t="array" ref="C612">_xlfn.IFS(ISNUMBER(SEARCH("wagon",PROPERTIES[[#This Row],[VEHIDCODE]])),0,OR(MID(PROPERTIES[[#This Row],[VEHIDCODE]],2,2)="mu",_xlfn.TEXTBEFORE(PROPERTIES[[#This Row],[VEHIDCODE]],"_")="mtro"),1,1=1,0)</f>
        <v>0</v>
      </c>
      <c r="D612" t="s">
        <v>1749</v>
      </c>
      <c r="E612" t="str">
        <f>_xlfn.XLOOKUP(PROPERTIES[[#This Row],[COUNTRY]],COUNTRIES[COUNTRY_DESCRIPTION],COUNTRIES[COUNTRY_LABEL],"")</f>
        <v>CH</v>
      </c>
      <c r="F612" t="str" cm="1">
        <f t="array" ref="F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2" t="s">
        <v>19</v>
      </c>
      <c r="H612">
        <v>0</v>
      </c>
      <c r="I612">
        <v>8</v>
      </c>
      <c r="J612">
        <v>8</v>
      </c>
      <c r="K612" t="str" cm="1">
        <f t="array" ref="K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2">
        <f>_xlfn.XLOOKUP("LOADINGSPEEDDEF_"&amp;PROPERTIES[[#This Row],[LOADINGSPEED]],LOADINGSPEEDDEF[TYPE],LOADINGSPEEDDEF[SPEED])</f>
        <v>20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f>IF(ISNUMBER(SEARCH("passenger",PROPERTIES[[#This Row],[CARGODEF]])),1,0)</f>
        <v>0</v>
      </c>
      <c r="O612" s="32">
        <v>47</v>
      </c>
      <c r="P612">
        <v>1590</v>
      </c>
      <c r="Q612">
        <v>80</v>
      </c>
      <c r="R612" s="29">
        <v>135</v>
      </c>
      <c r="S612" s="28">
        <f>IFERROR(PROPERTIES[[#This Row],[TE_STARTING_KN]]/(PROPERTIES[[#This Row],[WEIGHT]]*9.81),0)</f>
        <v>0.29279718914698416</v>
      </c>
      <c r="T612" s="28">
        <v>0.3</v>
      </c>
      <c r="U612" s="25">
        <f>ROUND(IF(IFERROR(PROPERTIES[[#This Row],[TE_COEFFICIENT_CALC]],0)=0,PROPERTIES[[#This Row],[TE_COEFFICIENT_MANUAL]],PROPERTIES[[#This Row],[TE_COEFFICIENT_CALC]]),3)</f>
        <v>0.29299999999999998</v>
      </c>
      <c r="V612" s="11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36">
        <v>0</v>
      </c>
      <c r="X612" s="9">
        <v>0</v>
      </c>
      <c r="Y612" s="10">
        <v>0</v>
      </c>
      <c r="Z612" t="s">
        <v>869</v>
      </c>
      <c r="AA612" t="s">
        <v>868</v>
      </c>
      <c r="AB612" s="2" t="s">
        <v>886</v>
      </c>
      <c r="AC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2" s="2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H612" s="10" t="b">
        <v>0</v>
      </c>
      <c r="AY612"/>
      <c r="AZ612"/>
      <c r="BA612"/>
    </row>
    <row r="613" spans="1:53">
      <c r="A613" s="2" t="s">
        <v>628</v>
      </c>
      <c r="B613">
        <v>1921</v>
      </c>
      <c r="C613" cm="1">
        <f t="array" ref="C613">_xlfn.IFS(ISNUMBER(SEARCH("wagon",PROPERTIES[[#This Row],[VEHIDCODE]])),0,OR(MID(PROPERTIES[[#This Row],[VEHIDCODE]],2,2)="mu",_xlfn.TEXTBEFORE(PROPERTIES[[#This Row],[VEHIDCODE]],"_")="mtro"),1,1=1,0)</f>
        <v>0</v>
      </c>
      <c r="D613" t="s">
        <v>1749</v>
      </c>
      <c r="E613" t="str">
        <f>_xlfn.XLOOKUP(PROPERTIES[[#This Row],[COUNTRY]],COUNTRIES[COUNTRY_DESCRIPTION],COUNTRIES[COUNTRY_LABEL],"")</f>
        <v>CH</v>
      </c>
      <c r="F613" t="str" cm="1">
        <f t="array" ref="F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3" t="s">
        <v>19</v>
      </c>
      <c r="H613">
        <v>0</v>
      </c>
      <c r="I613">
        <v>8</v>
      </c>
      <c r="J613">
        <v>8</v>
      </c>
      <c r="K613" t="str" cm="1">
        <f t="array" ref="K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3">
        <f>_xlfn.XLOOKUP("LOADINGSPEEDDEF_"&amp;PROPERTIES[[#This Row],[LOADINGSPEED]],LOADINGSPEEDDEF[TYPE],LOADINGSPEEDDEF[SPEED])</f>
        <v>20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f>IF(ISNUMBER(SEARCH("passenger",PROPERTIES[[#This Row],[CARGODEF]])),1,0)</f>
        <v>0</v>
      </c>
      <c r="O613" s="32">
        <v>66</v>
      </c>
      <c r="P613">
        <v>1260</v>
      </c>
      <c r="Q613">
        <v>55</v>
      </c>
      <c r="R613" s="29">
        <v>131</v>
      </c>
      <c r="S613" s="28">
        <f>IFERROR(PROPERTIES[[#This Row],[TE_STARTING_KN]]/(PROPERTIES[[#This Row],[WEIGHT]]*9.81),0)</f>
        <v>0.20232910141167021</v>
      </c>
      <c r="T613" s="28">
        <v>0.26</v>
      </c>
      <c r="U613" s="25">
        <f>ROUND(IF(IFERROR(PROPERTIES[[#This Row],[TE_COEFFICIENT_CALC]],0)=0,PROPERTIES[[#This Row],[TE_COEFFICIENT_MANUAL]],PROPERTIES[[#This Row],[TE_COEFFICIENT_CALC]]),3)</f>
        <v>0.20200000000000001</v>
      </c>
      <c r="V613" s="11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36">
        <v>0</v>
      </c>
      <c r="X613" s="9">
        <v>0</v>
      </c>
      <c r="Y613" s="10">
        <v>0</v>
      </c>
      <c r="Z613" t="s">
        <v>869</v>
      </c>
      <c r="AA613" t="s">
        <v>868</v>
      </c>
      <c r="AB613" s="2" t="s">
        <v>886</v>
      </c>
      <c r="AC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3" s="2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H613" s="10" t="b">
        <v>0</v>
      </c>
      <c r="AY613"/>
      <c r="AZ613"/>
      <c r="BA613"/>
    </row>
    <row r="614" spans="1:53">
      <c r="A614" s="2" t="s">
        <v>629</v>
      </c>
      <c r="B614">
        <v>2012</v>
      </c>
      <c r="C614" cm="1">
        <f t="array" ref="C614">_xlfn.IFS(ISNUMBER(SEARCH("wagon",PROPERTIES[[#This Row],[VEHIDCODE]])),0,OR(MID(PROPERTIES[[#This Row],[VEHIDCODE]],2,2)="mu",_xlfn.TEXTBEFORE(PROPERTIES[[#This Row],[VEHIDCODE]],"_")="mtro"),1,1=1,0)</f>
        <v>0</v>
      </c>
      <c r="D614" t="s">
        <v>1737</v>
      </c>
      <c r="E614" t="str">
        <f>_xlfn.XLOOKUP(PROPERTIES[[#This Row],[COUNTRY]],COUNTRIES[COUNTRY_DESCRIPTION],COUNTRIES[COUNTRY_LABEL],"")</f>
        <v>BR</v>
      </c>
      <c r="F614" t="str" cm="1">
        <f t="array" ref="F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4" t="s">
        <v>19</v>
      </c>
      <c r="H614">
        <v>0</v>
      </c>
      <c r="I614">
        <v>7</v>
      </c>
      <c r="J614">
        <v>7</v>
      </c>
      <c r="K614" t="str" cm="1">
        <f t="array" ref="K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4">
        <f>_xlfn.XLOOKUP("LOADINGSPEEDDEF_"&amp;PROPERTIES[[#This Row],[LOADINGSPEED]],LOADINGSPEEDDEF[TYPE],LOADINGSPEEDDEF[SPEED])</f>
        <v>20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f>IF(ISNUMBER(SEARCH("passenger",PROPERTIES[[#This Row],[CARGODEF]])),1,0)</f>
        <v>0</v>
      </c>
      <c r="O614" s="32">
        <v>121</v>
      </c>
      <c r="P614">
        <v>6710</v>
      </c>
      <c r="Q614">
        <v>60</v>
      </c>
      <c r="R614" s="29">
        <v>760</v>
      </c>
      <c r="S614" s="28">
        <f>IFERROR(PROPERTIES[[#This Row],[TE_STARTING_KN]]/(PROPERTIES[[#This Row],[WEIGHT]]*9.81),0)</f>
        <v>0.64026419322499395</v>
      </c>
      <c r="T614" s="28">
        <v>0.63</v>
      </c>
      <c r="U614" s="25">
        <f>ROUND(IF(IFERROR(PROPERTIES[[#This Row],[TE_COEFFICIENT_CALC]],0)=0,PROPERTIES[[#This Row],[TE_COEFFICIENT_MANUAL]],PROPERTIES[[#This Row],[TE_COEFFICIENT_CALC]]),3)</f>
        <v>0.64</v>
      </c>
      <c r="V614" s="11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36">
        <v>0</v>
      </c>
      <c r="X614" s="9">
        <v>0</v>
      </c>
      <c r="Y614" s="10">
        <v>0</v>
      </c>
      <c r="Z614" t="s">
        <v>876</v>
      </c>
      <c r="AA614" t="s">
        <v>868</v>
      </c>
      <c r="AB614" s="2" t="s">
        <v>886</v>
      </c>
      <c r="AC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4" s="2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4" s="2" t="b">
        <v>0</v>
      </c>
      <c r="AH614" s="10" t="b">
        <v>0</v>
      </c>
      <c r="AY614"/>
      <c r="AZ614"/>
      <c r="BA614"/>
    </row>
    <row r="615" spans="1:53">
      <c r="A615" s="2" t="s">
        <v>630</v>
      </c>
      <c r="B615">
        <v>1978</v>
      </c>
      <c r="C615" cm="1">
        <f t="array" ref="C615">_xlfn.IFS(ISNUMBER(SEARCH("wagon",PROPERTIES[[#This Row],[VEHIDCODE]])),0,OR(MID(PROPERTIES[[#This Row],[VEHIDCODE]],2,2)="mu",_xlfn.TEXTBEFORE(PROPERTIES[[#This Row],[VEHIDCODE]],"_")="mtro"),1,1=1,0)</f>
        <v>0</v>
      </c>
      <c r="D615" t="s">
        <v>1951</v>
      </c>
      <c r="E615" t="str">
        <f>_xlfn.XLOOKUP(PROPERTIES[[#This Row],[COUNTRY]],COUNTRIES[COUNTRY_DESCRIPTION],COUNTRIES[COUNTRY_LABEL],"")</f>
        <v>ZA</v>
      </c>
      <c r="F615" t="str" cm="1">
        <f t="array" ref="F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5" t="s">
        <v>19</v>
      </c>
      <c r="H615">
        <v>0</v>
      </c>
      <c r="I615">
        <v>7</v>
      </c>
      <c r="J615">
        <v>7</v>
      </c>
      <c r="K615" t="str" cm="1">
        <f t="array" ref="K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5">
        <f>_xlfn.XLOOKUP("LOADINGSPEEDDEF_"&amp;PROPERTIES[[#This Row],[LOADINGSPEED]],LOADINGSPEEDDEF[TYPE],LOADINGSPEEDDEF[SPEED])</f>
        <v>20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f>IF(ISNUMBER(SEARCH("passenger",PROPERTIES[[#This Row],[CARGODEF]])),1,0)</f>
        <v>0</v>
      </c>
      <c r="O615" s="32">
        <v>124</v>
      </c>
      <c r="P615">
        <v>4000</v>
      </c>
      <c r="Q615">
        <v>100</v>
      </c>
      <c r="R615" s="29">
        <v>450</v>
      </c>
      <c r="S615" s="28">
        <f>IFERROR(PROPERTIES[[#This Row],[TE_STARTING_KN]]/(PROPERTIES[[#This Row],[WEIGHT]]*9.81),0)</f>
        <v>0.36993193252441547</v>
      </c>
      <c r="T615" s="28">
        <v>0.25</v>
      </c>
      <c r="U615" s="25">
        <f>ROUND(IF(IFERROR(PROPERTIES[[#This Row],[TE_COEFFICIENT_CALC]],0)=0,PROPERTIES[[#This Row],[TE_COEFFICIENT_MANUAL]],PROPERTIES[[#This Row],[TE_COEFFICIENT_CALC]]),3)</f>
        <v>0.37</v>
      </c>
      <c r="V615" s="11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36">
        <v>0</v>
      </c>
      <c r="X615" s="9">
        <v>0</v>
      </c>
      <c r="Y615" s="10">
        <v>0</v>
      </c>
      <c r="Z615" t="s">
        <v>872</v>
      </c>
      <c r="AA615" t="s">
        <v>868</v>
      </c>
      <c r="AB615" s="2" t="s">
        <v>886</v>
      </c>
      <c r="AC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5" s="2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H615" s="10" t="b">
        <v>0</v>
      </c>
      <c r="AY615"/>
      <c r="AZ615"/>
      <c r="BA615"/>
    </row>
    <row r="616" spans="1:53">
      <c r="A616" s="2" t="s">
        <v>631</v>
      </c>
      <c r="B616">
        <v>1985</v>
      </c>
      <c r="C616" cm="1">
        <f t="array" ref="C616">_xlfn.IFS(ISNUMBER(SEARCH("wagon",PROPERTIES[[#This Row],[VEHIDCODE]])),0,OR(MID(PROPERTIES[[#This Row],[VEHIDCODE]],2,2)="mu",_xlfn.TEXTBEFORE(PROPERTIES[[#This Row],[VEHIDCODE]],"_")="mtro"),1,1=1,0)</f>
        <v>0</v>
      </c>
      <c r="D616" t="s">
        <v>1951</v>
      </c>
      <c r="E616" t="str">
        <f>_xlfn.XLOOKUP(PROPERTIES[[#This Row],[COUNTRY]],COUNTRIES[COUNTRY_DESCRIPTION],COUNTRIES[COUNTRY_LABEL],"")</f>
        <v>ZA</v>
      </c>
      <c r="F616" t="str" cm="1">
        <f t="array" ref="F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6" t="s">
        <v>19</v>
      </c>
      <c r="H616">
        <v>0</v>
      </c>
      <c r="I616">
        <v>8</v>
      </c>
      <c r="J616">
        <v>8</v>
      </c>
      <c r="K616" t="str" cm="1">
        <f t="array" ref="K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6">
        <f>_xlfn.XLOOKUP("LOADINGSPEEDDEF_"&amp;PROPERTIES[[#This Row],[LOADINGSPEED]],LOADINGSPEEDDEF[TYPE],LOADINGSPEEDDEF[SPEED])</f>
        <v>20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f>IF(ISNUMBER(SEARCH("passenger",PROPERTIES[[#This Row],[CARGODEF]])),1,0)</f>
        <v>0</v>
      </c>
      <c r="O616" s="32">
        <v>172</v>
      </c>
      <c r="P616">
        <v>5200</v>
      </c>
      <c r="Q616">
        <v>90</v>
      </c>
      <c r="R616" s="29">
        <v>580</v>
      </c>
      <c r="S616" s="28">
        <f>IFERROR(PROPERTIES[[#This Row],[TE_STARTING_KN]]/(PROPERTIES[[#This Row],[WEIGHT]]*9.81),0)</f>
        <v>0.34374036934310026</v>
      </c>
      <c r="T616" s="28">
        <v>0.23</v>
      </c>
      <c r="U616" s="25">
        <f>ROUND(IF(IFERROR(PROPERTIES[[#This Row],[TE_COEFFICIENT_CALC]],0)=0,PROPERTIES[[#This Row],[TE_COEFFICIENT_MANUAL]],PROPERTIES[[#This Row],[TE_COEFFICIENT_CALC]]),3)</f>
        <v>0.34399999999999997</v>
      </c>
      <c r="V616" s="11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36">
        <v>0</v>
      </c>
      <c r="X616" s="9">
        <v>0</v>
      </c>
      <c r="Y616" s="10">
        <v>0</v>
      </c>
      <c r="Z616" t="s">
        <v>872</v>
      </c>
      <c r="AA616" t="s">
        <v>868</v>
      </c>
      <c r="AB616" s="2" t="s">
        <v>886</v>
      </c>
      <c r="AC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6" s="2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H616" s="10" t="b">
        <v>0</v>
      </c>
      <c r="AY616"/>
      <c r="AZ616"/>
      <c r="BA616"/>
    </row>
    <row r="617" spans="1:53">
      <c r="A617" s="2" t="s">
        <v>632</v>
      </c>
      <c r="B617">
        <v>1986</v>
      </c>
      <c r="C617" cm="1">
        <f t="array" ref="C617">_xlfn.IFS(ISNUMBER(SEARCH("wagon",PROPERTIES[[#This Row],[VEHIDCODE]])),0,OR(MID(PROPERTIES[[#This Row],[VEHIDCODE]],2,2)="mu",_xlfn.TEXTBEFORE(PROPERTIES[[#This Row],[VEHIDCODE]],"_")="mtro"),1,1=1,0)</f>
        <v>0</v>
      </c>
      <c r="D617" t="s">
        <v>1876</v>
      </c>
      <c r="E617" t="str">
        <f>_xlfn.XLOOKUP(PROPERTIES[[#This Row],[COUNTRY]],COUNTRIES[COUNTRY_DESCRIPTION],COUNTRIES[COUNTRY_LABEL],"")</f>
        <v>NZ</v>
      </c>
      <c r="F617" t="str" cm="1">
        <f t="array" ref="F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7" t="s">
        <v>19</v>
      </c>
      <c r="H617">
        <v>0</v>
      </c>
      <c r="I617">
        <v>8</v>
      </c>
      <c r="J617">
        <v>8</v>
      </c>
      <c r="K617" t="str" cm="1">
        <f t="array" ref="K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7">
        <f>_xlfn.XLOOKUP("LOADINGSPEEDDEF_"&amp;PROPERTIES[[#This Row],[LOADINGSPEED]],LOADINGSPEEDDEF[TYPE],LOADINGSPEEDDEF[SPEED])</f>
        <v>20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f>IF(ISNUMBER(SEARCH("passenger",PROPERTIES[[#This Row],[CARGODEF]])),1,0)</f>
        <v>0</v>
      </c>
      <c r="O617" s="32">
        <v>107</v>
      </c>
      <c r="P617">
        <v>4000</v>
      </c>
      <c r="Q617">
        <v>105</v>
      </c>
      <c r="R617" s="29">
        <v>360</v>
      </c>
      <c r="S617" s="28">
        <f>IFERROR(PROPERTIES[[#This Row],[TE_STARTING_KN]]/(PROPERTIES[[#This Row],[WEIGHT]]*9.81),0)</f>
        <v>0.3429649318357198</v>
      </c>
      <c r="T617" s="28">
        <v>0.21</v>
      </c>
      <c r="U617" s="25">
        <f>ROUND(IF(IFERROR(PROPERTIES[[#This Row],[TE_COEFFICIENT_CALC]],0)=0,PROPERTIES[[#This Row],[TE_COEFFICIENT_MANUAL]],PROPERTIES[[#This Row],[TE_COEFFICIENT_CALC]]),3)</f>
        <v>0.34300000000000003</v>
      </c>
      <c r="V617" s="11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36">
        <v>0</v>
      </c>
      <c r="X617" s="9">
        <v>0</v>
      </c>
      <c r="Y617" s="10">
        <v>0</v>
      </c>
      <c r="Z617" t="s">
        <v>871</v>
      </c>
      <c r="AA617" t="s">
        <v>868</v>
      </c>
      <c r="AB617" s="2" t="s">
        <v>886</v>
      </c>
      <c r="AC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7" s="2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H617" s="10" t="b">
        <v>0</v>
      </c>
      <c r="AY617"/>
      <c r="AZ617"/>
      <c r="BA617"/>
    </row>
    <row r="618" spans="1:53">
      <c r="A618" s="2" t="s">
        <v>633</v>
      </c>
      <c r="B618">
        <v>1962</v>
      </c>
      <c r="C618" cm="1">
        <f t="array" ref="C618">_xlfn.IFS(ISNUMBER(SEARCH("wagon",PROPERTIES[[#This Row],[VEHIDCODE]])),0,OR(MID(PROPERTIES[[#This Row],[VEHIDCODE]],2,2)="mu",_xlfn.TEXTBEFORE(PROPERTIES[[#This Row],[VEHIDCODE]],"_")="mtro"),1,1=1,0)</f>
        <v>1</v>
      </c>
      <c r="D618" t="s">
        <v>1819</v>
      </c>
      <c r="E618" t="str">
        <f>_xlfn.XLOOKUP(PROPERTIES[[#This Row],[COUNTRY]],COUNTRIES[COUNTRY_DESCRIPTION],COUNTRIES[COUNTRY_LABEL],"")</f>
        <v>JP</v>
      </c>
      <c r="F618" t="str" cm="1">
        <f t="array" ref="F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8" t="s">
        <v>17</v>
      </c>
      <c r="H618">
        <v>48</v>
      </c>
      <c r="I618">
        <v>8</v>
      </c>
      <c r="J618">
        <v>8</v>
      </c>
      <c r="K618" t="str" cm="1">
        <f t="array" ref="K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f>IF(ISNUMBER(SEARCH("passenger",PROPERTIES[[#This Row],[CARGODEF]])),1,0)</f>
        <v>1</v>
      </c>
      <c r="O618" s="32">
        <v>28.4</v>
      </c>
      <c r="P618">
        <f>536*2</f>
        <v>1072</v>
      </c>
      <c r="Q618">
        <v>110</v>
      </c>
      <c r="R618" s="29">
        <v>35</v>
      </c>
      <c r="S618" s="28">
        <f>IFERROR(PROPERTIES[[#This Row],[TE_STARTING_KN]]/(PROPERTIES[[#This Row],[WEIGHT]]*9.81),0)</f>
        <v>0.12562633702315831</v>
      </c>
      <c r="T618" s="28">
        <v>0.27</v>
      </c>
      <c r="U618" s="25">
        <f>ROUND(IF(IFERROR(PROPERTIES[[#This Row],[TE_COEFFICIENT_CALC]],0)=0,PROPERTIES[[#This Row],[TE_COEFFICIENT_MANUAL]],PROPERTIES[[#This Row],[TE_COEFFICIENT_CALC]]),3)</f>
        <v>0.126</v>
      </c>
      <c r="V618" s="11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36">
        <v>42</v>
      </c>
      <c r="X618" s="9">
        <v>8</v>
      </c>
      <c r="Y618" s="10">
        <v>0</v>
      </c>
      <c r="Z618" t="s">
        <v>877</v>
      </c>
      <c r="AA618" t="s">
        <v>868</v>
      </c>
      <c r="AB618" s="2" t="s">
        <v>886</v>
      </c>
      <c r="AC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8" s="2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H618" s="10" t="b">
        <v>0</v>
      </c>
      <c r="AY618"/>
      <c r="AZ618"/>
      <c r="BA618"/>
    </row>
    <row r="619" spans="1:53">
      <c r="A619" s="2" t="s">
        <v>634</v>
      </c>
      <c r="B619">
        <v>1986</v>
      </c>
      <c r="C619" cm="1">
        <f t="array" ref="C619">_xlfn.IFS(ISNUMBER(SEARCH("wagon",PROPERTIES[[#This Row],[VEHIDCODE]])),0,OR(MID(PROPERTIES[[#This Row],[VEHIDCODE]],2,2)="mu",_xlfn.TEXTBEFORE(PROPERTIES[[#This Row],[VEHIDCODE]],"_")="mtro"),1,1=1,0)</f>
        <v>1</v>
      </c>
      <c r="D619" t="s">
        <v>1819</v>
      </c>
      <c r="E619" t="str">
        <f>_xlfn.XLOOKUP(PROPERTIES[[#This Row],[COUNTRY]],COUNTRIES[COUNTRY_DESCRIPTION],COUNTRIES[COUNTRY_LABEL],"")</f>
        <v>JP</v>
      </c>
      <c r="F619" t="str" cm="1">
        <f t="array" ref="F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9" t="s">
        <v>17</v>
      </c>
      <c r="H619">
        <v>46</v>
      </c>
      <c r="I619">
        <v>8</v>
      </c>
      <c r="J619">
        <v>8</v>
      </c>
      <c r="K619" t="str" cm="1">
        <f t="array" ref="K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f>IF(ISNUMBER(SEARCH("passenger",PROPERTIES[[#This Row],[CARGODEF]])),1,0)</f>
        <v>1</v>
      </c>
      <c r="O619" s="32">
        <v>32.700000000000003</v>
      </c>
      <c r="P619">
        <v>1550</v>
      </c>
      <c r="Q619">
        <v>110</v>
      </c>
      <c r="R619" s="29">
        <v>42</v>
      </c>
      <c r="S619" s="28">
        <f>IFERROR(PROPERTIES[[#This Row],[TE_STARTING_KN]]/(PROPERTIES[[#This Row],[WEIGHT]]*9.81),0)</f>
        <v>0.13092799895257601</v>
      </c>
      <c r="T619" s="28">
        <v>0.22</v>
      </c>
      <c r="U619" s="25">
        <f>ROUND(IF(IFERROR(PROPERTIES[[#This Row],[TE_COEFFICIENT_CALC]],0)=0,PROPERTIES[[#This Row],[TE_COEFFICIENT_MANUAL]],PROPERTIES[[#This Row],[TE_COEFFICIENT_CALC]]),3)</f>
        <v>0.13100000000000001</v>
      </c>
      <c r="V619" s="11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36">
        <v>44</v>
      </c>
      <c r="X619" s="9">
        <v>8</v>
      </c>
      <c r="Y619" s="10">
        <v>0</v>
      </c>
      <c r="Z619" t="s">
        <v>877</v>
      </c>
      <c r="AA619" t="s">
        <v>868</v>
      </c>
      <c r="AB619" s="2" t="s">
        <v>886</v>
      </c>
      <c r="AC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9" s="2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H619" s="10" t="b">
        <v>0</v>
      </c>
      <c r="AY619"/>
      <c r="AZ619"/>
      <c r="BA619"/>
    </row>
    <row r="620" spans="1:53">
      <c r="A620" s="2" t="s">
        <v>635</v>
      </c>
      <c r="B620">
        <v>1972</v>
      </c>
      <c r="C620" cm="1">
        <f t="array" ref="C620">_xlfn.IFS(ISNUMBER(SEARCH("wagon",PROPERTIES[[#This Row],[VEHIDCODE]])),0,OR(MID(PROPERTIES[[#This Row],[VEHIDCODE]],2,2)="mu",_xlfn.TEXTBEFORE(PROPERTIES[[#This Row],[VEHIDCODE]],"_")="mtro"),1,1=1,0)</f>
        <v>1</v>
      </c>
      <c r="D620" t="s">
        <v>1719</v>
      </c>
      <c r="E620" t="str">
        <f>_xlfn.XLOOKUP(PROPERTIES[[#This Row],[COUNTRY]],COUNTRIES[COUNTRY_DESCRIPTION],COUNTRIES[COUNTRY_LABEL],"")</f>
        <v>AU</v>
      </c>
      <c r="F620" t="str" cm="1">
        <f t="array" ref="F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0" t="s">
        <v>17</v>
      </c>
      <c r="H620">
        <v>112</v>
      </c>
      <c r="I620">
        <v>8</v>
      </c>
      <c r="J620">
        <v>8</v>
      </c>
      <c r="K620" t="str" cm="1">
        <f t="array" ref="K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f>IF(ISNUMBER(SEARCH("passenger",PROPERTIES[[#This Row],[CARGODEF]])),1,0)</f>
        <v>1</v>
      </c>
      <c r="O620" s="32">
        <v>47</v>
      </c>
      <c r="P620">
        <v>1600</v>
      </c>
      <c r="Q620">
        <v>115</v>
      </c>
      <c r="R620" s="29">
        <v>110</v>
      </c>
      <c r="S620" s="28">
        <f>IFERROR(PROPERTIES[[#This Row],[TE_STARTING_KN]]/(PROPERTIES[[#This Row],[WEIGHT]]*9.81),0)</f>
        <v>0.2385754874530982</v>
      </c>
      <c r="T620" s="28">
        <v>0.31</v>
      </c>
      <c r="U620" s="25">
        <f>ROUND(IF(IFERROR(PROPERTIES[[#This Row],[TE_COEFFICIENT_CALC]],0)=0,PROPERTIES[[#This Row],[TE_COEFFICIENT_MANUAL]],PROPERTIES[[#This Row],[TE_COEFFICIENT_CALC]]),3)</f>
        <v>0.23899999999999999</v>
      </c>
      <c r="V620" s="11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36">
        <v>130</v>
      </c>
      <c r="X620" s="9">
        <v>8</v>
      </c>
      <c r="Y620" s="10">
        <v>0</v>
      </c>
      <c r="Z620" t="s">
        <v>871</v>
      </c>
      <c r="AA620" t="s">
        <v>868</v>
      </c>
      <c r="AB620" s="2" t="s">
        <v>886</v>
      </c>
      <c r="AC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0" s="2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H620" s="10" t="b">
        <v>0</v>
      </c>
      <c r="AY620"/>
      <c r="AZ620"/>
      <c r="BA620"/>
    </row>
    <row r="621" spans="1:53">
      <c r="A621" s="2" t="s">
        <v>636</v>
      </c>
      <c r="B621">
        <v>2007</v>
      </c>
      <c r="C621" cm="1">
        <f t="array" ref="C621">_xlfn.IFS(ISNUMBER(SEARCH("wagon",PROPERTIES[[#This Row],[VEHIDCODE]])),0,OR(MID(PROPERTIES[[#This Row],[VEHIDCODE]],2,2)="mu",_xlfn.TEXTBEFORE(PROPERTIES[[#This Row],[VEHIDCODE]],"_")="mtro"),1,1=1,0)</f>
        <v>1</v>
      </c>
      <c r="D621" t="s">
        <v>1719</v>
      </c>
      <c r="E621" t="str">
        <f>_xlfn.XLOOKUP(PROPERTIES[[#This Row],[COUNTRY]],COUNTRIES[COUNTRY_DESCRIPTION],COUNTRIES[COUNTRY_LABEL],"")</f>
        <v>AU</v>
      </c>
      <c r="F621" t="str" cm="1">
        <f t="array" ref="F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1" t="s">
        <v>17</v>
      </c>
      <c r="H621">
        <v>120</v>
      </c>
      <c r="I621">
        <v>8</v>
      </c>
      <c r="J621">
        <v>8</v>
      </c>
      <c r="K621" t="str" cm="1">
        <f t="array" ref="K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f>IF(ISNUMBER(SEARCH("passenger",PROPERTIES[[#This Row],[CARGODEF]])),1,0)</f>
        <v>1</v>
      </c>
      <c r="O621" s="32">
        <v>57</v>
      </c>
      <c r="P621">
        <f>1072*2</f>
        <v>2144</v>
      </c>
      <c r="Q621">
        <v>130</v>
      </c>
      <c r="R621" s="29">
        <v>110</v>
      </c>
      <c r="S621" s="28">
        <f>IFERROR(PROPERTIES[[#This Row],[TE_STARTING_KN]]/(PROPERTIES[[#This Row],[WEIGHT]]*9.81),0)</f>
        <v>0.19672013877711605</v>
      </c>
      <c r="T621" s="28">
        <v>0.41</v>
      </c>
      <c r="U621" s="25">
        <f>ROUND(IF(IFERROR(PROPERTIES[[#This Row],[TE_COEFFICIENT_CALC]],0)=0,PROPERTIES[[#This Row],[TE_COEFFICIENT_MANUAL]],PROPERTIES[[#This Row],[TE_COEFFICIENT_CALC]]),3)</f>
        <v>0.19700000000000001</v>
      </c>
      <c r="V621" s="11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36">
        <v>120</v>
      </c>
      <c r="X621" s="9">
        <v>8</v>
      </c>
      <c r="Y621" s="10">
        <v>0</v>
      </c>
      <c r="Z621" t="s">
        <v>871</v>
      </c>
      <c r="AA621" t="s">
        <v>868</v>
      </c>
      <c r="AB621" s="2" t="s">
        <v>886</v>
      </c>
      <c r="AC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1" s="2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H621" s="10" t="b">
        <v>0</v>
      </c>
      <c r="AY621"/>
      <c r="AZ621"/>
      <c r="BA621"/>
    </row>
    <row r="622" spans="1:53">
      <c r="A622" s="2" t="s">
        <v>637</v>
      </c>
      <c r="B622">
        <v>1917</v>
      </c>
      <c r="C622" cm="1">
        <f t="array" ref="C622">_xlfn.IFS(ISNUMBER(SEARCH("wagon",PROPERTIES[[#This Row],[VEHIDCODE]])),0,OR(MID(PROPERTIES[[#This Row],[VEHIDCODE]],2,2)="mu",_xlfn.TEXTBEFORE(PROPERTIES[[#This Row],[VEHIDCODE]],"_")="mtro"),1,1=1,0)</f>
        <v>1</v>
      </c>
      <c r="D622" t="s">
        <v>1719</v>
      </c>
      <c r="E622" t="str">
        <f>_xlfn.XLOOKUP(PROPERTIES[[#This Row],[COUNTRY]],COUNTRIES[COUNTRY_DESCRIPTION],COUNTRIES[COUNTRY_LABEL],"")</f>
        <v>AU</v>
      </c>
      <c r="F622" t="str" cm="1">
        <f t="array" ref="F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2" t="s">
        <v>17</v>
      </c>
      <c r="H622">
        <v>48</v>
      </c>
      <c r="I622">
        <v>8</v>
      </c>
      <c r="J622">
        <v>8</v>
      </c>
      <c r="K622" t="str" cm="1">
        <f t="array" ref="K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f>IF(ISNUMBER(SEARCH("passenger",PROPERTIES[[#This Row],[CARGODEF]])),1,0)</f>
        <v>1</v>
      </c>
      <c r="O622" s="32">
        <v>47</v>
      </c>
      <c r="P622">
        <v>563</v>
      </c>
      <c r="Q622">
        <v>83</v>
      </c>
      <c r="R622" s="29">
        <f>110/2</f>
        <v>55</v>
      </c>
      <c r="S622" s="28">
        <f>IFERROR(PROPERTIES[[#This Row],[TE_STARTING_KN]]/(PROPERTIES[[#This Row],[WEIGHT]]*9.81),0)</f>
        <v>0.1192877437265491</v>
      </c>
      <c r="T622" s="28">
        <v>0.16</v>
      </c>
      <c r="U622" s="25">
        <f>ROUND(IF(IFERROR(PROPERTIES[[#This Row],[TE_COEFFICIENT_CALC]],0)=0,PROPERTIES[[#This Row],[TE_COEFFICIENT_MANUAL]],PROPERTIES[[#This Row],[TE_COEFFICIENT_CALC]]),3)</f>
        <v>0.11899999999999999</v>
      </c>
      <c r="V622" s="11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36">
        <v>75</v>
      </c>
      <c r="X622" s="9">
        <v>8</v>
      </c>
      <c r="Y622" s="10">
        <v>0</v>
      </c>
      <c r="Z622" t="s">
        <v>871</v>
      </c>
      <c r="AA622" t="s">
        <v>868</v>
      </c>
      <c r="AB622" s="2" t="s">
        <v>886</v>
      </c>
      <c r="AC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2" s="2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H622" s="10" t="b">
        <v>0</v>
      </c>
      <c r="AY622"/>
      <c r="AZ622"/>
      <c r="BA622"/>
    </row>
    <row r="623" spans="1:53">
      <c r="A623" s="2" t="s">
        <v>638</v>
      </c>
      <c r="B623">
        <v>1979</v>
      </c>
      <c r="C623" cm="1">
        <f t="array" ref="C623">_xlfn.IFS(ISNUMBER(SEARCH("wagon",PROPERTIES[[#This Row],[VEHIDCODE]])),0,OR(MID(PROPERTIES[[#This Row],[VEHIDCODE]],2,2)="mu",_xlfn.TEXTBEFORE(PROPERTIES[[#This Row],[VEHIDCODE]],"_")="mtro"),1,1=1,0)</f>
        <v>1</v>
      </c>
      <c r="D623" t="s">
        <v>1876</v>
      </c>
      <c r="E623" t="str">
        <f>_xlfn.XLOOKUP(PROPERTIES[[#This Row],[COUNTRY]],COUNTRIES[COUNTRY_DESCRIPTION],COUNTRIES[COUNTRY_LABEL],"")</f>
        <v>NZ</v>
      </c>
      <c r="F623" t="str" cm="1">
        <f t="array" ref="F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3" t="s">
        <v>17</v>
      </c>
      <c r="H623">
        <v>74</v>
      </c>
      <c r="I623">
        <v>8</v>
      </c>
      <c r="J623">
        <v>8</v>
      </c>
      <c r="K623" t="str" cm="1">
        <f t="array" ref="K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f>IF(ISNUMBER(SEARCH("passenger",PROPERTIES[[#This Row],[CARGODEF]])),1,0)</f>
        <v>1</v>
      </c>
      <c r="O623" s="32">
        <v>37.6</v>
      </c>
      <c r="P623">
        <v>540</v>
      </c>
      <c r="Q623">
        <v>95</v>
      </c>
      <c r="R623" s="29">
        <v>50</v>
      </c>
      <c r="S623" s="28">
        <f>IFERROR(PROPERTIES[[#This Row],[TE_STARTING_KN]]/(PROPERTIES[[#This Row],[WEIGHT]]*9.81),0)</f>
        <v>0.13555425423471487</v>
      </c>
      <c r="T623" s="28">
        <v>0.26</v>
      </c>
      <c r="U623" s="25">
        <f>ROUND(IF(IFERROR(PROPERTIES[[#This Row],[TE_COEFFICIENT_CALC]],0)=0,PROPERTIES[[#This Row],[TE_COEFFICIENT_MANUAL]],PROPERTIES[[#This Row],[TE_COEFFICIENT_CALC]]),3)</f>
        <v>0.13600000000000001</v>
      </c>
      <c r="V623" s="11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36">
        <v>74</v>
      </c>
      <c r="X623" s="9">
        <v>8</v>
      </c>
      <c r="Y623" s="10">
        <v>0</v>
      </c>
      <c r="Z623" t="s">
        <v>871</v>
      </c>
      <c r="AA623" t="s">
        <v>868</v>
      </c>
      <c r="AB623" s="2" t="s">
        <v>886</v>
      </c>
      <c r="AC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3" s="2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H623" s="10" t="b">
        <v>0</v>
      </c>
      <c r="AY623"/>
      <c r="AZ623"/>
      <c r="BA623"/>
    </row>
    <row r="624" spans="1:53">
      <c r="A624" s="2" t="s">
        <v>639</v>
      </c>
      <c r="B624">
        <v>1958</v>
      </c>
      <c r="C624" cm="1">
        <f t="array" ref="C624">_xlfn.IFS(ISNUMBER(SEARCH("wagon",PROPERTIES[[#This Row],[VEHIDCODE]])),0,OR(MID(PROPERTIES[[#This Row],[VEHIDCODE]],2,2)="mu",_xlfn.TEXTBEFORE(PROPERTIES[[#This Row],[VEHIDCODE]],"_")="mtro"),1,1=1,0)</f>
        <v>1</v>
      </c>
      <c r="D624" t="s">
        <v>1951</v>
      </c>
      <c r="E624" t="str">
        <f>_xlfn.XLOOKUP(PROPERTIES[[#This Row],[COUNTRY]],COUNTRIES[COUNTRY_DESCRIPTION],COUNTRIES[COUNTRY_LABEL],"")</f>
        <v>ZA</v>
      </c>
      <c r="F624" t="str" cm="1">
        <f t="array" ref="F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4" t="s">
        <v>17</v>
      </c>
      <c r="H624">
        <f>INT(176/2)</f>
        <v>88</v>
      </c>
      <c r="I624">
        <v>7</v>
      </c>
      <c r="J624">
        <v>7</v>
      </c>
      <c r="K624" t="str" cm="1">
        <f t="array" ref="K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f>IF(ISNUMBER(SEARCH("passenger",PROPERTIES[[#This Row],[CARGODEF]])),1,0)</f>
        <v>1</v>
      </c>
      <c r="O624" s="32">
        <v>60</v>
      </c>
      <c r="P624">
        <v>2480</v>
      </c>
      <c r="Q624">
        <v>100</v>
      </c>
      <c r="R624" s="29">
        <v>160</v>
      </c>
      <c r="S624" s="28">
        <f>IFERROR(PROPERTIES[[#This Row],[TE_STARTING_KN]]/(PROPERTIES[[#This Row],[WEIGHT]]*9.81),0)</f>
        <v>0.27183146449201495</v>
      </c>
      <c r="T624" s="28">
        <v>0.27</v>
      </c>
      <c r="U624" s="25">
        <f>ROUND(IF(IFERROR(PROPERTIES[[#This Row],[TE_COEFFICIENT_CALC]],0)=0,PROPERTIES[[#This Row],[TE_COEFFICIENT_MANUAL]],PROPERTIES[[#This Row],[TE_COEFFICIENT_CALC]]),3)</f>
        <v>0.27200000000000002</v>
      </c>
      <c r="V624" s="11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36">
        <f>149+52</f>
        <v>201</v>
      </c>
      <c r="X624" s="9">
        <v>7</v>
      </c>
      <c r="Y624" s="10">
        <v>0</v>
      </c>
      <c r="Z624" t="s">
        <v>872</v>
      </c>
      <c r="AA624" t="s">
        <v>868</v>
      </c>
      <c r="AB624" s="2" t="s">
        <v>886</v>
      </c>
      <c r="AC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4" s="2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H624" s="10" t="b">
        <v>0</v>
      </c>
      <c r="AY624"/>
      <c r="AZ624"/>
      <c r="BA624"/>
    </row>
    <row r="625" spans="1:53">
      <c r="A625" s="2" t="s">
        <v>640</v>
      </c>
      <c r="B625">
        <v>2005</v>
      </c>
      <c r="C625" cm="1">
        <f t="array" ref="C625">_xlfn.IFS(ISNUMBER(SEARCH("wagon",PROPERTIES[[#This Row],[VEHIDCODE]])),0,OR(MID(PROPERTIES[[#This Row],[VEHIDCODE]],2,2)="mu",_xlfn.TEXTBEFORE(PROPERTIES[[#This Row],[VEHIDCODE]],"_")="mtro"),1,1=1,0)</f>
        <v>1</v>
      </c>
      <c r="D625" t="s">
        <v>1752</v>
      </c>
      <c r="E625" t="str">
        <f>_xlfn.XLOOKUP(PROPERTIES[[#This Row],[COUNTRY]],COUNTRIES[COUNTRY_DESCRIPTION],COUNTRIES[COUNTRY_LABEL],"")</f>
        <v>CL</v>
      </c>
      <c r="F625" t="str" cm="1">
        <f t="array" ref="F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5" t="s">
        <v>17</v>
      </c>
      <c r="H625">
        <v>72</v>
      </c>
      <c r="I625">
        <v>8</v>
      </c>
      <c r="J625">
        <v>8</v>
      </c>
      <c r="K625" t="str" cm="1">
        <f t="array" ref="K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f>IF(ISNUMBER(SEARCH("passenger",PROPERTIES[[#This Row],[CARGODEF]])),1,0)</f>
        <v>1</v>
      </c>
      <c r="O625" s="32">
        <v>43</v>
      </c>
      <c r="P625">
        <v>1930</v>
      </c>
      <c r="Q625">
        <v>130</v>
      </c>
      <c r="R625" s="29">
        <v>95</v>
      </c>
      <c r="S625" s="28">
        <f>IFERROR(PROPERTIES[[#This Row],[TE_STARTING_KN]]/(PROPERTIES[[#This Row],[WEIGHT]]*9.81),0)</f>
        <v>0.2252092075006519</v>
      </c>
      <c r="T625" s="28">
        <v>0.28999999999999998</v>
      </c>
      <c r="U625" s="25">
        <f>ROUND(IF(IFERROR(PROPERTIES[[#This Row],[TE_COEFFICIENT_CALC]],0)=0,PROPERTIES[[#This Row],[TE_COEFFICIENT_MANUAL]],PROPERTIES[[#This Row],[TE_COEFFICIENT_CALC]]),3)</f>
        <v>0.22500000000000001</v>
      </c>
      <c r="V625" s="11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36">
        <v>96</v>
      </c>
      <c r="X625" s="9">
        <v>8</v>
      </c>
      <c r="Y625" s="10">
        <v>0</v>
      </c>
      <c r="Z625" t="s">
        <v>876</v>
      </c>
      <c r="AA625" t="s">
        <v>868</v>
      </c>
      <c r="AB625" s="2" t="s">
        <v>886</v>
      </c>
      <c r="AC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5" s="2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H625" s="10" t="b">
        <v>0</v>
      </c>
      <c r="AY625"/>
      <c r="AZ625"/>
      <c r="BA625"/>
    </row>
    <row r="626" spans="1:53">
      <c r="A626" s="2" t="s">
        <v>641</v>
      </c>
      <c r="B626">
        <v>1976</v>
      </c>
      <c r="C626" cm="1">
        <f t="array" ref="C626">_xlfn.IFS(ISNUMBER(SEARCH("wagon",PROPERTIES[[#This Row],[VEHIDCODE]])),0,OR(MID(PROPERTIES[[#This Row],[VEHIDCODE]],2,2)="mu",_xlfn.TEXTBEFORE(PROPERTIES[[#This Row],[VEHIDCODE]],"_")="mtro"),1,1=1,0)</f>
        <v>1</v>
      </c>
      <c r="D626" t="s">
        <v>1752</v>
      </c>
      <c r="E626" t="str">
        <f>_xlfn.XLOOKUP(PROPERTIES[[#This Row],[COUNTRY]],COUNTRIES[COUNTRY_DESCRIPTION],COUNTRIES[COUNTRY_LABEL],"")</f>
        <v>CL</v>
      </c>
      <c r="F626" t="str" cm="1">
        <f t="array" ref="F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6" t="s">
        <v>17</v>
      </c>
      <c r="H626">
        <v>88</v>
      </c>
      <c r="I626">
        <v>7</v>
      </c>
      <c r="J626">
        <v>7</v>
      </c>
      <c r="K626" t="str" cm="1">
        <f t="array" ref="K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f>IF(ISNUMBER(SEARCH("passenger",PROPERTIES[[#This Row],[CARGODEF]])),1,0)</f>
        <v>1</v>
      </c>
      <c r="O626" s="32">
        <v>52</v>
      </c>
      <c r="P626">
        <f>805*2</f>
        <v>1610</v>
      </c>
      <c r="Q626">
        <v>130</v>
      </c>
      <c r="R626" s="29">
        <v>85</v>
      </c>
      <c r="S626" s="28">
        <f>IFERROR(PROPERTIES[[#This Row],[TE_STARTING_KN]]/(PROPERTIES[[#This Row],[WEIGHT]]*9.81),0)</f>
        <v>0.16662746020544186</v>
      </c>
      <c r="T626" s="28">
        <v>0.21</v>
      </c>
      <c r="U626" s="25">
        <f>ROUND(IF(IFERROR(PROPERTIES[[#This Row],[TE_COEFFICIENT_CALC]],0)=0,PROPERTIES[[#This Row],[TE_COEFFICIENT_MANUAL]],PROPERTIES[[#This Row],[TE_COEFFICIENT_CALC]]),3)</f>
        <v>0.16700000000000001</v>
      </c>
      <c r="V626" s="11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36">
        <v>92</v>
      </c>
      <c r="X626" s="9">
        <v>7</v>
      </c>
      <c r="Y626" s="10">
        <v>0</v>
      </c>
      <c r="Z626" t="s">
        <v>876</v>
      </c>
      <c r="AA626" t="s">
        <v>868</v>
      </c>
      <c r="AB626" s="2" t="s">
        <v>886</v>
      </c>
      <c r="AC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6" s="2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H626" s="10" t="b">
        <v>0</v>
      </c>
      <c r="AY626"/>
      <c r="AZ626"/>
      <c r="BA626"/>
    </row>
    <row r="627" spans="1:53">
      <c r="A627" s="2" t="s">
        <v>642</v>
      </c>
      <c r="B627">
        <v>1984</v>
      </c>
      <c r="C627" cm="1">
        <f t="array" ref="C627">_xlfn.IFS(ISNUMBER(SEARCH("wagon",PROPERTIES[[#This Row],[VEHIDCODE]])),0,OR(MID(PROPERTIES[[#This Row],[VEHIDCODE]],2,2)="mu",_xlfn.TEXTBEFORE(PROPERTIES[[#This Row],[VEHIDCODE]],"_")="mtro"),1,1=1,0)</f>
        <v>1</v>
      </c>
      <c r="D627" t="s">
        <v>1928</v>
      </c>
      <c r="E627" t="str">
        <f>_xlfn.XLOOKUP(PROPERTIES[[#This Row],[COUNTRY]],COUNTRIES[COUNTRY_DESCRIPTION],COUNTRIES[COUNTRY_LABEL],"")</f>
        <v>TN</v>
      </c>
      <c r="F627" t="str" cm="1">
        <f t="array" ref="F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7" t="s">
        <v>17</v>
      </c>
      <c r="H627">
        <v>150</v>
      </c>
      <c r="I627">
        <v>8</v>
      </c>
      <c r="J627">
        <v>8</v>
      </c>
      <c r="K627" t="str" cm="1">
        <f t="array" ref="K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f>IF(ISNUMBER(SEARCH("passenger",PROPERTIES[[#This Row],[CARGODEF]])),1,0)</f>
        <v>1</v>
      </c>
      <c r="O627" s="32">
        <v>50</v>
      </c>
      <c r="P627">
        <v>2010</v>
      </c>
      <c r="Q627">
        <v>120</v>
      </c>
      <c r="R627" s="29">
        <v>125</v>
      </c>
      <c r="S627" s="28">
        <f>IFERROR(PROPERTIES[[#This Row],[TE_STARTING_KN]]/(PROPERTIES[[#This Row],[WEIGHT]]*9.81),0)</f>
        <v>0.254841997961264</v>
      </c>
      <c r="T627" s="28">
        <v>0.2</v>
      </c>
      <c r="U627" s="25">
        <f>ROUND(IF(IFERROR(PROPERTIES[[#This Row],[TE_COEFFICIENT_CALC]],0)=0,PROPERTIES[[#This Row],[TE_COEFFICIENT_MANUAL]],PROPERTIES[[#This Row],[TE_COEFFICIENT_CALC]]),3)</f>
        <v>0.255</v>
      </c>
      <c r="V627" s="11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36">
        <v>150</v>
      </c>
      <c r="X627" s="9">
        <v>8</v>
      </c>
      <c r="Y627" s="10">
        <v>0</v>
      </c>
      <c r="Z627" t="s">
        <v>872</v>
      </c>
      <c r="AA627" t="s">
        <v>868</v>
      </c>
      <c r="AB627" s="2" t="s">
        <v>886</v>
      </c>
      <c r="AC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7" s="2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H627" s="10" t="b">
        <v>0</v>
      </c>
      <c r="AY627"/>
      <c r="AZ627"/>
      <c r="BA627"/>
    </row>
    <row r="628" spans="1:53">
      <c r="A628" s="2" t="s">
        <v>643</v>
      </c>
      <c r="B628">
        <v>1997</v>
      </c>
      <c r="C628" cm="1">
        <f t="array" ref="C628">_xlfn.IFS(ISNUMBER(SEARCH("wagon",PROPERTIES[[#This Row],[VEHIDCODE]])),0,OR(MID(PROPERTIES[[#This Row],[VEHIDCODE]],2,2)="mu",_xlfn.TEXTBEFORE(PROPERTIES[[#This Row],[VEHIDCODE]],"_")="mtro"),1,1=1,0)</f>
        <v>1</v>
      </c>
      <c r="D628" t="s">
        <v>1719</v>
      </c>
      <c r="E628" t="str">
        <f>_xlfn.XLOOKUP(PROPERTIES[[#This Row],[COUNTRY]],COUNTRIES[COUNTRY_DESCRIPTION],COUNTRIES[COUNTRY_LABEL],"")</f>
        <v>AU</v>
      </c>
      <c r="F628" t="str" cm="1">
        <f t="array" ref="F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8" t="s">
        <v>17</v>
      </c>
      <c r="H628">
        <v>47</v>
      </c>
      <c r="I628">
        <v>8</v>
      </c>
      <c r="J628">
        <v>8</v>
      </c>
      <c r="K628" t="str" cm="1">
        <f t="array" ref="K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f>IF(ISNUMBER(SEARCH("passenger",PROPERTIES[[#This Row],[CARGODEF]])),1,0)</f>
        <v>1</v>
      </c>
      <c r="O628" s="32">
        <v>45</v>
      </c>
      <c r="P628">
        <f>910*2</f>
        <v>1820</v>
      </c>
      <c r="Q628">
        <v>160</v>
      </c>
      <c r="R628" s="29">
        <v>105</v>
      </c>
      <c r="S628" s="28">
        <f>IFERROR(PROPERTIES[[#This Row],[TE_STARTING_KN]]/(PROPERTIES[[#This Row],[WEIGHT]]*9.81),0)</f>
        <v>0.23785253143051305</v>
      </c>
      <c r="T628" s="28">
        <v>0.33</v>
      </c>
      <c r="U628" s="25">
        <f>ROUND(IF(IFERROR(PROPERTIES[[#This Row],[TE_COEFFICIENT_CALC]],0)=0,PROPERTIES[[#This Row],[TE_COEFFICIENT_MANUAL]],PROPERTIES[[#This Row],[TE_COEFFICIENT_CALC]]),3)</f>
        <v>0.23799999999999999</v>
      </c>
      <c r="V628" s="11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36">
        <v>56</v>
      </c>
      <c r="X628" s="9">
        <v>8</v>
      </c>
      <c r="Y628" s="10">
        <v>0</v>
      </c>
      <c r="Z628" t="s">
        <v>871</v>
      </c>
      <c r="AA628" t="s">
        <v>868</v>
      </c>
      <c r="AB628" s="2" t="s">
        <v>886</v>
      </c>
      <c r="AC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8" s="2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H628" s="10" t="b">
        <v>0</v>
      </c>
      <c r="AY628"/>
      <c r="AZ628"/>
      <c r="BA628"/>
    </row>
    <row r="629" spans="1:53">
      <c r="A629" s="2" t="s">
        <v>644</v>
      </c>
      <c r="B629">
        <v>1984</v>
      </c>
      <c r="C629" cm="1">
        <f t="array" ref="C629">_xlfn.IFS(ISNUMBER(SEARCH("wagon",PROPERTIES[[#This Row],[VEHIDCODE]])),0,OR(MID(PROPERTIES[[#This Row],[VEHIDCODE]],2,2)="mu",_xlfn.TEXTBEFORE(PROPERTIES[[#This Row],[VEHIDCODE]],"_")="mtro"),1,1=1,0)</f>
        <v>0</v>
      </c>
      <c r="D629" t="s">
        <v>1896</v>
      </c>
      <c r="E629" t="str">
        <f>_xlfn.XLOOKUP(PROPERTIES[[#This Row],[COUNTRY]],COUNTRIES[COUNTRY_DESCRIPTION],COUNTRIES[COUNTRY_LABEL],"")</f>
        <v>RU</v>
      </c>
      <c r="F629" t="str" cm="1">
        <f t="array" ref="F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9" t="s">
        <v>19</v>
      </c>
      <c r="H629">
        <v>0</v>
      </c>
      <c r="I629">
        <v>8</v>
      </c>
      <c r="J629">
        <v>16</v>
      </c>
      <c r="K629" t="str" cm="1">
        <f t="array" ref="K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29">
        <f>_xlfn.XLOOKUP("LOADINGSPEEDDEF_"&amp;PROPERTIES[[#This Row],[LOADINGSPEED]],LOADINGSPEEDDEF[TYPE],LOADINGSPEEDDEF[SPEED])</f>
        <v>20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f>IF(ISNUMBER(SEARCH("passenger",PROPERTIES[[#This Row],[CARGODEF]])),1,0)</f>
        <v>0</v>
      </c>
      <c r="O629" s="32">
        <v>300</v>
      </c>
      <c r="P629">
        <v>12070</v>
      </c>
      <c r="Q629">
        <v>100</v>
      </c>
      <c r="R629" s="29">
        <f>2*530</f>
        <v>1060</v>
      </c>
      <c r="S629" s="28">
        <f>IFERROR(PROPERTIES[[#This Row],[TE_STARTING_KN]]/(PROPERTIES[[#This Row],[WEIGHT]]*9.81),0)</f>
        <v>0.3601766904519198</v>
      </c>
      <c r="T629" s="28">
        <v>0.23</v>
      </c>
      <c r="U629" s="25">
        <f>ROUND(IF(IFERROR(PROPERTIES[[#This Row],[TE_COEFFICIENT_CALC]],0)=0,PROPERTIES[[#This Row],[TE_COEFFICIENT_MANUAL]],PROPERTIES[[#This Row],[TE_COEFFICIENT_CALC]]),3)</f>
        <v>0.36</v>
      </c>
      <c r="V629" s="11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36">
        <v>0</v>
      </c>
      <c r="X629" s="9">
        <v>8</v>
      </c>
      <c r="Y629" s="10">
        <v>0</v>
      </c>
      <c r="Z629" t="s">
        <v>877</v>
      </c>
      <c r="AA629" t="s">
        <v>868</v>
      </c>
      <c r="AB629" s="2" t="s">
        <v>886</v>
      </c>
      <c r="AC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29" s="2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H629" s="10" t="b">
        <v>0</v>
      </c>
      <c r="AY629"/>
      <c r="AZ629"/>
      <c r="BA629"/>
    </row>
    <row r="630" spans="1:53">
      <c r="A630" s="2" t="s">
        <v>645</v>
      </c>
      <c r="B630">
        <v>1974</v>
      </c>
      <c r="C630" cm="1">
        <f t="array" ref="C630">_xlfn.IFS(ISNUMBER(SEARCH("wagon",PROPERTIES[[#This Row],[VEHIDCODE]])),0,OR(MID(PROPERTIES[[#This Row],[VEHIDCODE]],2,2)="mu",_xlfn.TEXTBEFORE(PROPERTIES[[#This Row],[VEHIDCODE]],"_")="mtro"),1,1=1,0)</f>
        <v>0</v>
      </c>
      <c r="D630" t="s">
        <v>1896</v>
      </c>
      <c r="E630" t="str">
        <f>_xlfn.XLOOKUP(PROPERTIES[[#This Row],[COUNTRY]],COUNTRIES[COUNTRY_DESCRIPTION],COUNTRIES[COUNTRY_LABEL],"")</f>
        <v>RU</v>
      </c>
      <c r="F630" t="str" cm="1">
        <f t="array" ref="F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0" t="s">
        <v>19</v>
      </c>
      <c r="H630">
        <v>0</v>
      </c>
      <c r="I630">
        <v>8</v>
      </c>
      <c r="J630">
        <v>16</v>
      </c>
      <c r="K630" t="str" cm="1">
        <f t="array" ref="K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0">
        <f>_xlfn.XLOOKUP("LOADINGSPEEDDEF_"&amp;PROPERTIES[[#This Row],[LOADINGSPEED]],LOADINGSPEEDDEF[TYPE],LOADINGSPEEDDEF[SPEED])</f>
        <v>20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f>IF(ISNUMBER(SEARCH("passenger",PROPERTIES[[#This Row],[CARGODEF]])),1,0)</f>
        <v>0</v>
      </c>
      <c r="O630" s="32">
        <v>184</v>
      </c>
      <c r="P630">
        <v>7190</v>
      </c>
      <c r="Q630">
        <v>100</v>
      </c>
      <c r="R630" s="29">
        <f>245*2</f>
        <v>490</v>
      </c>
      <c r="S630" s="28">
        <f>IFERROR(PROPERTIES[[#This Row],[TE_STARTING_KN]]/(PROPERTIES[[#This Row],[WEIGHT]]*9.81),0)</f>
        <v>0.27146212826308558</v>
      </c>
      <c r="T630" s="28">
        <v>0.33</v>
      </c>
      <c r="U630" s="25">
        <f>ROUND(IF(IFERROR(PROPERTIES[[#This Row],[TE_COEFFICIENT_CALC]],0)=0,PROPERTIES[[#This Row],[TE_COEFFICIENT_MANUAL]],PROPERTIES[[#This Row],[TE_COEFFICIENT_CALC]]),3)</f>
        <v>0.27100000000000002</v>
      </c>
      <c r="V630" s="11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36">
        <v>0</v>
      </c>
      <c r="X630" s="9">
        <v>8</v>
      </c>
      <c r="Y630" s="10">
        <v>0</v>
      </c>
      <c r="Z630" t="s">
        <v>877</v>
      </c>
      <c r="AA630" t="s">
        <v>868</v>
      </c>
      <c r="AB630" s="2" t="s">
        <v>886</v>
      </c>
      <c r="AC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0" s="2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H630" s="10" t="b">
        <v>0</v>
      </c>
      <c r="AY630"/>
      <c r="AZ630"/>
      <c r="BA630"/>
    </row>
    <row r="631" spans="1:53">
      <c r="A631" s="2" t="s">
        <v>646</v>
      </c>
      <c r="B631">
        <v>1945</v>
      </c>
      <c r="C631" cm="1">
        <f t="array" ref="C631">_xlfn.IFS(ISNUMBER(SEARCH("wagon",PROPERTIES[[#This Row],[VEHIDCODE]])),0,OR(MID(PROPERTIES[[#This Row],[VEHIDCODE]],2,2)="mu",_xlfn.TEXTBEFORE(PROPERTIES[[#This Row],[VEHIDCODE]],"_")="mtro"),1,1=1,0)</f>
        <v>0</v>
      </c>
      <c r="D631" t="s">
        <v>1896</v>
      </c>
      <c r="E631" t="str">
        <f>_xlfn.XLOOKUP(PROPERTIES[[#This Row],[COUNTRY]],COUNTRIES[COUNTRY_DESCRIPTION],COUNTRIES[COUNTRY_LABEL],"")</f>
        <v>RU</v>
      </c>
      <c r="F631" t="str" cm="1">
        <f t="array" ref="F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1" t="s">
        <v>19</v>
      </c>
      <c r="H631">
        <v>0</v>
      </c>
      <c r="I631">
        <v>8</v>
      </c>
      <c r="J631">
        <v>8</v>
      </c>
      <c r="K631" t="str" cm="1">
        <f t="array" ref="K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1">
        <f>_xlfn.XLOOKUP("LOADINGSPEEDDEF_"&amp;PROPERTIES[[#This Row],[LOADINGSPEED]],LOADINGSPEEDDEF[TYPE],LOADINGSPEEDDEF[SPEED])</f>
        <v>20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f>IF(ISNUMBER(SEARCH("passenger",PROPERTIES[[#This Row],[CARGODEF]])),1,0)</f>
        <v>0</v>
      </c>
      <c r="O631" s="32">
        <v>132</v>
      </c>
      <c r="P631">
        <v>3220</v>
      </c>
      <c r="Q631">
        <v>80</v>
      </c>
      <c r="R631" s="29">
        <v>0</v>
      </c>
      <c r="S631" s="28">
        <f>IFERROR(PROPERTIES[[#This Row],[TE_STARTING_KN]]/(PROPERTIES[[#This Row],[WEIGHT]]*9.81),0)</f>
        <v>0</v>
      </c>
      <c r="T631" s="28">
        <v>0.39</v>
      </c>
      <c r="U631" s="25">
        <f>ROUND(IF(IFERROR(PROPERTIES[[#This Row],[TE_COEFFICIENT_CALC]],0)=0,PROPERTIES[[#This Row],[TE_COEFFICIENT_MANUAL]],PROPERTIES[[#This Row],[TE_COEFFICIENT_CALC]]),3)</f>
        <v>0.39</v>
      </c>
      <c r="V631" s="11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36">
        <v>0</v>
      </c>
      <c r="X631" s="9">
        <v>0</v>
      </c>
      <c r="Y631" s="10">
        <v>0</v>
      </c>
      <c r="Z631" t="s">
        <v>877</v>
      </c>
      <c r="AA631" t="s">
        <v>868</v>
      </c>
      <c r="AB631" s="2" t="s">
        <v>886</v>
      </c>
      <c r="AC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1" s="2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H631" s="10" t="b">
        <v>0</v>
      </c>
      <c r="AY631"/>
      <c r="AZ631"/>
      <c r="BA631"/>
    </row>
    <row r="632" spans="1:53">
      <c r="A632" s="2" t="s">
        <v>647</v>
      </c>
      <c r="B632">
        <v>1995</v>
      </c>
      <c r="C632" cm="1">
        <f t="array" ref="C632">_xlfn.IFS(ISNUMBER(SEARCH("wagon",PROPERTIES[[#This Row],[VEHIDCODE]])),0,OR(MID(PROPERTIES[[#This Row],[VEHIDCODE]],2,2)="mu",_xlfn.TEXTBEFORE(PROPERTIES[[#This Row],[VEHIDCODE]],"_")="mtro"),1,1=1,0)</f>
        <v>0</v>
      </c>
      <c r="D632" t="s">
        <v>1934</v>
      </c>
      <c r="E632" t="str">
        <f>_xlfn.XLOOKUP(PROPERTIES[[#This Row],[COUNTRY]],COUNTRIES[COUNTRY_DESCRIPTION],COUNTRIES[COUNTRY_LABEL],"")</f>
        <v>UA</v>
      </c>
      <c r="F632" t="str" cm="1">
        <f t="array" ref="F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2" t="s">
        <v>19</v>
      </c>
      <c r="H632">
        <v>0</v>
      </c>
      <c r="I632">
        <v>8</v>
      </c>
      <c r="J632">
        <v>16</v>
      </c>
      <c r="K632" t="str" cm="1">
        <f t="array" ref="K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2">
        <f>_xlfn.XLOOKUP("LOADINGSPEEDDEF_"&amp;PROPERTIES[[#This Row],[LOADINGSPEED]],LOADINGSPEEDDEF[TYPE],LOADINGSPEEDDEF[SPEED])</f>
        <v>20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f>IF(ISNUMBER(SEARCH("passenger",PROPERTIES[[#This Row],[CARGODEF]])),1,0)</f>
        <v>0</v>
      </c>
      <c r="O632" s="32">
        <v>184</v>
      </c>
      <c r="P632">
        <v>8750</v>
      </c>
      <c r="Q632">
        <v>100</v>
      </c>
      <c r="R632" s="29">
        <v>706</v>
      </c>
      <c r="S632" s="28">
        <f>IFERROR(PROPERTIES[[#This Row],[TE_STARTING_KN]]/(PROPERTIES[[#This Row],[WEIGHT]]*9.81),0)</f>
        <v>0.39112706643620082</v>
      </c>
      <c r="T632" s="28">
        <v>0.23</v>
      </c>
      <c r="U632" s="25">
        <f>ROUND(IF(IFERROR(PROPERTIES[[#This Row],[TE_COEFFICIENT_CALC]],0)=0,PROPERTIES[[#This Row],[TE_COEFFICIENT_MANUAL]],PROPERTIES[[#This Row],[TE_COEFFICIENT_CALC]]),3)</f>
        <v>0.39100000000000001</v>
      </c>
      <c r="V632" s="11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36">
        <v>0</v>
      </c>
      <c r="X632" s="9">
        <v>0</v>
      </c>
      <c r="Y632" s="10">
        <v>0</v>
      </c>
      <c r="Z632" t="s">
        <v>875</v>
      </c>
      <c r="AA632" t="s">
        <v>868</v>
      </c>
      <c r="AB632" s="2" t="s">
        <v>886</v>
      </c>
      <c r="AC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2" s="2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H632" s="10" t="b">
        <v>0</v>
      </c>
      <c r="AY632"/>
      <c r="AZ632"/>
      <c r="BA632"/>
    </row>
    <row r="633" spans="1:53">
      <c r="A633" s="2" t="s">
        <v>648</v>
      </c>
      <c r="B633">
        <v>1961</v>
      </c>
      <c r="C633" cm="1">
        <f t="array" ref="C633">_xlfn.IFS(ISNUMBER(SEARCH("wagon",PROPERTIES[[#This Row],[VEHIDCODE]])),0,OR(MID(PROPERTIES[[#This Row],[VEHIDCODE]],2,2)="mu",_xlfn.TEXTBEFORE(PROPERTIES[[#This Row],[VEHIDCODE]],"_")="mtro"),1,1=1,0)</f>
        <v>0</v>
      </c>
      <c r="D633" t="s">
        <v>1896</v>
      </c>
      <c r="E633" t="str">
        <f>_xlfn.XLOOKUP(PROPERTIES[[#This Row],[COUNTRY]],COUNTRIES[COUNTRY_DESCRIPTION],COUNTRIES[COUNTRY_LABEL],"")</f>
        <v>RU</v>
      </c>
      <c r="F633" t="str" cm="1">
        <f t="array" ref="F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3" t="s">
        <v>19</v>
      </c>
      <c r="H633">
        <v>0</v>
      </c>
      <c r="I633">
        <v>7</v>
      </c>
      <c r="J633">
        <v>7</v>
      </c>
      <c r="K633" t="str" cm="1">
        <f t="array" ref="K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3">
        <f>_xlfn.XLOOKUP("LOADINGSPEEDDEF_"&amp;PROPERTIES[[#This Row],[LOADINGSPEED]],LOADINGSPEEDDEF[TYPE],LOADINGSPEEDDEF[SPEED])</f>
        <v>20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f>IF(ISNUMBER(SEARCH("passenger",PROPERTIES[[#This Row],[CARGODEF]])),1,0)</f>
        <v>0</v>
      </c>
      <c r="O633" s="32">
        <v>85</v>
      </c>
      <c r="P633">
        <v>3755</v>
      </c>
      <c r="Q633">
        <v>120</v>
      </c>
      <c r="R633" s="29">
        <v>260</v>
      </c>
      <c r="S633" s="28">
        <f>IFERROR(PROPERTIES[[#This Row],[TE_STARTING_KN]]/(PROPERTIES[[#This Row],[WEIGHT]]*9.81),0)</f>
        <v>0.31180667985848776</v>
      </c>
      <c r="T633" s="28">
        <v>0.27</v>
      </c>
      <c r="U633" s="25">
        <f>ROUND(IF(IFERROR(PROPERTIES[[#This Row],[TE_COEFFICIENT_CALC]],0)=0,PROPERTIES[[#This Row],[TE_COEFFICIENT_MANUAL]],PROPERTIES[[#This Row],[TE_COEFFICIENT_CALC]]),3)</f>
        <v>0.312</v>
      </c>
      <c r="V633" s="11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36">
        <v>0</v>
      </c>
      <c r="X633" s="9">
        <v>0</v>
      </c>
      <c r="Y633" s="10">
        <v>0</v>
      </c>
      <c r="Z633" t="s">
        <v>877</v>
      </c>
      <c r="AA633" t="s">
        <v>868</v>
      </c>
      <c r="AB633" s="2" t="s">
        <v>886</v>
      </c>
      <c r="AC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3" s="2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H633" s="10" t="b">
        <v>0</v>
      </c>
      <c r="AY633"/>
      <c r="AZ633"/>
      <c r="BA633"/>
    </row>
    <row r="634" spans="1:53">
      <c r="A634" s="2" t="s">
        <v>649</v>
      </c>
      <c r="B634">
        <v>1983</v>
      </c>
      <c r="C634" cm="1">
        <f t="array" ref="C634">_xlfn.IFS(ISNUMBER(SEARCH("wagon",PROPERTIES[[#This Row],[VEHIDCODE]])),0,OR(MID(PROPERTIES[[#This Row],[VEHIDCODE]],2,2)="mu",_xlfn.TEXTBEFORE(PROPERTIES[[#This Row],[VEHIDCODE]],"_")="mtro"),1,1=1,0)</f>
        <v>0</v>
      </c>
      <c r="D634" t="s">
        <v>1934</v>
      </c>
      <c r="E634" t="str">
        <f>_xlfn.XLOOKUP(PROPERTIES[[#This Row],[COUNTRY]],COUNTRIES[COUNTRY_DESCRIPTION],COUNTRIES[COUNTRY_LABEL],"")</f>
        <v>UA</v>
      </c>
      <c r="F634" t="str" cm="1">
        <f t="array" ref="F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4" t="s">
        <v>19</v>
      </c>
      <c r="H634">
        <v>0</v>
      </c>
      <c r="I634">
        <v>7</v>
      </c>
      <c r="J634">
        <v>14</v>
      </c>
      <c r="K634" t="str" cm="1">
        <f t="array" ref="K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4">
        <f>_xlfn.XLOOKUP("LOADINGSPEEDDEF_"&amp;PROPERTIES[[#This Row],[LOADINGSPEED]],LOADINGSPEEDDEF[TYPE],LOADINGSPEEDDEF[SPEED])</f>
        <v>20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f>IF(ISNUMBER(SEARCH("passenger",PROPERTIES[[#This Row],[CARGODEF]])),1,0)</f>
        <v>0</v>
      </c>
      <c r="O634" s="32">
        <v>172</v>
      </c>
      <c r="P634">
        <v>8624</v>
      </c>
      <c r="Q634">
        <v>160</v>
      </c>
      <c r="R634" s="29">
        <v>320</v>
      </c>
      <c r="S634" s="28">
        <f>IFERROR(PROPERTIES[[#This Row],[TE_STARTING_KN]]/(PROPERTIES[[#This Row],[WEIGHT]]*9.81),0)</f>
        <v>0.18964985894791739</v>
      </c>
      <c r="T634" s="28">
        <v>0.22</v>
      </c>
      <c r="U634" s="25">
        <f>ROUND(IF(IFERROR(PROPERTIES[[#This Row],[TE_COEFFICIENT_CALC]],0)=0,PROPERTIES[[#This Row],[TE_COEFFICIENT_MANUAL]],PROPERTIES[[#This Row],[TE_COEFFICIENT_CALC]]),3)</f>
        <v>0.19</v>
      </c>
      <c r="V634" s="11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36">
        <v>0</v>
      </c>
      <c r="X634" s="9">
        <v>0</v>
      </c>
      <c r="Y634" s="10">
        <v>0</v>
      </c>
      <c r="Z634" t="s">
        <v>875</v>
      </c>
      <c r="AA634" t="s">
        <v>868</v>
      </c>
      <c r="AB634" s="2" t="s">
        <v>886</v>
      </c>
      <c r="AC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4" s="2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H634" s="10" t="b">
        <v>0</v>
      </c>
      <c r="AY634"/>
      <c r="AZ634"/>
      <c r="BA634"/>
    </row>
    <row r="635" spans="1:53">
      <c r="A635" s="2" t="s">
        <v>650</v>
      </c>
      <c r="B635">
        <v>1962</v>
      </c>
      <c r="C635" cm="1">
        <f t="array" ref="C635">_xlfn.IFS(ISNUMBER(SEARCH("wagon",PROPERTIES[[#This Row],[VEHIDCODE]])),0,OR(MID(PROPERTIES[[#This Row],[VEHIDCODE]],2,2)="mu",_xlfn.TEXTBEFORE(PROPERTIES[[#This Row],[VEHIDCODE]],"_")="mtro"),1,1=1,0)</f>
        <v>0</v>
      </c>
      <c r="D635" t="s">
        <v>1737</v>
      </c>
      <c r="E635" t="str">
        <f>_xlfn.XLOOKUP(PROPERTIES[[#This Row],[COUNTRY]],COUNTRIES[COUNTRY_DESCRIPTION],COUNTRIES[COUNTRY_LABEL],"")</f>
        <v>BR</v>
      </c>
      <c r="F635" t="str" cm="1">
        <f t="array" ref="F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5" t="s">
        <v>19</v>
      </c>
      <c r="H635">
        <v>0</v>
      </c>
      <c r="I635">
        <v>7</v>
      </c>
      <c r="J635">
        <v>7</v>
      </c>
      <c r="K635" t="str" cm="1">
        <f t="array" ref="K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5">
        <f>_xlfn.XLOOKUP("LOADINGSPEEDDEF_"&amp;PROPERTIES[[#This Row],[LOADINGSPEED]],LOADINGSPEEDDEF[TYPE],LOADINGSPEEDDEF[SPEED])</f>
        <v>20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f>IF(ISNUMBER(SEARCH("passenger",PROPERTIES[[#This Row],[CARGODEF]])),1,0)</f>
        <v>0</v>
      </c>
      <c r="O635" s="32">
        <v>123</v>
      </c>
      <c r="P635">
        <v>4400</v>
      </c>
      <c r="Q635">
        <v>117</v>
      </c>
      <c r="R635" s="29">
        <v>385</v>
      </c>
      <c r="S635" s="28">
        <f>IFERROR(PROPERTIES[[#This Row],[TE_STARTING_KN]]/(PROPERTIES[[#This Row],[WEIGHT]]*9.81),0)</f>
        <v>0.31907046899215169</v>
      </c>
      <c r="T635" s="28">
        <v>0.21</v>
      </c>
      <c r="U635" s="25">
        <f>ROUND(IF(IFERROR(PROPERTIES[[#This Row],[TE_COEFFICIENT_CALC]],0)=0,PROPERTIES[[#This Row],[TE_COEFFICIENT_MANUAL]],PROPERTIES[[#This Row],[TE_COEFFICIENT_CALC]]),3)</f>
        <v>0.31900000000000001</v>
      </c>
      <c r="V635" s="11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36">
        <v>0</v>
      </c>
      <c r="X635" s="9">
        <v>0</v>
      </c>
      <c r="Y635" s="10">
        <v>0</v>
      </c>
      <c r="Z635" t="s">
        <v>876</v>
      </c>
      <c r="AA635" t="s">
        <v>868</v>
      </c>
      <c r="AB635" s="2" t="s">
        <v>886</v>
      </c>
      <c r="AC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5" s="2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5" s="2" t="b">
        <v>0</v>
      </c>
      <c r="AH635" s="10" t="b">
        <v>0</v>
      </c>
      <c r="AY635"/>
      <c r="AZ635"/>
      <c r="BA635"/>
    </row>
    <row r="636" spans="1:53">
      <c r="A636" s="2" t="s">
        <v>651</v>
      </c>
      <c r="B636">
        <v>1983</v>
      </c>
      <c r="C636" cm="1">
        <f t="array" ref="C636">_xlfn.IFS(ISNUMBER(SEARCH("wagon",PROPERTIES[[#This Row],[VEHIDCODE]])),0,OR(MID(PROPERTIES[[#This Row],[VEHIDCODE]],2,2)="mu",_xlfn.TEXTBEFORE(PROPERTIES[[#This Row],[VEHIDCODE]],"_")="mtro"),1,1=1,0)</f>
        <v>0</v>
      </c>
      <c r="D636" t="s">
        <v>1896</v>
      </c>
      <c r="E636" t="str">
        <f>_xlfn.XLOOKUP(PROPERTIES[[#This Row],[COUNTRY]],COUNTRIES[COUNTRY_DESCRIPTION],COUNTRIES[COUNTRY_LABEL],"")</f>
        <v>RU</v>
      </c>
      <c r="F636" t="str" cm="1">
        <f t="array" ref="F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6" t="s">
        <v>19</v>
      </c>
      <c r="H636">
        <v>0</v>
      </c>
      <c r="I636">
        <v>8</v>
      </c>
      <c r="J636">
        <v>16</v>
      </c>
      <c r="K636" t="str" cm="1">
        <f t="array" ref="K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6">
        <f>_xlfn.XLOOKUP("LOADINGSPEEDDEF_"&amp;PROPERTIES[[#This Row],[LOADINGSPEED]],LOADINGSPEEDDEF[TYPE],LOADINGSPEEDDEF[SPEED])</f>
        <v>20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f>IF(ISNUMBER(SEARCH("passenger",PROPERTIES[[#This Row],[CARGODEF]])),1,0)</f>
        <v>0</v>
      </c>
      <c r="O636" s="32">
        <v>288</v>
      </c>
      <c r="P636">
        <v>13438</v>
      </c>
      <c r="Q636">
        <v>110</v>
      </c>
      <c r="R636" s="29">
        <v>932</v>
      </c>
      <c r="S636" s="28">
        <f>IFERROR(PROPERTIES[[#This Row],[TE_STARTING_KN]]/(PROPERTIES[[#This Row],[WEIGHT]]*9.81),0)</f>
        <v>0.32987880847208062</v>
      </c>
      <c r="T636" s="28">
        <v>0.25</v>
      </c>
      <c r="U636" s="25">
        <f>ROUND(IF(IFERROR(PROPERTIES[[#This Row],[TE_COEFFICIENT_CALC]],0)=0,PROPERTIES[[#This Row],[TE_COEFFICIENT_MANUAL]],PROPERTIES[[#This Row],[TE_COEFFICIENT_CALC]]),3)</f>
        <v>0.33</v>
      </c>
      <c r="V636" s="11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36">
        <v>0</v>
      </c>
      <c r="X636" s="9">
        <v>8</v>
      </c>
      <c r="Y636" s="10">
        <v>0</v>
      </c>
      <c r="Z636" t="s">
        <v>877</v>
      </c>
      <c r="AA636" t="s">
        <v>868</v>
      </c>
      <c r="AB636" s="2" t="s">
        <v>886</v>
      </c>
      <c r="AC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6" s="2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H636" s="10" t="b">
        <v>0</v>
      </c>
      <c r="AY636"/>
      <c r="AZ636"/>
      <c r="BA636"/>
    </row>
    <row r="637" spans="1:53">
      <c r="A637" s="2" t="s">
        <v>652</v>
      </c>
      <c r="B637">
        <v>1963</v>
      </c>
      <c r="C637" cm="1">
        <f t="array" ref="C637">_xlfn.IFS(ISNUMBER(SEARCH("wagon",PROPERTIES[[#This Row],[VEHIDCODE]])),0,OR(MID(PROPERTIES[[#This Row],[VEHIDCODE]],2,2)="mu",_xlfn.TEXTBEFORE(PROPERTIES[[#This Row],[VEHIDCODE]],"_")="mtro"),1,1=1,0)</f>
        <v>0</v>
      </c>
      <c r="D637" t="s">
        <v>1896</v>
      </c>
      <c r="E637" t="str">
        <f>_xlfn.XLOOKUP(PROPERTIES[[#This Row],[COUNTRY]],COUNTRIES[COUNTRY_DESCRIPTION],COUNTRIES[COUNTRY_LABEL],"")</f>
        <v>RU</v>
      </c>
      <c r="F637" t="str" cm="1">
        <f t="array" ref="F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7" t="s">
        <v>19</v>
      </c>
      <c r="H637">
        <v>0</v>
      </c>
      <c r="I637">
        <v>8</v>
      </c>
      <c r="J637">
        <v>8</v>
      </c>
      <c r="K637" t="str" cm="1">
        <f t="array" ref="K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7">
        <f>_xlfn.XLOOKUP("LOADINGSPEEDDEF_"&amp;PROPERTIES[[#This Row],[LOADINGSPEED]],LOADINGSPEEDDEF[TYPE],LOADINGSPEEDDEF[SPEED])</f>
        <v>20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f>IF(ISNUMBER(SEARCH("passenger",PROPERTIES[[#This Row],[CARGODEF]])),1,0)</f>
        <v>0</v>
      </c>
      <c r="O637" s="32">
        <v>92</v>
      </c>
      <c r="P637">
        <v>2280</v>
      </c>
      <c r="Q637">
        <v>70</v>
      </c>
      <c r="R637" s="29">
        <v>275</v>
      </c>
      <c r="S637" s="28">
        <f>IFERROR(PROPERTIES[[#This Row],[TE_STARTING_KN]]/(PROPERTIES[[#This Row],[WEIGHT]]*9.81),0)</f>
        <v>0.30470238886672868</v>
      </c>
      <c r="T637" s="28">
        <v>0.19</v>
      </c>
      <c r="U637" s="25">
        <f>ROUND(IF(IFERROR(PROPERTIES[[#This Row],[TE_COEFFICIENT_CALC]],0)=0,PROPERTIES[[#This Row],[TE_COEFFICIENT_MANUAL]],PROPERTIES[[#This Row],[TE_COEFFICIENT_CALC]]),3)</f>
        <v>0.30499999999999999</v>
      </c>
      <c r="V637" s="11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36">
        <v>0</v>
      </c>
      <c r="X637" s="9">
        <v>0</v>
      </c>
      <c r="Y637" s="10">
        <v>0</v>
      </c>
      <c r="Z637" t="s">
        <v>877</v>
      </c>
      <c r="AA637" t="s">
        <v>868</v>
      </c>
      <c r="AB637" s="2" t="s">
        <v>886</v>
      </c>
      <c r="AC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7" s="2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H637" s="10" t="b">
        <v>0</v>
      </c>
      <c r="AY637"/>
      <c r="AZ637"/>
      <c r="BA637"/>
    </row>
    <row r="638" spans="1:53">
      <c r="A638" s="2" t="s">
        <v>653</v>
      </c>
      <c r="B638">
        <v>1994</v>
      </c>
      <c r="C638" cm="1">
        <f t="array" ref="C638">_xlfn.IFS(ISNUMBER(SEARCH("wagon",PROPERTIES[[#This Row],[VEHIDCODE]])),0,OR(MID(PROPERTIES[[#This Row],[VEHIDCODE]],2,2)="mu",_xlfn.TEXTBEFORE(PROPERTIES[[#This Row],[VEHIDCODE]],"_")="mtro"),1,1=1,0)</f>
        <v>0</v>
      </c>
      <c r="D638" t="s">
        <v>1810</v>
      </c>
      <c r="E638" t="str">
        <f>_xlfn.XLOOKUP(PROPERTIES[[#This Row],[COUNTRY]],COUNTRIES[COUNTRY_DESCRIPTION],COUNTRIES[COUNTRY_LABEL],"")</f>
        <v>IN</v>
      </c>
      <c r="F638" t="str" cm="1">
        <f t="array" ref="F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8" t="s">
        <v>19</v>
      </c>
      <c r="H638">
        <v>0</v>
      </c>
      <c r="I638">
        <v>8</v>
      </c>
      <c r="J638">
        <v>8</v>
      </c>
      <c r="K638" t="str" cm="1">
        <f t="array" ref="K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8">
        <f>_xlfn.XLOOKUP("LOADINGSPEEDDEF_"&amp;PROPERTIES[[#This Row],[LOADINGSPEED]],LOADINGSPEEDDEF[TYPE],LOADINGSPEEDDEF[SPEED])</f>
        <v>20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f>IF(ISNUMBER(SEARCH("passenger",PROPERTIES[[#This Row],[CARGODEF]])),1,0)</f>
        <v>0</v>
      </c>
      <c r="O638" s="32">
        <v>113</v>
      </c>
      <c r="P638">
        <v>5350</v>
      </c>
      <c r="Q638">
        <v>140</v>
      </c>
      <c r="R638" s="29">
        <v>302</v>
      </c>
      <c r="S638" s="28">
        <f>IFERROR(PROPERTIES[[#This Row],[TE_STARTING_KN]]/(PROPERTIES[[#This Row],[WEIGHT]]*9.81),0)</f>
        <v>0.2724328615373513</v>
      </c>
      <c r="T638" s="28">
        <v>0.28000000000000003</v>
      </c>
      <c r="U638" s="25">
        <f>ROUND(IF(IFERROR(PROPERTIES[[#This Row],[TE_COEFFICIENT_CALC]],0)=0,PROPERTIES[[#This Row],[TE_COEFFICIENT_MANUAL]],PROPERTIES[[#This Row],[TE_COEFFICIENT_CALC]]),3)</f>
        <v>0.27200000000000002</v>
      </c>
      <c r="V638" s="11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36">
        <v>0</v>
      </c>
      <c r="X638" s="9">
        <v>0</v>
      </c>
      <c r="Y638" s="10">
        <v>0</v>
      </c>
      <c r="Z638" t="s">
        <v>877</v>
      </c>
      <c r="AA638" t="s">
        <v>868</v>
      </c>
      <c r="AB638" s="2" t="s">
        <v>886</v>
      </c>
      <c r="AC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8" s="2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H638" s="10" t="b">
        <v>0</v>
      </c>
      <c r="AY638"/>
      <c r="AZ638"/>
      <c r="BA638"/>
    </row>
    <row r="639" spans="1:53">
      <c r="A639" s="2" t="s">
        <v>654</v>
      </c>
      <c r="B639">
        <v>1973</v>
      </c>
      <c r="C639" cm="1">
        <f t="array" ref="C639">_xlfn.IFS(ISNUMBER(SEARCH("wagon",PROPERTIES[[#This Row],[VEHIDCODE]])),0,OR(MID(PROPERTIES[[#This Row],[VEHIDCODE]],2,2)="mu",_xlfn.TEXTBEFORE(PROPERTIES[[#This Row],[VEHIDCODE]],"_")="mtro"),1,1=1,0)</f>
        <v>0</v>
      </c>
      <c r="D639" t="s">
        <v>1776</v>
      </c>
      <c r="E639" t="str">
        <f>_xlfn.XLOOKUP(PROPERTIES[[#This Row],[COUNTRY]],COUNTRIES[COUNTRY_DESCRIPTION],COUNTRIES[COUNTRY_LABEL],"")</f>
        <v>FI</v>
      </c>
      <c r="F639" t="str" cm="1">
        <f t="array" ref="F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9" t="s">
        <v>19</v>
      </c>
      <c r="H639">
        <v>0</v>
      </c>
      <c r="I639">
        <v>8</v>
      </c>
      <c r="J639">
        <v>8</v>
      </c>
      <c r="K639" t="str" cm="1">
        <f t="array" ref="K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9">
        <f>_xlfn.XLOOKUP("LOADINGSPEEDDEF_"&amp;PROPERTIES[[#This Row],[LOADINGSPEED]],LOADINGSPEEDDEF[TYPE],LOADINGSPEEDDEF[SPEED])</f>
        <v>20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f>IF(ISNUMBER(SEARCH("passenger",PROPERTIES[[#This Row],[CARGODEF]])),1,0)</f>
        <v>0</v>
      </c>
      <c r="O639" s="32">
        <v>84</v>
      </c>
      <c r="P639">
        <v>4428</v>
      </c>
      <c r="Q639">
        <v>140</v>
      </c>
      <c r="R639" s="29">
        <v>280</v>
      </c>
      <c r="S639" s="28">
        <f>IFERROR(PROPERTIES[[#This Row],[TE_STARTING_KN]]/(PROPERTIES[[#This Row],[WEIGHT]]*9.81),0)</f>
        <v>0.33978933061501865</v>
      </c>
      <c r="T639" s="28">
        <v>0.33</v>
      </c>
      <c r="U639" s="25">
        <f>ROUND(IF(IFERROR(PROPERTIES[[#This Row],[TE_COEFFICIENT_CALC]],0)=0,PROPERTIES[[#This Row],[TE_COEFFICIENT_MANUAL]],PROPERTIES[[#This Row],[TE_COEFFICIENT_CALC]]),3)</f>
        <v>0.34</v>
      </c>
      <c r="V639" s="11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36">
        <v>0</v>
      </c>
      <c r="X639" s="9">
        <v>0</v>
      </c>
      <c r="Y639" s="10">
        <v>0</v>
      </c>
      <c r="Z639" t="s">
        <v>873</v>
      </c>
      <c r="AA639" t="s">
        <v>868</v>
      </c>
      <c r="AB639" s="2" t="s">
        <v>886</v>
      </c>
      <c r="AC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9" s="2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H639" s="10" t="b">
        <v>0</v>
      </c>
      <c r="AY639"/>
      <c r="AZ639"/>
      <c r="BA639"/>
    </row>
    <row r="640" spans="1:53">
      <c r="A640" s="2" t="s">
        <v>655</v>
      </c>
      <c r="B640">
        <v>2004</v>
      </c>
      <c r="C640" cm="1">
        <f t="array" ref="C640">_xlfn.IFS(ISNUMBER(SEARCH("wagon",PROPERTIES[[#This Row],[VEHIDCODE]])),0,OR(MID(PROPERTIES[[#This Row],[VEHIDCODE]],2,2)="mu",_xlfn.TEXTBEFORE(PROPERTIES[[#This Row],[VEHIDCODE]],"_")="mtro"),1,1=1,0)</f>
        <v>0</v>
      </c>
      <c r="D640" t="s">
        <v>1830</v>
      </c>
      <c r="E640" t="str">
        <f>_xlfn.XLOOKUP(PROPERTIES[[#This Row],[COUNTRY]],COUNTRIES[COUNTRY_DESCRIPTION],COUNTRIES[COUNTRY_LABEL],"")</f>
        <v>KZ</v>
      </c>
      <c r="F640" t="str" cm="1">
        <f t="array" ref="F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0" t="s">
        <v>19</v>
      </c>
      <c r="H640">
        <v>0</v>
      </c>
      <c r="I640">
        <v>8</v>
      </c>
      <c r="J640">
        <v>8</v>
      </c>
      <c r="K640" t="str" cm="1">
        <f t="array" ref="K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0">
        <f>_xlfn.XLOOKUP("LOADINGSPEEDDEF_"&amp;PROPERTIES[[#This Row],[LOADINGSPEED]],LOADINGSPEEDDEF[TYPE],LOADINGSPEEDDEF[SPEED])</f>
        <v>20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f>IF(ISNUMBER(SEARCH("passenger",PROPERTIES[[#This Row],[CARGODEF]])),1,0)</f>
        <v>0</v>
      </c>
      <c r="O640" s="32">
        <v>82</v>
      </c>
      <c r="P640">
        <v>6500</v>
      </c>
      <c r="Q640">
        <v>210</v>
      </c>
      <c r="R640" s="29">
        <v>264</v>
      </c>
      <c r="S640" s="28">
        <f>IFERROR(PROPERTIES[[#This Row],[TE_STARTING_KN]]/(PROPERTIES[[#This Row],[WEIGHT]]*9.81),0)</f>
        <v>0.32818676810621317</v>
      </c>
      <c r="T640" s="28">
        <v>0.32</v>
      </c>
      <c r="U640" s="25">
        <f>ROUND(IF(IFERROR(PROPERTIES[[#This Row],[TE_COEFFICIENT_CALC]],0)=0,PROPERTIES[[#This Row],[TE_COEFFICIENT_MANUAL]],PROPERTIES[[#This Row],[TE_COEFFICIENT_CALC]]),3)</f>
        <v>0.32800000000000001</v>
      </c>
      <c r="V640" s="11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36">
        <v>0</v>
      </c>
      <c r="X640" s="9">
        <v>0</v>
      </c>
      <c r="Y640" s="10">
        <v>0</v>
      </c>
      <c r="Z640" t="s">
        <v>877</v>
      </c>
      <c r="AA640" t="s">
        <v>868</v>
      </c>
      <c r="AB640" s="2" t="s">
        <v>886</v>
      </c>
      <c r="AC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0" s="2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H640" s="10" t="b">
        <v>0</v>
      </c>
      <c r="AY640"/>
      <c r="AZ640"/>
      <c r="BA640"/>
    </row>
    <row r="641" spans="1:53">
      <c r="A641" s="2" t="s">
        <v>656</v>
      </c>
      <c r="B641">
        <v>2014</v>
      </c>
      <c r="C641" cm="1">
        <f t="array" ref="C641">_xlfn.IFS(ISNUMBER(SEARCH("wagon",PROPERTIES[[#This Row],[VEHIDCODE]])),0,OR(MID(PROPERTIES[[#This Row],[VEHIDCODE]],2,2)="mu",_xlfn.TEXTBEFORE(PROPERTIES[[#This Row],[VEHIDCODE]],"_")="mtro"),1,1=1,0)</f>
        <v>0</v>
      </c>
      <c r="D641" t="s">
        <v>1830</v>
      </c>
      <c r="E641" t="str">
        <f>_xlfn.XLOOKUP(PROPERTIES[[#This Row],[COUNTRY]],COUNTRIES[COUNTRY_DESCRIPTION],COUNTRIES[COUNTRY_LABEL],"")</f>
        <v>KZ</v>
      </c>
      <c r="F641" t="str" cm="1">
        <f t="array" ref="F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1" t="s">
        <v>19</v>
      </c>
      <c r="H641">
        <v>0</v>
      </c>
      <c r="I641">
        <v>8</v>
      </c>
      <c r="J641">
        <v>16</v>
      </c>
      <c r="K641" t="str" cm="1">
        <f t="array" ref="K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1">
        <f>_xlfn.XLOOKUP("LOADINGSPEEDDEF_"&amp;PROPERTIES[[#This Row],[LOADINGSPEED]],LOADINGSPEEDDEF[TYPE],LOADINGSPEEDDEF[SPEED])</f>
        <v>20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f>IF(ISNUMBER(SEARCH("passenger",PROPERTIES[[#This Row],[CARGODEF]])),1,0)</f>
        <v>0</v>
      </c>
      <c r="O641" s="32">
        <v>200</v>
      </c>
      <c r="P641">
        <v>11800</v>
      </c>
      <c r="Q641">
        <v>120</v>
      </c>
      <c r="R641" s="29">
        <v>833</v>
      </c>
      <c r="S641" s="28">
        <f>IFERROR(PROPERTIES[[#This Row],[TE_STARTING_KN]]/(PROPERTIES[[#This Row],[WEIGHT]]*9.81),0)</f>
        <v>0.42456676860346587</v>
      </c>
      <c r="T641" s="28">
        <v>0.42</v>
      </c>
      <c r="U641" s="25">
        <f>ROUND(IF(IFERROR(PROPERTIES[[#This Row],[TE_COEFFICIENT_CALC]],0)=0,PROPERTIES[[#This Row],[TE_COEFFICIENT_MANUAL]],PROPERTIES[[#This Row],[TE_COEFFICIENT_CALC]]),3)</f>
        <v>0.42499999999999999</v>
      </c>
      <c r="V641" s="11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36">
        <v>0</v>
      </c>
      <c r="X641" s="9">
        <v>8</v>
      </c>
      <c r="Y641" s="10">
        <v>0</v>
      </c>
      <c r="Z641" t="s">
        <v>877</v>
      </c>
      <c r="AA641" t="s">
        <v>868</v>
      </c>
      <c r="AB641" s="2" t="s">
        <v>886</v>
      </c>
      <c r="AC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1" s="2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H641" s="10" t="b">
        <v>0</v>
      </c>
      <c r="AY641"/>
      <c r="AZ641"/>
      <c r="BA641"/>
    </row>
    <row r="642" spans="1:53">
      <c r="A642" s="2" t="s">
        <v>657</v>
      </c>
      <c r="B642">
        <v>2011</v>
      </c>
      <c r="C642" cm="1">
        <f t="array" ref="C642">_xlfn.IFS(ISNUMBER(SEARCH("wagon",PROPERTIES[[#This Row],[VEHIDCODE]])),0,OR(MID(PROPERTIES[[#This Row],[VEHIDCODE]],2,2)="mu",_xlfn.TEXTBEFORE(PROPERTIES[[#This Row],[VEHIDCODE]],"_")="mtro"),1,1=1,0)</f>
        <v>0</v>
      </c>
      <c r="D642" t="s">
        <v>1896</v>
      </c>
      <c r="E642" t="str">
        <f>_xlfn.XLOOKUP(PROPERTIES[[#This Row],[COUNTRY]],COUNTRIES[COUNTRY_DESCRIPTION],COUNTRIES[COUNTRY_LABEL],"")</f>
        <v>RU</v>
      </c>
      <c r="F642" t="str" cm="1">
        <f t="array" ref="F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2" t="s">
        <v>19</v>
      </c>
      <c r="H642">
        <v>0</v>
      </c>
      <c r="I642">
        <v>8</v>
      </c>
      <c r="J642">
        <v>8</v>
      </c>
      <c r="K642" t="str" cm="1">
        <f t="array" ref="K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2">
        <f>_xlfn.XLOOKUP("LOADINGSPEEDDEF_"&amp;PROPERTIES[[#This Row],[LOADINGSPEED]],LOADINGSPEEDDEF[TYPE],LOADINGSPEEDDEF[SPEED])</f>
        <v>20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f>IF(ISNUMBER(SEARCH("passenger",PROPERTIES[[#This Row],[CARGODEF]])),1,0)</f>
        <v>0</v>
      </c>
      <c r="O642" s="32">
        <v>135</v>
      </c>
      <c r="P642">
        <v>9655</v>
      </c>
      <c r="Q642">
        <v>200</v>
      </c>
      <c r="R642" s="29">
        <v>450</v>
      </c>
      <c r="S642" s="28">
        <f>IFERROR(PROPERTIES[[#This Row],[TE_STARTING_KN]]/(PROPERTIES[[#This Row],[WEIGHT]]*9.81),0)</f>
        <v>0.33978933061501865</v>
      </c>
      <c r="T642" s="28">
        <v>0.26</v>
      </c>
      <c r="U642" s="25">
        <f>ROUND(IF(IFERROR(PROPERTIES[[#This Row],[TE_COEFFICIENT_CALC]],0)=0,PROPERTIES[[#This Row],[TE_COEFFICIENT_MANUAL]],PROPERTIES[[#This Row],[TE_COEFFICIENT_CALC]]),3)</f>
        <v>0.34</v>
      </c>
      <c r="V642" s="11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36">
        <v>0</v>
      </c>
      <c r="X642" s="9">
        <v>0</v>
      </c>
      <c r="Y642" s="10">
        <v>0</v>
      </c>
      <c r="Z642" t="s">
        <v>877</v>
      </c>
      <c r="AA642" t="s">
        <v>868</v>
      </c>
      <c r="AB642" s="2" t="s">
        <v>886</v>
      </c>
      <c r="AC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2" s="2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H642" s="10" t="b">
        <v>0</v>
      </c>
      <c r="AY642"/>
      <c r="AZ642"/>
      <c r="BA642"/>
    </row>
    <row r="643" spans="1:53">
      <c r="A643" s="2" t="s">
        <v>658</v>
      </c>
      <c r="B643">
        <v>1955</v>
      </c>
      <c r="C643" cm="1">
        <f t="array" ref="C643">_xlfn.IFS(ISNUMBER(SEARCH("wagon",PROPERTIES[[#This Row],[VEHIDCODE]])),0,OR(MID(PROPERTIES[[#This Row],[VEHIDCODE]],2,2)="mu",_xlfn.TEXTBEFORE(PROPERTIES[[#This Row],[VEHIDCODE]],"_")="mtro"),1,1=1,0)</f>
        <v>0</v>
      </c>
      <c r="D643" t="s">
        <v>1776</v>
      </c>
      <c r="E643" t="str">
        <f>_xlfn.XLOOKUP(PROPERTIES[[#This Row],[COUNTRY]],COUNTRIES[COUNTRY_DESCRIPTION],COUNTRIES[COUNTRY_LABEL],"")</f>
        <v>FI</v>
      </c>
      <c r="F643" t="str" cm="1">
        <f t="array" ref="F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3" t="s">
        <v>17</v>
      </c>
      <c r="H643">
        <v>64</v>
      </c>
      <c r="I643">
        <v>7</v>
      </c>
      <c r="J643">
        <v>7</v>
      </c>
      <c r="K643" t="str" cm="1">
        <f t="array" ref="K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f>IF(ISNUMBER(SEARCH("passenger",PROPERTIES[[#This Row],[CARGODEF]])),1,0)</f>
        <v>1</v>
      </c>
      <c r="O643" s="32">
        <v>18</v>
      </c>
      <c r="P643">
        <v>180</v>
      </c>
      <c r="Q643">
        <v>95</v>
      </c>
      <c r="R643" s="29">
        <v>29</v>
      </c>
      <c r="S643" s="28">
        <f>IFERROR(PROPERTIES[[#This Row],[TE_STARTING_KN]]/(PROPERTIES[[#This Row],[WEIGHT]]*9.81),0)</f>
        <v>0.16423150979725903</v>
      </c>
      <c r="T643" s="28">
        <v>0.33</v>
      </c>
      <c r="U643" s="25">
        <f>ROUND(IF(IFERROR(PROPERTIES[[#This Row],[TE_COEFFICIENT_CALC]],0)=0,PROPERTIES[[#This Row],[TE_COEFFICIENT_MANUAL]],PROPERTIES[[#This Row],[TE_COEFFICIENT_CALC]]),3)</f>
        <v>0.16400000000000001</v>
      </c>
      <c r="V643" s="11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36">
        <v>0</v>
      </c>
      <c r="X643" s="9">
        <v>0</v>
      </c>
      <c r="Y643" s="10">
        <v>0</v>
      </c>
      <c r="Z643" t="s">
        <v>873</v>
      </c>
      <c r="AA643" t="s">
        <v>868</v>
      </c>
      <c r="AB643" s="2" t="s">
        <v>886</v>
      </c>
      <c r="AC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3" s="2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H643" s="10" t="b">
        <v>0</v>
      </c>
      <c r="AY643"/>
      <c r="AZ643"/>
      <c r="BA643"/>
    </row>
    <row r="644" spans="1:53">
      <c r="A644" s="2" t="s">
        <v>659</v>
      </c>
      <c r="B644">
        <v>1984</v>
      </c>
      <c r="C644" cm="1">
        <f t="array" ref="C644">_xlfn.IFS(ISNUMBER(SEARCH("wagon",PROPERTIES[[#This Row],[VEHIDCODE]])),0,OR(MID(PROPERTIES[[#This Row],[VEHIDCODE]],2,2)="mu",_xlfn.TEXTBEFORE(PROPERTIES[[#This Row],[VEHIDCODE]],"_")="mtro"),1,1=1,0)</f>
        <v>0</v>
      </c>
      <c r="D644" t="s">
        <v>1896</v>
      </c>
      <c r="E644" t="str">
        <f>_xlfn.XLOOKUP(PROPERTIES[[#This Row],[COUNTRY]],COUNTRIES[COUNTRY_DESCRIPTION],COUNTRIES[COUNTRY_LABEL],"")</f>
        <v>RU</v>
      </c>
      <c r="F644" t="str" cm="1">
        <f t="array" ref="F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4" t="s">
        <v>17</v>
      </c>
      <c r="H644">
        <v>67</v>
      </c>
      <c r="I644">
        <v>8</v>
      </c>
      <c r="J644">
        <v>8</v>
      </c>
      <c r="K644" t="str" cm="1">
        <f t="array" ref="K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f>IF(ISNUMBER(SEARCH("passenger",PROPERTIES[[#This Row],[CARGODEF]])),1,0)</f>
        <v>1</v>
      </c>
      <c r="O644" s="32">
        <v>59</v>
      </c>
      <c r="P644">
        <v>990</v>
      </c>
      <c r="Q644">
        <v>120</v>
      </c>
      <c r="R644" s="29">
        <v>157</v>
      </c>
      <c r="S644" s="28">
        <f>IFERROR(PROPERTIES[[#This Row],[TE_STARTING_KN]]/(PROPERTIES[[#This Row],[WEIGHT]]*9.81),0)</f>
        <v>0.27125555037232846</v>
      </c>
      <c r="T644" s="28">
        <v>0.24</v>
      </c>
      <c r="U644" s="25">
        <f>ROUND(IF(IFERROR(PROPERTIES[[#This Row],[TE_COEFFICIENT_CALC]],0)=0,PROPERTIES[[#This Row],[TE_COEFFICIENT_MANUAL]],PROPERTIES[[#This Row],[TE_COEFFICIENT_CALC]]),3)</f>
        <v>0.27100000000000002</v>
      </c>
      <c r="V644" s="11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36">
        <v>0</v>
      </c>
      <c r="X644" s="9">
        <v>0</v>
      </c>
      <c r="Y644" s="10">
        <v>0</v>
      </c>
      <c r="Z644" t="s">
        <v>877</v>
      </c>
      <c r="AA644" t="s">
        <v>868</v>
      </c>
      <c r="AB644" s="2" t="s">
        <v>886</v>
      </c>
      <c r="AC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4" s="2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H644" s="10" t="b">
        <v>0</v>
      </c>
      <c r="AY644"/>
      <c r="AZ644"/>
      <c r="BA644"/>
    </row>
    <row r="645" spans="1:53">
      <c r="A645" s="2" t="s">
        <v>660</v>
      </c>
      <c r="B645">
        <v>1973</v>
      </c>
      <c r="C645" cm="1">
        <f t="array" ref="C645">_xlfn.IFS(ISNUMBER(SEARCH("wagon",PROPERTIES[[#This Row],[VEHIDCODE]])),0,OR(MID(PROPERTIES[[#This Row],[VEHIDCODE]],2,2)="mu",_xlfn.TEXTBEFORE(PROPERTIES[[#This Row],[VEHIDCODE]],"_")="mtro"),1,1=1,0)</f>
        <v>1</v>
      </c>
      <c r="D645" t="s">
        <v>1896</v>
      </c>
      <c r="E645" t="str">
        <f>_xlfn.XLOOKUP(PROPERTIES[[#This Row],[COUNTRY]],COUNTRIES[COUNTRY_DESCRIPTION],COUNTRIES[COUNTRY_LABEL],"")</f>
        <v>RU</v>
      </c>
      <c r="F645" t="str" cm="1">
        <f t="array" ref="F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5" t="s">
        <v>17</v>
      </c>
      <c r="H645">
        <v>64</v>
      </c>
      <c r="I645">
        <v>8</v>
      </c>
      <c r="J645">
        <v>8</v>
      </c>
      <c r="K645" t="str" cm="1">
        <f t="array" ref="K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45">
        <f>_xlfn.XLOOKUP("LOADINGSPEEDDEF_"&amp;PROPERTIES[[#This Row],[LOADINGSPEED]],LOADINGSPEEDDEF[TYPE],LOADINGSPEEDDEF[SPEED])</f>
        <v>16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f>IF(ISNUMBER(SEARCH("passenger",PROPERTIES[[#This Row],[CARGODEF]])),1,0)</f>
        <v>1</v>
      </c>
      <c r="O645" s="32">
        <v>49</v>
      </c>
      <c r="P645">
        <v>1280</v>
      </c>
      <c r="Q645">
        <v>200</v>
      </c>
      <c r="R645" s="29">
        <v>35.6</v>
      </c>
      <c r="S645" s="28">
        <f>IFERROR(PROPERTIES[[#This Row],[TE_STARTING_KN]]/(PROPERTIES[[#This Row],[WEIGHT]]*9.81),0)</f>
        <v>7.4060205121804071E-2</v>
      </c>
      <c r="T645" s="28">
        <v>0.13</v>
      </c>
      <c r="U645" s="25">
        <f>ROUND(IF(IFERROR(PROPERTIES[[#This Row],[TE_COEFFICIENT_CALC]],0)=0,PROPERTIES[[#This Row],[TE_COEFFICIENT_MANUAL]],PROPERTIES[[#This Row],[TE_COEFFICIENT_CALC]]),3)</f>
        <v>7.3999999999999996E-2</v>
      </c>
      <c r="V645" s="11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36">
        <v>64</v>
      </c>
      <c r="X645" s="9">
        <v>8</v>
      </c>
      <c r="Y645" s="10">
        <v>0</v>
      </c>
      <c r="Z645" t="s">
        <v>877</v>
      </c>
      <c r="AA645" t="s">
        <v>868</v>
      </c>
      <c r="AB645" s="2" t="s">
        <v>886</v>
      </c>
      <c r="AC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5" s="2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H645" s="10" t="b">
        <v>0</v>
      </c>
      <c r="AY645"/>
      <c r="AZ645"/>
      <c r="BA645"/>
    </row>
    <row r="646" spans="1:53">
      <c r="A646" s="2" t="s">
        <v>661</v>
      </c>
      <c r="B646">
        <v>1929</v>
      </c>
      <c r="C646" cm="1">
        <f t="array" ref="C646">_xlfn.IFS(ISNUMBER(SEARCH("wagon",PROPERTIES[[#This Row],[VEHIDCODE]])),0,OR(MID(PROPERTIES[[#This Row],[VEHIDCODE]],2,2)="mu",_xlfn.TEXTBEFORE(PROPERTIES[[#This Row],[VEHIDCODE]],"_")="mtro"),1,1=1,0)</f>
        <v>1</v>
      </c>
      <c r="D646" t="s">
        <v>1896</v>
      </c>
      <c r="E646" t="str">
        <f>_xlfn.XLOOKUP(PROPERTIES[[#This Row],[COUNTRY]],COUNTRIES[COUNTRY_DESCRIPTION],COUNTRIES[COUNTRY_LABEL],"")</f>
        <v>RU</v>
      </c>
      <c r="F646" t="str" cm="1">
        <f t="array" ref="F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6" t="s">
        <v>17</v>
      </c>
      <c r="H646">
        <v>110</v>
      </c>
      <c r="I646">
        <v>7</v>
      </c>
      <c r="J646">
        <v>7</v>
      </c>
      <c r="K646" t="str" cm="1">
        <f t="array" ref="K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f>IF(ISNUMBER(SEARCH("passenger",PROPERTIES[[#This Row],[CARGODEF]])),1,0)</f>
        <v>1</v>
      </c>
      <c r="O646" s="32">
        <v>58.9</v>
      </c>
      <c r="P646">
        <f>805*2</f>
        <v>1610</v>
      </c>
      <c r="Q646">
        <v>85</v>
      </c>
      <c r="R646" s="29">
        <v>145</v>
      </c>
      <c r="S646" s="28">
        <f>IFERROR(PROPERTIES[[#This Row],[TE_STARTING_KN]]/(PROPERTIES[[#This Row],[WEIGHT]]*9.81),0)</f>
        <v>0.25094797761890175</v>
      </c>
      <c r="T646" s="28">
        <v>0.08</v>
      </c>
      <c r="U646" s="25">
        <f>ROUND(IF(IFERROR(PROPERTIES[[#This Row],[TE_COEFFICIENT_CALC]],0)=0,PROPERTIES[[#This Row],[TE_COEFFICIENT_MANUAL]],PROPERTIES[[#This Row],[TE_COEFFICIENT_CALC]]),3)</f>
        <v>0.251</v>
      </c>
      <c r="V646" s="11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36">
        <v>110</v>
      </c>
      <c r="X646" s="9">
        <v>7</v>
      </c>
      <c r="Y646" s="10">
        <v>0</v>
      </c>
      <c r="Z646" t="s">
        <v>877</v>
      </c>
      <c r="AA646" t="s">
        <v>868</v>
      </c>
      <c r="AB646" s="2" t="s">
        <v>886</v>
      </c>
      <c r="AC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6" s="2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H646" s="10" t="b">
        <v>0</v>
      </c>
      <c r="AY646"/>
      <c r="AZ646"/>
      <c r="BA646"/>
    </row>
    <row r="647" spans="1:53">
      <c r="A647" s="2" t="s">
        <v>662</v>
      </c>
      <c r="B647">
        <v>2015</v>
      </c>
      <c r="C647" cm="1">
        <f t="array" ref="C647">_xlfn.IFS(ISNUMBER(SEARCH("wagon",PROPERTIES[[#This Row],[VEHIDCODE]])),0,OR(MID(PROPERTIES[[#This Row],[VEHIDCODE]],2,2)="mu",_xlfn.TEXTBEFORE(PROPERTIES[[#This Row],[VEHIDCODE]],"_")="mtro"),1,1=1,0)</f>
        <v>1</v>
      </c>
      <c r="D647" t="s">
        <v>1803</v>
      </c>
      <c r="E647" t="str">
        <f>_xlfn.XLOOKUP(PROPERTIES[[#This Row],[COUNTRY]],COUNTRIES[COUNTRY_DESCRIPTION],COUNTRIES[COUNTRY_LABEL],"")</f>
        <v>HR</v>
      </c>
      <c r="F647" t="str" cm="1">
        <f t="array" ref="F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7" t="s">
        <v>17</v>
      </c>
      <c r="H647">
        <v>60</v>
      </c>
      <c r="I647">
        <v>8</v>
      </c>
      <c r="J647">
        <v>8</v>
      </c>
      <c r="K647" t="str" cm="1">
        <f t="array" ref="K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f>IF(ISNUMBER(SEARCH("passenger",PROPERTIES[[#This Row],[CARGODEF]])),1,0)</f>
        <v>1</v>
      </c>
      <c r="O647" s="32">
        <v>43</v>
      </c>
      <c r="P647">
        <v>2700</v>
      </c>
      <c r="Q647">
        <v>160</v>
      </c>
      <c r="R647" s="29">
        <v>100</v>
      </c>
      <c r="S647" s="28">
        <f>IFERROR(PROPERTIES[[#This Row],[TE_STARTING_KN]]/(PROPERTIES[[#This Row],[WEIGHT]]*9.81),0)</f>
        <v>0.23706232368489674</v>
      </c>
      <c r="T647" s="28">
        <v>0.47</v>
      </c>
      <c r="U647" s="25">
        <f>ROUND(IF(IFERROR(PROPERTIES[[#This Row],[TE_COEFFICIENT_CALC]],0)=0,PROPERTIES[[#This Row],[TE_COEFFICIENT_MANUAL]],PROPERTIES[[#This Row],[TE_COEFFICIENT_CALC]]),3)</f>
        <v>0.23699999999999999</v>
      </c>
      <c r="V647" s="11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36">
        <v>60</v>
      </c>
      <c r="X647" s="9">
        <v>8</v>
      </c>
      <c r="Y647" s="10">
        <v>0</v>
      </c>
      <c r="Z647" t="s">
        <v>875</v>
      </c>
      <c r="AA647" t="s">
        <v>868</v>
      </c>
      <c r="AB647" s="2" t="s">
        <v>886</v>
      </c>
      <c r="AC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7" s="2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H647" s="10" t="b">
        <v>0</v>
      </c>
      <c r="AY647"/>
      <c r="AZ647"/>
      <c r="BA647"/>
    </row>
    <row r="648" spans="1:53">
      <c r="A648" s="2" t="s">
        <v>663</v>
      </c>
      <c r="B648">
        <v>2011</v>
      </c>
      <c r="C648" cm="1">
        <f t="array" ref="C648">_xlfn.IFS(ISNUMBER(SEARCH("wagon",PROPERTIES[[#This Row],[VEHIDCODE]])),0,OR(MID(PROPERTIES[[#This Row],[VEHIDCODE]],2,2)="mu",_xlfn.TEXTBEFORE(PROPERTIES[[#This Row],[VEHIDCODE]],"_")="mtro"),1,1=1,0)</f>
        <v>1</v>
      </c>
      <c r="D648" t="s">
        <v>1896</v>
      </c>
      <c r="E648" t="str">
        <f>_xlfn.XLOOKUP(PROPERTIES[[#This Row],[COUNTRY]],COUNTRIES[COUNTRY_DESCRIPTION],COUNTRIES[COUNTRY_LABEL],"")</f>
        <v>RU</v>
      </c>
      <c r="F648" t="str" cm="1">
        <f t="array" ref="F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8" t="s">
        <v>17</v>
      </c>
      <c r="H648">
        <v>67</v>
      </c>
      <c r="I648">
        <v>8</v>
      </c>
      <c r="J648">
        <v>8</v>
      </c>
      <c r="K648" t="str" cm="1">
        <f t="array" ref="K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f>IF(ISNUMBER(SEARCH("passenger",PROPERTIES[[#This Row],[CARGODEF]])),1,0)</f>
        <v>1</v>
      </c>
      <c r="O648" s="32">
        <v>56</v>
      </c>
      <c r="P648">
        <v>2700</v>
      </c>
      <c r="Q648">
        <v>160</v>
      </c>
      <c r="R648" s="29">
        <v>90</v>
      </c>
      <c r="S648" s="28">
        <f>IFERROR(PROPERTIES[[#This Row],[TE_STARTING_KN]]/(PROPERTIES[[#This Row],[WEIGHT]]*9.81),0)</f>
        <v>0.163826998689384</v>
      </c>
      <c r="T648" s="28">
        <v>0.54</v>
      </c>
      <c r="U648" s="25">
        <f>ROUND(IF(IFERROR(PROPERTIES[[#This Row],[TE_COEFFICIENT_CALC]],0)=0,PROPERTIES[[#This Row],[TE_COEFFICIENT_MANUAL]],PROPERTIES[[#This Row],[TE_COEFFICIENT_CALC]]),3)</f>
        <v>0.16400000000000001</v>
      </c>
      <c r="V648" s="11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36">
        <v>88</v>
      </c>
      <c r="X648" s="9">
        <v>8</v>
      </c>
      <c r="Y648" s="10">
        <v>0</v>
      </c>
      <c r="Z648" t="s">
        <v>877</v>
      </c>
      <c r="AA648" t="s">
        <v>868</v>
      </c>
      <c r="AB648" s="2" t="s">
        <v>886</v>
      </c>
      <c r="AC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8" s="2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H648" s="10" t="b">
        <v>0</v>
      </c>
      <c r="AY648"/>
      <c r="AZ648"/>
      <c r="BA648"/>
    </row>
    <row r="649" spans="1:53">
      <c r="A649" s="2" t="s">
        <v>712</v>
      </c>
      <c r="B649">
        <v>1900</v>
      </c>
      <c r="C649" cm="1">
        <f t="array" ref="C649">_xlfn.IFS(ISNUMBER(SEARCH("wagon",PROPERTIES[[#This Row],[VEHIDCODE]])),0,OR(MID(PROPERTIES[[#This Row],[VEHIDCODE]],2,2)="mu",_xlfn.TEXTBEFORE(PROPERTIES[[#This Row],[VEHIDCODE]],"_")="mtro"),1,1=1,0)</f>
        <v>0</v>
      </c>
      <c r="E649" t="str">
        <f>_xlfn.XLOOKUP(PROPERTIES[[#This Row],[COUNTRY]],COUNTRIES[COUNTRY_DESCRIPTION],COUNTRIES[COUNTRY_LABEL],"")</f>
        <v/>
      </c>
      <c r="F649" t="str" cm="1">
        <f t="array" ref="F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49" t="s">
        <v>320</v>
      </c>
      <c r="H649">
        <v>1</v>
      </c>
      <c r="I649">
        <v>8</v>
      </c>
      <c r="J649">
        <v>8</v>
      </c>
      <c r="K649" t="str" cm="1">
        <f t="array" ref="K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49">
        <f>_xlfn.XLOOKUP("LOADINGSPEEDDEF_"&amp;PROPERTIES[[#This Row],[LOADINGSPEED]],LOADINGSPEEDDEF[TYPE],LOADINGSPEEDDEF[SPEED])</f>
        <v>120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f>IF(ISNUMBER(SEARCH("passenger",PROPERTIES[[#This Row],[CARGODEF]])),1,0)</f>
        <v>1</v>
      </c>
      <c r="O649" s="32">
        <v>0</v>
      </c>
      <c r="P649">
        <v>0</v>
      </c>
      <c r="Q649">
        <v>0</v>
      </c>
      <c r="R649" s="29">
        <v>0</v>
      </c>
      <c r="S649" s="28">
        <f>IFERROR(PROPERTIES[[#This Row],[TE_STARTING_KN]]/(PROPERTIES[[#This Row],[WEIGHT]]*9.81),0)</f>
        <v>0</v>
      </c>
      <c r="T649" s="28">
        <v>0.3</v>
      </c>
      <c r="U649" s="25">
        <f>ROUND(IF(IFERROR(PROPERTIES[[#This Row],[TE_COEFFICIENT_CALC]],0)=0,PROPERTIES[[#This Row],[TE_COEFFICIENT_MANUAL]],PROPERTIES[[#This Row],[TE_COEFFICIENT_CALC]]),3)</f>
        <v>0.3</v>
      </c>
      <c r="V649" s="11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36">
        <v>0</v>
      </c>
      <c r="X649" s="9">
        <v>0</v>
      </c>
      <c r="Y649" s="10">
        <v>0</v>
      </c>
      <c r="Z649" t="s">
        <v>882</v>
      </c>
      <c r="AA649" t="s">
        <v>868</v>
      </c>
      <c r="AB649" s="2" t="s">
        <v>886</v>
      </c>
      <c r="AC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49" s="2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H649" s="10" t="b">
        <v>0</v>
      </c>
      <c r="AY649"/>
      <c r="AZ649"/>
      <c r="BA649"/>
    </row>
    <row r="650" spans="1:53">
      <c r="A650" s="2" t="s">
        <v>711</v>
      </c>
      <c r="B650">
        <v>1900</v>
      </c>
      <c r="C650" cm="1">
        <f t="array" ref="C650">_xlfn.IFS(ISNUMBER(SEARCH("wagon",PROPERTIES[[#This Row],[VEHIDCODE]])),0,OR(MID(PROPERTIES[[#This Row],[VEHIDCODE]],2,2)="mu",_xlfn.TEXTBEFORE(PROPERTIES[[#This Row],[VEHIDCODE]],"_")="mtro"),1,1=1,0)</f>
        <v>0</v>
      </c>
      <c r="E650" t="str">
        <f>_xlfn.XLOOKUP(PROPERTIES[[#This Row],[COUNTRY]],COUNTRIES[COUNTRY_DESCRIPTION],COUNTRIES[COUNTRY_LABEL],"")</f>
        <v/>
      </c>
      <c r="F650" t="str" cm="1">
        <f t="array" ref="F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50" t="s">
        <v>320</v>
      </c>
      <c r="H650">
        <v>1</v>
      </c>
      <c r="I650">
        <v>8</v>
      </c>
      <c r="J650">
        <v>8</v>
      </c>
      <c r="K650" t="str" cm="1">
        <f t="array" ref="K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50">
        <f>_xlfn.XLOOKUP("LOADINGSPEEDDEF_"&amp;PROPERTIES[[#This Row],[LOADINGSPEED]],LOADINGSPEEDDEF[TYPE],LOADINGSPEEDDEF[SPEED])</f>
        <v>120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f>IF(ISNUMBER(SEARCH("passenger",PROPERTIES[[#This Row],[CARGODEF]])),1,0)</f>
        <v>1</v>
      </c>
      <c r="O650" s="32">
        <v>0</v>
      </c>
      <c r="P650">
        <v>0</v>
      </c>
      <c r="Q650">
        <v>0</v>
      </c>
      <c r="R650" s="29">
        <v>0</v>
      </c>
      <c r="S650" s="28">
        <f>IFERROR(PROPERTIES[[#This Row],[TE_STARTING_KN]]/(PROPERTIES[[#This Row],[WEIGHT]]*9.81),0)</f>
        <v>0</v>
      </c>
      <c r="T650" s="28">
        <v>0.3</v>
      </c>
      <c r="U650" s="25">
        <f>ROUND(IF(IFERROR(PROPERTIES[[#This Row],[TE_COEFFICIENT_CALC]],0)=0,PROPERTIES[[#This Row],[TE_COEFFICIENT_MANUAL]],PROPERTIES[[#This Row],[TE_COEFFICIENT_CALC]]),3)</f>
        <v>0.3</v>
      </c>
      <c r="V650" s="11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36">
        <v>0</v>
      </c>
      <c r="X650" s="9">
        <v>0</v>
      </c>
      <c r="Y650" s="10">
        <v>0</v>
      </c>
      <c r="Z650" t="s">
        <v>882</v>
      </c>
      <c r="AA650" t="s">
        <v>868</v>
      </c>
      <c r="AB650" s="2" t="s">
        <v>886</v>
      </c>
      <c r="AC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50" s="2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H650" s="10" t="b">
        <v>0</v>
      </c>
      <c r="AY650"/>
      <c r="AZ650"/>
      <c r="BA650"/>
    </row>
    <row r="651" spans="1:53">
      <c r="A651" s="2" t="s">
        <v>713</v>
      </c>
      <c r="B651">
        <v>1992</v>
      </c>
      <c r="C651" cm="1">
        <f t="array" ref="C651">_xlfn.IFS(ISNUMBER(SEARCH("wagon",PROPERTIES[[#This Row],[VEHIDCODE]])),0,OR(MID(PROPERTIES[[#This Row],[VEHIDCODE]],2,2)="mu",_xlfn.TEXTBEFORE(PROPERTIES[[#This Row],[VEHIDCODE]],"_")="mtro"),1,1=1,0)</f>
        <v>0</v>
      </c>
      <c r="E651" t="str">
        <f>_xlfn.XLOOKUP(PROPERTIES[[#This Row],[COUNTRY]],COUNTRIES[COUNTRY_DESCRIPTION],COUNTRIES[COUNTRY_LABEL],"")</f>
        <v/>
      </c>
      <c r="F651" t="str" cm="1">
        <f t="array" ref="F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1" t="s">
        <v>526</v>
      </c>
      <c r="H651">
        <v>1</v>
      </c>
      <c r="I651">
        <v>8</v>
      </c>
      <c r="J651">
        <v>8</v>
      </c>
      <c r="K651" t="str" cm="1">
        <f t="array" ref="K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1">
        <f>_xlfn.XLOOKUP("LOADINGSPEEDDEF_"&amp;PROPERTIES[[#This Row],[LOADINGSPEED]],LOADINGSPEEDDEF[TYPE],LOADINGSPEEDDEF[SPEED])</f>
        <v>40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f>IF(ISNUMBER(SEARCH("passenger",PROPERTIES[[#This Row],[CARGODEF]])),1,0)</f>
        <v>0</v>
      </c>
      <c r="O651" s="32">
        <v>0</v>
      </c>
      <c r="P651">
        <v>0</v>
      </c>
      <c r="Q651">
        <v>0</v>
      </c>
      <c r="R651" s="29">
        <v>0</v>
      </c>
      <c r="S651" s="28">
        <f>IFERROR(PROPERTIES[[#This Row],[TE_STARTING_KN]]/(PROPERTIES[[#This Row],[WEIGHT]]*9.81),0)</f>
        <v>0</v>
      </c>
      <c r="T651" s="28">
        <v>0.3</v>
      </c>
      <c r="U651" s="25">
        <f>ROUND(IF(IFERROR(PROPERTIES[[#This Row],[TE_COEFFICIENT_CALC]],0)=0,PROPERTIES[[#This Row],[TE_COEFFICIENT_MANUAL]],PROPERTIES[[#This Row],[TE_COEFFICIENT_CALC]]),3)</f>
        <v>0.3</v>
      </c>
      <c r="V651" s="11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36">
        <v>0</v>
      </c>
      <c r="X651" s="9">
        <v>0</v>
      </c>
      <c r="Y651" s="10">
        <v>0</v>
      </c>
      <c r="Z651" t="s">
        <v>882</v>
      </c>
      <c r="AA651" t="s">
        <v>868</v>
      </c>
      <c r="AB651" s="2" t="s">
        <v>886</v>
      </c>
      <c r="AC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1" s="2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H651" s="10" t="b">
        <v>0</v>
      </c>
      <c r="AY651"/>
      <c r="AZ651"/>
      <c r="BA651"/>
    </row>
    <row r="652" spans="1:53">
      <c r="A652" s="2" t="s">
        <v>714</v>
      </c>
      <c r="B652">
        <v>1992</v>
      </c>
      <c r="C652" cm="1">
        <f t="array" ref="C652">_xlfn.IFS(ISNUMBER(SEARCH("wagon",PROPERTIES[[#This Row],[VEHIDCODE]])),0,OR(MID(PROPERTIES[[#This Row],[VEHIDCODE]],2,2)="mu",_xlfn.TEXTBEFORE(PROPERTIES[[#This Row],[VEHIDCODE]],"_")="mtro"),1,1=1,0)</f>
        <v>0</v>
      </c>
      <c r="E652" t="str">
        <f>_xlfn.XLOOKUP(PROPERTIES[[#This Row],[COUNTRY]],COUNTRIES[COUNTRY_DESCRIPTION],COUNTRIES[COUNTRY_LABEL],"")</f>
        <v/>
      </c>
      <c r="F652" t="str" cm="1">
        <f t="array" ref="F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2" t="s">
        <v>526</v>
      </c>
      <c r="H652">
        <v>1</v>
      </c>
      <c r="I652">
        <v>8</v>
      </c>
      <c r="J652">
        <v>8</v>
      </c>
      <c r="K652" t="str" cm="1">
        <f t="array" ref="K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2">
        <f>_xlfn.XLOOKUP("LOADINGSPEEDDEF_"&amp;PROPERTIES[[#This Row],[LOADINGSPEED]],LOADINGSPEEDDEF[TYPE],LOADINGSPEEDDEF[SPEED])</f>
        <v>40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f>IF(ISNUMBER(SEARCH("passenger",PROPERTIES[[#This Row],[CARGODEF]])),1,0)</f>
        <v>0</v>
      </c>
      <c r="O652" s="32">
        <v>0</v>
      </c>
      <c r="P652">
        <v>0</v>
      </c>
      <c r="Q652">
        <v>0</v>
      </c>
      <c r="R652" s="29">
        <v>0</v>
      </c>
      <c r="S652" s="28">
        <f>IFERROR(PROPERTIES[[#This Row],[TE_STARTING_KN]]/(PROPERTIES[[#This Row],[WEIGHT]]*9.81),0)</f>
        <v>0</v>
      </c>
      <c r="T652" s="28">
        <v>0.3</v>
      </c>
      <c r="U652" s="25">
        <f>ROUND(IF(IFERROR(PROPERTIES[[#This Row],[TE_COEFFICIENT_CALC]],0)=0,PROPERTIES[[#This Row],[TE_COEFFICIENT_MANUAL]],PROPERTIES[[#This Row],[TE_COEFFICIENT_CALC]]),3)</f>
        <v>0.3</v>
      </c>
      <c r="V652" s="11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36">
        <v>0</v>
      </c>
      <c r="X652" s="9">
        <v>0</v>
      </c>
      <c r="Y652" s="10">
        <v>0</v>
      </c>
      <c r="Z652" t="s">
        <v>882</v>
      </c>
      <c r="AA652" t="s">
        <v>868</v>
      </c>
      <c r="AB652" s="2" t="s">
        <v>886</v>
      </c>
      <c r="AC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2" s="2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H652" s="10" t="b">
        <v>0</v>
      </c>
      <c r="AY652"/>
      <c r="AZ652"/>
      <c r="BA652"/>
    </row>
    <row r="653" spans="1:53">
      <c r="A653" s="2" t="s">
        <v>715</v>
      </c>
      <c r="B653">
        <v>1908</v>
      </c>
      <c r="C653" cm="1">
        <f t="array" ref="C653">_xlfn.IFS(ISNUMBER(SEARCH("wagon",PROPERTIES[[#This Row],[VEHIDCODE]])),0,OR(MID(PROPERTIES[[#This Row],[VEHIDCODE]],2,2)="mu",_xlfn.TEXTBEFORE(PROPERTIES[[#This Row],[VEHIDCODE]],"_")="mtro"),1,1=1,0)</f>
        <v>0</v>
      </c>
      <c r="E653" t="str">
        <f>_xlfn.XLOOKUP(PROPERTIES[[#This Row],[COUNTRY]],COUNTRIES[COUNTRY_DESCRIPTION],COUNTRIES[COUNTRY_LABEL],"")</f>
        <v/>
      </c>
      <c r="F653" t="str" cm="1">
        <f t="array" ref="F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3" t="s">
        <v>17</v>
      </c>
      <c r="H653">
        <v>1</v>
      </c>
      <c r="I653">
        <v>8</v>
      </c>
      <c r="J653">
        <v>8</v>
      </c>
      <c r="K653" t="str" cm="1">
        <f t="array" ref="K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3">
        <f>_xlfn.XLOOKUP("LOADINGSPEEDDEF_"&amp;PROPERTIES[[#This Row],[LOADINGSPEED]],LOADINGSPEEDDEF[TYPE],LOADINGSPEEDDEF[SPEED])</f>
        <v>40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f>IF(ISNUMBER(SEARCH("passenger",PROPERTIES[[#This Row],[CARGODEF]])),1,0)</f>
        <v>1</v>
      </c>
      <c r="O653" s="32">
        <v>0</v>
      </c>
      <c r="P653">
        <v>0</v>
      </c>
      <c r="Q653">
        <v>0</v>
      </c>
      <c r="R653" s="29">
        <v>0</v>
      </c>
      <c r="S653" s="28">
        <f>IFERROR(PROPERTIES[[#This Row],[TE_STARTING_KN]]/(PROPERTIES[[#This Row],[WEIGHT]]*9.81),0)</f>
        <v>0</v>
      </c>
      <c r="T653" s="28">
        <v>0.3</v>
      </c>
      <c r="U653" s="25">
        <f>ROUND(IF(IFERROR(PROPERTIES[[#This Row],[TE_COEFFICIENT_CALC]],0)=0,PROPERTIES[[#This Row],[TE_COEFFICIENT_MANUAL]],PROPERTIES[[#This Row],[TE_COEFFICIENT_CALC]]),3)</f>
        <v>0.3</v>
      </c>
      <c r="V653" s="11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36">
        <v>0</v>
      </c>
      <c r="X653" s="9">
        <v>0</v>
      </c>
      <c r="Y653" s="10">
        <v>0</v>
      </c>
      <c r="Z653" t="s">
        <v>882</v>
      </c>
      <c r="AA653" t="s">
        <v>868</v>
      </c>
      <c r="AB653" s="2" t="s">
        <v>886</v>
      </c>
      <c r="AC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3" s="2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H653" s="10" t="b">
        <v>0</v>
      </c>
      <c r="AY653"/>
      <c r="AZ653"/>
      <c r="BA653"/>
    </row>
    <row r="654" spans="1:53">
      <c r="A654" s="2" t="s">
        <v>716</v>
      </c>
      <c r="B654">
        <v>1908</v>
      </c>
      <c r="C654" cm="1">
        <f t="array" ref="C654">_xlfn.IFS(ISNUMBER(SEARCH("wagon",PROPERTIES[[#This Row],[VEHIDCODE]])),0,OR(MID(PROPERTIES[[#This Row],[VEHIDCODE]],2,2)="mu",_xlfn.TEXTBEFORE(PROPERTIES[[#This Row],[VEHIDCODE]],"_")="mtro"),1,1=1,0)</f>
        <v>0</v>
      </c>
      <c r="E654" t="str">
        <f>_xlfn.XLOOKUP(PROPERTIES[[#This Row],[COUNTRY]],COUNTRIES[COUNTRY_DESCRIPTION],COUNTRIES[COUNTRY_LABEL],"")</f>
        <v/>
      </c>
      <c r="F654" t="str" cm="1">
        <f t="array" ref="F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4" t="s">
        <v>17</v>
      </c>
      <c r="H654">
        <v>1</v>
      </c>
      <c r="I654">
        <v>8</v>
      </c>
      <c r="J654">
        <v>8</v>
      </c>
      <c r="K654" t="str" cm="1">
        <f t="array" ref="K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4">
        <f>_xlfn.XLOOKUP("LOADINGSPEEDDEF_"&amp;PROPERTIES[[#This Row],[LOADINGSPEED]],LOADINGSPEEDDEF[TYPE],LOADINGSPEEDDEF[SPEED])</f>
        <v>40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f>IF(ISNUMBER(SEARCH("passenger",PROPERTIES[[#This Row],[CARGODEF]])),1,0)</f>
        <v>1</v>
      </c>
      <c r="O654" s="32">
        <v>0</v>
      </c>
      <c r="P654">
        <v>0</v>
      </c>
      <c r="Q654">
        <v>0</v>
      </c>
      <c r="R654" s="29">
        <v>0</v>
      </c>
      <c r="S654" s="28">
        <f>IFERROR(PROPERTIES[[#This Row],[TE_STARTING_KN]]/(PROPERTIES[[#This Row],[WEIGHT]]*9.81),0)</f>
        <v>0</v>
      </c>
      <c r="T654" s="28">
        <v>0.3</v>
      </c>
      <c r="U654" s="25">
        <f>ROUND(IF(IFERROR(PROPERTIES[[#This Row],[TE_COEFFICIENT_CALC]],0)=0,PROPERTIES[[#This Row],[TE_COEFFICIENT_MANUAL]],PROPERTIES[[#This Row],[TE_COEFFICIENT_CALC]]),3)</f>
        <v>0.3</v>
      </c>
      <c r="V654" s="11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36">
        <v>0</v>
      </c>
      <c r="X654" s="9">
        <v>0</v>
      </c>
      <c r="Y654" s="10">
        <v>0</v>
      </c>
      <c r="Z654" t="s">
        <v>882</v>
      </c>
      <c r="AA654" t="s">
        <v>868</v>
      </c>
      <c r="AB654" s="2" t="s">
        <v>886</v>
      </c>
      <c r="AC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4" s="2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H654" s="10" t="b">
        <v>0</v>
      </c>
      <c r="AY654"/>
      <c r="AZ654"/>
      <c r="BA654"/>
    </row>
    <row r="655" spans="1:53">
      <c r="A655" s="2" t="s">
        <v>717</v>
      </c>
      <c r="B655">
        <v>1830</v>
      </c>
      <c r="C655" cm="1">
        <f t="array" ref="C655">_xlfn.IFS(ISNUMBER(SEARCH("wagon",PROPERTIES[[#This Row],[VEHIDCODE]])),0,OR(MID(PROPERTIES[[#This Row],[VEHIDCODE]],2,2)="mu",_xlfn.TEXTBEFORE(PROPERTIES[[#This Row],[VEHIDCODE]],"_")="mtro"),1,1=1,0)</f>
        <v>0</v>
      </c>
      <c r="E655" t="str">
        <f>_xlfn.XLOOKUP(PROPERTIES[[#This Row],[COUNTRY]],COUNTRIES[COUNTRY_DESCRIPTION],COUNTRIES[COUNTRY_LABEL],"")</f>
        <v/>
      </c>
      <c r="F655" t="str" cm="1">
        <f t="array" ref="F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5" t="s">
        <v>595</v>
      </c>
      <c r="H655">
        <v>20</v>
      </c>
      <c r="I655">
        <v>4</v>
      </c>
      <c r="J655">
        <v>4</v>
      </c>
      <c r="K655" t="str" cm="1">
        <f t="array" ref="K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f>IF(ISNUMBER(SEARCH("passenger",PROPERTIES[[#This Row],[CARGODEF]])),1,0)</f>
        <v>0</v>
      </c>
      <c r="O655" s="32">
        <v>5</v>
      </c>
      <c r="P655">
        <v>0</v>
      </c>
      <c r="Q655">
        <v>55</v>
      </c>
      <c r="R655" s="29">
        <v>0</v>
      </c>
      <c r="S655" s="28">
        <f>IFERROR(PROPERTIES[[#This Row],[TE_STARTING_KN]]/(PROPERTIES[[#This Row],[WEIGHT]]*9.81),0)</f>
        <v>0</v>
      </c>
      <c r="T655" s="28">
        <v>0.3</v>
      </c>
      <c r="U655" s="25">
        <f>ROUND(IF(IFERROR(PROPERTIES[[#This Row],[TE_COEFFICIENT_CALC]],0)=0,PROPERTIES[[#This Row],[TE_COEFFICIENT_MANUAL]],PROPERTIES[[#This Row],[TE_COEFFICIENT_CALC]]),3)</f>
        <v>0.3</v>
      </c>
      <c r="V655" s="11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36">
        <v>0</v>
      </c>
      <c r="X655" s="9">
        <v>0</v>
      </c>
      <c r="Y655" s="10">
        <v>0</v>
      </c>
      <c r="Z655" t="s">
        <v>882</v>
      </c>
      <c r="AA655" t="s">
        <v>868</v>
      </c>
      <c r="AB655" s="2" t="s">
        <v>886</v>
      </c>
      <c r="AC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5" s="2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H655" s="10" t="b">
        <v>0</v>
      </c>
      <c r="AY655"/>
      <c r="AZ655"/>
      <c r="BA655"/>
    </row>
    <row r="656" spans="1:53">
      <c r="A656" s="2" t="s">
        <v>718</v>
      </c>
      <c r="B656">
        <v>1830</v>
      </c>
      <c r="C656" cm="1">
        <f t="array" ref="C656">_xlfn.IFS(ISNUMBER(SEARCH("wagon",PROPERTIES[[#This Row],[VEHIDCODE]])),0,OR(MID(PROPERTIES[[#This Row],[VEHIDCODE]],2,2)="mu",_xlfn.TEXTBEFORE(PROPERTIES[[#This Row],[VEHIDCODE]],"_")="mtro"),1,1=1,0)</f>
        <v>0</v>
      </c>
      <c r="E656" t="str">
        <f>_xlfn.XLOOKUP(PROPERTIES[[#This Row],[COUNTRY]],COUNTRIES[COUNTRY_DESCRIPTION],COUNTRIES[COUNTRY_LABEL],"")</f>
        <v/>
      </c>
      <c r="F656" t="str" cm="1">
        <f t="array" ref="F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6" t="s">
        <v>591</v>
      </c>
      <c r="H656">
        <v>20</v>
      </c>
      <c r="I656">
        <v>4</v>
      </c>
      <c r="J656">
        <v>4</v>
      </c>
      <c r="K656" t="str" cm="1">
        <f t="array" ref="K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f>IF(ISNUMBER(SEARCH("passenger",PROPERTIES[[#This Row],[CARGODEF]])),1,0)</f>
        <v>0</v>
      </c>
      <c r="O656" s="32">
        <v>6</v>
      </c>
      <c r="P656">
        <v>0</v>
      </c>
      <c r="Q656">
        <v>55</v>
      </c>
      <c r="R656" s="29">
        <v>0</v>
      </c>
      <c r="S656" s="28">
        <f>IFERROR(PROPERTIES[[#This Row],[TE_STARTING_KN]]/(PROPERTIES[[#This Row],[WEIGHT]]*9.81),0)</f>
        <v>0</v>
      </c>
      <c r="T656" s="28">
        <v>0.3</v>
      </c>
      <c r="U656" s="25">
        <f>ROUND(IF(IFERROR(PROPERTIES[[#This Row],[TE_COEFFICIENT_CALC]],0)=0,PROPERTIES[[#This Row],[TE_COEFFICIENT_MANUAL]],PROPERTIES[[#This Row],[TE_COEFFICIENT_CALC]]),3)</f>
        <v>0.3</v>
      </c>
      <c r="V656" s="11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36">
        <v>0</v>
      </c>
      <c r="X656" s="9">
        <v>0</v>
      </c>
      <c r="Y656" s="10">
        <v>0</v>
      </c>
      <c r="Z656" t="s">
        <v>882</v>
      </c>
      <c r="AA656" t="s">
        <v>868</v>
      </c>
      <c r="AB656" s="2" t="s">
        <v>886</v>
      </c>
      <c r="AC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6" s="2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H656" s="10" t="b">
        <v>0</v>
      </c>
      <c r="AY656"/>
      <c r="AZ656"/>
      <c r="BA656"/>
    </row>
    <row r="657" spans="1:53">
      <c r="A657" s="2" t="s">
        <v>719</v>
      </c>
      <c r="B657">
        <v>1830</v>
      </c>
      <c r="C657" cm="1">
        <f t="array" ref="C657">_xlfn.IFS(ISNUMBER(SEARCH("wagon",PROPERTIES[[#This Row],[VEHIDCODE]])),0,OR(MID(PROPERTIES[[#This Row],[VEHIDCODE]],2,2)="mu",_xlfn.TEXTBEFORE(PROPERTIES[[#This Row],[VEHIDCODE]],"_")="mtro"),1,1=1,0)</f>
        <v>0</v>
      </c>
      <c r="E657" t="str">
        <f>_xlfn.XLOOKUP(PROPERTIES[[#This Row],[COUNTRY]],COUNTRIES[COUNTRY_DESCRIPTION],COUNTRIES[COUNTRY_LABEL],"")</f>
        <v/>
      </c>
      <c r="F657" t="str" cm="1">
        <f t="array" ref="F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7" t="s">
        <v>601</v>
      </c>
      <c r="H657">
        <v>10</v>
      </c>
      <c r="I657">
        <v>4</v>
      </c>
      <c r="J657">
        <v>4</v>
      </c>
      <c r="K657" t="str" cm="1">
        <f t="array" ref="K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f>IF(ISNUMBER(SEARCH("passenger",PROPERTIES[[#This Row],[CARGODEF]])),1,0)</f>
        <v>0</v>
      </c>
      <c r="O657" s="32">
        <v>7</v>
      </c>
      <c r="P657">
        <v>0</v>
      </c>
      <c r="Q657">
        <v>55</v>
      </c>
      <c r="R657" s="29">
        <v>0</v>
      </c>
      <c r="S657" s="28">
        <f>IFERROR(PROPERTIES[[#This Row],[TE_STARTING_KN]]/(PROPERTIES[[#This Row],[WEIGHT]]*9.81),0)</f>
        <v>0</v>
      </c>
      <c r="T657" s="28">
        <v>0.3</v>
      </c>
      <c r="U657" s="25">
        <f>ROUND(IF(IFERROR(PROPERTIES[[#This Row],[TE_COEFFICIENT_CALC]],0)=0,PROPERTIES[[#This Row],[TE_COEFFICIENT_MANUAL]],PROPERTIES[[#This Row],[TE_COEFFICIENT_CALC]]),3)</f>
        <v>0.3</v>
      </c>
      <c r="V657" s="11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36">
        <v>0</v>
      </c>
      <c r="X657" s="9">
        <v>0</v>
      </c>
      <c r="Y657" s="10">
        <v>0</v>
      </c>
      <c r="Z657" t="s">
        <v>882</v>
      </c>
      <c r="AA657" t="s">
        <v>868</v>
      </c>
      <c r="AB657" s="2" t="s">
        <v>886</v>
      </c>
      <c r="AC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7" s="2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H657" s="10" t="b">
        <v>0</v>
      </c>
      <c r="AY657"/>
      <c r="AZ657"/>
      <c r="BA657"/>
    </row>
    <row r="658" spans="1:53">
      <c r="A658" s="2" t="s">
        <v>720</v>
      </c>
      <c r="B658">
        <v>1830</v>
      </c>
      <c r="C658" cm="1">
        <f t="array" ref="C658">_xlfn.IFS(ISNUMBER(SEARCH("wagon",PROPERTIES[[#This Row],[VEHIDCODE]])),0,OR(MID(PROPERTIES[[#This Row],[VEHIDCODE]],2,2)="mu",_xlfn.TEXTBEFORE(PROPERTIES[[#This Row],[VEHIDCODE]],"_")="mtro"),1,1=1,0)</f>
        <v>0</v>
      </c>
      <c r="E658" t="str">
        <f>_xlfn.XLOOKUP(PROPERTIES[[#This Row],[COUNTRY]],COUNTRIES[COUNTRY_DESCRIPTION],COUNTRIES[COUNTRY_LABEL],"")</f>
        <v/>
      </c>
      <c r="F658" t="str" cm="1">
        <f t="array" ref="F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8" t="s">
        <v>664</v>
      </c>
      <c r="H658">
        <v>18</v>
      </c>
      <c r="I658">
        <v>4</v>
      </c>
      <c r="J658">
        <v>4</v>
      </c>
      <c r="K658" t="str" cm="1">
        <f t="array" ref="K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f>IF(ISNUMBER(SEARCH("passenger",PROPERTIES[[#This Row],[CARGODEF]])),1,0)</f>
        <v>0</v>
      </c>
      <c r="O658" s="32">
        <v>6</v>
      </c>
      <c r="P658">
        <v>0</v>
      </c>
      <c r="Q658">
        <v>55</v>
      </c>
      <c r="R658" s="29">
        <v>0</v>
      </c>
      <c r="S658" s="28">
        <f>IFERROR(PROPERTIES[[#This Row],[TE_STARTING_KN]]/(PROPERTIES[[#This Row],[WEIGHT]]*9.81),0)</f>
        <v>0</v>
      </c>
      <c r="T658" s="28">
        <v>0.3</v>
      </c>
      <c r="U658" s="25">
        <f>ROUND(IF(IFERROR(PROPERTIES[[#This Row],[TE_COEFFICIENT_CALC]],0)=0,PROPERTIES[[#This Row],[TE_COEFFICIENT_MANUAL]],PROPERTIES[[#This Row],[TE_COEFFICIENT_CALC]]),3)</f>
        <v>0.3</v>
      </c>
      <c r="V658" s="11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36">
        <v>0</v>
      </c>
      <c r="X658" s="9">
        <v>0</v>
      </c>
      <c r="Y658" s="10">
        <v>0</v>
      </c>
      <c r="Z658" t="s">
        <v>882</v>
      </c>
      <c r="AA658" t="s">
        <v>868</v>
      </c>
      <c r="AB658" s="2" t="s">
        <v>886</v>
      </c>
      <c r="AC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8" s="2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H658" s="10" t="b">
        <v>0</v>
      </c>
      <c r="AY658"/>
      <c r="AZ658"/>
      <c r="BA658"/>
    </row>
    <row r="659" spans="1:53">
      <c r="A659" s="2" t="s">
        <v>792</v>
      </c>
      <c r="B659">
        <v>1900</v>
      </c>
      <c r="C659" cm="1">
        <f t="array" ref="C659">_xlfn.IFS(ISNUMBER(SEARCH("wagon",PROPERTIES[[#This Row],[VEHIDCODE]])),0,OR(MID(PROPERTIES[[#This Row],[VEHIDCODE]],2,2)="mu",_xlfn.TEXTBEFORE(PROPERTIES[[#This Row],[VEHIDCODE]],"_")="mtro"),1,1=1,0)</f>
        <v>0</v>
      </c>
      <c r="E659" t="str">
        <f>_xlfn.XLOOKUP(PROPERTIES[[#This Row],[COUNTRY]],COUNTRIES[COUNTRY_DESCRIPTION],COUNTRIES[COUNTRY_LABEL],"")</f>
        <v/>
      </c>
      <c r="F659" t="str" cm="1">
        <f t="array" ref="F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9" t="s">
        <v>595</v>
      </c>
      <c r="H659">
        <v>30</v>
      </c>
      <c r="I659">
        <v>5</v>
      </c>
      <c r="J659">
        <v>5</v>
      </c>
      <c r="K659" t="str" cm="1">
        <f t="array" ref="K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f>IF(ISNUMBER(SEARCH("passenger",PROPERTIES[[#This Row],[CARGODEF]])),1,0)</f>
        <v>0</v>
      </c>
      <c r="O659" s="32">
        <v>11</v>
      </c>
      <c r="P659">
        <v>0</v>
      </c>
      <c r="Q659">
        <v>70</v>
      </c>
      <c r="R659" s="29">
        <v>0</v>
      </c>
      <c r="S659" s="28">
        <f>IFERROR(PROPERTIES[[#This Row],[TE_STARTING_KN]]/(PROPERTIES[[#This Row],[WEIGHT]]*9.81),0)</f>
        <v>0</v>
      </c>
      <c r="T659" s="28">
        <v>0.3</v>
      </c>
      <c r="U659" s="25">
        <f>ROUND(IF(IFERROR(PROPERTIES[[#This Row],[TE_COEFFICIENT_CALC]],0)=0,PROPERTIES[[#This Row],[TE_COEFFICIENT_MANUAL]],PROPERTIES[[#This Row],[TE_COEFFICIENT_CALC]]),3)</f>
        <v>0.3</v>
      </c>
      <c r="V659" s="11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36">
        <v>0</v>
      </c>
      <c r="X659" s="9">
        <v>0</v>
      </c>
      <c r="Y659" s="10">
        <v>0</v>
      </c>
      <c r="Z659" t="s">
        <v>882</v>
      </c>
      <c r="AA659" t="s">
        <v>868</v>
      </c>
      <c r="AB659" s="2" t="s">
        <v>886</v>
      </c>
      <c r="AC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9" s="2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H659" s="10" t="b">
        <v>0</v>
      </c>
      <c r="AY659"/>
      <c r="AZ659"/>
      <c r="BA659"/>
    </row>
    <row r="660" spans="1:53">
      <c r="A660" s="2" t="s">
        <v>793</v>
      </c>
      <c r="B660">
        <v>1890</v>
      </c>
      <c r="C660" cm="1">
        <f t="array" ref="C660">_xlfn.IFS(ISNUMBER(SEARCH("wagon",PROPERTIES[[#This Row],[VEHIDCODE]])),0,OR(MID(PROPERTIES[[#This Row],[VEHIDCODE]],2,2)="mu",_xlfn.TEXTBEFORE(PROPERTIES[[#This Row],[VEHIDCODE]],"_")="mtro"),1,1=1,0)</f>
        <v>0</v>
      </c>
      <c r="E660" t="str">
        <f>_xlfn.XLOOKUP(PROPERTIES[[#This Row],[COUNTRY]],COUNTRIES[COUNTRY_DESCRIPTION],COUNTRIES[COUNTRY_LABEL],"")</f>
        <v/>
      </c>
      <c r="F660" t="str" cm="1">
        <f t="array" ref="F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0" t="s">
        <v>2925</v>
      </c>
      <c r="H660">
        <v>25</v>
      </c>
      <c r="I660">
        <v>5</v>
      </c>
      <c r="J660">
        <v>5</v>
      </c>
      <c r="K660" t="str" cm="1">
        <f t="array" ref="K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f>IF(ISNUMBER(SEARCH("passenger",PROPERTIES[[#This Row],[CARGODEF]])),1,0)</f>
        <v>0</v>
      </c>
      <c r="O660" s="32">
        <v>12</v>
      </c>
      <c r="P660">
        <v>0</v>
      </c>
      <c r="Q660">
        <v>90</v>
      </c>
      <c r="R660" s="29">
        <v>0</v>
      </c>
      <c r="S660" s="28">
        <f>IFERROR(PROPERTIES[[#This Row],[TE_STARTING_KN]]/(PROPERTIES[[#This Row],[WEIGHT]]*9.81),0)</f>
        <v>0</v>
      </c>
      <c r="T660" s="28">
        <v>0.3</v>
      </c>
      <c r="U660" s="25">
        <f>ROUND(IF(IFERROR(PROPERTIES[[#This Row],[TE_COEFFICIENT_CALC]],0)=0,PROPERTIES[[#This Row],[TE_COEFFICIENT_MANUAL]],PROPERTIES[[#This Row],[TE_COEFFICIENT_CALC]]),3)</f>
        <v>0.3</v>
      </c>
      <c r="V660" s="11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36">
        <v>0</v>
      </c>
      <c r="X660" s="9">
        <v>0</v>
      </c>
      <c r="Y660" s="10">
        <v>0</v>
      </c>
      <c r="Z660" t="s">
        <v>882</v>
      </c>
      <c r="AA660" t="s">
        <v>868</v>
      </c>
      <c r="AB660" s="2" t="s">
        <v>886</v>
      </c>
      <c r="AC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0" s="2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H660" s="10" t="b">
        <v>0</v>
      </c>
      <c r="AY660"/>
      <c r="AZ660"/>
      <c r="BA660"/>
    </row>
    <row r="661" spans="1:53">
      <c r="A661" s="2" t="s">
        <v>794</v>
      </c>
      <c r="B661">
        <v>1890</v>
      </c>
      <c r="C661" cm="1">
        <f t="array" ref="C661">_xlfn.IFS(ISNUMBER(SEARCH("wagon",PROPERTIES[[#This Row],[VEHIDCODE]])),0,OR(MID(PROPERTIES[[#This Row],[VEHIDCODE]],2,2)="mu",_xlfn.TEXTBEFORE(PROPERTIES[[#This Row],[VEHIDCODE]],"_")="mtro"),1,1=1,0)</f>
        <v>0</v>
      </c>
      <c r="E661" t="str">
        <f>_xlfn.XLOOKUP(PROPERTIES[[#This Row],[COUNTRY]],COUNTRIES[COUNTRY_DESCRIPTION],COUNTRIES[COUNTRY_LABEL],"")</f>
        <v/>
      </c>
      <c r="F661" t="str" cm="1">
        <f t="array" ref="F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1" t="s">
        <v>2928</v>
      </c>
      <c r="H661">
        <v>25</v>
      </c>
      <c r="I661">
        <v>5</v>
      </c>
      <c r="J661">
        <v>5</v>
      </c>
      <c r="K661" t="str" cm="1">
        <f t="array" ref="K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f>IF(ISNUMBER(SEARCH("passenger",PROPERTIES[[#This Row],[CARGODEF]])),1,0)</f>
        <v>0</v>
      </c>
      <c r="O661" s="32">
        <v>12</v>
      </c>
      <c r="P661">
        <v>0</v>
      </c>
      <c r="Q661">
        <v>90</v>
      </c>
      <c r="R661" s="29">
        <v>0</v>
      </c>
      <c r="S661" s="28">
        <f>IFERROR(PROPERTIES[[#This Row],[TE_STARTING_KN]]/(PROPERTIES[[#This Row],[WEIGHT]]*9.81),0)</f>
        <v>0</v>
      </c>
      <c r="T661" s="28">
        <v>0.3</v>
      </c>
      <c r="U661" s="25">
        <f>ROUND(IF(IFERROR(PROPERTIES[[#This Row],[TE_COEFFICIENT_CALC]],0)=0,PROPERTIES[[#This Row],[TE_COEFFICIENT_MANUAL]],PROPERTIES[[#This Row],[TE_COEFFICIENT_CALC]]),3)</f>
        <v>0.3</v>
      </c>
      <c r="V661" s="11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36">
        <v>0</v>
      </c>
      <c r="X661" s="9">
        <v>0</v>
      </c>
      <c r="Y661" s="10">
        <v>0</v>
      </c>
      <c r="Z661" t="s">
        <v>882</v>
      </c>
      <c r="AA661" t="s">
        <v>868</v>
      </c>
      <c r="AB661" s="2" t="s">
        <v>886</v>
      </c>
      <c r="AC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1" s="2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H661" s="10" t="b">
        <v>0</v>
      </c>
      <c r="AY661"/>
      <c r="AZ661"/>
      <c r="BA661"/>
    </row>
    <row r="662" spans="1:53">
      <c r="A662" s="2" t="s">
        <v>795</v>
      </c>
      <c r="B662">
        <v>1900</v>
      </c>
      <c r="C662" cm="1">
        <f t="array" ref="C662">_xlfn.IFS(ISNUMBER(SEARCH("wagon",PROPERTIES[[#This Row],[VEHIDCODE]])),0,OR(MID(PROPERTIES[[#This Row],[VEHIDCODE]],2,2)="mu",_xlfn.TEXTBEFORE(PROPERTIES[[#This Row],[VEHIDCODE]],"_")="mtro"),1,1=1,0)</f>
        <v>0</v>
      </c>
      <c r="E662" t="str">
        <f>_xlfn.XLOOKUP(PROPERTIES[[#This Row],[COUNTRY]],COUNTRIES[COUNTRY_DESCRIPTION],COUNTRIES[COUNTRY_LABEL],"")</f>
        <v/>
      </c>
      <c r="F662" t="str" cm="1">
        <f t="array" ref="F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2" t="s">
        <v>601</v>
      </c>
      <c r="H662">
        <v>20</v>
      </c>
      <c r="I662">
        <v>5</v>
      </c>
      <c r="J662">
        <v>5</v>
      </c>
      <c r="K662" t="str" cm="1">
        <f t="array" ref="K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f>IF(ISNUMBER(SEARCH("passenger",PROPERTIES[[#This Row],[CARGODEF]])),1,0)</f>
        <v>0</v>
      </c>
      <c r="O662" s="32">
        <v>14</v>
      </c>
      <c r="P662">
        <v>0</v>
      </c>
      <c r="Q662">
        <v>70</v>
      </c>
      <c r="R662" s="29">
        <v>0</v>
      </c>
      <c r="S662" s="28">
        <f>IFERROR(PROPERTIES[[#This Row],[TE_STARTING_KN]]/(PROPERTIES[[#This Row],[WEIGHT]]*9.81),0)</f>
        <v>0</v>
      </c>
      <c r="T662" s="28">
        <v>0.3</v>
      </c>
      <c r="U662" s="25">
        <f>ROUND(IF(IFERROR(PROPERTIES[[#This Row],[TE_COEFFICIENT_CALC]],0)=0,PROPERTIES[[#This Row],[TE_COEFFICIENT_MANUAL]],PROPERTIES[[#This Row],[TE_COEFFICIENT_CALC]]),3)</f>
        <v>0.3</v>
      </c>
      <c r="V662" s="11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36">
        <v>0</v>
      </c>
      <c r="X662" s="9">
        <v>0</v>
      </c>
      <c r="Y662" s="10">
        <v>0</v>
      </c>
      <c r="Z662" t="s">
        <v>882</v>
      </c>
      <c r="AA662" t="s">
        <v>868</v>
      </c>
      <c r="AB662" s="2" t="s">
        <v>886</v>
      </c>
      <c r="AC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2" s="2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H662" s="10" t="b">
        <v>0</v>
      </c>
      <c r="AY662"/>
      <c r="AZ662"/>
      <c r="BA662"/>
    </row>
    <row r="663" spans="1:53">
      <c r="A663" s="2" t="s">
        <v>796</v>
      </c>
      <c r="B663">
        <v>1890</v>
      </c>
      <c r="C663" cm="1">
        <f t="array" ref="C663">_xlfn.IFS(ISNUMBER(SEARCH("wagon",PROPERTIES[[#This Row],[VEHIDCODE]])),0,OR(MID(PROPERTIES[[#This Row],[VEHIDCODE]],2,2)="mu",_xlfn.TEXTBEFORE(PROPERTIES[[#This Row],[VEHIDCODE]],"_")="mtro"),1,1=1,0)</f>
        <v>0</v>
      </c>
      <c r="E663" t="str">
        <f>_xlfn.XLOOKUP(PROPERTIES[[#This Row],[COUNTRY]],COUNTRIES[COUNTRY_DESCRIPTION],COUNTRIES[COUNTRY_LABEL],"")</f>
        <v/>
      </c>
      <c r="F663" t="str" cm="1">
        <f t="array" ref="F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3" t="s">
        <v>664</v>
      </c>
      <c r="H663">
        <v>26</v>
      </c>
      <c r="I663">
        <v>5</v>
      </c>
      <c r="J663">
        <v>5</v>
      </c>
      <c r="K663" t="str" cm="1">
        <f t="array" ref="K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f>IF(ISNUMBER(SEARCH("passenger",PROPERTIES[[#This Row],[CARGODEF]])),1,0)</f>
        <v>0</v>
      </c>
      <c r="O663" s="32">
        <v>11</v>
      </c>
      <c r="P663">
        <v>0</v>
      </c>
      <c r="Q663">
        <v>70</v>
      </c>
      <c r="R663" s="29">
        <v>0</v>
      </c>
      <c r="S663" s="28">
        <f>IFERROR(PROPERTIES[[#This Row],[TE_STARTING_KN]]/(PROPERTIES[[#This Row],[WEIGHT]]*9.81),0)</f>
        <v>0</v>
      </c>
      <c r="T663" s="28">
        <v>0.3</v>
      </c>
      <c r="U663" s="25">
        <f>ROUND(IF(IFERROR(PROPERTIES[[#This Row],[TE_COEFFICIENT_CALC]],0)=0,PROPERTIES[[#This Row],[TE_COEFFICIENT_MANUAL]],PROPERTIES[[#This Row],[TE_COEFFICIENT_CALC]]),3)</f>
        <v>0.3</v>
      </c>
      <c r="V663" s="11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36">
        <v>0</v>
      </c>
      <c r="X663" s="9">
        <v>0</v>
      </c>
      <c r="Y663" s="10">
        <v>0</v>
      </c>
      <c r="Z663" t="s">
        <v>882</v>
      </c>
      <c r="AA663" t="s">
        <v>868</v>
      </c>
      <c r="AB663" s="2" t="s">
        <v>886</v>
      </c>
      <c r="AC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3" s="2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H663" s="10" t="b">
        <v>0</v>
      </c>
      <c r="AY663"/>
      <c r="AZ663"/>
      <c r="BA663"/>
    </row>
    <row r="664" spans="1:53">
      <c r="A664" s="2" t="s">
        <v>797</v>
      </c>
      <c r="B664">
        <v>1900</v>
      </c>
      <c r="C664" cm="1">
        <f t="array" ref="C664">_xlfn.IFS(ISNUMBER(SEARCH("wagon",PROPERTIES[[#This Row],[VEHIDCODE]])),0,OR(MID(PROPERTIES[[#This Row],[VEHIDCODE]],2,2)="mu",_xlfn.TEXTBEFORE(PROPERTIES[[#This Row],[VEHIDCODE]],"_")="mtro"),1,1=1,0)</f>
        <v>0</v>
      </c>
      <c r="E664" t="str">
        <f>_xlfn.XLOOKUP(PROPERTIES[[#This Row],[COUNTRY]],COUNTRIES[COUNTRY_DESCRIPTION],COUNTRIES[COUNTRY_LABEL],"")</f>
        <v/>
      </c>
      <c r="F664" t="str" cm="1">
        <f t="array" ref="F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4" t="s">
        <v>599</v>
      </c>
      <c r="H664">
        <v>25</v>
      </c>
      <c r="I664">
        <v>5</v>
      </c>
      <c r="J664">
        <v>5</v>
      </c>
      <c r="K664" t="str" cm="1">
        <f t="array" ref="K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f>IF(ISNUMBER(SEARCH("passenger",PROPERTIES[[#This Row],[CARGODEF]])),1,0)</f>
        <v>0</v>
      </c>
      <c r="O664" s="32">
        <v>14</v>
      </c>
      <c r="P664">
        <v>0</v>
      </c>
      <c r="Q664">
        <v>70</v>
      </c>
      <c r="R664" s="29">
        <v>0</v>
      </c>
      <c r="S664" s="28">
        <f>IFERROR(PROPERTIES[[#This Row],[TE_STARTING_KN]]/(PROPERTIES[[#This Row],[WEIGHT]]*9.81),0)</f>
        <v>0</v>
      </c>
      <c r="T664" s="28">
        <v>0.3</v>
      </c>
      <c r="U664" s="25">
        <f>ROUND(IF(IFERROR(PROPERTIES[[#This Row],[TE_COEFFICIENT_CALC]],0)=0,PROPERTIES[[#This Row],[TE_COEFFICIENT_MANUAL]],PROPERTIES[[#This Row],[TE_COEFFICIENT_CALC]]),3)</f>
        <v>0.3</v>
      </c>
      <c r="V664" s="11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36">
        <v>0</v>
      </c>
      <c r="X664" s="9">
        <v>0</v>
      </c>
      <c r="Y664" s="10">
        <v>0</v>
      </c>
      <c r="Z664" t="s">
        <v>882</v>
      </c>
      <c r="AA664" t="s">
        <v>868</v>
      </c>
      <c r="AB664" s="2" t="s">
        <v>886</v>
      </c>
      <c r="AC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4" s="2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H664" s="10" t="b">
        <v>0</v>
      </c>
      <c r="AY664"/>
      <c r="AZ664"/>
      <c r="BA664"/>
    </row>
    <row r="665" spans="1:53">
      <c r="A665" s="2" t="s">
        <v>798</v>
      </c>
      <c r="B665">
        <v>1890</v>
      </c>
      <c r="C665" cm="1">
        <f t="array" ref="C665">_xlfn.IFS(ISNUMBER(SEARCH("wagon",PROPERTIES[[#This Row],[VEHIDCODE]])),0,OR(MID(PROPERTIES[[#This Row],[VEHIDCODE]],2,2)="mu",_xlfn.TEXTBEFORE(PROPERTIES[[#This Row],[VEHIDCODE]],"_")="mtro"),1,1=1,0)</f>
        <v>0</v>
      </c>
      <c r="E665" t="str">
        <f>_xlfn.XLOOKUP(PROPERTIES[[#This Row],[COUNTRY]],COUNTRIES[COUNTRY_DESCRIPTION],COUNTRIES[COUNTRY_LABEL],"")</f>
        <v/>
      </c>
      <c r="F665" t="str" cm="1">
        <f t="array" ref="F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5" t="s">
        <v>598</v>
      </c>
      <c r="H665">
        <v>30</v>
      </c>
      <c r="I665">
        <v>5</v>
      </c>
      <c r="J665">
        <v>5</v>
      </c>
      <c r="K665" t="str" cm="1">
        <f t="array" ref="K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f>IF(ISNUMBER(SEARCH("passenger",PROPERTIES[[#This Row],[CARGODEF]])),1,0)</f>
        <v>0</v>
      </c>
      <c r="O665" s="32">
        <v>12</v>
      </c>
      <c r="P665">
        <v>0</v>
      </c>
      <c r="Q665">
        <v>70</v>
      </c>
      <c r="R665" s="29">
        <v>0</v>
      </c>
      <c r="S665" s="28">
        <f>IFERROR(PROPERTIES[[#This Row],[TE_STARTING_KN]]/(PROPERTIES[[#This Row],[WEIGHT]]*9.81),0)</f>
        <v>0</v>
      </c>
      <c r="T665" s="28">
        <v>0.3</v>
      </c>
      <c r="U665" s="25">
        <f>ROUND(IF(IFERROR(PROPERTIES[[#This Row],[TE_COEFFICIENT_CALC]],0)=0,PROPERTIES[[#This Row],[TE_COEFFICIENT_MANUAL]],PROPERTIES[[#This Row],[TE_COEFFICIENT_CALC]]),3)</f>
        <v>0.3</v>
      </c>
      <c r="V665" s="11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36">
        <v>0</v>
      </c>
      <c r="X665" s="9">
        <v>0</v>
      </c>
      <c r="Y665" s="10">
        <v>0</v>
      </c>
      <c r="Z665" t="s">
        <v>882</v>
      </c>
      <c r="AA665" t="s">
        <v>868</v>
      </c>
      <c r="AB665" s="2" t="s">
        <v>886</v>
      </c>
      <c r="AC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5" s="2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H665" s="10" t="b">
        <v>0</v>
      </c>
      <c r="AY665"/>
      <c r="AZ665"/>
      <c r="BA665"/>
    </row>
    <row r="666" spans="1:53">
      <c r="A666" s="2" t="s">
        <v>799</v>
      </c>
      <c r="B666">
        <v>1930</v>
      </c>
      <c r="C666" cm="1">
        <f t="array" ref="C666">_xlfn.IFS(ISNUMBER(SEARCH("wagon",PROPERTIES[[#This Row],[VEHIDCODE]])),0,OR(MID(PROPERTIES[[#This Row],[VEHIDCODE]],2,2)="mu",_xlfn.TEXTBEFORE(PROPERTIES[[#This Row],[VEHIDCODE]],"_")="mtro"),1,1=1,0)</f>
        <v>0</v>
      </c>
      <c r="E666" t="str">
        <f>_xlfn.XLOOKUP(PROPERTIES[[#This Row],[COUNTRY]],COUNTRIES[COUNTRY_DESCRIPTION],COUNTRIES[COUNTRY_LABEL],"")</f>
        <v/>
      </c>
      <c r="F666" t="str" cm="1">
        <f t="array" ref="F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6" t="s">
        <v>595</v>
      </c>
      <c r="H666">
        <v>40</v>
      </c>
      <c r="I666">
        <v>6</v>
      </c>
      <c r="J666">
        <v>6</v>
      </c>
      <c r="K666" t="str" cm="1">
        <f t="array" ref="K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f>IF(ISNUMBER(SEARCH("passenger",PROPERTIES[[#This Row],[CARGODEF]])),1,0)</f>
        <v>0</v>
      </c>
      <c r="O666" s="32">
        <v>21</v>
      </c>
      <c r="P666">
        <v>0</v>
      </c>
      <c r="Q666">
        <v>80</v>
      </c>
      <c r="R666" s="29">
        <v>0</v>
      </c>
      <c r="S666" s="28">
        <f>IFERROR(PROPERTIES[[#This Row],[TE_STARTING_KN]]/(PROPERTIES[[#This Row],[WEIGHT]]*9.81),0)</f>
        <v>0</v>
      </c>
      <c r="T666" s="28">
        <v>0.3</v>
      </c>
      <c r="U666" s="25">
        <f>ROUND(IF(IFERROR(PROPERTIES[[#This Row],[TE_COEFFICIENT_CALC]],0)=0,PROPERTIES[[#This Row],[TE_COEFFICIENT_MANUAL]],PROPERTIES[[#This Row],[TE_COEFFICIENT_CALC]]),3)</f>
        <v>0.3</v>
      </c>
      <c r="V666" s="11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36">
        <v>0</v>
      </c>
      <c r="X666" s="9">
        <v>0</v>
      </c>
      <c r="Y666" s="10">
        <v>0</v>
      </c>
      <c r="Z666" t="s">
        <v>882</v>
      </c>
      <c r="AA666" t="s">
        <v>868</v>
      </c>
      <c r="AB666" s="2" t="s">
        <v>886</v>
      </c>
      <c r="AC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6" s="2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H666" s="10" t="b">
        <v>0</v>
      </c>
      <c r="AY666"/>
      <c r="AZ666"/>
      <c r="BA666"/>
    </row>
    <row r="667" spans="1:53">
      <c r="A667" s="2" t="s">
        <v>800</v>
      </c>
      <c r="B667">
        <v>1920</v>
      </c>
      <c r="C667" cm="1">
        <f t="array" ref="C667">_xlfn.IFS(ISNUMBER(SEARCH("wagon",PROPERTIES[[#This Row],[VEHIDCODE]])),0,OR(MID(PROPERTIES[[#This Row],[VEHIDCODE]],2,2)="mu",_xlfn.TEXTBEFORE(PROPERTIES[[#This Row],[VEHIDCODE]],"_")="mtro"),1,1=1,0)</f>
        <v>0</v>
      </c>
      <c r="E667" t="str">
        <f>_xlfn.XLOOKUP(PROPERTIES[[#This Row],[COUNTRY]],COUNTRIES[COUNTRY_DESCRIPTION],COUNTRIES[COUNTRY_LABEL],"")</f>
        <v/>
      </c>
      <c r="F667" t="str" cm="1">
        <f t="array" ref="F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7" t="s">
        <v>2925</v>
      </c>
      <c r="H667">
        <v>40</v>
      </c>
      <c r="I667">
        <v>6</v>
      </c>
      <c r="J667">
        <v>6</v>
      </c>
      <c r="K667" t="str" cm="1">
        <f t="array" ref="K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f>IF(ISNUMBER(SEARCH("passenger",PROPERTIES[[#This Row],[CARGODEF]])),1,0)</f>
        <v>0</v>
      </c>
      <c r="O667" s="32">
        <v>23</v>
      </c>
      <c r="P667">
        <v>0</v>
      </c>
      <c r="Q667">
        <v>100</v>
      </c>
      <c r="R667" s="29">
        <v>0</v>
      </c>
      <c r="S667" s="28">
        <f>IFERROR(PROPERTIES[[#This Row],[TE_STARTING_KN]]/(PROPERTIES[[#This Row],[WEIGHT]]*9.81),0)</f>
        <v>0</v>
      </c>
      <c r="T667" s="28">
        <v>0.3</v>
      </c>
      <c r="U667" s="25">
        <f>ROUND(IF(IFERROR(PROPERTIES[[#This Row],[TE_COEFFICIENT_CALC]],0)=0,PROPERTIES[[#This Row],[TE_COEFFICIENT_MANUAL]],PROPERTIES[[#This Row],[TE_COEFFICIENT_CALC]]),3)</f>
        <v>0.3</v>
      </c>
      <c r="V667" s="11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36">
        <v>0</v>
      </c>
      <c r="X667" s="9">
        <v>0</v>
      </c>
      <c r="Y667" s="10">
        <v>0</v>
      </c>
      <c r="Z667" t="s">
        <v>882</v>
      </c>
      <c r="AA667" t="s">
        <v>868</v>
      </c>
      <c r="AB667" s="2" t="s">
        <v>886</v>
      </c>
      <c r="AC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7" s="2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H667" s="10" t="b">
        <v>0</v>
      </c>
      <c r="AY667"/>
      <c r="AZ667"/>
      <c r="BA667"/>
    </row>
    <row r="668" spans="1:53">
      <c r="A668" s="2" t="s">
        <v>801</v>
      </c>
      <c r="B668">
        <v>1920</v>
      </c>
      <c r="C668" cm="1">
        <f t="array" ref="C668">_xlfn.IFS(ISNUMBER(SEARCH("wagon",PROPERTIES[[#This Row],[VEHIDCODE]])),0,OR(MID(PROPERTIES[[#This Row],[VEHIDCODE]],2,2)="mu",_xlfn.TEXTBEFORE(PROPERTIES[[#This Row],[VEHIDCODE]],"_")="mtro"),1,1=1,0)</f>
        <v>0</v>
      </c>
      <c r="E668" t="str">
        <f>_xlfn.XLOOKUP(PROPERTIES[[#This Row],[COUNTRY]],COUNTRIES[COUNTRY_DESCRIPTION],COUNTRIES[COUNTRY_LABEL],"")</f>
        <v/>
      </c>
      <c r="F668" t="str" cm="1">
        <f t="array" ref="F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8" t="s">
        <v>2928</v>
      </c>
      <c r="H668">
        <v>40</v>
      </c>
      <c r="I668">
        <v>6</v>
      </c>
      <c r="J668">
        <v>6</v>
      </c>
      <c r="K668" t="str" cm="1">
        <f t="array" ref="K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f>IF(ISNUMBER(SEARCH("passenger",PROPERTIES[[#This Row],[CARGODEF]])),1,0)</f>
        <v>0</v>
      </c>
      <c r="O668" s="32">
        <v>23</v>
      </c>
      <c r="P668">
        <v>0</v>
      </c>
      <c r="Q668">
        <v>100</v>
      </c>
      <c r="R668" s="29">
        <v>0</v>
      </c>
      <c r="S668" s="28">
        <f>IFERROR(PROPERTIES[[#This Row],[TE_STARTING_KN]]/(PROPERTIES[[#This Row],[WEIGHT]]*9.81),0)</f>
        <v>0</v>
      </c>
      <c r="T668" s="28">
        <v>0.3</v>
      </c>
      <c r="U668" s="25">
        <f>ROUND(IF(IFERROR(PROPERTIES[[#This Row],[TE_COEFFICIENT_CALC]],0)=0,PROPERTIES[[#This Row],[TE_COEFFICIENT_MANUAL]],PROPERTIES[[#This Row],[TE_COEFFICIENT_CALC]]),3)</f>
        <v>0.3</v>
      </c>
      <c r="V668" s="11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36">
        <v>0</v>
      </c>
      <c r="X668" s="9">
        <v>0</v>
      </c>
      <c r="Y668" s="10">
        <v>0</v>
      </c>
      <c r="Z668" t="s">
        <v>882</v>
      </c>
      <c r="AA668" t="s">
        <v>868</v>
      </c>
      <c r="AB668" s="2" t="s">
        <v>886</v>
      </c>
      <c r="AC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8" s="2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H668" s="10" t="b">
        <v>0</v>
      </c>
      <c r="AY668"/>
      <c r="AZ668"/>
      <c r="BA668"/>
    </row>
    <row r="669" spans="1:53">
      <c r="A669" s="2" t="s">
        <v>802</v>
      </c>
      <c r="B669">
        <v>1930</v>
      </c>
      <c r="C669" cm="1">
        <f t="array" ref="C669">_xlfn.IFS(ISNUMBER(SEARCH("wagon",PROPERTIES[[#This Row],[VEHIDCODE]])),0,OR(MID(PROPERTIES[[#This Row],[VEHIDCODE]],2,2)="mu",_xlfn.TEXTBEFORE(PROPERTIES[[#This Row],[VEHIDCODE]],"_")="mtro"),1,1=1,0)</f>
        <v>0</v>
      </c>
      <c r="E669" t="str">
        <f>_xlfn.XLOOKUP(PROPERTIES[[#This Row],[COUNTRY]],COUNTRIES[COUNTRY_DESCRIPTION],COUNTRIES[COUNTRY_LABEL],"")</f>
        <v/>
      </c>
      <c r="F669" t="str" cm="1">
        <f t="array" ref="F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9" t="s">
        <v>601</v>
      </c>
      <c r="H669">
        <v>35</v>
      </c>
      <c r="I669">
        <v>6</v>
      </c>
      <c r="J669">
        <v>6</v>
      </c>
      <c r="K669" t="str" cm="1">
        <f t="array" ref="K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f>IF(ISNUMBER(SEARCH("passenger",PROPERTIES[[#This Row],[CARGODEF]])),1,0)</f>
        <v>0</v>
      </c>
      <c r="O669" s="32">
        <v>20</v>
      </c>
      <c r="P669">
        <v>0</v>
      </c>
      <c r="Q669">
        <v>80</v>
      </c>
      <c r="R669" s="29">
        <v>0</v>
      </c>
      <c r="S669" s="28">
        <f>IFERROR(PROPERTIES[[#This Row],[TE_STARTING_KN]]/(PROPERTIES[[#This Row],[WEIGHT]]*9.81),0)</f>
        <v>0</v>
      </c>
      <c r="T669" s="28">
        <v>0.3</v>
      </c>
      <c r="U669" s="25">
        <f>ROUND(IF(IFERROR(PROPERTIES[[#This Row],[TE_COEFFICIENT_CALC]],0)=0,PROPERTIES[[#This Row],[TE_COEFFICIENT_MANUAL]],PROPERTIES[[#This Row],[TE_COEFFICIENT_CALC]]),3)</f>
        <v>0.3</v>
      </c>
      <c r="V669" s="11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36">
        <v>0</v>
      </c>
      <c r="X669" s="9">
        <v>0</v>
      </c>
      <c r="Y669" s="10">
        <v>0</v>
      </c>
      <c r="Z669" t="s">
        <v>882</v>
      </c>
      <c r="AA669" t="s">
        <v>868</v>
      </c>
      <c r="AB669" s="2" t="s">
        <v>886</v>
      </c>
      <c r="AC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9" s="2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H669" s="10" t="b">
        <v>0</v>
      </c>
      <c r="AY669"/>
      <c r="AZ669"/>
      <c r="BA669"/>
    </row>
    <row r="670" spans="1:53">
      <c r="A670" s="2" t="s">
        <v>803</v>
      </c>
      <c r="B670">
        <v>1920</v>
      </c>
      <c r="C670" cm="1">
        <f t="array" ref="C670">_xlfn.IFS(ISNUMBER(SEARCH("wagon",PROPERTIES[[#This Row],[VEHIDCODE]])),0,OR(MID(PROPERTIES[[#This Row],[VEHIDCODE]],2,2)="mu",_xlfn.TEXTBEFORE(PROPERTIES[[#This Row],[VEHIDCODE]],"_")="mtro"),1,1=1,0)</f>
        <v>0</v>
      </c>
      <c r="E670" t="str">
        <f>_xlfn.XLOOKUP(PROPERTIES[[#This Row],[COUNTRY]],COUNTRIES[COUNTRY_DESCRIPTION],COUNTRIES[COUNTRY_LABEL],"")</f>
        <v/>
      </c>
      <c r="F670" t="str" cm="1">
        <f t="array" ref="F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0" t="s">
        <v>664</v>
      </c>
      <c r="H670">
        <v>35</v>
      </c>
      <c r="I670">
        <v>6</v>
      </c>
      <c r="J670">
        <v>6</v>
      </c>
      <c r="K670" t="str" cm="1">
        <f t="array" ref="K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f>IF(ISNUMBER(SEARCH("passenger",PROPERTIES[[#This Row],[CARGODEF]])),1,0)</f>
        <v>0</v>
      </c>
      <c r="O670" s="32">
        <v>22</v>
      </c>
      <c r="P670">
        <v>0</v>
      </c>
      <c r="Q670">
        <v>80</v>
      </c>
      <c r="R670" s="29">
        <v>0</v>
      </c>
      <c r="S670" s="28">
        <f>IFERROR(PROPERTIES[[#This Row],[TE_STARTING_KN]]/(PROPERTIES[[#This Row],[WEIGHT]]*9.81),0)</f>
        <v>0</v>
      </c>
      <c r="T670" s="28">
        <v>0.3</v>
      </c>
      <c r="U670" s="25">
        <f>ROUND(IF(IFERROR(PROPERTIES[[#This Row],[TE_COEFFICIENT_CALC]],0)=0,PROPERTIES[[#This Row],[TE_COEFFICIENT_MANUAL]],PROPERTIES[[#This Row],[TE_COEFFICIENT_CALC]]),3)</f>
        <v>0.3</v>
      </c>
      <c r="V670" s="11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36">
        <v>0</v>
      </c>
      <c r="X670" s="9">
        <v>0</v>
      </c>
      <c r="Y670" s="10">
        <v>0</v>
      </c>
      <c r="Z670" t="s">
        <v>882</v>
      </c>
      <c r="AA670" t="s">
        <v>868</v>
      </c>
      <c r="AB670" s="2" t="s">
        <v>886</v>
      </c>
      <c r="AC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0" s="2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H670" s="10" t="b">
        <v>0</v>
      </c>
      <c r="AY670"/>
      <c r="AZ670"/>
      <c r="BA670"/>
    </row>
    <row r="671" spans="1:53">
      <c r="A671" s="2" t="s">
        <v>804</v>
      </c>
      <c r="B671">
        <v>1930</v>
      </c>
      <c r="C671" cm="1">
        <f t="array" ref="C671">_xlfn.IFS(ISNUMBER(SEARCH("wagon",PROPERTIES[[#This Row],[VEHIDCODE]])),0,OR(MID(PROPERTIES[[#This Row],[VEHIDCODE]],2,2)="mu",_xlfn.TEXTBEFORE(PROPERTIES[[#This Row],[VEHIDCODE]],"_")="mtro"),1,1=1,0)</f>
        <v>0</v>
      </c>
      <c r="E671" t="str">
        <f>_xlfn.XLOOKUP(PROPERTIES[[#This Row],[COUNTRY]],COUNTRIES[COUNTRY_DESCRIPTION],COUNTRIES[COUNTRY_LABEL],"")</f>
        <v/>
      </c>
      <c r="F671" t="str" cm="1">
        <f t="array" ref="F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1" t="s">
        <v>2927</v>
      </c>
      <c r="H671">
        <v>40</v>
      </c>
      <c r="I671">
        <v>6</v>
      </c>
      <c r="J671">
        <v>6</v>
      </c>
      <c r="K671" t="str" cm="1">
        <f t="array" ref="K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f>IF(ISNUMBER(SEARCH("passenger",PROPERTIES[[#This Row],[CARGODEF]])),1,0)</f>
        <v>0</v>
      </c>
      <c r="O671" s="32">
        <v>23</v>
      </c>
      <c r="P671">
        <v>0</v>
      </c>
      <c r="Q671">
        <v>80</v>
      </c>
      <c r="R671" s="29">
        <v>0</v>
      </c>
      <c r="S671" s="28">
        <f>IFERROR(PROPERTIES[[#This Row],[TE_STARTING_KN]]/(PROPERTIES[[#This Row],[WEIGHT]]*9.81),0)</f>
        <v>0</v>
      </c>
      <c r="T671" s="28">
        <v>0.3</v>
      </c>
      <c r="U671" s="25">
        <f>ROUND(IF(IFERROR(PROPERTIES[[#This Row],[TE_COEFFICIENT_CALC]],0)=0,PROPERTIES[[#This Row],[TE_COEFFICIENT_MANUAL]],PROPERTIES[[#This Row],[TE_COEFFICIENT_CALC]]),3)</f>
        <v>0.3</v>
      </c>
      <c r="V671" s="11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36">
        <v>0</v>
      </c>
      <c r="X671" s="9">
        <v>0</v>
      </c>
      <c r="Y671" s="10">
        <v>0</v>
      </c>
      <c r="Z671" t="s">
        <v>882</v>
      </c>
      <c r="AA671" t="s">
        <v>868</v>
      </c>
      <c r="AB671" s="2" t="s">
        <v>886</v>
      </c>
      <c r="AC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1" s="2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H671" s="10" t="b">
        <v>0</v>
      </c>
      <c r="AY671"/>
      <c r="AZ671"/>
      <c r="BA671"/>
    </row>
    <row r="672" spans="1:53">
      <c r="A672" s="2" t="s">
        <v>805</v>
      </c>
      <c r="B672">
        <v>1930</v>
      </c>
      <c r="C672" cm="1">
        <f t="array" ref="C672">_xlfn.IFS(ISNUMBER(SEARCH("wagon",PROPERTIES[[#This Row],[VEHIDCODE]])),0,OR(MID(PROPERTIES[[#This Row],[VEHIDCODE]],2,2)="mu",_xlfn.TEXTBEFORE(PROPERTIES[[#This Row],[VEHIDCODE]],"_")="mtro"),1,1=1,0)</f>
        <v>0</v>
      </c>
      <c r="E672" t="str">
        <f>_xlfn.XLOOKUP(PROPERTIES[[#This Row],[COUNTRY]],COUNTRIES[COUNTRY_DESCRIPTION],COUNTRIES[COUNTRY_LABEL],"")</f>
        <v/>
      </c>
      <c r="F672" t="str" cm="1">
        <f t="array" ref="F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2" t="s">
        <v>2930</v>
      </c>
      <c r="H672">
        <v>40</v>
      </c>
      <c r="I672">
        <v>6</v>
      </c>
      <c r="J672">
        <v>6</v>
      </c>
      <c r="K672" t="str" cm="1">
        <f t="array" ref="K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f>IF(ISNUMBER(SEARCH("passenger",PROPERTIES[[#This Row],[CARGODEF]])),1,0)</f>
        <v>0</v>
      </c>
      <c r="O672" s="32">
        <v>23</v>
      </c>
      <c r="P672">
        <v>0</v>
      </c>
      <c r="Q672">
        <v>80</v>
      </c>
      <c r="R672" s="29">
        <v>0</v>
      </c>
      <c r="S672" s="28">
        <f>IFERROR(PROPERTIES[[#This Row],[TE_STARTING_KN]]/(PROPERTIES[[#This Row],[WEIGHT]]*9.81),0)</f>
        <v>0</v>
      </c>
      <c r="T672" s="28">
        <v>0.3</v>
      </c>
      <c r="U672" s="25">
        <f>ROUND(IF(IFERROR(PROPERTIES[[#This Row],[TE_COEFFICIENT_CALC]],0)=0,PROPERTIES[[#This Row],[TE_COEFFICIENT_MANUAL]],PROPERTIES[[#This Row],[TE_COEFFICIENT_CALC]]),3)</f>
        <v>0.3</v>
      </c>
      <c r="V672" s="11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36">
        <v>0</v>
      </c>
      <c r="X672" s="9">
        <v>0</v>
      </c>
      <c r="Y672" s="10">
        <v>0</v>
      </c>
      <c r="Z672" t="s">
        <v>882</v>
      </c>
      <c r="AA672" t="s">
        <v>868</v>
      </c>
      <c r="AB672" s="2" t="s">
        <v>886</v>
      </c>
      <c r="AC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2" s="2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H672" s="10" t="b">
        <v>0</v>
      </c>
      <c r="AY672"/>
      <c r="AZ672"/>
      <c r="BA672"/>
    </row>
    <row r="673" spans="1:53">
      <c r="A673" s="2" t="s">
        <v>806</v>
      </c>
      <c r="B673">
        <v>1920</v>
      </c>
      <c r="C673" cm="1">
        <f t="array" ref="C673">_xlfn.IFS(ISNUMBER(SEARCH("wagon",PROPERTIES[[#This Row],[VEHIDCODE]])),0,OR(MID(PROPERTIES[[#This Row],[VEHIDCODE]],2,2)="mu",_xlfn.TEXTBEFORE(PROPERTIES[[#This Row],[VEHIDCODE]],"_")="mtro"),1,1=1,0)</f>
        <v>0</v>
      </c>
      <c r="E673" t="str">
        <f>_xlfn.XLOOKUP(PROPERTIES[[#This Row],[COUNTRY]],COUNTRIES[COUNTRY_DESCRIPTION],COUNTRIES[COUNTRY_LABEL],"")</f>
        <v/>
      </c>
      <c r="F673" t="str" cm="1">
        <f t="array" ref="F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3" t="s">
        <v>598</v>
      </c>
      <c r="H673">
        <v>40</v>
      </c>
      <c r="I673">
        <v>6</v>
      </c>
      <c r="J673">
        <v>6</v>
      </c>
      <c r="K673" t="str" cm="1">
        <f t="array" ref="K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f>IF(ISNUMBER(SEARCH("passenger",PROPERTIES[[#This Row],[CARGODEF]])),1,0)</f>
        <v>0</v>
      </c>
      <c r="O673" s="32">
        <v>26</v>
      </c>
      <c r="P673">
        <v>0</v>
      </c>
      <c r="Q673">
        <v>80</v>
      </c>
      <c r="R673" s="29">
        <v>0</v>
      </c>
      <c r="S673" s="28">
        <f>IFERROR(PROPERTIES[[#This Row],[TE_STARTING_KN]]/(PROPERTIES[[#This Row],[WEIGHT]]*9.81),0)</f>
        <v>0</v>
      </c>
      <c r="T673" s="28">
        <v>0.3</v>
      </c>
      <c r="U673" s="25">
        <f>ROUND(IF(IFERROR(PROPERTIES[[#This Row],[TE_COEFFICIENT_CALC]],0)=0,PROPERTIES[[#This Row],[TE_COEFFICIENT_MANUAL]],PROPERTIES[[#This Row],[TE_COEFFICIENT_CALC]]),3)</f>
        <v>0.3</v>
      </c>
      <c r="V673" s="11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36">
        <v>0</v>
      </c>
      <c r="X673" s="9">
        <v>0</v>
      </c>
      <c r="Y673" s="10">
        <v>0</v>
      </c>
      <c r="Z673" t="s">
        <v>882</v>
      </c>
      <c r="AA673" t="s">
        <v>868</v>
      </c>
      <c r="AB673" s="2" t="s">
        <v>886</v>
      </c>
      <c r="AC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3" s="2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H673" s="10" t="b">
        <v>0</v>
      </c>
      <c r="AY673"/>
      <c r="AZ673"/>
      <c r="BA673"/>
    </row>
    <row r="674" spans="1:53">
      <c r="A674" s="2" t="s">
        <v>807</v>
      </c>
      <c r="B674">
        <v>1960</v>
      </c>
      <c r="C674" cm="1">
        <f t="array" ref="C674">_xlfn.IFS(ISNUMBER(SEARCH("wagon",PROPERTIES[[#This Row],[VEHIDCODE]])),0,OR(MID(PROPERTIES[[#This Row],[VEHIDCODE]],2,2)="mu",_xlfn.TEXTBEFORE(PROPERTIES[[#This Row],[VEHIDCODE]],"_")="mtro"),1,1=1,0)</f>
        <v>0</v>
      </c>
      <c r="E674" t="str">
        <f>_xlfn.XLOOKUP(PROPERTIES[[#This Row],[COUNTRY]],COUNTRIES[COUNTRY_DESCRIPTION],COUNTRIES[COUNTRY_LABEL],"")</f>
        <v/>
      </c>
      <c r="F674" t="str" cm="1">
        <f t="array" ref="F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4" t="s">
        <v>595</v>
      </c>
      <c r="H674">
        <v>50</v>
      </c>
      <c r="I674">
        <v>7</v>
      </c>
      <c r="J674">
        <v>7</v>
      </c>
      <c r="K674" t="str" cm="1">
        <f t="array" ref="K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f>IF(ISNUMBER(SEARCH("passenger",PROPERTIES[[#This Row],[CARGODEF]])),1,0)</f>
        <v>0</v>
      </c>
      <c r="O674" s="32">
        <v>25</v>
      </c>
      <c r="P674">
        <v>0</v>
      </c>
      <c r="Q674">
        <v>100</v>
      </c>
      <c r="R674" s="29">
        <v>0</v>
      </c>
      <c r="S674" s="28">
        <f>IFERROR(PROPERTIES[[#This Row],[TE_STARTING_KN]]/(PROPERTIES[[#This Row],[WEIGHT]]*9.81),0)</f>
        <v>0</v>
      </c>
      <c r="T674" s="28">
        <v>0.3</v>
      </c>
      <c r="U674" s="25">
        <f>ROUND(IF(IFERROR(PROPERTIES[[#This Row],[TE_COEFFICIENT_CALC]],0)=0,PROPERTIES[[#This Row],[TE_COEFFICIENT_MANUAL]],PROPERTIES[[#This Row],[TE_COEFFICIENT_CALC]]),3)</f>
        <v>0.3</v>
      </c>
      <c r="V674" s="11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36">
        <v>0</v>
      </c>
      <c r="X674" s="9">
        <v>0</v>
      </c>
      <c r="Y674" s="10">
        <v>0</v>
      </c>
      <c r="Z674" t="s">
        <v>882</v>
      </c>
      <c r="AA674" t="s">
        <v>868</v>
      </c>
      <c r="AB674" s="2" t="s">
        <v>886</v>
      </c>
      <c r="AC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4" s="2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H674" s="10" t="b">
        <v>0</v>
      </c>
      <c r="AY674"/>
      <c r="AZ674"/>
      <c r="BA674"/>
    </row>
    <row r="675" spans="1:53">
      <c r="A675" s="2" t="s">
        <v>808</v>
      </c>
      <c r="B675">
        <v>1960</v>
      </c>
      <c r="C675" cm="1">
        <f t="array" ref="C675">_xlfn.IFS(ISNUMBER(SEARCH("wagon",PROPERTIES[[#This Row],[VEHIDCODE]])),0,OR(MID(PROPERTIES[[#This Row],[VEHIDCODE]],2,2)="mu",_xlfn.TEXTBEFORE(PROPERTIES[[#This Row],[VEHIDCODE]],"_")="mtro"),1,1=1,0)</f>
        <v>0</v>
      </c>
      <c r="E675" t="str">
        <f>_xlfn.XLOOKUP(PROPERTIES[[#This Row],[COUNTRY]],COUNTRIES[COUNTRY_DESCRIPTION],COUNTRIES[COUNTRY_LABEL],"")</f>
        <v/>
      </c>
      <c r="F675" t="str" cm="1">
        <f t="array" ref="F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5" t="s">
        <v>597</v>
      </c>
      <c r="H675">
        <v>70</v>
      </c>
      <c r="I675">
        <v>7</v>
      </c>
      <c r="J675">
        <v>7</v>
      </c>
      <c r="K675" t="str" cm="1">
        <f t="array" ref="K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f>IF(ISNUMBER(SEARCH("passenger",PROPERTIES[[#This Row],[CARGODEF]])),1,0)</f>
        <v>0</v>
      </c>
      <c r="O675" s="32">
        <v>30</v>
      </c>
      <c r="P675">
        <v>0</v>
      </c>
      <c r="Q675">
        <v>100</v>
      </c>
      <c r="R675" s="29">
        <v>0</v>
      </c>
      <c r="S675" s="28">
        <f>IFERROR(PROPERTIES[[#This Row],[TE_STARTING_KN]]/(PROPERTIES[[#This Row],[WEIGHT]]*9.81),0)</f>
        <v>0</v>
      </c>
      <c r="T675" s="28">
        <v>0.3</v>
      </c>
      <c r="U675" s="25">
        <f>ROUND(IF(IFERROR(PROPERTIES[[#This Row],[TE_COEFFICIENT_CALC]],0)=0,PROPERTIES[[#This Row],[TE_COEFFICIENT_MANUAL]],PROPERTIES[[#This Row],[TE_COEFFICIENT_CALC]]),3)</f>
        <v>0.3</v>
      </c>
      <c r="V675" s="11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36">
        <v>0</v>
      </c>
      <c r="X675" s="9">
        <v>0</v>
      </c>
      <c r="Y675" s="10">
        <v>0</v>
      </c>
      <c r="Z675" t="s">
        <v>882</v>
      </c>
      <c r="AA675" t="s">
        <v>868</v>
      </c>
      <c r="AB675" s="2" t="s">
        <v>886</v>
      </c>
      <c r="AC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5" s="2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H675" s="10" t="b">
        <v>0</v>
      </c>
      <c r="AY675"/>
      <c r="AZ675"/>
      <c r="BA675"/>
    </row>
    <row r="676" spans="1:53">
      <c r="A676" s="2" t="s">
        <v>809</v>
      </c>
      <c r="B676">
        <v>1950</v>
      </c>
      <c r="C676" cm="1">
        <f t="array" ref="C676">_xlfn.IFS(ISNUMBER(SEARCH("wagon",PROPERTIES[[#This Row],[VEHIDCODE]])),0,OR(MID(PROPERTIES[[#This Row],[VEHIDCODE]],2,2)="mu",_xlfn.TEXTBEFORE(PROPERTIES[[#This Row],[VEHIDCODE]],"_")="mtro"),1,1=1,0)</f>
        <v>0</v>
      </c>
      <c r="E676" t="str">
        <f>_xlfn.XLOOKUP(PROPERTIES[[#This Row],[COUNTRY]],COUNTRIES[COUNTRY_DESCRIPTION],COUNTRIES[COUNTRY_LABEL],"")</f>
        <v/>
      </c>
      <c r="F676" t="str" cm="1">
        <f t="array" ref="F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6" t="s">
        <v>2925</v>
      </c>
      <c r="H676">
        <v>42</v>
      </c>
      <c r="I676">
        <v>7</v>
      </c>
      <c r="J676">
        <v>7</v>
      </c>
      <c r="K676" t="str" cm="1">
        <f t="array" ref="K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f>IF(ISNUMBER(SEARCH("passenger",PROPERTIES[[#This Row],[CARGODEF]])),1,0)</f>
        <v>0</v>
      </c>
      <c r="O676" s="32">
        <v>30</v>
      </c>
      <c r="P676">
        <v>0</v>
      </c>
      <c r="Q676">
        <v>120</v>
      </c>
      <c r="R676" s="29">
        <v>0</v>
      </c>
      <c r="S676" s="28">
        <f>IFERROR(PROPERTIES[[#This Row],[TE_STARTING_KN]]/(PROPERTIES[[#This Row],[WEIGHT]]*9.81),0)</f>
        <v>0</v>
      </c>
      <c r="T676" s="28">
        <v>0.3</v>
      </c>
      <c r="U676" s="25">
        <f>ROUND(IF(IFERROR(PROPERTIES[[#This Row],[TE_COEFFICIENT_CALC]],0)=0,PROPERTIES[[#This Row],[TE_COEFFICIENT_MANUAL]],PROPERTIES[[#This Row],[TE_COEFFICIENT_CALC]]),3)</f>
        <v>0.3</v>
      </c>
      <c r="V676" s="11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36">
        <v>0</v>
      </c>
      <c r="X676" s="9">
        <v>0</v>
      </c>
      <c r="Y676" s="10">
        <v>0</v>
      </c>
      <c r="Z676" t="s">
        <v>882</v>
      </c>
      <c r="AA676" t="s">
        <v>868</v>
      </c>
      <c r="AB676" s="2" t="s">
        <v>886</v>
      </c>
      <c r="AC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6" s="2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H676" s="10" t="b">
        <v>0</v>
      </c>
      <c r="AY676"/>
      <c r="AZ676"/>
      <c r="BA676"/>
    </row>
    <row r="677" spans="1:53">
      <c r="A677" s="2" t="s">
        <v>810</v>
      </c>
      <c r="B677">
        <v>1950</v>
      </c>
      <c r="C677" cm="1">
        <f t="array" ref="C677">_xlfn.IFS(ISNUMBER(SEARCH("wagon",PROPERTIES[[#This Row],[VEHIDCODE]])),0,OR(MID(PROPERTIES[[#This Row],[VEHIDCODE]],2,2)="mu",_xlfn.TEXTBEFORE(PROPERTIES[[#This Row],[VEHIDCODE]],"_")="mtro"),1,1=1,0)</f>
        <v>0</v>
      </c>
      <c r="E677" t="str">
        <f>_xlfn.XLOOKUP(PROPERTIES[[#This Row],[COUNTRY]],COUNTRIES[COUNTRY_DESCRIPTION],COUNTRIES[COUNTRY_LABEL],"")</f>
        <v/>
      </c>
      <c r="F677" t="str" cm="1">
        <f t="array" ref="F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7" t="s">
        <v>2928</v>
      </c>
      <c r="H677">
        <v>42</v>
      </c>
      <c r="I677">
        <v>7</v>
      </c>
      <c r="J677">
        <v>7</v>
      </c>
      <c r="K677" t="str" cm="1">
        <f t="array" ref="K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f>IF(ISNUMBER(SEARCH("passenger",PROPERTIES[[#This Row],[CARGODEF]])),1,0)</f>
        <v>0</v>
      </c>
      <c r="O677" s="32">
        <v>30</v>
      </c>
      <c r="P677">
        <v>0</v>
      </c>
      <c r="Q677">
        <v>120</v>
      </c>
      <c r="R677" s="29">
        <v>0</v>
      </c>
      <c r="S677" s="28">
        <f>IFERROR(PROPERTIES[[#This Row],[TE_STARTING_KN]]/(PROPERTIES[[#This Row],[WEIGHT]]*9.81),0)</f>
        <v>0</v>
      </c>
      <c r="T677" s="28">
        <v>0.3</v>
      </c>
      <c r="U677" s="25">
        <f>ROUND(IF(IFERROR(PROPERTIES[[#This Row],[TE_COEFFICIENT_CALC]],0)=0,PROPERTIES[[#This Row],[TE_COEFFICIENT_MANUAL]],PROPERTIES[[#This Row],[TE_COEFFICIENT_CALC]]),3)</f>
        <v>0.3</v>
      </c>
      <c r="V677" s="11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36">
        <v>0</v>
      </c>
      <c r="X677" s="9">
        <v>0</v>
      </c>
      <c r="Y677" s="10">
        <v>0</v>
      </c>
      <c r="Z677" t="s">
        <v>882</v>
      </c>
      <c r="AA677" t="s">
        <v>868</v>
      </c>
      <c r="AB677" s="2" t="s">
        <v>886</v>
      </c>
      <c r="AC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7" s="2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H677" s="10" t="b">
        <v>0</v>
      </c>
      <c r="AY677"/>
      <c r="AZ677"/>
      <c r="BA677"/>
    </row>
    <row r="678" spans="1:53">
      <c r="A678" s="2" t="s">
        <v>811</v>
      </c>
      <c r="B678">
        <v>1950</v>
      </c>
      <c r="C678" cm="1">
        <f t="array" ref="C678">_xlfn.IFS(ISNUMBER(SEARCH("wagon",PROPERTIES[[#This Row],[VEHIDCODE]])),0,OR(MID(PROPERTIES[[#This Row],[VEHIDCODE]],2,2)="mu",_xlfn.TEXTBEFORE(PROPERTIES[[#This Row],[VEHIDCODE]],"_")="mtro"),1,1=1,0)</f>
        <v>0</v>
      </c>
      <c r="E678" t="str">
        <f>_xlfn.XLOOKUP(PROPERTIES[[#This Row],[COUNTRY]],COUNTRIES[COUNTRY_DESCRIPTION],COUNTRIES[COUNTRY_LABEL],"")</f>
        <v/>
      </c>
      <c r="F678" t="str" cm="1">
        <f t="array" ref="F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8" t="s">
        <v>601</v>
      </c>
      <c r="H678">
        <v>80</v>
      </c>
      <c r="I678">
        <v>7</v>
      </c>
      <c r="J678">
        <v>7</v>
      </c>
      <c r="K678" t="str" cm="1">
        <f t="array" ref="K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f>IF(ISNUMBER(SEARCH("passenger",PROPERTIES[[#This Row],[CARGODEF]])),1,0)</f>
        <v>0</v>
      </c>
      <c r="O678" s="32">
        <v>22</v>
      </c>
      <c r="P678">
        <v>0</v>
      </c>
      <c r="Q678">
        <v>100</v>
      </c>
      <c r="R678" s="29">
        <v>0</v>
      </c>
      <c r="S678" s="28">
        <f>IFERROR(PROPERTIES[[#This Row],[TE_STARTING_KN]]/(PROPERTIES[[#This Row],[WEIGHT]]*9.81),0)</f>
        <v>0</v>
      </c>
      <c r="T678" s="28">
        <v>0.3</v>
      </c>
      <c r="U678" s="25">
        <f>ROUND(IF(IFERROR(PROPERTIES[[#This Row],[TE_COEFFICIENT_CALC]],0)=0,PROPERTIES[[#This Row],[TE_COEFFICIENT_MANUAL]],PROPERTIES[[#This Row],[TE_COEFFICIENT_CALC]]),3)</f>
        <v>0.3</v>
      </c>
      <c r="V678" s="11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36">
        <v>0</v>
      </c>
      <c r="X678" s="9">
        <v>0</v>
      </c>
      <c r="Y678" s="10">
        <v>0</v>
      </c>
      <c r="Z678" t="s">
        <v>882</v>
      </c>
      <c r="AA678" t="s">
        <v>868</v>
      </c>
      <c r="AB678" s="2" t="s">
        <v>886</v>
      </c>
      <c r="AC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8" s="2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H678" s="10" t="b">
        <v>0</v>
      </c>
      <c r="AY678"/>
      <c r="AZ678"/>
      <c r="BA678"/>
    </row>
    <row r="679" spans="1:53">
      <c r="A679" s="2" t="s">
        <v>812</v>
      </c>
      <c r="B679">
        <v>1950</v>
      </c>
      <c r="C679" cm="1">
        <f t="array" ref="C679">_xlfn.IFS(ISNUMBER(SEARCH("wagon",PROPERTIES[[#This Row],[VEHIDCODE]])),0,OR(MID(PROPERTIES[[#This Row],[VEHIDCODE]],2,2)="mu",_xlfn.TEXTBEFORE(PROPERTIES[[#This Row],[VEHIDCODE]],"_")="mtro"),1,1=1,0)</f>
        <v>0</v>
      </c>
      <c r="E679" t="str">
        <f>_xlfn.XLOOKUP(PROPERTIES[[#This Row],[COUNTRY]],COUNTRIES[COUNTRY_DESCRIPTION],COUNTRIES[COUNTRY_LABEL],"")</f>
        <v/>
      </c>
      <c r="F679" t="str" cm="1">
        <f t="array" ref="F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9" t="s">
        <v>596</v>
      </c>
      <c r="H679">
        <v>55</v>
      </c>
      <c r="I679">
        <v>7</v>
      </c>
      <c r="J679">
        <v>7</v>
      </c>
      <c r="K679" t="str" cm="1">
        <f t="array" ref="K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f>IF(ISNUMBER(SEARCH("passenger",PROPERTIES[[#This Row],[CARGODEF]])),1,0)</f>
        <v>0</v>
      </c>
      <c r="O679" s="32">
        <v>22</v>
      </c>
      <c r="P679">
        <v>0</v>
      </c>
      <c r="Q679">
        <v>100</v>
      </c>
      <c r="R679" s="29">
        <v>0</v>
      </c>
      <c r="S679" s="28">
        <f>IFERROR(PROPERTIES[[#This Row],[TE_STARTING_KN]]/(PROPERTIES[[#This Row],[WEIGHT]]*9.81),0)</f>
        <v>0</v>
      </c>
      <c r="T679" s="28">
        <v>0.3</v>
      </c>
      <c r="U679" s="25">
        <f>ROUND(IF(IFERROR(PROPERTIES[[#This Row],[TE_COEFFICIENT_CALC]],0)=0,PROPERTIES[[#This Row],[TE_COEFFICIENT_MANUAL]],PROPERTIES[[#This Row],[TE_COEFFICIENT_CALC]]),3)</f>
        <v>0.3</v>
      </c>
      <c r="V679" s="11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36">
        <v>0</v>
      </c>
      <c r="X679" s="9">
        <v>0</v>
      </c>
      <c r="Y679" s="10">
        <v>0</v>
      </c>
      <c r="Z679" t="s">
        <v>882</v>
      </c>
      <c r="AA679" t="s">
        <v>868</v>
      </c>
      <c r="AB679" s="2" t="s">
        <v>886</v>
      </c>
      <c r="AC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9" s="2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H679" s="10" t="b">
        <v>0</v>
      </c>
      <c r="AY679"/>
      <c r="AZ679"/>
      <c r="BA679"/>
    </row>
    <row r="680" spans="1:53">
      <c r="A680" s="2" t="s">
        <v>813</v>
      </c>
      <c r="B680">
        <v>1950</v>
      </c>
      <c r="C680" cm="1">
        <f t="array" ref="C680">_xlfn.IFS(ISNUMBER(SEARCH("wagon",PROPERTIES[[#This Row],[VEHIDCODE]])),0,OR(MID(PROPERTIES[[#This Row],[VEHIDCODE]],2,2)="mu",_xlfn.TEXTBEFORE(PROPERTIES[[#This Row],[VEHIDCODE]],"_")="mtro"),1,1=1,0)</f>
        <v>0</v>
      </c>
      <c r="E680" t="str">
        <f>_xlfn.XLOOKUP(PROPERTIES[[#This Row],[COUNTRY]],COUNTRIES[COUNTRY_DESCRIPTION],COUNTRIES[COUNTRY_LABEL],"")</f>
        <v/>
      </c>
      <c r="F680" t="str" cm="1">
        <f t="array" ref="F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0" t="s">
        <v>2927</v>
      </c>
      <c r="H680">
        <v>55</v>
      </c>
      <c r="I680">
        <v>7</v>
      </c>
      <c r="J680">
        <v>7</v>
      </c>
      <c r="K680" t="str" cm="1">
        <f t="array" ref="K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f>IF(ISNUMBER(SEARCH("passenger",PROPERTIES[[#This Row],[CARGODEF]])),1,0)</f>
        <v>0</v>
      </c>
      <c r="O680" s="32">
        <v>25</v>
      </c>
      <c r="P680">
        <v>0</v>
      </c>
      <c r="Q680">
        <v>100</v>
      </c>
      <c r="R680" s="29">
        <v>0</v>
      </c>
      <c r="S680" s="28">
        <f>IFERROR(PROPERTIES[[#This Row],[TE_STARTING_KN]]/(PROPERTIES[[#This Row],[WEIGHT]]*9.81),0)</f>
        <v>0</v>
      </c>
      <c r="T680" s="28">
        <v>0.3</v>
      </c>
      <c r="U680" s="25">
        <f>ROUND(IF(IFERROR(PROPERTIES[[#This Row],[TE_COEFFICIENT_CALC]],0)=0,PROPERTIES[[#This Row],[TE_COEFFICIENT_MANUAL]],PROPERTIES[[#This Row],[TE_COEFFICIENT_CALC]]),3)</f>
        <v>0.3</v>
      </c>
      <c r="V680" s="11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36">
        <v>0</v>
      </c>
      <c r="X680" s="9">
        <v>0</v>
      </c>
      <c r="Y680" s="10">
        <v>0</v>
      </c>
      <c r="Z680" t="s">
        <v>882</v>
      </c>
      <c r="AA680" t="s">
        <v>868</v>
      </c>
      <c r="AB680" s="2" t="s">
        <v>886</v>
      </c>
      <c r="AC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0" s="2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H680" s="10" t="b">
        <v>0</v>
      </c>
      <c r="AY680"/>
      <c r="AZ680"/>
      <c r="BA680"/>
    </row>
    <row r="681" spans="1:53">
      <c r="A681" s="2" t="s">
        <v>814</v>
      </c>
      <c r="B681">
        <v>1950</v>
      </c>
      <c r="C681" cm="1">
        <f t="array" ref="C681">_xlfn.IFS(ISNUMBER(SEARCH("wagon",PROPERTIES[[#This Row],[VEHIDCODE]])),0,OR(MID(PROPERTIES[[#This Row],[VEHIDCODE]],2,2)="mu",_xlfn.TEXTBEFORE(PROPERTIES[[#This Row],[VEHIDCODE]],"_")="mtro"),1,1=1,0)</f>
        <v>0</v>
      </c>
      <c r="E681" t="str">
        <f>_xlfn.XLOOKUP(PROPERTIES[[#This Row],[COUNTRY]],COUNTRIES[COUNTRY_DESCRIPTION],COUNTRIES[COUNTRY_LABEL],"")</f>
        <v/>
      </c>
      <c r="F681" t="str" cm="1">
        <f t="array" ref="F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1" t="s">
        <v>2930</v>
      </c>
      <c r="H681">
        <v>55</v>
      </c>
      <c r="I681">
        <v>7</v>
      </c>
      <c r="J681">
        <v>7</v>
      </c>
      <c r="K681" t="str" cm="1">
        <f t="array" ref="K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f>IF(ISNUMBER(SEARCH("passenger",PROPERTIES[[#This Row],[CARGODEF]])),1,0)</f>
        <v>0</v>
      </c>
      <c r="O681" s="32">
        <v>25</v>
      </c>
      <c r="P681">
        <v>0</v>
      </c>
      <c r="Q681">
        <v>100</v>
      </c>
      <c r="R681" s="29">
        <v>0</v>
      </c>
      <c r="S681" s="28">
        <f>IFERROR(PROPERTIES[[#This Row],[TE_STARTING_KN]]/(PROPERTIES[[#This Row],[WEIGHT]]*9.81),0)</f>
        <v>0</v>
      </c>
      <c r="T681" s="28">
        <v>0.3</v>
      </c>
      <c r="U681" s="25">
        <f>ROUND(IF(IFERROR(PROPERTIES[[#This Row],[TE_COEFFICIENT_CALC]],0)=0,PROPERTIES[[#This Row],[TE_COEFFICIENT_MANUAL]],PROPERTIES[[#This Row],[TE_COEFFICIENT_CALC]]),3)</f>
        <v>0.3</v>
      </c>
      <c r="V681" s="11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36">
        <v>0</v>
      </c>
      <c r="X681" s="9">
        <v>0</v>
      </c>
      <c r="Y681" s="10">
        <v>0</v>
      </c>
      <c r="Z681" t="s">
        <v>882</v>
      </c>
      <c r="AA681" t="s">
        <v>868</v>
      </c>
      <c r="AB681" s="2" t="s">
        <v>886</v>
      </c>
      <c r="AC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1" s="2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H681" s="10" t="b">
        <v>0</v>
      </c>
      <c r="AY681"/>
      <c r="AZ681"/>
      <c r="BA681"/>
    </row>
    <row r="682" spans="1:53">
      <c r="A682" s="2" t="s">
        <v>815</v>
      </c>
      <c r="B682">
        <v>1960</v>
      </c>
      <c r="C682" cm="1">
        <f t="array" ref="C682">_xlfn.IFS(ISNUMBER(SEARCH("wagon",PROPERTIES[[#This Row],[VEHIDCODE]])),0,OR(MID(PROPERTIES[[#This Row],[VEHIDCODE]],2,2)="mu",_xlfn.TEXTBEFORE(PROPERTIES[[#This Row],[VEHIDCODE]],"_")="mtro"),1,1=1,0)</f>
        <v>0</v>
      </c>
      <c r="E682" t="str">
        <f>_xlfn.XLOOKUP(PROPERTIES[[#This Row],[COUNTRY]],COUNTRIES[COUNTRY_DESCRIPTION],COUNTRIES[COUNTRY_LABEL],"")</f>
        <v/>
      </c>
      <c r="F682" t="str" cm="1">
        <f t="array" ref="F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2" t="s">
        <v>2926</v>
      </c>
      <c r="H682">
        <v>55</v>
      </c>
      <c r="I682">
        <v>7</v>
      </c>
      <c r="J682">
        <v>7</v>
      </c>
      <c r="K682" t="str" cm="1">
        <f t="array" ref="K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f>IF(ISNUMBER(SEARCH("passenger",PROPERTIES[[#This Row],[CARGODEF]])),1,0)</f>
        <v>0</v>
      </c>
      <c r="O682" s="32">
        <v>25</v>
      </c>
      <c r="P682">
        <v>0</v>
      </c>
      <c r="Q682">
        <v>100</v>
      </c>
      <c r="R682" s="29">
        <v>0</v>
      </c>
      <c r="S682" s="28">
        <f>IFERROR(PROPERTIES[[#This Row],[TE_STARTING_KN]]/(PROPERTIES[[#This Row],[WEIGHT]]*9.81),0)</f>
        <v>0</v>
      </c>
      <c r="T682" s="28">
        <v>0.3</v>
      </c>
      <c r="U682" s="25">
        <f>ROUND(IF(IFERROR(PROPERTIES[[#This Row],[TE_COEFFICIENT_CALC]],0)=0,PROPERTIES[[#This Row],[TE_COEFFICIENT_MANUAL]],PROPERTIES[[#This Row],[TE_COEFFICIENT_CALC]]),3)</f>
        <v>0.3</v>
      </c>
      <c r="V682" s="11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36">
        <v>0</v>
      </c>
      <c r="X682" s="9">
        <v>0</v>
      </c>
      <c r="Y682" s="10">
        <v>0</v>
      </c>
      <c r="Z682" t="s">
        <v>882</v>
      </c>
      <c r="AA682" t="s">
        <v>868</v>
      </c>
      <c r="AB682" s="2" t="s">
        <v>886</v>
      </c>
      <c r="AC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2" s="2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H682" s="10" t="b">
        <v>0</v>
      </c>
      <c r="AY682"/>
      <c r="AZ682"/>
      <c r="BA682"/>
    </row>
    <row r="683" spans="1:53">
      <c r="A683" s="2" t="s">
        <v>816</v>
      </c>
      <c r="B683">
        <v>1960</v>
      </c>
      <c r="C683" cm="1">
        <f t="array" ref="C683">_xlfn.IFS(ISNUMBER(SEARCH("wagon",PROPERTIES[[#This Row],[VEHIDCODE]])),0,OR(MID(PROPERTIES[[#This Row],[VEHIDCODE]],2,2)="mu",_xlfn.TEXTBEFORE(PROPERTIES[[#This Row],[VEHIDCODE]],"_")="mtro"),1,1=1,0)</f>
        <v>0</v>
      </c>
      <c r="E683" t="str">
        <f>_xlfn.XLOOKUP(PROPERTIES[[#This Row],[COUNTRY]],COUNTRIES[COUNTRY_DESCRIPTION],COUNTRIES[COUNTRY_LABEL],"")</f>
        <v/>
      </c>
      <c r="F683" t="str" cm="1">
        <f t="array" ref="F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3" t="s">
        <v>2929</v>
      </c>
      <c r="H683">
        <v>55</v>
      </c>
      <c r="I683">
        <v>7</v>
      </c>
      <c r="J683">
        <v>7</v>
      </c>
      <c r="K683" t="str" cm="1">
        <f t="array" ref="K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f>IF(ISNUMBER(SEARCH("passenger",PROPERTIES[[#This Row],[CARGODEF]])),1,0)</f>
        <v>0</v>
      </c>
      <c r="O683" s="32">
        <v>25</v>
      </c>
      <c r="P683">
        <v>0</v>
      </c>
      <c r="Q683">
        <v>100</v>
      </c>
      <c r="R683" s="29">
        <v>0</v>
      </c>
      <c r="S683" s="28">
        <f>IFERROR(PROPERTIES[[#This Row],[TE_STARTING_KN]]/(PROPERTIES[[#This Row],[WEIGHT]]*9.81),0)</f>
        <v>0</v>
      </c>
      <c r="T683" s="28">
        <v>0.3</v>
      </c>
      <c r="U683" s="25">
        <f>ROUND(IF(IFERROR(PROPERTIES[[#This Row],[TE_COEFFICIENT_CALC]],0)=0,PROPERTIES[[#This Row],[TE_COEFFICIENT_MANUAL]],PROPERTIES[[#This Row],[TE_COEFFICIENT_CALC]]),3)</f>
        <v>0.3</v>
      </c>
      <c r="V683" s="11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36">
        <v>0</v>
      </c>
      <c r="X683" s="9">
        <v>0</v>
      </c>
      <c r="Y683" s="10">
        <v>0</v>
      </c>
      <c r="Z683" t="s">
        <v>882</v>
      </c>
      <c r="AA683" t="s">
        <v>868</v>
      </c>
      <c r="AB683" s="2" t="s">
        <v>886</v>
      </c>
      <c r="AC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3" s="2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H683" s="10" t="b">
        <v>0</v>
      </c>
      <c r="AY683"/>
      <c r="AZ683"/>
      <c r="BA683"/>
    </row>
    <row r="684" spans="1:53">
      <c r="A684" s="2" t="s">
        <v>817</v>
      </c>
      <c r="B684">
        <v>1960</v>
      </c>
      <c r="C684" cm="1">
        <f t="array" ref="C684">_xlfn.IFS(ISNUMBER(SEARCH("wagon",PROPERTIES[[#This Row],[VEHIDCODE]])),0,OR(MID(PROPERTIES[[#This Row],[VEHIDCODE]],2,2)="mu",_xlfn.TEXTBEFORE(PROPERTIES[[#This Row],[VEHIDCODE]],"_")="mtro"),1,1=1,0)</f>
        <v>0</v>
      </c>
      <c r="E684" t="str">
        <f>_xlfn.XLOOKUP(PROPERTIES[[#This Row],[COUNTRY]],COUNTRIES[COUNTRY_DESCRIPTION],COUNTRIES[COUNTRY_LABEL],"")</f>
        <v/>
      </c>
      <c r="F684" t="str" cm="1">
        <f t="array" ref="F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4" t="s">
        <v>592</v>
      </c>
      <c r="H684">
        <v>16</v>
      </c>
      <c r="I684">
        <v>7</v>
      </c>
      <c r="J684">
        <v>7</v>
      </c>
      <c r="K684" t="str" cm="1">
        <f t="array" ref="K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f>IF(ISNUMBER(SEARCH("passenger",PROPERTIES[[#This Row],[CARGODEF]])),1,0)</f>
        <v>0</v>
      </c>
      <c r="O684" s="32">
        <v>26</v>
      </c>
      <c r="P684">
        <v>0</v>
      </c>
      <c r="Q684">
        <v>100</v>
      </c>
      <c r="R684" s="29">
        <v>0</v>
      </c>
      <c r="S684" s="28">
        <f>IFERROR(PROPERTIES[[#This Row],[TE_STARTING_KN]]/(PROPERTIES[[#This Row],[WEIGHT]]*9.81),0)</f>
        <v>0</v>
      </c>
      <c r="T684" s="28">
        <v>0.3</v>
      </c>
      <c r="U684" s="25">
        <f>ROUND(IF(IFERROR(PROPERTIES[[#This Row],[TE_COEFFICIENT_CALC]],0)=0,PROPERTIES[[#This Row],[TE_COEFFICIENT_MANUAL]],PROPERTIES[[#This Row],[TE_COEFFICIENT_CALC]]),3)</f>
        <v>0.3</v>
      </c>
      <c r="V684" s="11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36">
        <v>0</v>
      </c>
      <c r="X684" s="9">
        <v>0</v>
      </c>
      <c r="Y684" s="10">
        <v>0</v>
      </c>
      <c r="Z684" t="s">
        <v>882</v>
      </c>
      <c r="AA684" t="s">
        <v>868</v>
      </c>
      <c r="AB684" s="2" t="s">
        <v>886</v>
      </c>
      <c r="AC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4" s="2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H684" s="10" t="b">
        <v>0</v>
      </c>
      <c r="AY684"/>
      <c r="AZ684"/>
      <c r="BA684"/>
    </row>
    <row r="685" spans="1:53">
      <c r="A685" s="2" t="s">
        <v>818</v>
      </c>
      <c r="B685">
        <v>1960</v>
      </c>
      <c r="C685" cm="1">
        <f t="array" ref="C685">_xlfn.IFS(ISNUMBER(SEARCH("wagon",PROPERTIES[[#This Row],[VEHIDCODE]])),0,OR(MID(PROPERTIES[[#This Row],[VEHIDCODE]],2,2)="mu",_xlfn.TEXTBEFORE(PROPERTIES[[#This Row],[VEHIDCODE]],"_")="mtro"),1,1=1,0)</f>
        <v>0</v>
      </c>
      <c r="E685" t="str">
        <f>_xlfn.XLOOKUP(PROPERTIES[[#This Row],[COUNTRY]],COUNTRIES[COUNTRY_DESCRIPTION],COUNTRIES[COUNTRY_LABEL],"")</f>
        <v/>
      </c>
      <c r="F685" t="str" cm="1">
        <f t="array" ref="F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5" t="s">
        <v>526</v>
      </c>
      <c r="H685">
        <v>37</v>
      </c>
      <c r="I685">
        <v>7</v>
      </c>
      <c r="J685">
        <v>7</v>
      </c>
      <c r="K685" t="str" cm="1">
        <f t="array" ref="K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f>IF(ISNUMBER(SEARCH("passenger",PROPERTIES[[#This Row],[CARGODEF]])),1,0)</f>
        <v>0</v>
      </c>
      <c r="O685" s="32">
        <v>19</v>
      </c>
      <c r="P685">
        <v>0</v>
      </c>
      <c r="Q685">
        <v>120</v>
      </c>
      <c r="R685" s="29">
        <v>0</v>
      </c>
      <c r="S685" s="28">
        <f>IFERROR(PROPERTIES[[#This Row],[TE_STARTING_KN]]/(PROPERTIES[[#This Row],[WEIGHT]]*9.81),0)</f>
        <v>0</v>
      </c>
      <c r="T685" s="28">
        <v>0.3</v>
      </c>
      <c r="U685" s="25">
        <f>ROUND(IF(IFERROR(PROPERTIES[[#This Row],[TE_COEFFICIENT_CALC]],0)=0,PROPERTIES[[#This Row],[TE_COEFFICIENT_MANUAL]],PROPERTIES[[#This Row],[TE_COEFFICIENT_CALC]]),3)</f>
        <v>0.3</v>
      </c>
      <c r="V685" s="11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36">
        <v>0</v>
      </c>
      <c r="X685" s="9">
        <v>0</v>
      </c>
      <c r="Y685" s="10">
        <v>0</v>
      </c>
      <c r="Z685" t="s">
        <v>882</v>
      </c>
      <c r="AA685" t="s">
        <v>868</v>
      </c>
      <c r="AB685" s="2" t="s">
        <v>886</v>
      </c>
      <c r="AC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5" s="2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H685" s="10" t="b">
        <v>0</v>
      </c>
      <c r="AY685"/>
      <c r="AZ685"/>
      <c r="BA685"/>
    </row>
    <row r="686" spans="1:53">
      <c r="A686" s="2" t="s">
        <v>819</v>
      </c>
      <c r="B686">
        <v>1950</v>
      </c>
      <c r="C686" cm="1">
        <f t="array" ref="C686">_xlfn.IFS(ISNUMBER(SEARCH("wagon",PROPERTIES[[#This Row],[VEHIDCODE]])),0,OR(MID(PROPERTIES[[#This Row],[VEHIDCODE]],2,2)="mu",_xlfn.TEXTBEFORE(PROPERTIES[[#This Row],[VEHIDCODE]],"_")="mtro"),1,1=1,0)</f>
        <v>0</v>
      </c>
      <c r="E686" t="str">
        <f>_xlfn.XLOOKUP(PROPERTIES[[#This Row],[COUNTRY]],COUNTRIES[COUNTRY_DESCRIPTION],COUNTRIES[COUNTRY_LABEL],"")</f>
        <v/>
      </c>
      <c r="F686" t="str" cm="1">
        <f t="array" ref="F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6" t="s">
        <v>593</v>
      </c>
      <c r="H686">
        <v>45</v>
      </c>
      <c r="I686">
        <v>7</v>
      </c>
      <c r="J686">
        <v>7</v>
      </c>
      <c r="K686" t="str" cm="1">
        <f t="array" ref="K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f>IF(ISNUMBER(SEARCH("passenger",PROPERTIES[[#This Row],[CARGODEF]])),1,0)</f>
        <v>0</v>
      </c>
      <c r="O686" s="32">
        <v>42</v>
      </c>
      <c r="P686">
        <v>0</v>
      </c>
      <c r="Q686">
        <v>100</v>
      </c>
      <c r="R686" s="29">
        <v>0</v>
      </c>
      <c r="S686" s="28">
        <f>IFERROR(PROPERTIES[[#This Row],[TE_STARTING_KN]]/(PROPERTIES[[#This Row],[WEIGHT]]*9.81),0)</f>
        <v>0</v>
      </c>
      <c r="T686" s="28">
        <v>0.3</v>
      </c>
      <c r="U686" s="25">
        <f>ROUND(IF(IFERROR(PROPERTIES[[#This Row],[TE_COEFFICIENT_CALC]],0)=0,PROPERTIES[[#This Row],[TE_COEFFICIENT_MANUAL]],PROPERTIES[[#This Row],[TE_COEFFICIENT_CALC]]),3)</f>
        <v>0.3</v>
      </c>
      <c r="V686" s="11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36">
        <v>0</v>
      </c>
      <c r="X686" s="9">
        <v>0</v>
      </c>
      <c r="Y686" s="10">
        <v>0</v>
      </c>
      <c r="Z686" t="s">
        <v>882</v>
      </c>
      <c r="AA686" t="s">
        <v>868</v>
      </c>
      <c r="AB686" s="2" t="s">
        <v>886</v>
      </c>
      <c r="AC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6" s="2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H686" s="10" t="b">
        <v>0</v>
      </c>
      <c r="AY686"/>
      <c r="AZ686"/>
      <c r="BA686"/>
    </row>
    <row r="687" spans="1:53">
      <c r="A687" s="2" t="s">
        <v>820</v>
      </c>
      <c r="B687">
        <v>1990</v>
      </c>
      <c r="C687" cm="1">
        <f t="array" ref="C687">_xlfn.IFS(ISNUMBER(SEARCH("wagon",PROPERTIES[[#This Row],[VEHIDCODE]])),0,OR(MID(PROPERTIES[[#This Row],[VEHIDCODE]],2,2)="mu",_xlfn.TEXTBEFORE(PROPERTIES[[#This Row],[VEHIDCODE]],"_")="mtro"),1,1=1,0)</f>
        <v>0</v>
      </c>
      <c r="E687" t="str">
        <f>_xlfn.XLOOKUP(PROPERTIES[[#This Row],[COUNTRY]],COUNTRIES[COUNTRY_DESCRIPTION],COUNTRIES[COUNTRY_LABEL],"")</f>
        <v/>
      </c>
      <c r="F687" t="str" cm="1">
        <f t="array" ref="F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7" t="s">
        <v>595</v>
      </c>
      <c r="H687">
        <v>60</v>
      </c>
      <c r="I687">
        <v>8</v>
      </c>
      <c r="J687">
        <v>8</v>
      </c>
      <c r="K687" t="str" cm="1">
        <f t="array" ref="K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f>IF(ISNUMBER(SEARCH("passenger",PROPERTIES[[#This Row],[CARGODEF]])),1,0)</f>
        <v>0</v>
      </c>
      <c r="O687" s="32">
        <v>23</v>
      </c>
      <c r="P687">
        <v>0</v>
      </c>
      <c r="Q687">
        <v>120</v>
      </c>
      <c r="R687" s="29">
        <v>0</v>
      </c>
      <c r="S687" s="28">
        <f>IFERROR(PROPERTIES[[#This Row],[TE_STARTING_KN]]/(PROPERTIES[[#This Row],[WEIGHT]]*9.81),0)</f>
        <v>0</v>
      </c>
      <c r="T687" s="28">
        <v>0.3</v>
      </c>
      <c r="U687" s="25">
        <f>ROUND(IF(IFERROR(PROPERTIES[[#This Row],[TE_COEFFICIENT_CALC]],0)=0,PROPERTIES[[#This Row],[TE_COEFFICIENT_MANUAL]],PROPERTIES[[#This Row],[TE_COEFFICIENT_CALC]]),3)</f>
        <v>0.3</v>
      </c>
      <c r="V687" s="11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36">
        <v>0</v>
      </c>
      <c r="X687" s="9">
        <v>0</v>
      </c>
      <c r="Y687" s="10">
        <v>0</v>
      </c>
      <c r="Z687" t="s">
        <v>882</v>
      </c>
      <c r="AA687" t="s">
        <v>868</v>
      </c>
      <c r="AB687" s="2" t="s">
        <v>886</v>
      </c>
      <c r="AC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7" s="2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H687" s="10" t="b">
        <v>0</v>
      </c>
      <c r="AY687"/>
      <c r="AZ687"/>
      <c r="BA687"/>
    </row>
    <row r="688" spans="1:53">
      <c r="A688" s="2" t="s">
        <v>821</v>
      </c>
      <c r="B688">
        <v>2000</v>
      </c>
      <c r="C688" cm="1">
        <f t="array" ref="C688">_xlfn.IFS(ISNUMBER(SEARCH("wagon",PROPERTIES[[#This Row],[VEHIDCODE]])),0,OR(MID(PROPERTIES[[#This Row],[VEHIDCODE]],2,2)="mu",_xlfn.TEXTBEFORE(PROPERTIES[[#This Row],[VEHIDCODE]],"_")="mtro"),1,1=1,0)</f>
        <v>0</v>
      </c>
      <c r="E688" t="str">
        <f>_xlfn.XLOOKUP(PROPERTIES[[#This Row],[COUNTRY]],COUNTRIES[COUNTRY_DESCRIPTION],COUNTRIES[COUNTRY_LABEL],"")</f>
        <v/>
      </c>
      <c r="F688" t="str" cm="1">
        <f t="array" ref="F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8" t="s">
        <v>597</v>
      </c>
      <c r="H688">
        <v>84</v>
      </c>
      <c r="I688">
        <v>8</v>
      </c>
      <c r="J688">
        <v>8</v>
      </c>
      <c r="K688" t="str" cm="1">
        <f t="array" ref="K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f>IF(ISNUMBER(SEARCH("passenger",PROPERTIES[[#This Row],[CARGODEF]])),1,0)</f>
        <v>0</v>
      </c>
      <c r="O688" s="32">
        <v>42</v>
      </c>
      <c r="P688">
        <v>0</v>
      </c>
      <c r="Q688">
        <v>100</v>
      </c>
      <c r="R688" s="29">
        <v>0</v>
      </c>
      <c r="S688" s="28">
        <f>IFERROR(PROPERTIES[[#This Row],[TE_STARTING_KN]]/(PROPERTIES[[#This Row],[WEIGHT]]*9.81),0)</f>
        <v>0</v>
      </c>
      <c r="T688" s="28">
        <v>0.3</v>
      </c>
      <c r="U688" s="25">
        <f>ROUND(IF(IFERROR(PROPERTIES[[#This Row],[TE_COEFFICIENT_CALC]],0)=0,PROPERTIES[[#This Row],[TE_COEFFICIENT_MANUAL]],PROPERTIES[[#This Row],[TE_COEFFICIENT_CALC]]),3)</f>
        <v>0.3</v>
      </c>
      <c r="V688" s="11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36">
        <v>0</v>
      </c>
      <c r="X688" s="9">
        <v>0</v>
      </c>
      <c r="Y688" s="10">
        <v>0</v>
      </c>
      <c r="Z688" t="s">
        <v>882</v>
      </c>
      <c r="AA688" t="s">
        <v>868</v>
      </c>
      <c r="AB688" s="2" t="s">
        <v>886</v>
      </c>
      <c r="AC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8" s="2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H688" s="10" t="b">
        <v>0</v>
      </c>
      <c r="AY688"/>
      <c r="AZ688"/>
      <c r="BA688"/>
    </row>
    <row r="689" spans="1:53">
      <c r="A689" s="2" t="s">
        <v>822</v>
      </c>
      <c r="B689">
        <v>1990</v>
      </c>
      <c r="C689" cm="1">
        <f t="array" ref="C689">_xlfn.IFS(ISNUMBER(SEARCH("wagon",PROPERTIES[[#This Row],[VEHIDCODE]])),0,OR(MID(PROPERTIES[[#This Row],[VEHIDCODE]],2,2)="mu",_xlfn.TEXTBEFORE(PROPERTIES[[#This Row],[VEHIDCODE]],"_")="mtro"),1,1=1,0)</f>
        <v>0</v>
      </c>
      <c r="E689" t="str">
        <f>_xlfn.XLOOKUP(PROPERTIES[[#This Row],[COUNTRY]],COUNTRIES[COUNTRY_DESCRIPTION],COUNTRIES[COUNTRY_LABEL],"")</f>
        <v/>
      </c>
      <c r="F689" t="str" cm="1">
        <f t="array" ref="F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9" t="s">
        <v>2925</v>
      </c>
      <c r="H689">
        <v>63</v>
      </c>
      <c r="I689">
        <v>8</v>
      </c>
      <c r="J689">
        <v>8</v>
      </c>
      <c r="K689" t="str" cm="1">
        <f t="array" ref="K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f>IF(ISNUMBER(SEARCH("passenger",PROPERTIES[[#This Row],[CARGODEF]])),1,0)</f>
        <v>0</v>
      </c>
      <c r="O689" s="32">
        <v>27</v>
      </c>
      <c r="P689">
        <v>0</v>
      </c>
      <c r="Q689">
        <v>120</v>
      </c>
      <c r="R689" s="29">
        <v>0</v>
      </c>
      <c r="S689" s="28">
        <f>IFERROR(PROPERTIES[[#This Row],[TE_STARTING_KN]]/(PROPERTIES[[#This Row],[WEIGHT]]*9.81),0)</f>
        <v>0</v>
      </c>
      <c r="T689" s="28">
        <v>0.3</v>
      </c>
      <c r="U689" s="25">
        <f>ROUND(IF(IFERROR(PROPERTIES[[#This Row],[TE_COEFFICIENT_CALC]],0)=0,PROPERTIES[[#This Row],[TE_COEFFICIENT_MANUAL]],PROPERTIES[[#This Row],[TE_COEFFICIENT_CALC]]),3)</f>
        <v>0.3</v>
      </c>
      <c r="V689" s="11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36">
        <v>0</v>
      </c>
      <c r="X689" s="9">
        <v>0</v>
      </c>
      <c r="Y689" s="10">
        <v>0</v>
      </c>
      <c r="Z689" t="s">
        <v>882</v>
      </c>
      <c r="AA689" t="s">
        <v>868</v>
      </c>
      <c r="AB689" s="2" t="s">
        <v>886</v>
      </c>
      <c r="AC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9" s="2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H689" s="10" t="b">
        <v>0</v>
      </c>
      <c r="AY689"/>
      <c r="AZ689"/>
      <c r="BA689"/>
    </row>
    <row r="690" spans="1:53">
      <c r="A690" s="2" t="s">
        <v>823</v>
      </c>
      <c r="B690">
        <v>1990</v>
      </c>
      <c r="C690" cm="1">
        <f t="array" ref="C690">_xlfn.IFS(ISNUMBER(SEARCH("wagon",PROPERTIES[[#This Row],[VEHIDCODE]])),0,OR(MID(PROPERTIES[[#This Row],[VEHIDCODE]],2,2)="mu",_xlfn.TEXTBEFORE(PROPERTIES[[#This Row],[VEHIDCODE]],"_")="mtro"),1,1=1,0)</f>
        <v>0</v>
      </c>
      <c r="E690" t="str">
        <f>_xlfn.XLOOKUP(PROPERTIES[[#This Row],[COUNTRY]],COUNTRIES[COUNTRY_DESCRIPTION],COUNTRIES[COUNTRY_LABEL],"")</f>
        <v/>
      </c>
      <c r="F690" t="str" cm="1">
        <f t="array" ref="F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0" t="s">
        <v>2928</v>
      </c>
      <c r="H690">
        <v>63</v>
      </c>
      <c r="I690">
        <v>8</v>
      </c>
      <c r="J690">
        <v>8</v>
      </c>
      <c r="K690" t="str" cm="1">
        <f t="array" ref="K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f>IF(ISNUMBER(SEARCH("passenger",PROPERTIES[[#This Row],[CARGODEF]])),1,0)</f>
        <v>0</v>
      </c>
      <c r="O690" s="32">
        <v>27</v>
      </c>
      <c r="P690">
        <v>0</v>
      </c>
      <c r="Q690">
        <v>120</v>
      </c>
      <c r="R690" s="29">
        <v>0</v>
      </c>
      <c r="S690" s="28">
        <f>IFERROR(PROPERTIES[[#This Row],[TE_STARTING_KN]]/(PROPERTIES[[#This Row],[WEIGHT]]*9.81),0)</f>
        <v>0</v>
      </c>
      <c r="T690" s="28">
        <v>0.3</v>
      </c>
      <c r="U690" s="25">
        <f>ROUND(IF(IFERROR(PROPERTIES[[#This Row],[TE_COEFFICIENT_CALC]],0)=0,PROPERTIES[[#This Row],[TE_COEFFICIENT_MANUAL]],PROPERTIES[[#This Row],[TE_COEFFICIENT_CALC]]),3)</f>
        <v>0.3</v>
      </c>
      <c r="V690" s="11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36">
        <v>0</v>
      </c>
      <c r="X690" s="9">
        <v>0</v>
      </c>
      <c r="Y690" s="10">
        <v>0</v>
      </c>
      <c r="Z690" t="s">
        <v>882</v>
      </c>
      <c r="AA690" t="s">
        <v>868</v>
      </c>
      <c r="AB690" s="2" t="s">
        <v>886</v>
      </c>
      <c r="AC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0" s="2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H690" s="10" t="b">
        <v>0</v>
      </c>
      <c r="AY690"/>
      <c r="AZ690"/>
      <c r="BA690"/>
    </row>
    <row r="691" spans="1:53">
      <c r="A691" s="2" t="s">
        <v>824</v>
      </c>
      <c r="B691">
        <v>2000</v>
      </c>
      <c r="C691" cm="1">
        <f t="array" ref="C691">_xlfn.IFS(ISNUMBER(SEARCH("wagon",PROPERTIES[[#This Row],[VEHIDCODE]])),0,OR(MID(PROPERTIES[[#This Row],[VEHIDCODE]],2,2)="mu",_xlfn.TEXTBEFORE(PROPERTIES[[#This Row],[VEHIDCODE]],"_")="mtro"),1,1=1,0)</f>
        <v>0</v>
      </c>
      <c r="E691" t="str">
        <f>_xlfn.XLOOKUP(PROPERTIES[[#This Row],[COUNTRY]],COUNTRIES[COUNTRY_DESCRIPTION],COUNTRIES[COUNTRY_LABEL],"")</f>
        <v/>
      </c>
      <c r="F691" t="str" cm="1">
        <f t="array" ref="F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1" t="s">
        <v>601</v>
      </c>
      <c r="H691">
        <v>95</v>
      </c>
      <c r="I691">
        <v>8</v>
      </c>
      <c r="J691">
        <v>8</v>
      </c>
      <c r="K691" t="str" cm="1">
        <f t="array" ref="K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f>IF(ISNUMBER(SEARCH("passenger",PROPERTIES[[#This Row],[CARGODEF]])),1,0)</f>
        <v>0</v>
      </c>
      <c r="O691" s="32">
        <v>24</v>
      </c>
      <c r="P691">
        <v>0</v>
      </c>
      <c r="Q691">
        <v>120</v>
      </c>
      <c r="R691" s="29">
        <v>0</v>
      </c>
      <c r="S691" s="28">
        <f>IFERROR(PROPERTIES[[#This Row],[TE_STARTING_KN]]/(PROPERTIES[[#This Row],[WEIGHT]]*9.81),0)</f>
        <v>0</v>
      </c>
      <c r="T691" s="28">
        <v>0.3</v>
      </c>
      <c r="U691" s="25">
        <f>ROUND(IF(IFERROR(PROPERTIES[[#This Row],[TE_COEFFICIENT_CALC]],0)=0,PROPERTIES[[#This Row],[TE_COEFFICIENT_MANUAL]],PROPERTIES[[#This Row],[TE_COEFFICIENT_CALC]]),3)</f>
        <v>0.3</v>
      </c>
      <c r="V691" s="11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36">
        <v>0</v>
      </c>
      <c r="X691" s="9">
        <v>0</v>
      </c>
      <c r="Y691" s="10">
        <v>0</v>
      </c>
      <c r="Z691" t="s">
        <v>882</v>
      </c>
      <c r="AA691" t="s">
        <v>868</v>
      </c>
      <c r="AB691" s="2" t="s">
        <v>886</v>
      </c>
      <c r="AC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1" s="2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H691" s="10" t="b">
        <v>0</v>
      </c>
      <c r="AY691"/>
      <c r="AZ691"/>
      <c r="BA691"/>
    </row>
    <row r="692" spans="1:53">
      <c r="A692" s="2" t="s">
        <v>825</v>
      </c>
      <c r="B692">
        <v>1990</v>
      </c>
      <c r="C692" cm="1">
        <f t="array" ref="C692">_xlfn.IFS(ISNUMBER(SEARCH("wagon",PROPERTIES[[#This Row],[VEHIDCODE]])),0,OR(MID(PROPERTIES[[#This Row],[VEHIDCODE]],2,2)="mu",_xlfn.TEXTBEFORE(PROPERTIES[[#This Row],[VEHIDCODE]],"_")="mtro"),1,1=1,0)</f>
        <v>0</v>
      </c>
      <c r="E692" t="str">
        <f>_xlfn.XLOOKUP(PROPERTIES[[#This Row],[COUNTRY]],COUNTRIES[COUNTRY_DESCRIPTION],COUNTRIES[COUNTRY_LABEL],"")</f>
        <v/>
      </c>
      <c r="F692" t="str" cm="1">
        <f t="array" ref="F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2" t="s">
        <v>596</v>
      </c>
      <c r="H692">
        <v>65</v>
      </c>
      <c r="I692">
        <v>8</v>
      </c>
      <c r="J692">
        <v>8</v>
      </c>
      <c r="K692" t="str" cm="1">
        <f t="array" ref="K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f>IF(ISNUMBER(SEARCH("passenger",PROPERTIES[[#This Row],[CARGODEF]])),1,0)</f>
        <v>0</v>
      </c>
      <c r="O692" s="32">
        <v>22</v>
      </c>
      <c r="P692">
        <v>0</v>
      </c>
      <c r="Q692">
        <v>120</v>
      </c>
      <c r="R692" s="29">
        <v>0</v>
      </c>
      <c r="S692" s="28">
        <f>IFERROR(PROPERTIES[[#This Row],[TE_STARTING_KN]]/(PROPERTIES[[#This Row],[WEIGHT]]*9.81),0)</f>
        <v>0</v>
      </c>
      <c r="T692" s="28">
        <v>0.3</v>
      </c>
      <c r="U692" s="25">
        <f>ROUND(IF(IFERROR(PROPERTIES[[#This Row],[TE_COEFFICIENT_CALC]],0)=0,PROPERTIES[[#This Row],[TE_COEFFICIENT_MANUAL]],PROPERTIES[[#This Row],[TE_COEFFICIENT_CALC]]),3)</f>
        <v>0.3</v>
      </c>
      <c r="V692" s="11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36">
        <v>0</v>
      </c>
      <c r="X692" s="9">
        <v>0</v>
      </c>
      <c r="Y692" s="10">
        <v>0</v>
      </c>
      <c r="Z692" t="s">
        <v>882</v>
      </c>
      <c r="AA692" t="s">
        <v>868</v>
      </c>
      <c r="AB692" s="2" t="s">
        <v>886</v>
      </c>
      <c r="AC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2" s="2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H692" s="10" t="b">
        <v>0</v>
      </c>
      <c r="AY692"/>
      <c r="AZ692"/>
      <c r="BA692"/>
    </row>
    <row r="693" spans="1:53">
      <c r="A693" s="2" t="s">
        <v>826</v>
      </c>
      <c r="B693">
        <v>2000</v>
      </c>
      <c r="C693" cm="1">
        <f t="array" ref="C693">_xlfn.IFS(ISNUMBER(SEARCH("wagon",PROPERTIES[[#This Row],[VEHIDCODE]])),0,OR(MID(PROPERTIES[[#This Row],[VEHIDCODE]],2,2)="mu",_xlfn.TEXTBEFORE(PROPERTIES[[#This Row],[VEHIDCODE]],"_")="mtro"),1,1=1,0)</f>
        <v>0</v>
      </c>
      <c r="E693" t="str">
        <f>_xlfn.XLOOKUP(PROPERTIES[[#This Row],[COUNTRY]],COUNTRIES[COUNTRY_DESCRIPTION],COUNTRIES[COUNTRY_LABEL],"")</f>
        <v/>
      </c>
      <c r="F693" t="str" cm="1">
        <f t="array" ref="F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3" t="s">
        <v>2927</v>
      </c>
      <c r="H693">
        <v>65</v>
      </c>
      <c r="I693">
        <v>8</v>
      </c>
      <c r="J693">
        <v>8</v>
      </c>
      <c r="K693" t="str" cm="1">
        <f t="array" ref="K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f>IF(ISNUMBER(SEARCH("passenger",PROPERTIES[[#This Row],[CARGODEF]])),1,0)</f>
        <v>0</v>
      </c>
      <c r="O693" s="32">
        <v>27</v>
      </c>
      <c r="P693">
        <v>0</v>
      </c>
      <c r="Q693">
        <v>120</v>
      </c>
      <c r="R693" s="29">
        <v>0</v>
      </c>
      <c r="S693" s="28">
        <f>IFERROR(PROPERTIES[[#This Row],[TE_STARTING_KN]]/(PROPERTIES[[#This Row],[WEIGHT]]*9.81),0)</f>
        <v>0</v>
      </c>
      <c r="T693" s="28">
        <v>0.3</v>
      </c>
      <c r="U693" s="25">
        <f>ROUND(IF(IFERROR(PROPERTIES[[#This Row],[TE_COEFFICIENT_CALC]],0)=0,PROPERTIES[[#This Row],[TE_COEFFICIENT_MANUAL]],PROPERTIES[[#This Row],[TE_COEFFICIENT_CALC]]),3)</f>
        <v>0.3</v>
      </c>
      <c r="V693" s="11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36">
        <v>0</v>
      </c>
      <c r="X693" s="9">
        <v>0</v>
      </c>
      <c r="Y693" s="10">
        <v>0</v>
      </c>
      <c r="Z693" t="s">
        <v>882</v>
      </c>
      <c r="AA693" t="s">
        <v>868</v>
      </c>
      <c r="AB693" s="2" t="s">
        <v>886</v>
      </c>
      <c r="AC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3" s="2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H693" s="10" t="b">
        <v>0</v>
      </c>
      <c r="AY693"/>
      <c r="AZ693"/>
      <c r="BA693"/>
    </row>
    <row r="694" spans="1:53">
      <c r="A694" s="2" t="s">
        <v>827</v>
      </c>
      <c r="B694">
        <v>2000</v>
      </c>
      <c r="C694" cm="1">
        <f t="array" ref="C694">_xlfn.IFS(ISNUMBER(SEARCH("wagon",PROPERTIES[[#This Row],[VEHIDCODE]])),0,OR(MID(PROPERTIES[[#This Row],[VEHIDCODE]],2,2)="mu",_xlfn.TEXTBEFORE(PROPERTIES[[#This Row],[VEHIDCODE]],"_")="mtro"),1,1=1,0)</f>
        <v>0</v>
      </c>
      <c r="E694" t="str">
        <f>_xlfn.XLOOKUP(PROPERTIES[[#This Row],[COUNTRY]],COUNTRIES[COUNTRY_DESCRIPTION],COUNTRIES[COUNTRY_LABEL],"")</f>
        <v/>
      </c>
      <c r="F694" t="str" cm="1">
        <f t="array" ref="F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4" t="s">
        <v>2930</v>
      </c>
      <c r="H694">
        <v>65</v>
      </c>
      <c r="I694">
        <v>8</v>
      </c>
      <c r="J694">
        <v>8</v>
      </c>
      <c r="K694" t="str" cm="1">
        <f t="array" ref="K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f>IF(ISNUMBER(SEARCH("passenger",PROPERTIES[[#This Row],[CARGODEF]])),1,0)</f>
        <v>0</v>
      </c>
      <c r="O694" s="32">
        <v>27</v>
      </c>
      <c r="P694">
        <v>0</v>
      </c>
      <c r="Q694">
        <v>120</v>
      </c>
      <c r="R694" s="29">
        <v>0</v>
      </c>
      <c r="S694" s="28">
        <f>IFERROR(PROPERTIES[[#This Row],[TE_STARTING_KN]]/(PROPERTIES[[#This Row],[WEIGHT]]*9.81),0)</f>
        <v>0</v>
      </c>
      <c r="T694" s="28">
        <v>0.3</v>
      </c>
      <c r="U694" s="25">
        <f>ROUND(IF(IFERROR(PROPERTIES[[#This Row],[TE_COEFFICIENT_CALC]],0)=0,PROPERTIES[[#This Row],[TE_COEFFICIENT_MANUAL]],PROPERTIES[[#This Row],[TE_COEFFICIENT_CALC]]),3)</f>
        <v>0.3</v>
      </c>
      <c r="V694" s="11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36">
        <v>0</v>
      </c>
      <c r="X694" s="9">
        <v>0</v>
      </c>
      <c r="Y694" s="10">
        <v>0</v>
      </c>
      <c r="Z694" t="s">
        <v>882</v>
      </c>
      <c r="AA694" t="s">
        <v>868</v>
      </c>
      <c r="AB694" s="2" t="s">
        <v>886</v>
      </c>
      <c r="AC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4" s="2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H694" s="10" t="b">
        <v>0</v>
      </c>
      <c r="AY694"/>
      <c r="AZ694"/>
      <c r="BA694"/>
    </row>
    <row r="695" spans="1:53">
      <c r="A695" s="2" t="s">
        <v>828</v>
      </c>
      <c r="B695">
        <v>2000</v>
      </c>
      <c r="C695" cm="1">
        <f t="array" ref="C695">_xlfn.IFS(ISNUMBER(SEARCH("wagon",PROPERTIES[[#This Row],[VEHIDCODE]])),0,OR(MID(PROPERTIES[[#This Row],[VEHIDCODE]],2,2)="mu",_xlfn.TEXTBEFORE(PROPERTIES[[#This Row],[VEHIDCODE]],"_")="mtro"),1,1=1,0)</f>
        <v>0</v>
      </c>
      <c r="E695" t="str">
        <f>_xlfn.XLOOKUP(PROPERTIES[[#This Row],[COUNTRY]],COUNTRIES[COUNTRY_DESCRIPTION],COUNTRIES[COUNTRY_LABEL],"")</f>
        <v/>
      </c>
      <c r="F695" t="str" cm="1">
        <f t="array" ref="F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5" t="s">
        <v>2926</v>
      </c>
      <c r="H695">
        <v>65</v>
      </c>
      <c r="I695">
        <v>8</v>
      </c>
      <c r="J695">
        <v>8</v>
      </c>
      <c r="K695" t="str" cm="1">
        <f t="array" ref="K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f>IF(ISNUMBER(SEARCH("passenger",PROPERTIES[[#This Row],[CARGODEF]])),1,0)</f>
        <v>0</v>
      </c>
      <c r="O695" s="32">
        <v>26</v>
      </c>
      <c r="P695">
        <v>0</v>
      </c>
      <c r="Q695">
        <v>120</v>
      </c>
      <c r="R695" s="29">
        <v>0</v>
      </c>
      <c r="S695" s="28">
        <f>IFERROR(PROPERTIES[[#This Row],[TE_STARTING_KN]]/(PROPERTIES[[#This Row],[WEIGHT]]*9.81),0)</f>
        <v>0</v>
      </c>
      <c r="T695" s="28">
        <v>0.3</v>
      </c>
      <c r="U695" s="25">
        <f>ROUND(IF(IFERROR(PROPERTIES[[#This Row],[TE_COEFFICIENT_CALC]],0)=0,PROPERTIES[[#This Row],[TE_COEFFICIENT_MANUAL]],PROPERTIES[[#This Row],[TE_COEFFICIENT_CALC]]),3)</f>
        <v>0.3</v>
      </c>
      <c r="V695" s="11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36">
        <v>0</v>
      </c>
      <c r="X695" s="9">
        <v>0</v>
      </c>
      <c r="Y695" s="10">
        <v>0</v>
      </c>
      <c r="Z695" t="s">
        <v>882</v>
      </c>
      <c r="AA695" t="s">
        <v>868</v>
      </c>
      <c r="AB695" s="2" t="s">
        <v>886</v>
      </c>
      <c r="AC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5" s="2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H695" s="10" t="b">
        <v>0</v>
      </c>
      <c r="AY695"/>
      <c r="AZ695"/>
      <c r="BA695"/>
    </row>
    <row r="696" spans="1:53">
      <c r="A696" s="2" t="s">
        <v>829</v>
      </c>
      <c r="B696">
        <v>2000</v>
      </c>
      <c r="C696" cm="1">
        <f t="array" ref="C696">_xlfn.IFS(ISNUMBER(SEARCH("wagon",PROPERTIES[[#This Row],[VEHIDCODE]])),0,OR(MID(PROPERTIES[[#This Row],[VEHIDCODE]],2,2)="mu",_xlfn.TEXTBEFORE(PROPERTIES[[#This Row],[VEHIDCODE]],"_")="mtro"),1,1=1,0)</f>
        <v>0</v>
      </c>
      <c r="E696" t="str">
        <f>_xlfn.XLOOKUP(PROPERTIES[[#This Row],[COUNTRY]],COUNTRIES[COUNTRY_DESCRIPTION],COUNTRIES[COUNTRY_LABEL],"")</f>
        <v/>
      </c>
      <c r="F696" t="str" cm="1">
        <f t="array" ref="F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6" t="s">
        <v>2929</v>
      </c>
      <c r="H696">
        <v>65</v>
      </c>
      <c r="I696">
        <v>8</v>
      </c>
      <c r="J696">
        <v>8</v>
      </c>
      <c r="K696" t="str" cm="1">
        <f t="array" ref="K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f>IF(ISNUMBER(SEARCH("passenger",PROPERTIES[[#This Row],[CARGODEF]])),1,0)</f>
        <v>0</v>
      </c>
      <c r="O696" s="32">
        <v>26</v>
      </c>
      <c r="P696">
        <v>0</v>
      </c>
      <c r="Q696">
        <v>120</v>
      </c>
      <c r="R696" s="29">
        <v>0</v>
      </c>
      <c r="S696" s="28">
        <f>IFERROR(PROPERTIES[[#This Row],[TE_STARTING_KN]]/(PROPERTIES[[#This Row],[WEIGHT]]*9.81),0)</f>
        <v>0</v>
      </c>
      <c r="T696" s="28">
        <v>0.3</v>
      </c>
      <c r="U696" s="25">
        <f>ROUND(IF(IFERROR(PROPERTIES[[#This Row],[TE_COEFFICIENT_CALC]],0)=0,PROPERTIES[[#This Row],[TE_COEFFICIENT_MANUAL]],PROPERTIES[[#This Row],[TE_COEFFICIENT_CALC]]),3)</f>
        <v>0.3</v>
      </c>
      <c r="V696" s="11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36">
        <v>0</v>
      </c>
      <c r="X696" s="9">
        <v>0</v>
      </c>
      <c r="Y696" s="10">
        <v>0</v>
      </c>
      <c r="Z696" t="s">
        <v>882</v>
      </c>
      <c r="AA696" t="s">
        <v>868</v>
      </c>
      <c r="AB696" s="2" t="s">
        <v>886</v>
      </c>
      <c r="AC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6" s="2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H696" s="10" t="b">
        <v>0</v>
      </c>
      <c r="AY696"/>
      <c r="AZ696"/>
      <c r="BA696"/>
    </row>
    <row r="697" spans="1:53">
      <c r="A697" s="2" t="s">
        <v>830</v>
      </c>
      <c r="B697">
        <v>2000</v>
      </c>
      <c r="C697" cm="1">
        <f t="array" ref="C697">_xlfn.IFS(ISNUMBER(SEARCH("wagon",PROPERTIES[[#This Row],[VEHIDCODE]])),0,OR(MID(PROPERTIES[[#This Row],[VEHIDCODE]],2,2)="mu",_xlfn.TEXTBEFORE(PROPERTIES[[#This Row],[VEHIDCODE]],"_")="mtro"),1,1=1,0)</f>
        <v>0</v>
      </c>
      <c r="E697" t="str">
        <f>_xlfn.XLOOKUP(PROPERTIES[[#This Row],[COUNTRY]],COUNTRIES[COUNTRY_DESCRIPTION],COUNTRIES[COUNTRY_LABEL],"")</f>
        <v/>
      </c>
      <c r="F697" t="str" cm="1">
        <f t="array" ref="F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7" t="s">
        <v>592</v>
      </c>
      <c r="H697">
        <v>16</v>
      </c>
      <c r="I697">
        <v>8</v>
      </c>
      <c r="J697">
        <v>8</v>
      </c>
      <c r="K697" t="str" cm="1">
        <f t="array" ref="K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f>IF(ISNUMBER(SEARCH("passenger",PROPERTIES[[#This Row],[CARGODEF]])),1,0)</f>
        <v>0</v>
      </c>
      <c r="O697" s="32">
        <v>28</v>
      </c>
      <c r="P697">
        <v>0</v>
      </c>
      <c r="Q697">
        <v>160</v>
      </c>
      <c r="R697" s="29">
        <v>0</v>
      </c>
      <c r="S697" s="28">
        <f>IFERROR(PROPERTIES[[#This Row],[TE_STARTING_KN]]/(PROPERTIES[[#This Row],[WEIGHT]]*9.81),0)</f>
        <v>0</v>
      </c>
      <c r="T697" s="28">
        <v>0.3</v>
      </c>
      <c r="U697" s="25">
        <f>ROUND(IF(IFERROR(PROPERTIES[[#This Row],[TE_COEFFICIENT_CALC]],0)=0,PROPERTIES[[#This Row],[TE_COEFFICIENT_MANUAL]],PROPERTIES[[#This Row],[TE_COEFFICIENT_CALC]]),3)</f>
        <v>0.3</v>
      </c>
      <c r="V697" s="11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36">
        <v>0</v>
      </c>
      <c r="X697" s="9">
        <v>0</v>
      </c>
      <c r="Y697" s="10">
        <v>0</v>
      </c>
      <c r="Z697" t="s">
        <v>882</v>
      </c>
      <c r="AA697" t="s">
        <v>868</v>
      </c>
      <c r="AB697" s="2" t="s">
        <v>886</v>
      </c>
      <c r="AC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7" s="2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H697" s="10" t="b">
        <v>0</v>
      </c>
      <c r="AY697"/>
      <c r="AZ697"/>
      <c r="BA697"/>
    </row>
    <row r="698" spans="1:53">
      <c r="A698" s="2" t="s">
        <v>831</v>
      </c>
      <c r="B698">
        <v>1990</v>
      </c>
      <c r="C698" cm="1">
        <f t="array" ref="C698">_xlfn.IFS(ISNUMBER(SEARCH("wagon",PROPERTIES[[#This Row],[VEHIDCODE]])),0,OR(MID(PROPERTIES[[#This Row],[VEHIDCODE]],2,2)="mu",_xlfn.TEXTBEFORE(PROPERTIES[[#This Row],[VEHIDCODE]],"_")="mtro"),1,1=1,0)</f>
        <v>0</v>
      </c>
      <c r="E698" t="str">
        <f>_xlfn.XLOOKUP(PROPERTIES[[#This Row],[COUNTRY]],COUNTRIES[COUNTRY_DESCRIPTION],COUNTRIES[COUNTRY_LABEL],"")</f>
        <v/>
      </c>
      <c r="F698" t="str" cm="1">
        <f t="array" ref="F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8" t="s">
        <v>526</v>
      </c>
      <c r="H698">
        <v>50</v>
      </c>
      <c r="I698">
        <v>8</v>
      </c>
      <c r="J698">
        <v>8</v>
      </c>
      <c r="K698" t="str" cm="1">
        <f t="array" ref="K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f>IF(ISNUMBER(SEARCH("passenger",PROPERTIES[[#This Row],[CARGODEF]])),1,0)</f>
        <v>0</v>
      </c>
      <c r="O698" s="32">
        <v>22</v>
      </c>
      <c r="P698">
        <v>0</v>
      </c>
      <c r="Q698">
        <v>160</v>
      </c>
      <c r="R698" s="29">
        <v>0</v>
      </c>
      <c r="S698" s="28">
        <f>IFERROR(PROPERTIES[[#This Row],[TE_STARTING_KN]]/(PROPERTIES[[#This Row],[WEIGHT]]*9.81),0)</f>
        <v>0</v>
      </c>
      <c r="T698" s="28">
        <v>0.3</v>
      </c>
      <c r="U698" s="25">
        <f>ROUND(IF(IFERROR(PROPERTIES[[#This Row],[TE_COEFFICIENT_CALC]],0)=0,PROPERTIES[[#This Row],[TE_COEFFICIENT_MANUAL]],PROPERTIES[[#This Row],[TE_COEFFICIENT_CALC]]),3)</f>
        <v>0.3</v>
      </c>
      <c r="V698" s="11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36">
        <v>0</v>
      </c>
      <c r="X698" s="9">
        <v>0</v>
      </c>
      <c r="Y698" s="10">
        <v>0</v>
      </c>
      <c r="Z698" t="s">
        <v>882</v>
      </c>
      <c r="AA698" t="s">
        <v>868</v>
      </c>
      <c r="AB698" s="2" t="s">
        <v>886</v>
      </c>
      <c r="AC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8" s="2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H698" s="10" t="b">
        <v>0</v>
      </c>
      <c r="AY698"/>
      <c r="AZ698"/>
      <c r="BA698"/>
    </row>
    <row r="699" spans="1:53">
      <c r="A699" s="2" t="s">
        <v>832</v>
      </c>
      <c r="B699">
        <v>1990</v>
      </c>
      <c r="C699" cm="1">
        <f t="array" ref="C699">_xlfn.IFS(ISNUMBER(SEARCH("wagon",PROPERTIES[[#This Row],[VEHIDCODE]])),0,OR(MID(PROPERTIES[[#This Row],[VEHIDCODE]],2,2)="mu",_xlfn.TEXTBEFORE(PROPERTIES[[#This Row],[VEHIDCODE]],"_")="mtro"),1,1=1,0)</f>
        <v>0</v>
      </c>
      <c r="E699" t="str">
        <f>_xlfn.XLOOKUP(PROPERTIES[[#This Row],[COUNTRY]],COUNTRIES[COUNTRY_DESCRIPTION],COUNTRIES[COUNTRY_LABEL],"")</f>
        <v/>
      </c>
      <c r="F699" t="str" cm="1">
        <f t="array" ref="F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9" t="s">
        <v>593</v>
      </c>
      <c r="H699">
        <v>55</v>
      </c>
      <c r="I699">
        <v>8</v>
      </c>
      <c r="J699">
        <v>8</v>
      </c>
      <c r="K699" t="str" cm="1">
        <f t="array" ref="K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f>IF(ISNUMBER(SEARCH("passenger",PROPERTIES[[#This Row],[CARGODEF]])),1,0)</f>
        <v>0</v>
      </c>
      <c r="O699" s="32">
        <v>40</v>
      </c>
      <c r="P699">
        <v>0</v>
      </c>
      <c r="Q699">
        <v>120</v>
      </c>
      <c r="R699" s="29">
        <v>0</v>
      </c>
      <c r="S699" s="28">
        <f>IFERROR(PROPERTIES[[#This Row],[TE_STARTING_KN]]/(PROPERTIES[[#This Row],[WEIGHT]]*9.81),0)</f>
        <v>0</v>
      </c>
      <c r="T699" s="28">
        <v>0.3</v>
      </c>
      <c r="U699" s="25">
        <f>ROUND(IF(IFERROR(PROPERTIES[[#This Row],[TE_COEFFICIENT_CALC]],0)=0,PROPERTIES[[#This Row],[TE_COEFFICIENT_MANUAL]],PROPERTIES[[#This Row],[TE_COEFFICIENT_CALC]]),3)</f>
        <v>0.3</v>
      </c>
      <c r="V699" s="11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36">
        <v>0</v>
      </c>
      <c r="X699" s="9">
        <v>0</v>
      </c>
      <c r="Y699" s="10">
        <v>0</v>
      </c>
      <c r="Z699" t="s">
        <v>882</v>
      </c>
      <c r="AA699" t="s">
        <v>868</v>
      </c>
      <c r="AB699" s="2" t="s">
        <v>886</v>
      </c>
      <c r="AC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9" s="2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H699" s="10" t="b">
        <v>0</v>
      </c>
      <c r="AY699"/>
      <c r="AZ699"/>
      <c r="BA699"/>
    </row>
    <row r="700" spans="1:53">
      <c r="A700" s="2" t="s">
        <v>833</v>
      </c>
      <c r="B700">
        <v>1980</v>
      </c>
      <c r="C700" cm="1">
        <f t="array" ref="C700">_xlfn.IFS(ISNUMBER(SEARCH("wagon",PROPERTIES[[#This Row],[VEHIDCODE]])),0,OR(MID(PROPERTIES[[#This Row],[VEHIDCODE]],2,2)="mu",_xlfn.TEXTBEFORE(PROPERTIES[[#This Row],[VEHIDCODE]],"_")="mtro"),1,1=1,0)</f>
        <v>0</v>
      </c>
      <c r="E700" t="str">
        <f>_xlfn.XLOOKUP(PROPERTIES[[#This Row],[COUNTRY]],COUNTRIES[COUNTRY_DESCRIPTION],COUNTRIES[COUNTRY_LABEL],"")</f>
        <v/>
      </c>
      <c r="F700" t="str" cm="1">
        <f t="array" ref="F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0" t="s">
        <v>594</v>
      </c>
      <c r="H700">
        <v>65</v>
      </c>
      <c r="I700">
        <v>8</v>
      </c>
      <c r="J700">
        <v>8</v>
      </c>
      <c r="K700" t="str" cm="1">
        <f t="array" ref="K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f>IF(ISNUMBER(SEARCH("passenger",PROPERTIES[[#This Row],[CARGODEF]])),1,0)</f>
        <v>0</v>
      </c>
      <c r="O700" s="32">
        <v>25</v>
      </c>
      <c r="P700">
        <v>0</v>
      </c>
      <c r="Q700">
        <v>120</v>
      </c>
      <c r="R700" s="29">
        <v>0</v>
      </c>
      <c r="S700" s="28">
        <f>IFERROR(PROPERTIES[[#This Row],[TE_STARTING_KN]]/(PROPERTIES[[#This Row],[WEIGHT]]*9.81),0)</f>
        <v>0</v>
      </c>
      <c r="T700" s="28">
        <v>0.3</v>
      </c>
      <c r="U700" s="25">
        <f>ROUND(IF(IFERROR(PROPERTIES[[#This Row],[TE_COEFFICIENT_CALC]],0)=0,PROPERTIES[[#This Row],[TE_COEFFICIENT_MANUAL]],PROPERTIES[[#This Row],[TE_COEFFICIENT_CALC]]),3)</f>
        <v>0.3</v>
      </c>
      <c r="V700" s="11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36">
        <v>0</v>
      </c>
      <c r="X700" s="9">
        <v>0</v>
      </c>
      <c r="Y700" s="10">
        <v>0</v>
      </c>
      <c r="Z700" t="s">
        <v>882</v>
      </c>
      <c r="AA700" t="s">
        <v>868</v>
      </c>
      <c r="AB700" s="2" t="s">
        <v>886</v>
      </c>
      <c r="AC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0" s="2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H700" s="10" t="b">
        <v>0</v>
      </c>
      <c r="AY700"/>
      <c r="AZ700"/>
      <c r="BA700"/>
    </row>
    <row r="701" spans="1:53">
      <c r="A701" s="2" t="s">
        <v>834</v>
      </c>
      <c r="B701">
        <v>1990</v>
      </c>
      <c r="C701" cm="1">
        <f t="array" ref="C701">_xlfn.IFS(ISNUMBER(SEARCH("wagon",PROPERTIES[[#This Row],[VEHIDCODE]])),0,OR(MID(PROPERTIES[[#This Row],[VEHIDCODE]],2,2)="mu",_xlfn.TEXTBEFORE(PROPERTIES[[#This Row],[VEHIDCODE]],"_")="mtro"),1,1=1,0)</f>
        <v>0</v>
      </c>
      <c r="E701" t="str">
        <f>_xlfn.XLOOKUP(PROPERTIES[[#This Row],[COUNTRY]],COUNTRIES[COUNTRY_DESCRIPTION],COUNTRIES[COUNTRY_LABEL],"")</f>
        <v/>
      </c>
      <c r="F701" t="str" cm="1">
        <f t="array" ref="F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1" t="s">
        <v>600</v>
      </c>
      <c r="H701">
        <v>50</v>
      </c>
      <c r="I701">
        <v>4</v>
      </c>
      <c r="J701">
        <v>12</v>
      </c>
      <c r="K701" t="str" cm="1">
        <f t="array" ref="K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f>IF(ISNUMBER(SEARCH("passenger",PROPERTIES[[#This Row],[CARGODEF]])),1,0)</f>
        <v>0</v>
      </c>
      <c r="O701" s="32">
        <v>50</v>
      </c>
      <c r="P701">
        <v>0</v>
      </c>
      <c r="Q701">
        <v>100</v>
      </c>
      <c r="R701" s="29">
        <v>0</v>
      </c>
      <c r="S701" s="28">
        <f>IFERROR(PROPERTIES[[#This Row],[TE_STARTING_KN]]/(PROPERTIES[[#This Row],[WEIGHT]]*9.81),0)</f>
        <v>0</v>
      </c>
      <c r="T701" s="28">
        <v>0.3</v>
      </c>
      <c r="U701" s="25">
        <f>ROUND(IF(IFERROR(PROPERTIES[[#This Row],[TE_COEFFICIENT_CALC]],0)=0,PROPERTIES[[#This Row],[TE_COEFFICIENT_MANUAL]],PROPERTIES[[#This Row],[TE_COEFFICIENT_CALC]]),3)</f>
        <v>0.3</v>
      </c>
      <c r="V701" s="11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36">
        <v>0</v>
      </c>
      <c r="X701" s="9">
        <v>0</v>
      </c>
      <c r="Y701" s="10">
        <v>0</v>
      </c>
      <c r="Z701" t="s">
        <v>882</v>
      </c>
      <c r="AA701" t="s">
        <v>868</v>
      </c>
      <c r="AB701" s="2" t="s">
        <v>886</v>
      </c>
      <c r="AC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1" s="2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H701" s="10" t="b">
        <v>0</v>
      </c>
      <c r="AY701"/>
      <c r="AZ701"/>
      <c r="BA701"/>
    </row>
    <row r="702" spans="1:53">
      <c r="A702" s="2" t="s">
        <v>835</v>
      </c>
      <c r="B702">
        <v>2010</v>
      </c>
      <c r="C702" cm="1">
        <f t="array" ref="C702">_xlfn.IFS(ISNUMBER(SEARCH("wagon",PROPERTIES[[#This Row],[VEHIDCODE]])),0,OR(MID(PROPERTIES[[#This Row],[VEHIDCODE]],2,2)="mu",_xlfn.TEXTBEFORE(PROPERTIES[[#This Row],[VEHIDCODE]],"_")="mtro"),1,1=1,0)</f>
        <v>0</v>
      </c>
      <c r="E702" t="str">
        <f>_xlfn.XLOOKUP(PROPERTIES[[#This Row],[COUNTRY]],COUNTRIES[COUNTRY_DESCRIPTION],COUNTRIES[COUNTRY_LABEL],"")</f>
        <v/>
      </c>
      <c r="F702" t="str" cm="1">
        <f t="array" ref="F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2" t="s">
        <v>595</v>
      </c>
      <c r="H702">
        <v>72</v>
      </c>
      <c r="I702">
        <v>8</v>
      </c>
      <c r="J702">
        <v>8</v>
      </c>
      <c r="K702" t="str" cm="1">
        <f t="array" ref="K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f>IF(ISNUMBER(SEARCH("passenger",PROPERTIES[[#This Row],[CARGODEF]])),1,0)</f>
        <v>0</v>
      </c>
      <c r="O702" s="32">
        <v>23</v>
      </c>
      <c r="P702">
        <v>0</v>
      </c>
      <c r="Q702">
        <v>160</v>
      </c>
      <c r="R702" s="29">
        <v>0</v>
      </c>
      <c r="S702" s="28">
        <f>IFERROR(PROPERTIES[[#This Row],[TE_STARTING_KN]]/(PROPERTIES[[#This Row],[WEIGHT]]*9.81),0)</f>
        <v>0</v>
      </c>
      <c r="T702" s="28">
        <v>0.3</v>
      </c>
      <c r="U702" s="25">
        <f>ROUND(IF(IFERROR(PROPERTIES[[#This Row],[TE_COEFFICIENT_CALC]],0)=0,PROPERTIES[[#This Row],[TE_COEFFICIENT_MANUAL]],PROPERTIES[[#This Row],[TE_COEFFICIENT_CALC]]),3)</f>
        <v>0.3</v>
      </c>
      <c r="V702" s="11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36">
        <v>0</v>
      </c>
      <c r="X702" s="9">
        <v>0</v>
      </c>
      <c r="Y702" s="10">
        <v>0</v>
      </c>
      <c r="Z702" t="s">
        <v>882</v>
      </c>
      <c r="AA702" t="s">
        <v>868</v>
      </c>
      <c r="AB702" s="2" t="s">
        <v>886</v>
      </c>
      <c r="AC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2" s="2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H702" s="10" t="b">
        <v>0</v>
      </c>
      <c r="AY702"/>
      <c r="AZ702"/>
      <c r="BA702"/>
    </row>
    <row r="703" spans="1:53">
      <c r="A703" s="2" t="s">
        <v>836</v>
      </c>
      <c r="B703">
        <v>2020</v>
      </c>
      <c r="C703" cm="1">
        <f t="array" ref="C703">_xlfn.IFS(ISNUMBER(SEARCH("wagon",PROPERTIES[[#This Row],[VEHIDCODE]])),0,OR(MID(PROPERTIES[[#This Row],[VEHIDCODE]],2,2)="mu",_xlfn.TEXTBEFORE(PROPERTIES[[#This Row],[VEHIDCODE]],"_")="mtro"),1,1=1,0)</f>
        <v>0</v>
      </c>
      <c r="E703" t="str">
        <f>_xlfn.XLOOKUP(PROPERTIES[[#This Row],[COUNTRY]],COUNTRIES[COUNTRY_DESCRIPTION],COUNTRIES[COUNTRY_LABEL],"")</f>
        <v/>
      </c>
      <c r="F703" t="str" cm="1">
        <f t="array" ref="F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3" t="s">
        <v>597</v>
      </c>
      <c r="H703">
        <v>96</v>
      </c>
      <c r="I703">
        <v>8</v>
      </c>
      <c r="J703">
        <v>8</v>
      </c>
      <c r="K703" t="str" cm="1">
        <f t="array" ref="K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f>IF(ISNUMBER(SEARCH("passenger",PROPERTIES[[#This Row],[CARGODEF]])),1,0)</f>
        <v>0</v>
      </c>
      <c r="O703" s="32">
        <v>42</v>
      </c>
      <c r="P703">
        <v>0</v>
      </c>
      <c r="Q703">
        <v>140</v>
      </c>
      <c r="R703" s="29">
        <v>0</v>
      </c>
      <c r="S703" s="28">
        <f>IFERROR(PROPERTIES[[#This Row],[TE_STARTING_KN]]/(PROPERTIES[[#This Row],[WEIGHT]]*9.81),0)</f>
        <v>0</v>
      </c>
      <c r="T703" s="28">
        <v>0.3</v>
      </c>
      <c r="U703" s="25">
        <f>ROUND(IF(IFERROR(PROPERTIES[[#This Row],[TE_COEFFICIENT_CALC]],0)=0,PROPERTIES[[#This Row],[TE_COEFFICIENT_MANUAL]],PROPERTIES[[#This Row],[TE_COEFFICIENT_CALC]]),3)</f>
        <v>0.3</v>
      </c>
      <c r="V703" s="11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36">
        <v>0</v>
      </c>
      <c r="X703" s="9">
        <v>0</v>
      </c>
      <c r="Y703" s="10">
        <v>0</v>
      </c>
      <c r="Z703" t="s">
        <v>882</v>
      </c>
      <c r="AA703" t="s">
        <v>868</v>
      </c>
      <c r="AB703" s="2" t="s">
        <v>886</v>
      </c>
      <c r="AC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3" s="2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H703" s="10" t="b">
        <v>0</v>
      </c>
      <c r="AY703"/>
      <c r="AZ703"/>
      <c r="BA703"/>
    </row>
    <row r="704" spans="1:53">
      <c r="A704" s="2" t="s">
        <v>837</v>
      </c>
      <c r="B704">
        <v>2010</v>
      </c>
      <c r="C704" cm="1">
        <f t="array" ref="C704">_xlfn.IFS(ISNUMBER(SEARCH("wagon",PROPERTIES[[#This Row],[VEHIDCODE]])),0,OR(MID(PROPERTIES[[#This Row],[VEHIDCODE]],2,2)="mu",_xlfn.TEXTBEFORE(PROPERTIES[[#This Row],[VEHIDCODE]],"_")="mtro"),1,1=1,0)</f>
        <v>0</v>
      </c>
      <c r="E704" t="str">
        <f>_xlfn.XLOOKUP(PROPERTIES[[#This Row],[COUNTRY]],COUNTRIES[COUNTRY_DESCRIPTION],COUNTRIES[COUNTRY_LABEL],"")</f>
        <v/>
      </c>
      <c r="F704" t="str" cm="1">
        <f t="array" ref="F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4" t="s">
        <v>2925</v>
      </c>
      <c r="H704">
        <v>74</v>
      </c>
      <c r="I704">
        <v>8</v>
      </c>
      <c r="J704">
        <v>8</v>
      </c>
      <c r="K704" t="str" cm="1">
        <f t="array" ref="K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f>IF(ISNUMBER(SEARCH("passenger",PROPERTIES[[#This Row],[CARGODEF]])),1,0)</f>
        <v>0</v>
      </c>
      <c r="O704" s="32">
        <v>27</v>
      </c>
      <c r="P704">
        <v>0</v>
      </c>
      <c r="Q704">
        <v>160</v>
      </c>
      <c r="R704" s="29">
        <v>0</v>
      </c>
      <c r="S704" s="28">
        <f>IFERROR(PROPERTIES[[#This Row],[TE_STARTING_KN]]/(PROPERTIES[[#This Row],[WEIGHT]]*9.81),0)</f>
        <v>0</v>
      </c>
      <c r="T704" s="28">
        <v>0.3</v>
      </c>
      <c r="U704" s="25">
        <f>ROUND(IF(IFERROR(PROPERTIES[[#This Row],[TE_COEFFICIENT_CALC]],0)=0,PROPERTIES[[#This Row],[TE_COEFFICIENT_MANUAL]],PROPERTIES[[#This Row],[TE_COEFFICIENT_CALC]]),3)</f>
        <v>0.3</v>
      </c>
      <c r="V704" s="11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36">
        <v>0</v>
      </c>
      <c r="X704" s="9">
        <v>0</v>
      </c>
      <c r="Y704" s="10">
        <v>0</v>
      </c>
      <c r="Z704" t="s">
        <v>882</v>
      </c>
      <c r="AA704" t="s">
        <v>868</v>
      </c>
      <c r="AB704" s="2" t="s">
        <v>886</v>
      </c>
      <c r="AC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4" s="2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H704" s="10" t="b">
        <v>0</v>
      </c>
      <c r="AY704"/>
      <c r="AZ704"/>
      <c r="BA704"/>
    </row>
    <row r="705" spans="1:53">
      <c r="A705" s="2" t="s">
        <v>838</v>
      </c>
      <c r="B705">
        <v>2010</v>
      </c>
      <c r="C705" cm="1">
        <f t="array" ref="C705">_xlfn.IFS(ISNUMBER(SEARCH("wagon",PROPERTIES[[#This Row],[VEHIDCODE]])),0,OR(MID(PROPERTIES[[#This Row],[VEHIDCODE]],2,2)="mu",_xlfn.TEXTBEFORE(PROPERTIES[[#This Row],[VEHIDCODE]],"_")="mtro"),1,1=1,0)</f>
        <v>0</v>
      </c>
      <c r="E705" t="str">
        <f>_xlfn.XLOOKUP(PROPERTIES[[#This Row],[COUNTRY]],COUNTRIES[COUNTRY_DESCRIPTION],COUNTRIES[COUNTRY_LABEL],"")</f>
        <v/>
      </c>
      <c r="F705" t="str" cm="1">
        <f t="array" ref="F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5" t="s">
        <v>2928</v>
      </c>
      <c r="H705">
        <v>74</v>
      </c>
      <c r="I705">
        <v>8</v>
      </c>
      <c r="J705">
        <v>8</v>
      </c>
      <c r="K705" t="str" cm="1">
        <f t="array" ref="K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f>IF(ISNUMBER(SEARCH("passenger",PROPERTIES[[#This Row],[CARGODEF]])),1,0)</f>
        <v>0</v>
      </c>
      <c r="O705" s="32">
        <v>27</v>
      </c>
      <c r="P705">
        <v>0</v>
      </c>
      <c r="Q705">
        <v>160</v>
      </c>
      <c r="R705" s="29">
        <v>0</v>
      </c>
      <c r="S705" s="28">
        <f>IFERROR(PROPERTIES[[#This Row],[TE_STARTING_KN]]/(PROPERTIES[[#This Row],[WEIGHT]]*9.81),0)</f>
        <v>0</v>
      </c>
      <c r="T705" s="28">
        <v>0.3</v>
      </c>
      <c r="U705" s="25">
        <f>ROUND(IF(IFERROR(PROPERTIES[[#This Row],[TE_COEFFICIENT_CALC]],0)=0,PROPERTIES[[#This Row],[TE_COEFFICIENT_MANUAL]],PROPERTIES[[#This Row],[TE_COEFFICIENT_CALC]]),3)</f>
        <v>0.3</v>
      </c>
      <c r="V705" s="11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36">
        <v>0</v>
      </c>
      <c r="X705" s="9">
        <v>0</v>
      </c>
      <c r="Y705" s="10">
        <v>0</v>
      </c>
      <c r="Z705" t="s">
        <v>882</v>
      </c>
      <c r="AA705" t="s">
        <v>868</v>
      </c>
      <c r="AB705" s="2" t="s">
        <v>886</v>
      </c>
      <c r="AC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5" s="2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H705" s="10" t="b">
        <v>0</v>
      </c>
      <c r="AY705"/>
      <c r="AZ705"/>
      <c r="BA705"/>
    </row>
    <row r="706" spans="1:53">
      <c r="A706" s="2" t="s">
        <v>839</v>
      </c>
      <c r="B706">
        <v>2020</v>
      </c>
      <c r="C706" cm="1">
        <f t="array" ref="C706">_xlfn.IFS(ISNUMBER(SEARCH("wagon",PROPERTIES[[#This Row],[VEHIDCODE]])),0,OR(MID(PROPERTIES[[#This Row],[VEHIDCODE]],2,2)="mu",_xlfn.TEXTBEFORE(PROPERTIES[[#This Row],[VEHIDCODE]],"_")="mtro"),1,1=1,0)</f>
        <v>0</v>
      </c>
      <c r="E706" t="str">
        <f>_xlfn.XLOOKUP(PROPERTIES[[#This Row],[COUNTRY]],COUNTRIES[COUNTRY_DESCRIPTION],COUNTRIES[COUNTRY_LABEL],"")</f>
        <v/>
      </c>
      <c r="F706" t="str" cm="1">
        <f t="array" ref="F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6" t="s">
        <v>601</v>
      </c>
      <c r="H706">
        <v>105</v>
      </c>
      <c r="I706">
        <v>8</v>
      </c>
      <c r="J706">
        <v>8</v>
      </c>
      <c r="K706" t="str" cm="1">
        <f t="array" ref="K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f>IF(ISNUMBER(SEARCH("passenger",PROPERTIES[[#This Row],[CARGODEF]])),1,0)</f>
        <v>0</v>
      </c>
      <c r="O706" s="32">
        <v>24</v>
      </c>
      <c r="P706">
        <v>0</v>
      </c>
      <c r="Q706">
        <v>160</v>
      </c>
      <c r="R706" s="29">
        <v>0</v>
      </c>
      <c r="S706" s="28">
        <f>IFERROR(PROPERTIES[[#This Row],[TE_STARTING_KN]]/(PROPERTIES[[#This Row],[WEIGHT]]*9.81),0)</f>
        <v>0</v>
      </c>
      <c r="T706" s="28">
        <v>0.3</v>
      </c>
      <c r="U706" s="25">
        <f>ROUND(IF(IFERROR(PROPERTIES[[#This Row],[TE_COEFFICIENT_CALC]],0)=0,PROPERTIES[[#This Row],[TE_COEFFICIENT_MANUAL]],PROPERTIES[[#This Row],[TE_COEFFICIENT_CALC]]),3)</f>
        <v>0.3</v>
      </c>
      <c r="V706" s="11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36">
        <v>0</v>
      </c>
      <c r="X706" s="9">
        <v>0</v>
      </c>
      <c r="Y706" s="10">
        <v>0</v>
      </c>
      <c r="Z706" t="s">
        <v>882</v>
      </c>
      <c r="AA706" t="s">
        <v>868</v>
      </c>
      <c r="AB706" s="2" t="s">
        <v>886</v>
      </c>
      <c r="AC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6" s="2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H706" s="10" t="b">
        <v>0</v>
      </c>
      <c r="AY706"/>
      <c r="AZ706"/>
      <c r="BA706"/>
    </row>
    <row r="707" spans="1:53">
      <c r="A707" s="2" t="s">
        <v>840</v>
      </c>
      <c r="B707">
        <v>2010</v>
      </c>
      <c r="C707" cm="1">
        <f t="array" ref="C707">_xlfn.IFS(ISNUMBER(SEARCH("wagon",PROPERTIES[[#This Row],[VEHIDCODE]])),0,OR(MID(PROPERTIES[[#This Row],[VEHIDCODE]],2,2)="mu",_xlfn.TEXTBEFORE(PROPERTIES[[#This Row],[VEHIDCODE]],"_")="mtro"),1,1=1,0)</f>
        <v>0</v>
      </c>
      <c r="E707" t="str">
        <f>_xlfn.XLOOKUP(PROPERTIES[[#This Row],[COUNTRY]],COUNTRIES[COUNTRY_DESCRIPTION],COUNTRIES[COUNTRY_LABEL],"")</f>
        <v/>
      </c>
      <c r="F707" t="str" cm="1">
        <f t="array" ref="F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7" t="s">
        <v>596</v>
      </c>
      <c r="H707">
        <v>75</v>
      </c>
      <c r="I707">
        <v>8</v>
      </c>
      <c r="J707">
        <v>8</v>
      </c>
      <c r="K707" t="str" cm="1">
        <f t="array" ref="K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f>IF(ISNUMBER(SEARCH("passenger",PROPERTIES[[#This Row],[CARGODEF]])),1,0)</f>
        <v>0</v>
      </c>
      <c r="O707" s="32">
        <v>22</v>
      </c>
      <c r="P707">
        <v>0</v>
      </c>
      <c r="Q707">
        <v>160</v>
      </c>
      <c r="R707" s="29">
        <v>0</v>
      </c>
      <c r="S707" s="28">
        <f>IFERROR(PROPERTIES[[#This Row],[TE_STARTING_KN]]/(PROPERTIES[[#This Row],[WEIGHT]]*9.81),0)</f>
        <v>0</v>
      </c>
      <c r="T707" s="28">
        <v>0.3</v>
      </c>
      <c r="U707" s="25">
        <f>ROUND(IF(IFERROR(PROPERTIES[[#This Row],[TE_COEFFICIENT_CALC]],0)=0,PROPERTIES[[#This Row],[TE_COEFFICIENT_MANUAL]],PROPERTIES[[#This Row],[TE_COEFFICIENT_CALC]]),3)</f>
        <v>0.3</v>
      </c>
      <c r="V707" s="11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36">
        <v>0</v>
      </c>
      <c r="X707" s="9">
        <v>0</v>
      </c>
      <c r="Y707" s="10">
        <v>0</v>
      </c>
      <c r="Z707" t="s">
        <v>882</v>
      </c>
      <c r="AA707" t="s">
        <v>868</v>
      </c>
      <c r="AB707" s="2" t="s">
        <v>886</v>
      </c>
      <c r="AC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7" s="2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H707" s="10" t="b">
        <v>0</v>
      </c>
      <c r="AY707"/>
      <c r="AZ707"/>
      <c r="BA707"/>
    </row>
    <row r="708" spans="1:53">
      <c r="A708" s="2" t="s">
        <v>841</v>
      </c>
      <c r="B708">
        <v>2020</v>
      </c>
      <c r="C708" cm="1">
        <f t="array" ref="C708">_xlfn.IFS(ISNUMBER(SEARCH("wagon",PROPERTIES[[#This Row],[VEHIDCODE]])),0,OR(MID(PROPERTIES[[#This Row],[VEHIDCODE]],2,2)="mu",_xlfn.TEXTBEFORE(PROPERTIES[[#This Row],[VEHIDCODE]],"_")="mtro"),1,1=1,0)</f>
        <v>0</v>
      </c>
      <c r="E708" t="str">
        <f>_xlfn.XLOOKUP(PROPERTIES[[#This Row],[COUNTRY]],COUNTRIES[COUNTRY_DESCRIPTION],COUNTRIES[COUNTRY_LABEL],"")</f>
        <v/>
      </c>
      <c r="F708" t="str" cm="1">
        <f t="array" ref="F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8" t="s">
        <v>2927</v>
      </c>
      <c r="H708">
        <v>75</v>
      </c>
      <c r="I708">
        <v>8</v>
      </c>
      <c r="J708">
        <v>8</v>
      </c>
      <c r="K708" t="str" cm="1">
        <f t="array" ref="K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f>IF(ISNUMBER(SEARCH("passenger",PROPERTIES[[#This Row],[CARGODEF]])),1,0)</f>
        <v>0</v>
      </c>
      <c r="O708" s="32">
        <v>27</v>
      </c>
      <c r="P708">
        <v>0</v>
      </c>
      <c r="Q708">
        <v>160</v>
      </c>
      <c r="R708" s="29">
        <v>0</v>
      </c>
      <c r="S708" s="28">
        <f>IFERROR(PROPERTIES[[#This Row],[TE_STARTING_KN]]/(PROPERTIES[[#This Row],[WEIGHT]]*9.81),0)</f>
        <v>0</v>
      </c>
      <c r="T708" s="28">
        <v>0.3</v>
      </c>
      <c r="U708" s="25">
        <f>ROUND(IF(IFERROR(PROPERTIES[[#This Row],[TE_COEFFICIENT_CALC]],0)=0,PROPERTIES[[#This Row],[TE_COEFFICIENT_MANUAL]],PROPERTIES[[#This Row],[TE_COEFFICIENT_CALC]]),3)</f>
        <v>0.3</v>
      </c>
      <c r="V708" s="11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36">
        <v>0</v>
      </c>
      <c r="X708" s="9">
        <v>0</v>
      </c>
      <c r="Y708" s="10">
        <v>0</v>
      </c>
      <c r="Z708" t="s">
        <v>882</v>
      </c>
      <c r="AA708" t="s">
        <v>868</v>
      </c>
      <c r="AB708" s="2" t="s">
        <v>886</v>
      </c>
      <c r="AC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8" s="2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H708" s="10" t="b">
        <v>0</v>
      </c>
      <c r="AY708"/>
      <c r="AZ708"/>
      <c r="BA708"/>
    </row>
    <row r="709" spans="1:53">
      <c r="A709" s="2" t="s">
        <v>842</v>
      </c>
      <c r="B709">
        <v>2020</v>
      </c>
      <c r="C709" cm="1">
        <f t="array" ref="C709">_xlfn.IFS(ISNUMBER(SEARCH("wagon",PROPERTIES[[#This Row],[VEHIDCODE]])),0,OR(MID(PROPERTIES[[#This Row],[VEHIDCODE]],2,2)="mu",_xlfn.TEXTBEFORE(PROPERTIES[[#This Row],[VEHIDCODE]],"_")="mtro"),1,1=1,0)</f>
        <v>0</v>
      </c>
      <c r="E709" t="str">
        <f>_xlfn.XLOOKUP(PROPERTIES[[#This Row],[COUNTRY]],COUNTRIES[COUNTRY_DESCRIPTION],COUNTRIES[COUNTRY_LABEL],"")</f>
        <v/>
      </c>
      <c r="F709" t="str" cm="1">
        <f t="array" ref="F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9" t="s">
        <v>2930</v>
      </c>
      <c r="H709">
        <v>75</v>
      </c>
      <c r="I709">
        <v>8</v>
      </c>
      <c r="J709">
        <v>8</v>
      </c>
      <c r="K709" t="str" cm="1">
        <f t="array" ref="K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f>IF(ISNUMBER(SEARCH("passenger",PROPERTIES[[#This Row],[CARGODEF]])),1,0)</f>
        <v>0</v>
      </c>
      <c r="O709" s="32">
        <v>27</v>
      </c>
      <c r="P709">
        <v>0</v>
      </c>
      <c r="Q709">
        <v>160</v>
      </c>
      <c r="R709" s="29">
        <v>0</v>
      </c>
      <c r="S709" s="28">
        <f>IFERROR(PROPERTIES[[#This Row],[TE_STARTING_KN]]/(PROPERTIES[[#This Row],[WEIGHT]]*9.81),0)</f>
        <v>0</v>
      </c>
      <c r="T709" s="28">
        <v>0.3</v>
      </c>
      <c r="U709" s="25">
        <f>ROUND(IF(IFERROR(PROPERTIES[[#This Row],[TE_COEFFICIENT_CALC]],0)=0,PROPERTIES[[#This Row],[TE_COEFFICIENT_MANUAL]],PROPERTIES[[#This Row],[TE_COEFFICIENT_CALC]]),3)</f>
        <v>0.3</v>
      </c>
      <c r="V709" s="11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36">
        <v>0</v>
      </c>
      <c r="X709" s="9">
        <v>0</v>
      </c>
      <c r="Y709" s="10">
        <v>0</v>
      </c>
      <c r="Z709" t="s">
        <v>882</v>
      </c>
      <c r="AA709" t="s">
        <v>868</v>
      </c>
      <c r="AB709" s="2" t="s">
        <v>886</v>
      </c>
      <c r="AC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9" s="2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H709" s="10" t="b">
        <v>0</v>
      </c>
      <c r="AY709"/>
      <c r="AZ709"/>
      <c r="BA709"/>
    </row>
    <row r="710" spans="1:53">
      <c r="A710" s="2" t="s">
        <v>843</v>
      </c>
      <c r="B710">
        <v>2020</v>
      </c>
      <c r="C710" cm="1">
        <f t="array" ref="C710">_xlfn.IFS(ISNUMBER(SEARCH("wagon",PROPERTIES[[#This Row],[VEHIDCODE]])),0,OR(MID(PROPERTIES[[#This Row],[VEHIDCODE]],2,2)="mu",_xlfn.TEXTBEFORE(PROPERTIES[[#This Row],[VEHIDCODE]],"_")="mtro"),1,1=1,0)</f>
        <v>0</v>
      </c>
      <c r="E710" t="str">
        <f>_xlfn.XLOOKUP(PROPERTIES[[#This Row],[COUNTRY]],COUNTRIES[COUNTRY_DESCRIPTION],COUNTRIES[COUNTRY_LABEL],"")</f>
        <v/>
      </c>
      <c r="F710" t="str" cm="1">
        <f t="array" ref="F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0" t="s">
        <v>2926</v>
      </c>
      <c r="H710">
        <v>75</v>
      </c>
      <c r="I710">
        <v>8</v>
      </c>
      <c r="J710">
        <v>8</v>
      </c>
      <c r="K710" t="str" cm="1">
        <f t="array" ref="K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f>IF(ISNUMBER(SEARCH("passenger",PROPERTIES[[#This Row],[CARGODEF]])),1,0)</f>
        <v>0</v>
      </c>
      <c r="O710" s="32">
        <v>26</v>
      </c>
      <c r="P710">
        <v>0</v>
      </c>
      <c r="Q710">
        <v>160</v>
      </c>
      <c r="R710" s="29">
        <v>0</v>
      </c>
      <c r="S710" s="28">
        <f>IFERROR(PROPERTIES[[#This Row],[TE_STARTING_KN]]/(PROPERTIES[[#This Row],[WEIGHT]]*9.81),0)</f>
        <v>0</v>
      </c>
      <c r="T710" s="28">
        <v>0.3</v>
      </c>
      <c r="U710" s="25">
        <f>ROUND(IF(IFERROR(PROPERTIES[[#This Row],[TE_COEFFICIENT_CALC]],0)=0,PROPERTIES[[#This Row],[TE_COEFFICIENT_MANUAL]],PROPERTIES[[#This Row],[TE_COEFFICIENT_CALC]]),3)</f>
        <v>0.3</v>
      </c>
      <c r="V710" s="11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36">
        <v>0</v>
      </c>
      <c r="X710" s="9">
        <v>0</v>
      </c>
      <c r="Y710" s="10">
        <v>0</v>
      </c>
      <c r="Z710" t="s">
        <v>882</v>
      </c>
      <c r="AA710" t="s">
        <v>868</v>
      </c>
      <c r="AB710" s="2" t="s">
        <v>886</v>
      </c>
      <c r="AC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0" s="2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H710" s="10" t="b">
        <v>0</v>
      </c>
      <c r="AY710"/>
      <c r="AZ710"/>
      <c r="BA710"/>
    </row>
    <row r="711" spans="1:53">
      <c r="A711" s="2" t="s">
        <v>844</v>
      </c>
      <c r="B711">
        <v>2020</v>
      </c>
      <c r="C711" cm="1">
        <f t="array" ref="C711">_xlfn.IFS(ISNUMBER(SEARCH("wagon",PROPERTIES[[#This Row],[VEHIDCODE]])),0,OR(MID(PROPERTIES[[#This Row],[VEHIDCODE]],2,2)="mu",_xlfn.TEXTBEFORE(PROPERTIES[[#This Row],[VEHIDCODE]],"_")="mtro"),1,1=1,0)</f>
        <v>0</v>
      </c>
      <c r="E711" t="str">
        <f>_xlfn.XLOOKUP(PROPERTIES[[#This Row],[COUNTRY]],COUNTRIES[COUNTRY_DESCRIPTION],COUNTRIES[COUNTRY_LABEL],"")</f>
        <v/>
      </c>
      <c r="F711" t="str" cm="1">
        <f t="array" ref="F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1" t="s">
        <v>2929</v>
      </c>
      <c r="H711">
        <v>75</v>
      </c>
      <c r="I711">
        <v>8</v>
      </c>
      <c r="J711">
        <v>8</v>
      </c>
      <c r="K711" t="str" cm="1">
        <f t="array" ref="K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f>IF(ISNUMBER(SEARCH("passenger",PROPERTIES[[#This Row],[CARGODEF]])),1,0)</f>
        <v>0</v>
      </c>
      <c r="O711" s="32">
        <v>26</v>
      </c>
      <c r="P711">
        <v>0</v>
      </c>
      <c r="Q711">
        <v>160</v>
      </c>
      <c r="R711" s="29">
        <v>0</v>
      </c>
      <c r="S711" s="28">
        <f>IFERROR(PROPERTIES[[#This Row],[TE_STARTING_KN]]/(PROPERTIES[[#This Row],[WEIGHT]]*9.81),0)</f>
        <v>0</v>
      </c>
      <c r="T711" s="28">
        <v>0.3</v>
      </c>
      <c r="U711" s="25">
        <f>ROUND(IF(IFERROR(PROPERTIES[[#This Row],[TE_COEFFICIENT_CALC]],0)=0,PROPERTIES[[#This Row],[TE_COEFFICIENT_MANUAL]],PROPERTIES[[#This Row],[TE_COEFFICIENT_CALC]]),3)</f>
        <v>0.3</v>
      </c>
      <c r="V711" s="11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36">
        <v>0</v>
      </c>
      <c r="X711" s="9">
        <v>0</v>
      </c>
      <c r="Y711" s="10">
        <v>0</v>
      </c>
      <c r="Z711" t="s">
        <v>882</v>
      </c>
      <c r="AA711" t="s">
        <v>868</v>
      </c>
      <c r="AB711" s="2" t="s">
        <v>886</v>
      </c>
      <c r="AC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1" s="2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H711" s="10" t="b">
        <v>0</v>
      </c>
      <c r="AY711"/>
      <c r="AZ711"/>
      <c r="BA711"/>
    </row>
    <row r="712" spans="1:53">
      <c r="A712" s="2" t="s">
        <v>845</v>
      </c>
      <c r="B712">
        <v>2020</v>
      </c>
      <c r="C712" cm="1">
        <f t="array" ref="C712">_xlfn.IFS(ISNUMBER(SEARCH("wagon",PROPERTIES[[#This Row],[VEHIDCODE]])),0,OR(MID(PROPERTIES[[#This Row],[VEHIDCODE]],2,2)="mu",_xlfn.TEXTBEFORE(PROPERTIES[[#This Row],[VEHIDCODE]],"_")="mtro"),1,1=1,0)</f>
        <v>0</v>
      </c>
      <c r="E712" t="str">
        <f>_xlfn.XLOOKUP(PROPERTIES[[#This Row],[COUNTRY]],COUNTRIES[COUNTRY_DESCRIPTION],COUNTRIES[COUNTRY_LABEL],"")</f>
        <v/>
      </c>
      <c r="F712" t="str" cm="1">
        <f t="array" ref="F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2" t="s">
        <v>592</v>
      </c>
      <c r="H712">
        <v>20</v>
      </c>
      <c r="I712">
        <v>8</v>
      </c>
      <c r="J712">
        <v>8</v>
      </c>
      <c r="K712" t="str" cm="1">
        <f t="array" ref="K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f>IF(ISNUMBER(SEARCH("passenger",PROPERTIES[[#This Row],[CARGODEF]])),1,0)</f>
        <v>0</v>
      </c>
      <c r="O712" s="32">
        <v>28</v>
      </c>
      <c r="P712">
        <v>0</v>
      </c>
      <c r="Q712">
        <v>160</v>
      </c>
      <c r="R712" s="29">
        <v>0</v>
      </c>
      <c r="S712" s="28">
        <f>IFERROR(PROPERTIES[[#This Row],[TE_STARTING_KN]]/(PROPERTIES[[#This Row],[WEIGHT]]*9.81),0)</f>
        <v>0</v>
      </c>
      <c r="T712" s="28">
        <v>0.3</v>
      </c>
      <c r="U712" s="25">
        <f>ROUND(IF(IFERROR(PROPERTIES[[#This Row],[TE_COEFFICIENT_CALC]],0)=0,PROPERTIES[[#This Row],[TE_COEFFICIENT_MANUAL]],PROPERTIES[[#This Row],[TE_COEFFICIENT_CALC]]),3)</f>
        <v>0.3</v>
      </c>
      <c r="V712" s="11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36">
        <v>0</v>
      </c>
      <c r="X712" s="9">
        <v>0</v>
      </c>
      <c r="Y712" s="10">
        <v>0</v>
      </c>
      <c r="Z712" t="s">
        <v>882</v>
      </c>
      <c r="AA712" t="s">
        <v>868</v>
      </c>
      <c r="AB712" s="2" t="s">
        <v>886</v>
      </c>
      <c r="AC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2" s="2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H712" s="10" t="b">
        <v>0</v>
      </c>
      <c r="AY712"/>
      <c r="AZ712"/>
      <c r="BA712"/>
    </row>
    <row r="713" spans="1:53">
      <c r="A713" s="2" t="s">
        <v>846</v>
      </c>
      <c r="B713">
        <v>2010</v>
      </c>
      <c r="C713" cm="1">
        <f t="array" ref="C713">_xlfn.IFS(ISNUMBER(SEARCH("wagon",PROPERTIES[[#This Row],[VEHIDCODE]])),0,OR(MID(PROPERTIES[[#This Row],[VEHIDCODE]],2,2)="mu",_xlfn.TEXTBEFORE(PROPERTIES[[#This Row],[VEHIDCODE]],"_")="mtro"),1,1=1,0)</f>
        <v>0</v>
      </c>
      <c r="E713" t="str">
        <f>_xlfn.XLOOKUP(PROPERTIES[[#This Row],[COUNTRY]],COUNTRIES[COUNTRY_DESCRIPTION],COUNTRIES[COUNTRY_LABEL],"")</f>
        <v/>
      </c>
      <c r="F713" t="str" cm="1">
        <f t="array" ref="F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3" t="s">
        <v>526</v>
      </c>
      <c r="H713">
        <v>60</v>
      </c>
      <c r="I713">
        <v>8</v>
      </c>
      <c r="J713">
        <v>8</v>
      </c>
      <c r="K713" t="str" cm="1">
        <f t="array" ref="K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f>IF(ISNUMBER(SEARCH("passenger",PROPERTIES[[#This Row],[CARGODEF]])),1,0)</f>
        <v>0</v>
      </c>
      <c r="O713" s="32">
        <v>22</v>
      </c>
      <c r="P713">
        <v>0</v>
      </c>
      <c r="Q713">
        <v>160</v>
      </c>
      <c r="R713" s="29">
        <v>0</v>
      </c>
      <c r="S713" s="28">
        <f>IFERROR(PROPERTIES[[#This Row],[TE_STARTING_KN]]/(PROPERTIES[[#This Row],[WEIGHT]]*9.81),0)</f>
        <v>0</v>
      </c>
      <c r="T713" s="28">
        <v>0.3</v>
      </c>
      <c r="U713" s="25">
        <f>ROUND(IF(IFERROR(PROPERTIES[[#This Row],[TE_COEFFICIENT_CALC]],0)=0,PROPERTIES[[#This Row],[TE_COEFFICIENT_MANUAL]],PROPERTIES[[#This Row],[TE_COEFFICIENT_CALC]]),3)</f>
        <v>0.3</v>
      </c>
      <c r="V713" s="11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36">
        <v>0</v>
      </c>
      <c r="X713" s="9">
        <v>0</v>
      </c>
      <c r="Y713" s="10">
        <v>0</v>
      </c>
      <c r="Z713" t="s">
        <v>882</v>
      </c>
      <c r="AA713" t="s">
        <v>868</v>
      </c>
      <c r="AB713" s="2" t="s">
        <v>886</v>
      </c>
      <c r="AC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3" s="2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H713" s="10" t="b">
        <v>0</v>
      </c>
      <c r="AY713"/>
      <c r="AZ713"/>
      <c r="BA713"/>
    </row>
    <row r="714" spans="1:53">
      <c r="A714" s="2" t="s">
        <v>847</v>
      </c>
      <c r="B714">
        <v>2010</v>
      </c>
      <c r="C714" cm="1">
        <f t="array" ref="C714">_xlfn.IFS(ISNUMBER(SEARCH("wagon",PROPERTIES[[#This Row],[VEHIDCODE]])),0,OR(MID(PROPERTIES[[#This Row],[VEHIDCODE]],2,2)="mu",_xlfn.TEXTBEFORE(PROPERTIES[[#This Row],[VEHIDCODE]],"_")="mtro"),1,1=1,0)</f>
        <v>0</v>
      </c>
      <c r="E714" t="str">
        <f>_xlfn.XLOOKUP(PROPERTIES[[#This Row],[COUNTRY]],COUNTRIES[COUNTRY_DESCRIPTION],COUNTRIES[COUNTRY_LABEL],"")</f>
        <v/>
      </c>
      <c r="F714" t="str" cm="1">
        <f t="array" ref="F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4" t="s">
        <v>593</v>
      </c>
      <c r="H714">
        <v>65</v>
      </c>
      <c r="I714">
        <v>8</v>
      </c>
      <c r="J714">
        <v>8</v>
      </c>
      <c r="K714" t="str" cm="1">
        <f t="array" ref="K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f>IF(ISNUMBER(SEARCH("passenger",PROPERTIES[[#This Row],[CARGODEF]])),1,0)</f>
        <v>0</v>
      </c>
      <c r="O714" s="32">
        <v>40</v>
      </c>
      <c r="P714">
        <v>0</v>
      </c>
      <c r="Q714">
        <v>160</v>
      </c>
      <c r="R714" s="29">
        <v>0</v>
      </c>
      <c r="S714" s="28">
        <f>IFERROR(PROPERTIES[[#This Row],[TE_STARTING_KN]]/(PROPERTIES[[#This Row],[WEIGHT]]*9.81),0)</f>
        <v>0</v>
      </c>
      <c r="T714" s="28">
        <v>0.3</v>
      </c>
      <c r="U714" s="25">
        <f>ROUND(IF(IFERROR(PROPERTIES[[#This Row],[TE_COEFFICIENT_CALC]],0)=0,PROPERTIES[[#This Row],[TE_COEFFICIENT_MANUAL]],PROPERTIES[[#This Row],[TE_COEFFICIENT_CALC]]),3)</f>
        <v>0.3</v>
      </c>
      <c r="V714" s="11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36">
        <v>0</v>
      </c>
      <c r="X714" s="9">
        <v>0</v>
      </c>
      <c r="Y714" s="10">
        <v>0</v>
      </c>
      <c r="Z714" t="s">
        <v>882</v>
      </c>
      <c r="AA714" t="s">
        <v>868</v>
      </c>
      <c r="AB714" s="2" t="s">
        <v>886</v>
      </c>
      <c r="AC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4" s="2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H714" s="10" t="b">
        <v>0</v>
      </c>
      <c r="AY714"/>
      <c r="AZ714"/>
      <c r="BA714"/>
    </row>
    <row r="715" spans="1:53">
      <c r="A715" s="2" t="s">
        <v>848</v>
      </c>
      <c r="B715">
        <v>2000</v>
      </c>
      <c r="C715" cm="1">
        <f t="array" ref="C715">_xlfn.IFS(ISNUMBER(SEARCH("wagon",PROPERTIES[[#This Row],[VEHIDCODE]])),0,OR(MID(PROPERTIES[[#This Row],[VEHIDCODE]],2,2)="mu",_xlfn.TEXTBEFORE(PROPERTIES[[#This Row],[VEHIDCODE]],"_")="mtro"),1,1=1,0)</f>
        <v>0</v>
      </c>
      <c r="E715" t="str">
        <f>_xlfn.XLOOKUP(PROPERTIES[[#This Row],[COUNTRY]],COUNTRIES[COUNTRY_DESCRIPTION],COUNTRIES[COUNTRY_LABEL],"")</f>
        <v/>
      </c>
      <c r="F715" t="str" cm="1">
        <f t="array" ref="F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5" t="s">
        <v>594</v>
      </c>
      <c r="H715">
        <v>75</v>
      </c>
      <c r="I715">
        <v>8</v>
      </c>
      <c r="J715">
        <v>8</v>
      </c>
      <c r="K715" t="str" cm="1">
        <f t="array" ref="K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f>IF(ISNUMBER(SEARCH("passenger",PROPERTIES[[#This Row],[CARGODEF]])),1,0)</f>
        <v>0</v>
      </c>
      <c r="O715" s="32">
        <v>25</v>
      </c>
      <c r="P715">
        <v>0</v>
      </c>
      <c r="Q715">
        <v>160</v>
      </c>
      <c r="R715" s="29">
        <v>0</v>
      </c>
      <c r="S715" s="28">
        <f>IFERROR(PROPERTIES[[#This Row],[TE_STARTING_KN]]/(PROPERTIES[[#This Row],[WEIGHT]]*9.81),0)</f>
        <v>0</v>
      </c>
      <c r="T715" s="28">
        <v>0.3</v>
      </c>
      <c r="U715" s="25">
        <f>ROUND(IF(IFERROR(PROPERTIES[[#This Row],[TE_COEFFICIENT_CALC]],0)=0,PROPERTIES[[#This Row],[TE_COEFFICIENT_MANUAL]],PROPERTIES[[#This Row],[TE_COEFFICIENT_CALC]]),3)</f>
        <v>0.3</v>
      </c>
      <c r="V715" s="11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36">
        <v>0</v>
      </c>
      <c r="X715" s="9">
        <v>0</v>
      </c>
      <c r="Y715" s="10">
        <v>0</v>
      </c>
      <c r="Z715" t="s">
        <v>882</v>
      </c>
      <c r="AA715" t="s">
        <v>868</v>
      </c>
      <c r="AB715" s="2" t="s">
        <v>886</v>
      </c>
      <c r="AC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5" s="2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H715" s="10" t="b">
        <v>0</v>
      </c>
      <c r="AY715"/>
      <c r="AZ715"/>
      <c r="BA715"/>
    </row>
    <row r="716" spans="1:53">
      <c r="A716" s="2" t="s">
        <v>849</v>
      </c>
      <c r="B716">
        <v>2010</v>
      </c>
      <c r="C716" cm="1">
        <f t="array" ref="C716">_xlfn.IFS(ISNUMBER(SEARCH("wagon",PROPERTIES[[#This Row],[VEHIDCODE]])),0,OR(MID(PROPERTIES[[#This Row],[VEHIDCODE]],2,2)="mu",_xlfn.TEXTBEFORE(PROPERTIES[[#This Row],[VEHIDCODE]],"_")="mtro"),1,1=1,0)</f>
        <v>0</v>
      </c>
      <c r="E716" t="str">
        <f>_xlfn.XLOOKUP(PROPERTIES[[#This Row],[COUNTRY]],COUNTRIES[COUNTRY_DESCRIPTION],COUNTRIES[COUNTRY_LABEL],"")</f>
        <v/>
      </c>
      <c r="F716" t="str" cm="1">
        <f t="array" ref="F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6" t="s">
        <v>600</v>
      </c>
      <c r="H716">
        <v>65</v>
      </c>
      <c r="I716">
        <v>4</v>
      </c>
      <c r="J716">
        <v>12</v>
      </c>
      <c r="K716" t="str" cm="1">
        <f t="array" ref="K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f>IF(ISNUMBER(SEARCH("passenger",PROPERTIES[[#This Row],[CARGODEF]])),1,0)</f>
        <v>0</v>
      </c>
      <c r="O716" s="32">
        <v>50</v>
      </c>
      <c r="P716">
        <v>0</v>
      </c>
      <c r="Q716">
        <v>140</v>
      </c>
      <c r="R716" s="29">
        <v>0</v>
      </c>
      <c r="S716" s="28">
        <f>IFERROR(PROPERTIES[[#This Row],[TE_STARTING_KN]]/(PROPERTIES[[#This Row],[WEIGHT]]*9.81),0)</f>
        <v>0</v>
      </c>
      <c r="T716" s="28">
        <v>0.3</v>
      </c>
      <c r="U716" s="25">
        <f>ROUND(IF(IFERROR(PROPERTIES[[#This Row],[TE_COEFFICIENT_CALC]],0)=0,PROPERTIES[[#This Row],[TE_COEFFICIENT_MANUAL]],PROPERTIES[[#This Row],[TE_COEFFICIENT_CALC]]),3)</f>
        <v>0.3</v>
      </c>
      <c r="V716" s="11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36">
        <v>0</v>
      </c>
      <c r="X716" s="9">
        <v>0</v>
      </c>
      <c r="Y716" s="10">
        <v>0</v>
      </c>
      <c r="Z716" t="s">
        <v>882</v>
      </c>
      <c r="AA716" t="s">
        <v>868</v>
      </c>
      <c r="AB716" s="2" t="s">
        <v>886</v>
      </c>
      <c r="AC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6" s="2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H716" s="10" t="b">
        <v>0</v>
      </c>
      <c r="AY716"/>
      <c r="AZ716"/>
      <c r="BA716"/>
    </row>
    <row r="717" spans="1:53">
      <c r="A717" s="2" t="s">
        <v>864</v>
      </c>
      <c r="B717">
        <v>1660</v>
      </c>
      <c r="C717" cm="1">
        <f t="array" ref="C717">_xlfn.IFS(ISNUMBER(SEARCH("wagon",PROPERTIES[[#This Row],[VEHIDCODE]])),0,OR(MID(PROPERTIES[[#This Row],[VEHIDCODE]],2,2)="mu",_xlfn.TEXTBEFORE(PROPERTIES[[#This Row],[VEHIDCODE]],"_")="mtro"),1,1=1,0)</f>
        <v>0</v>
      </c>
      <c r="E717" t="str">
        <f>_xlfn.XLOOKUP(PROPERTIES[[#This Row],[COUNTRY]],COUNTRIES[COUNTRY_DESCRIPTION],COUNTRIES[COUNTRY_LABEL],"")</f>
        <v/>
      </c>
      <c r="F717" t="str" cm="1">
        <f t="array" ref="F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7" t="s">
        <v>19</v>
      </c>
      <c r="H717">
        <v>0</v>
      </c>
      <c r="I717">
        <v>5</v>
      </c>
      <c r="J717">
        <v>5</v>
      </c>
      <c r="K717" t="str" cm="1">
        <f t="array" ref="K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f>IF(ISNUMBER(SEARCH("passenger",PROPERTIES[[#This Row],[CARGODEF]])),1,0)</f>
        <v>0</v>
      </c>
      <c r="O717" s="32">
        <v>15</v>
      </c>
      <c r="P717">
        <v>0</v>
      </c>
      <c r="Q717">
        <v>0</v>
      </c>
      <c r="R717" s="29">
        <v>0</v>
      </c>
      <c r="S717" s="28">
        <f>IFERROR(PROPERTIES[[#This Row],[TE_STARTING_KN]]/(PROPERTIES[[#This Row],[WEIGHT]]*9.81),0)</f>
        <v>0</v>
      </c>
      <c r="T717" s="28">
        <v>0.3</v>
      </c>
      <c r="U717" s="25">
        <f>ROUND(IF(IFERROR(PROPERTIES[[#This Row],[TE_COEFFICIENT_CALC]],0)=0,PROPERTIES[[#This Row],[TE_COEFFICIENT_MANUAL]],PROPERTIES[[#This Row],[TE_COEFFICIENT_CALC]]),3)</f>
        <v>0.3</v>
      </c>
      <c r="V717" s="11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36">
        <v>0</v>
      </c>
      <c r="X717" s="9">
        <v>0</v>
      </c>
      <c r="Y717" s="10">
        <v>0</v>
      </c>
      <c r="Z717" t="s">
        <v>882</v>
      </c>
      <c r="AA717" t="s">
        <v>868</v>
      </c>
      <c r="AB717" s="2" t="s">
        <v>886</v>
      </c>
      <c r="AC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7" s="2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H717" s="10" t="b">
        <v>0</v>
      </c>
      <c r="AY717"/>
      <c r="AZ717"/>
      <c r="BA717"/>
    </row>
    <row r="718" spans="1:53">
      <c r="A718" s="2" t="s">
        <v>865</v>
      </c>
      <c r="B718">
        <v>1660</v>
      </c>
      <c r="C718" cm="1">
        <f t="array" ref="C718">_xlfn.IFS(ISNUMBER(SEARCH("wagon",PROPERTIES[[#This Row],[VEHIDCODE]])),0,OR(MID(PROPERTIES[[#This Row],[VEHIDCODE]],2,2)="mu",_xlfn.TEXTBEFORE(PROPERTIES[[#This Row],[VEHIDCODE]],"_")="mtro"),1,1=1,0)</f>
        <v>0</v>
      </c>
      <c r="E718" t="str">
        <f>_xlfn.XLOOKUP(PROPERTIES[[#This Row],[COUNTRY]],COUNTRIES[COUNTRY_DESCRIPTION],COUNTRIES[COUNTRY_LABEL],"")</f>
        <v/>
      </c>
      <c r="F718" t="str" cm="1">
        <f t="array" ref="F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8" t="s">
        <v>19</v>
      </c>
      <c r="H718">
        <v>0</v>
      </c>
      <c r="I718">
        <v>5</v>
      </c>
      <c r="J718">
        <v>5</v>
      </c>
      <c r="K718" t="str" cm="1">
        <f t="array" ref="K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f>IF(ISNUMBER(SEARCH("passenger",PROPERTIES[[#This Row],[CARGODEF]])),1,0)</f>
        <v>0</v>
      </c>
      <c r="O718" s="32">
        <v>15</v>
      </c>
      <c r="P718">
        <v>0</v>
      </c>
      <c r="Q718">
        <v>0</v>
      </c>
      <c r="R718" s="29">
        <v>0</v>
      </c>
      <c r="S718" s="28">
        <f>IFERROR(PROPERTIES[[#This Row],[TE_STARTING_KN]]/(PROPERTIES[[#This Row],[WEIGHT]]*9.81),0)</f>
        <v>0</v>
      </c>
      <c r="T718" s="28">
        <v>0.3</v>
      </c>
      <c r="U718" s="25">
        <f>ROUND(IF(IFERROR(PROPERTIES[[#This Row],[TE_COEFFICIENT_CALC]],0)=0,PROPERTIES[[#This Row],[TE_COEFFICIENT_MANUAL]],PROPERTIES[[#This Row],[TE_COEFFICIENT_CALC]]),3)</f>
        <v>0.3</v>
      </c>
      <c r="V718" s="11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36">
        <v>0</v>
      </c>
      <c r="X718" s="9">
        <v>0</v>
      </c>
      <c r="Y718" s="10">
        <v>0</v>
      </c>
      <c r="Z718" t="s">
        <v>882</v>
      </c>
      <c r="AA718" t="s">
        <v>868</v>
      </c>
      <c r="AB718" s="2" t="s">
        <v>886</v>
      </c>
      <c r="AC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8" s="2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H718" s="10" t="b">
        <v>0</v>
      </c>
      <c r="AY718"/>
      <c r="AZ718"/>
      <c r="BA718"/>
    </row>
    <row r="719" spans="1:53">
      <c r="A719" s="2" t="s">
        <v>721</v>
      </c>
      <c r="B719">
        <v>1830</v>
      </c>
      <c r="C719" cm="1">
        <f t="array" ref="C719">_xlfn.IFS(ISNUMBER(SEARCH("wagon",PROPERTIES[[#This Row],[VEHIDCODE]])),0,OR(MID(PROPERTIES[[#This Row],[VEHIDCODE]],2,2)="mu",_xlfn.TEXTBEFORE(PROPERTIES[[#This Row],[VEHIDCODE]],"_")="mtro"),1,1=1,0)</f>
        <v>0</v>
      </c>
      <c r="E719" t="str">
        <f>_xlfn.XLOOKUP(PROPERTIES[[#This Row],[COUNTRY]],COUNTRIES[COUNTRY_DESCRIPTION],COUNTRIES[COUNTRY_LABEL],"")</f>
        <v/>
      </c>
      <c r="F719" t="str" cm="1">
        <f t="array" ref="F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9" t="s">
        <v>320</v>
      </c>
      <c r="H719">
        <v>20</v>
      </c>
      <c r="I719">
        <v>4</v>
      </c>
      <c r="J719">
        <v>4</v>
      </c>
      <c r="K719" t="str" cm="1">
        <f t="array" ref="K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f>IF(ISNUMBER(SEARCH("passenger",PROPERTIES[[#This Row],[CARGODEF]])),1,0)</f>
        <v>1</v>
      </c>
      <c r="O719" s="32">
        <v>5</v>
      </c>
      <c r="P719">
        <v>0</v>
      </c>
      <c r="Q719">
        <v>40</v>
      </c>
      <c r="R719" s="29">
        <v>0</v>
      </c>
      <c r="S719" s="28">
        <f>IFERROR(PROPERTIES[[#This Row],[TE_STARTING_KN]]/(PROPERTIES[[#This Row],[WEIGHT]]*9.81),0)</f>
        <v>0</v>
      </c>
      <c r="T719" s="28">
        <v>0.3</v>
      </c>
      <c r="U719" s="25">
        <f>ROUND(IF(IFERROR(PROPERTIES[[#This Row],[TE_COEFFICIENT_CALC]],0)=0,PROPERTIES[[#This Row],[TE_COEFFICIENT_MANUAL]],PROPERTIES[[#This Row],[TE_COEFFICIENT_CALC]]),3)</f>
        <v>0.3</v>
      </c>
      <c r="V719" s="11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36">
        <v>0</v>
      </c>
      <c r="X719" s="9">
        <v>0</v>
      </c>
      <c r="Y719" s="10">
        <v>0</v>
      </c>
      <c r="Z719" t="s">
        <v>879</v>
      </c>
      <c r="AA719" t="s">
        <v>871</v>
      </c>
      <c r="AB719" s="2" t="s">
        <v>886</v>
      </c>
      <c r="AC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19" s="2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H719" s="10" t="b">
        <v>0</v>
      </c>
      <c r="AY719"/>
      <c r="AZ719"/>
      <c r="BA719"/>
    </row>
    <row r="720" spans="1:53">
      <c r="A720" s="2" t="s">
        <v>722</v>
      </c>
      <c r="B720">
        <v>1830</v>
      </c>
      <c r="C720" cm="1">
        <f t="array" ref="C720">_xlfn.IFS(ISNUMBER(SEARCH("wagon",PROPERTIES[[#This Row],[VEHIDCODE]])),0,OR(MID(PROPERTIES[[#This Row],[VEHIDCODE]],2,2)="mu",_xlfn.TEXTBEFORE(PROPERTIES[[#This Row],[VEHIDCODE]],"_")="mtro"),1,1=1,0)</f>
        <v>0</v>
      </c>
      <c r="E720" t="str">
        <f>_xlfn.XLOOKUP(PROPERTIES[[#This Row],[COUNTRY]],COUNTRIES[COUNTRY_DESCRIPTION],COUNTRIES[COUNTRY_LABEL],"")</f>
        <v/>
      </c>
      <c r="F720" t="str" cm="1">
        <f t="array" ref="F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0" t="s">
        <v>320</v>
      </c>
      <c r="H720">
        <v>45</v>
      </c>
      <c r="I720">
        <v>4</v>
      </c>
      <c r="J720">
        <v>4</v>
      </c>
      <c r="K720" t="str" cm="1">
        <f t="array" ref="K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0">
        <f>_xlfn.XLOOKUP("LOADINGSPEEDDEF_"&amp;PROPERTIES[[#This Row],[LOADINGSPEED]],LOADINGSPEEDDEF[TYPE],LOADINGSPEEDDEF[SPEED])</f>
        <v>40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f>IF(ISNUMBER(SEARCH("passenger",PROPERTIES[[#This Row],[CARGODEF]])),1,0)</f>
        <v>1</v>
      </c>
      <c r="O720" s="32">
        <v>8</v>
      </c>
      <c r="P720">
        <v>0</v>
      </c>
      <c r="Q720">
        <v>65</v>
      </c>
      <c r="R720" s="29">
        <v>0</v>
      </c>
      <c r="S720" s="28">
        <f>IFERROR(PROPERTIES[[#This Row],[TE_STARTING_KN]]/(PROPERTIES[[#This Row],[WEIGHT]]*9.81),0)</f>
        <v>0</v>
      </c>
      <c r="T720" s="28">
        <v>0.3</v>
      </c>
      <c r="U720" s="25">
        <f>ROUND(IF(IFERROR(PROPERTIES[[#This Row],[TE_COEFFICIENT_CALC]],0)=0,PROPERTIES[[#This Row],[TE_COEFFICIENT_MANUAL]],PROPERTIES[[#This Row],[TE_COEFFICIENT_CALC]]),3)</f>
        <v>0.3</v>
      </c>
      <c r="V720" s="11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36">
        <v>0</v>
      </c>
      <c r="X720" s="9">
        <v>0</v>
      </c>
      <c r="Y720" s="10">
        <v>0</v>
      </c>
      <c r="Z720" t="s">
        <v>882</v>
      </c>
      <c r="AA720" t="s">
        <v>868</v>
      </c>
      <c r="AB720" s="2" t="s">
        <v>886</v>
      </c>
      <c r="AC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0" s="2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0" s="2" t="b">
        <v>0</v>
      </c>
      <c r="AH720" s="10" t="b">
        <v>0</v>
      </c>
      <c r="AY720"/>
      <c r="AZ720"/>
      <c r="BA720"/>
    </row>
    <row r="721" spans="1:53">
      <c r="A721" s="2" t="s">
        <v>723</v>
      </c>
      <c r="B721">
        <v>1830</v>
      </c>
      <c r="C721" cm="1">
        <f t="array" ref="C721">_xlfn.IFS(ISNUMBER(SEARCH("wagon",PROPERTIES[[#This Row],[VEHIDCODE]])),0,OR(MID(PROPERTIES[[#This Row],[VEHIDCODE]],2,2)="mu",_xlfn.TEXTBEFORE(PROPERTIES[[#This Row],[VEHIDCODE]],"_")="mtro"),1,1=1,0)</f>
        <v>0</v>
      </c>
      <c r="E721" t="str">
        <f>_xlfn.XLOOKUP(PROPERTIES[[#This Row],[COUNTRY]],COUNTRIES[COUNTRY_DESCRIPTION],COUNTRIES[COUNTRY_LABEL],"")</f>
        <v/>
      </c>
      <c r="F721" t="str" cm="1">
        <f t="array" ref="F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1" t="s">
        <v>665</v>
      </c>
      <c r="H721">
        <v>12</v>
      </c>
      <c r="I721">
        <v>4</v>
      </c>
      <c r="J721">
        <v>4</v>
      </c>
      <c r="K721" t="str" cm="1">
        <f t="array" ref="K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f>IF(ISNUMBER(SEARCH("passenger",PROPERTIES[[#This Row],[CARGODEF]])),1,0)</f>
        <v>0</v>
      </c>
      <c r="O721" s="32">
        <v>5</v>
      </c>
      <c r="P721">
        <v>0</v>
      </c>
      <c r="Q721">
        <v>45</v>
      </c>
      <c r="R721" s="29">
        <v>0</v>
      </c>
      <c r="S721" s="28">
        <f>IFERROR(PROPERTIES[[#This Row],[TE_STARTING_KN]]/(PROPERTIES[[#This Row],[WEIGHT]]*9.81),0)</f>
        <v>0</v>
      </c>
      <c r="T721" s="28">
        <v>0.3</v>
      </c>
      <c r="U721" s="25">
        <f>ROUND(IF(IFERROR(PROPERTIES[[#This Row],[TE_COEFFICIENT_CALC]],0)=0,PROPERTIES[[#This Row],[TE_COEFFICIENT_MANUAL]],PROPERTIES[[#This Row],[TE_COEFFICIENT_CALC]]),3)</f>
        <v>0.3</v>
      </c>
      <c r="V721" s="11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36">
        <v>0</v>
      </c>
      <c r="X721" s="9">
        <v>0</v>
      </c>
      <c r="Y721" s="10">
        <v>0</v>
      </c>
      <c r="Z721" t="s">
        <v>882</v>
      </c>
      <c r="AA721" t="s">
        <v>868</v>
      </c>
      <c r="AB721" s="2" t="s">
        <v>886</v>
      </c>
      <c r="AC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1" s="2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H721" s="10" t="b">
        <v>0</v>
      </c>
      <c r="AY721"/>
      <c r="AZ721"/>
      <c r="BA721"/>
    </row>
    <row r="722" spans="1:53">
      <c r="A722" s="2" t="s">
        <v>724</v>
      </c>
      <c r="B722">
        <v>1840</v>
      </c>
      <c r="C722" cm="1">
        <f t="array" ref="C722">_xlfn.IFS(ISNUMBER(SEARCH("wagon",PROPERTIES[[#This Row],[VEHIDCODE]])),0,OR(MID(PROPERTIES[[#This Row],[VEHIDCODE]],2,2)="mu",_xlfn.TEXTBEFORE(PROPERTIES[[#This Row],[VEHIDCODE]],"_")="mtro"),1,1=1,0)</f>
        <v>0</v>
      </c>
      <c r="E722" t="str">
        <f>_xlfn.XLOOKUP(PROPERTIES[[#This Row],[COUNTRY]],COUNTRIES[COUNTRY_DESCRIPTION],COUNTRIES[COUNTRY_LABEL],"")</f>
        <v/>
      </c>
      <c r="F722" t="str" cm="1">
        <f t="array" ref="F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2" t="s">
        <v>320</v>
      </c>
      <c r="H722">
        <v>30</v>
      </c>
      <c r="I722">
        <v>6</v>
      </c>
      <c r="J722">
        <v>6</v>
      </c>
      <c r="K722" t="str" cm="1">
        <f t="array" ref="K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f>IF(ISNUMBER(SEARCH("passenger",PROPERTIES[[#This Row],[CARGODEF]])),1,0)</f>
        <v>1</v>
      </c>
      <c r="O722" s="32">
        <v>12</v>
      </c>
      <c r="P722">
        <v>0</v>
      </c>
      <c r="Q722">
        <v>80</v>
      </c>
      <c r="R722" s="29">
        <v>0</v>
      </c>
      <c r="S722" s="28">
        <f>IFERROR(PROPERTIES[[#This Row],[TE_STARTING_KN]]/(PROPERTIES[[#This Row],[WEIGHT]]*9.81),0)</f>
        <v>0</v>
      </c>
      <c r="T722" s="28">
        <v>0.3</v>
      </c>
      <c r="U722" s="25">
        <f>ROUND(IF(IFERROR(PROPERTIES[[#This Row],[TE_COEFFICIENT_CALC]],0)=0,PROPERTIES[[#This Row],[TE_COEFFICIENT_MANUAL]],PROPERTIES[[#This Row],[TE_COEFFICIENT_CALC]]),3)</f>
        <v>0.3</v>
      </c>
      <c r="V722" s="11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36">
        <v>0</v>
      </c>
      <c r="X722" s="9">
        <v>0</v>
      </c>
      <c r="Y722" s="10">
        <v>0</v>
      </c>
      <c r="Z722" t="s">
        <v>879</v>
      </c>
      <c r="AA722" t="s">
        <v>871</v>
      </c>
      <c r="AB722" s="2" t="s">
        <v>886</v>
      </c>
      <c r="AC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2" s="2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H722" s="10" t="b">
        <v>0</v>
      </c>
      <c r="AY722"/>
      <c r="AZ722"/>
      <c r="BA722"/>
    </row>
    <row r="723" spans="1:53">
      <c r="A723" s="2" t="s">
        <v>725</v>
      </c>
      <c r="B723">
        <v>1840</v>
      </c>
      <c r="C723" cm="1">
        <f t="array" ref="C723">_xlfn.IFS(ISNUMBER(SEARCH("wagon",PROPERTIES[[#This Row],[VEHIDCODE]])),0,OR(MID(PROPERTIES[[#This Row],[VEHIDCODE]],2,2)="mu",_xlfn.TEXTBEFORE(PROPERTIES[[#This Row],[VEHIDCODE]],"_")="mtro"),1,1=1,0)</f>
        <v>0</v>
      </c>
      <c r="E723" t="str">
        <f>_xlfn.XLOOKUP(PROPERTIES[[#This Row],[COUNTRY]],COUNTRIES[COUNTRY_DESCRIPTION],COUNTRIES[COUNTRY_LABEL],"")</f>
        <v/>
      </c>
      <c r="F723" t="str" cm="1">
        <f t="array" ref="F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3" t="s">
        <v>320</v>
      </c>
      <c r="H723">
        <v>65</v>
      </c>
      <c r="I723">
        <v>6</v>
      </c>
      <c r="J723">
        <v>6</v>
      </c>
      <c r="K723" t="str" cm="1">
        <f t="array" ref="K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3">
        <f>_xlfn.XLOOKUP("LOADINGSPEEDDEF_"&amp;PROPERTIES[[#This Row],[LOADINGSPEED]],LOADINGSPEEDDEF[TYPE],LOADINGSPEEDDEF[SPEED])</f>
        <v>40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f>IF(ISNUMBER(SEARCH("passenger",PROPERTIES[[#This Row],[CARGODEF]])),1,0)</f>
        <v>1</v>
      </c>
      <c r="O723" s="32">
        <v>15</v>
      </c>
      <c r="P723">
        <v>0</v>
      </c>
      <c r="Q723">
        <v>70</v>
      </c>
      <c r="R723" s="29">
        <v>0</v>
      </c>
      <c r="S723" s="28">
        <f>IFERROR(PROPERTIES[[#This Row],[TE_STARTING_KN]]/(PROPERTIES[[#This Row],[WEIGHT]]*9.81),0)</f>
        <v>0</v>
      </c>
      <c r="T723" s="28">
        <v>0.3</v>
      </c>
      <c r="U723" s="25">
        <f>ROUND(IF(IFERROR(PROPERTIES[[#This Row],[TE_COEFFICIENT_CALC]],0)=0,PROPERTIES[[#This Row],[TE_COEFFICIENT_MANUAL]],PROPERTIES[[#This Row],[TE_COEFFICIENT_CALC]]),3)</f>
        <v>0.3</v>
      </c>
      <c r="V723" s="11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36">
        <v>0</v>
      </c>
      <c r="X723" s="9">
        <v>0</v>
      </c>
      <c r="Y723" s="10">
        <v>0</v>
      </c>
      <c r="Z723" t="s">
        <v>882</v>
      </c>
      <c r="AA723" t="s">
        <v>868</v>
      </c>
      <c r="AB723" s="2" t="s">
        <v>886</v>
      </c>
      <c r="AC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3" s="2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3" s="2" t="b">
        <v>0</v>
      </c>
      <c r="AH723" s="10" t="b">
        <v>0</v>
      </c>
      <c r="AY723"/>
      <c r="AZ723"/>
      <c r="BA723"/>
    </row>
    <row r="724" spans="1:53">
      <c r="A724" s="2" t="s">
        <v>726</v>
      </c>
      <c r="B724">
        <v>1840</v>
      </c>
      <c r="C724" cm="1">
        <f t="array" ref="C724">_xlfn.IFS(ISNUMBER(SEARCH("wagon",PROPERTIES[[#This Row],[VEHIDCODE]])),0,OR(MID(PROPERTIES[[#This Row],[VEHIDCODE]],2,2)="mu",_xlfn.TEXTBEFORE(PROPERTIES[[#This Row],[VEHIDCODE]],"_")="mtro"),1,1=1,0)</f>
        <v>0</v>
      </c>
      <c r="E724" t="str">
        <f>_xlfn.XLOOKUP(PROPERTIES[[#This Row],[COUNTRY]],COUNTRIES[COUNTRY_DESCRIPTION],COUNTRIES[COUNTRY_LABEL],"")</f>
        <v/>
      </c>
      <c r="F724" t="str" cm="1">
        <f t="array" ref="F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4" t="s">
        <v>665</v>
      </c>
      <c r="H724">
        <v>28</v>
      </c>
      <c r="I724">
        <v>6</v>
      </c>
      <c r="J724">
        <v>6</v>
      </c>
      <c r="K724" t="str" cm="1">
        <f t="array" ref="K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f>IF(ISNUMBER(SEARCH("passenger",PROPERTIES[[#This Row],[CARGODEF]])),1,0)</f>
        <v>0</v>
      </c>
      <c r="O724" s="32">
        <v>13.5</v>
      </c>
      <c r="P724">
        <v>0</v>
      </c>
      <c r="Q724">
        <v>80</v>
      </c>
      <c r="R724" s="29">
        <v>0</v>
      </c>
      <c r="S724" s="28">
        <f>IFERROR(PROPERTIES[[#This Row],[TE_STARTING_KN]]/(PROPERTIES[[#This Row],[WEIGHT]]*9.81),0)</f>
        <v>0</v>
      </c>
      <c r="T724" s="28">
        <v>0.3</v>
      </c>
      <c r="U724" s="25">
        <f>ROUND(IF(IFERROR(PROPERTIES[[#This Row],[TE_COEFFICIENT_CALC]],0)=0,PROPERTIES[[#This Row],[TE_COEFFICIENT_MANUAL]],PROPERTIES[[#This Row],[TE_COEFFICIENT_CALC]]),3)</f>
        <v>0.3</v>
      </c>
      <c r="V724" s="11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36">
        <v>0</v>
      </c>
      <c r="X724" s="9">
        <v>0</v>
      </c>
      <c r="Y724" s="10">
        <v>0</v>
      </c>
      <c r="Z724" t="s">
        <v>882</v>
      </c>
      <c r="AA724" t="s">
        <v>868</v>
      </c>
      <c r="AB724" s="2" t="s">
        <v>886</v>
      </c>
      <c r="AC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4" s="2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H724" s="10" t="b">
        <v>0</v>
      </c>
      <c r="AY724"/>
      <c r="AZ724"/>
      <c r="BA724"/>
    </row>
    <row r="725" spans="1:53">
      <c r="A725" s="2" t="s">
        <v>727</v>
      </c>
      <c r="B725">
        <v>1850</v>
      </c>
      <c r="C725" cm="1">
        <f t="array" ref="C725">_xlfn.IFS(ISNUMBER(SEARCH("wagon",PROPERTIES[[#This Row],[VEHIDCODE]])),0,OR(MID(PROPERTIES[[#This Row],[VEHIDCODE]],2,2)="mu",_xlfn.TEXTBEFORE(PROPERTIES[[#This Row],[VEHIDCODE]],"_")="mtro"),1,1=1,0)</f>
        <v>0</v>
      </c>
      <c r="E725" t="str">
        <f>_xlfn.XLOOKUP(PROPERTIES[[#This Row],[COUNTRY]],COUNTRIES[COUNTRY_DESCRIPTION],COUNTRIES[COUNTRY_LABEL],"")</f>
        <v/>
      </c>
      <c r="F725" t="str" cm="1">
        <f t="array" ref="F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5" t="s">
        <v>320</v>
      </c>
      <c r="H725">
        <v>40</v>
      </c>
      <c r="I725">
        <v>5</v>
      </c>
      <c r="J725">
        <v>5</v>
      </c>
      <c r="K725" t="str" cm="1">
        <f t="array" ref="K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f>IF(ISNUMBER(SEARCH("passenger",PROPERTIES[[#This Row],[CARGODEF]])),1,0)</f>
        <v>1</v>
      </c>
      <c r="O725" s="32">
        <v>16.5</v>
      </c>
      <c r="P725">
        <v>0</v>
      </c>
      <c r="Q725">
        <v>90</v>
      </c>
      <c r="R725" s="29">
        <v>0</v>
      </c>
      <c r="S725" s="28">
        <f>IFERROR(PROPERTIES[[#This Row],[TE_STARTING_KN]]/(PROPERTIES[[#This Row],[WEIGHT]]*9.81),0)</f>
        <v>0</v>
      </c>
      <c r="T725" s="28">
        <v>0.3</v>
      </c>
      <c r="U725" s="25">
        <f>ROUND(IF(IFERROR(PROPERTIES[[#This Row],[TE_COEFFICIENT_CALC]],0)=0,PROPERTIES[[#This Row],[TE_COEFFICIENT_MANUAL]],PROPERTIES[[#This Row],[TE_COEFFICIENT_CALC]]),3)</f>
        <v>0.3</v>
      </c>
      <c r="V725" s="11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36">
        <v>0</v>
      </c>
      <c r="X725" s="9">
        <v>0</v>
      </c>
      <c r="Y725" s="10">
        <v>0</v>
      </c>
      <c r="Z725" t="s">
        <v>879</v>
      </c>
      <c r="AA725" t="s">
        <v>871</v>
      </c>
      <c r="AB725" s="2" t="s">
        <v>886</v>
      </c>
      <c r="AC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5" s="2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H725" s="10" t="b">
        <v>0</v>
      </c>
      <c r="AY725"/>
      <c r="AZ725"/>
      <c r="BA725"/>
    </row>
    <row r="726" spans="1:53">
      <c r="A726" s="2" t="s">
        <v>728</v>
      </c>
      <c r="B726">
        <v>1850</v>
      </c>
      <c r="C726" cm="1">
        <f t="array" ref="C726">_xlfn.IFS(ISNUMBER(SEARCH("wagon",PROPERTIES[[#This Row],[VEHIDCODE]])),0,OR(MID(PROPERTIES[[#This Row],[VEHIDCODE]],2,2)="mu",_xlfn.TEXTBEFORE(PROPERTIES[[#This Row],[VEHIDCODE]],"_")="mtro"),1,1=1,0)</f>
        <v>0</v>
      </c>
      <c r="E726" t="str">
        <f>_xlfn.XLOOKUP(PROPERTIES[[#This Row],[COUNTRY]],COUNTRIES[COUNTRY_DESCRIPTION],COUNTRIES[COUNTRY_LABEL],"")</f>
        <v/>
      </c>
      <c r="F726" t="str" cm="1">
        <f t="array" ref="F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6" t="s">
        <v>320</v>
      </c>
      <c r="H726">
        <v>80</v>
      </c>
      <c r="I726">
        <v>5</v>
      </c>
      <c r="J726">
        <v>5</v>
      </c>
      <c r="K726" t="str" cm="1">
        <f t="array" ref="K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6">
        <f>_xlfn.XLOOKUP("LOADINGSPEEDDEF_"&amp;PROPERTIES[[#This Row],[LOADINGSPEED]],LOADINGSPEEDDEF[TYPE],LOADINGSPEEDDEF[SPEED])</f>
        <v>40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f>IF(ISNUMBER(SEARCH("passenger",PROPERTIES[[#This Row],[CARGODEF]])),1,0)</f>
        <v>1</v>
      </c>
      <c r="O726" s="32">
        <v>18.5</v>
      </c>
      <c r="P726">
        <v>0</v>
      </c>
      <c r="Q726">
        <v>80</v>
      </c>
      <c r="R726" s="29">
        <v>0</v>
      </c>
      <c r="S726" s="28">
        <f>IFERROR(PROPERTIES[[#This Row],[TE_STARTING_KN]]/(PROPERTIES[[#This Row],[WEIGHT]]*9.81),0)</f>
        <v>0</v>
      </c>
      <c r="T726" s="28">
        <v>0.3</v>
      </c>
      <c r="U726" s="25">
        <f>ROUND(IF(IFERROR(PROPERTIES[[#This Row],[TE_COEFFICIENT_CALC]],0)=0,PROPERTIES[[#This Row],[TE_COEFFICIENT_MANUAL]],PROPERTIES[[#This Row],[TE_COEFFICIENT_CALC]]),3)</f>
        <v>0.3</v>
      </c>
      <c r="V726" s="11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36">
        <v>0</v>
      </c>
      <c r="X726" s="9">
        <v>0</v>
      </c>
      <c r="Y726" s="10">
        <v>0</v>
      </c>
      <c r="Z726" t="s">
        <v>879</v>
      </c>
      <c r="AA726" t="s">
        <v>871</v>
      </c>
      <c r="AB726" s="2" t="s">
        <v>886</v>
      </c>
      <c r="AC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6" s="2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6" s="2" t="b">
        <v>0</v>
      </c>
      <c r="AH726" s="10" t="b">
        <v>0</v>
      </c>
      <c r="AY726"/>
      <c r="AZ726"/>
      <c r="BA726"/>
    </row>
    <row r="727" spans="1:53">
      <c r="A727" s="2" t="s">
        <v>729</v>
      </c>
      <c r="B727">
        <v>1850</v>
      </c>
      <c r="C727" cm="1">
        <f t="array" ref="C727">_xlfn.IFS(ISNUMBER(SEARCH("wagon",PROPERTIES[[#This Row],[VEHIDCODE]])),0,OR(MID(PROPERTIES[[#This Row],[VEHIDCODE]],2,2)="mu",_xlfn.TEXTBEFORE(PROPERTIES[[#This Row],[VEHIDCODE]],"_")="mtro"),1,1=1,0)</f>
        <v>0</v>
      </c>
      <c r="E727" t="str">
        <f>_xlfn.XLOOKUP(PROPERTIES[[#This Row],[COUNTRY]],COUNTRIES[COUNTRY_DESCRIPTION],COUNTRIES[COUNTRY_LABEL],"")</f>
        <v/>
      </c>
      <c r="F727" t="str" cm="1">
        <f t="array" ref="F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7" t="s">
        <v>665</v>
      </c>
      <c r="H727">
        <v>42</v>
      </c>
      <c r="I727">
        <v>5</v>
      </c>
      <c r="J727">
        <v>5</v>
      </c>
      <c r="K727" t="str" cm="1">
        <f t="array" ref="K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f>IF(ISNUMBER(SEARCH("passenger",PROPERTIES[[#This Row],[CARGODEF]])),1,0)</f>
        <v>0</v>
      </c>
      <c r="O727" s="32">
        <v>17.5</v>
      </c>
      <c r="P727">
        <v>0</v>
      </c>
      <c r="Q727">
        <v>95</v>
      </c>
      <c r="R727" s="29">
        <v>0</v>
      </c>
      <c r="S727" s="28">
        <f>IFERROR(PROPERTIES[[#This Row],[TE_STARTING_KN]]/(PROPERTIES[[#This Row],[WEIGHT]]*9.81),0)</f>
        <v>0</v>
      </c>
      <c r="T727" s="28">
        <v>0.3</v>
      </c>
      <c r="U727" s="25">
        <f>ROUND(IF(IFERROR(PROPERTIES[[#This Row],[TE_COEFFICIENT_CALC]],0)=0,PROPERTIES[[#This Row],[TE_COEFFICIENT_MANUAL]],PROPERTIES[[#This Row],[TE_COEFFICIENT_CALC]]),3)</f>
        <v>0.3</v>
      </c>
      <c r="V727" s="11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36">
        <v>0</v>
      </c>
      <c r="X727" s="9">
        <v>0</v>
      </c>
      <c r="Y727" s="10">
        <v>0</v>
      </c>
      <c r="Z727" t="s">
        <v>879</v>
      </c>
      <c r="AA727" t="s">
        <v>871</v>
      </c>
      <c r="AB727" s="2" t="s">
        <v>886</v>
      </c>
      <c r="AC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7" s="2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H727" s="10" t="b">
        <v>0</v>
      </c>
      <c r="AY727"/>
      <c r="AZ727"/>
      <c r="BA727"/>
    </row>
    <row r="728" spans="1:53">
      <c r="A728" s="2" t="s">
        <v>730</v>
      </c>
      <c r="B728">
        <v>1900</v>
      </c>
      <c r="C728" cm="1">
        <f t="array" ref="C728">_xlfn.IFS(ISNUMBER(SEARCH("wagon",PROPERTIES[[#This Row],[VEHIDCODE]])),0,OR(MID(PROPERTIES[[#This Row],[VEHIDCODE]],2,2)="mu",_xlfn.TEXTBEFORE(PROPERTIES[[#This Row],[VEHIDCODE]],"_")="mtro"),1,1=1,0)</f>
        <v>0</v>
      </c>
      <c r="E728" t="str">
        <f>_xlfn.XLOOKUP(PROPERTIES[[#This Row],[COUNTRY]],COUNTRIES[COUNTRY_DESCRIPTION],COUNTRIES[COUNTRY_LABEL],"")</f>
        <v/>
      </c>
      <c r="F728" t="str" cm="1">
        <f t="array" ref="F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8" t="s">
        <v>320</v>
      </c>
      <c r="H728">
        <v>56</v>
      </c>
      <c r="I728">
        <v>8</v>
      </c>
      <c r="J728">
        <v>8</v>
      </c>
      <c r="K728" t="str" cm="1">
        <f t="array" ref="K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8">
        <f>_xlfn.XLOOKUP("LOADINGSPEEDDEF_"&amp;PROPERTIES[[#This Row],[LOADINGSPEED]],LOADINGSPEEDDEF[TYPE],LOADINGSPEEDDEF[SPEED])</f>
        <v>40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f>IF(ISNUMBER(SEARCH("passenger",PROPERTIES[[#This Row],[CARGODEF]])),1,0)</f>
        <v>1</v>
      </c>
      <c r="O728" s="32">
        <v>60</v>
      </c>
      <c r="P728">
        <v>0</v>
      </c>
      <c r="Q728">
        <v>120</v>
      </c>
      <c r="R728" s="29">
        <v>0</v>
      </c>
      <c r="S728" s="28">
        <f>IFERROR(PROPERTIES[[#This Row],[TE_STARTING_KN]]/(PROPERTIES[[#This Row],[WEIGHT]]*9.81),0)</f>
        <v>0</v>
      </c>
      <c r="T728" s="28">
        <v>0.3</v>
      </c>
      <c r="U728" s="25">
        <f>ROUND(IF(IFERROR(PROPERTIES[[#This Row],[TE_COEFFICIENT_CALC]],0)=0,PROPERTIES[[#This Row],[TE_COEFFICIENT_MANUAL]],PROPERTIES[[#This Row],[TE_COEFFICIENT_CALC]]),3)</f>
        <v>0.3</v>
      </c>
      <c r="V728" s="11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36">
        <v>0</v>
      </c>
      <c r="X728" s="9">
        <v>0</v>
      </c>
      <c r="Y728" s="10">
        <v>0</v>
      </c>
      <c r="Z728" t="s">
        <v>881</v>
      </c>
      <c r="AA728" t="s">
        <v>871</v>
      </c>
      <c r="AB728" s="2" t="s">
        <v>886</v>
      </c>
      <c r="AC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8" s="2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8" s="2" t="b">
        <v>0</v>
      </c>
      <c r="AH728" s="10" t="b">
        <v>0</v>
      </c>
      <c r="AY728"/>
      <c r="AZ728"/>
      <c r="BA728"/>
    </row>
    <row r="729" spans="1:53">
      <c r="A729" s="2" t="s">
        <v>731</v>
      </c>
      <c r="B729">
        <v>1900</v>
      </c>
      <c r="C729" cm="1">
        <f t="array" ref="C729">_xlfn.IFS(ISNUMBER(SEARCH("wagon",PROPERTIES[[#This Row],[VEHIDCODE]])),0,OR(MID(PROPERTIES[[#This Row],[VEHIDCODE]],2,2)="mu",_xlfn.TEXTBEFORE(PROPERTIES[[#This Row],[VEHIDCODE]],"_")="mtro"),1,1=1,0)</f>
        <v>0</v>
      </c>
      <c r="E729" t="str">
        <f>_xlfn.XLOOKUP(PROPERTIES[[#This Row],[COUNTRY]],COUNTRIES[COUNTRY_DESCRIPTION],COUNTRIES[COUNTRY_LABEL],"")</f>
        <v/>
      </c>
      <c r="F729" t="str" cm="1">
        <f t="array" ref="F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9" t="s">
        <v>665</v>
      </c>
      <c r="H729">
        <v>75</v>
      </c>
      <c r="I729">
        <v>8</v>
      </c>
      <c r="J729">
        <v>8</v>
      </c>
      <c r="K729" t="str" cm="1">
        <f t="array" ref="K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9">
        <f>_xlfn.XLOOKUP("LOADINGSPEEDDEF_"&amp;PROPERTIES[[#This Row],[LOADINGSPEED]],LOADINGSPEEDDEF[TYPE],LOADINGSPEEDDEF[SPEED])</f>
        <v>15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f>IF(ISNUMBER(SEARCH("passenger",PROPERTIES[[#This Row],[CARGODEF]])),1,0)</f>
        <v>0</v>
      </c>
      <c r="O729" s="32">
        <v>58</v>
      </c>
      <c r="P729">
        <v>0</v>
      </c>
      <c r="Q729">
        <v>130</v>
      </c>
      <c r="R729" s="29">
        <v>0</v>
      </c>
      <c r="S729" s="28">
        <f>IFERROR(PROPERTIES[[#This Row],[TE_STARTING_KN]]/(PROPERTIES[[#This Row],[WEIGHT]]*9.81),0)</f>
        <v>0</v>
      </c>
      <c r="T729" s="28">
        <v>0.3</v>
      </c>
      <c r="U729" s="25">
        <f>ROUND(IF(IFERROR(PROPERTIES[[#This Row],[TE_COEFFICIENT_CALC]],0)=0,PROPERTIES[[#This Row],[TE_COEFFICIENT_MANUAL]],PROPERTIES[[#This Row],[TE_COEFFICIENT_CALC]]),3)</f>
        <v>0.3</v>
      </c>
      <c r="V729" s="11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36">
        <v>0</v>
      </c>
      <c r="X729" s="9">
        <v>0</v>
      </c>
      <c r="Y729" s="10">
        <v>0</v>
      </c>
      <c r="Z729" t="s">
        <v>881</v>
      </c>
      <c r="AA729" t="s">
        <v>871</v>
      </c>
      <c r="AB729" s="2" t="s">
        <v>886</v>
      </c>
      <c r="AC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9" s="2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H729" s="10" t="b">
        <v>0</v>
      </c>
      <c r="AY729"/>
      <c r="AZ729"/>
      <c r="BA729"/>
    </row>
    <row r="730" spans="1:53">
      <c r="A730" s="2" t="s">
        <v>732</v>
      </c>
      <c r="B730">
        <v>1910</v>
      </c>
      <c r="C730" cm="1">
        <f t="array" ref="C730">_xlfn.IFS(ISNUMBER(SEARCH("wagon",PROPERTIES[[#This Row],[VEHIDCODE]])),0,OR(MID(PROPERTIES[[#This Row],[VEHIDCODE]],2,2)="mu",_xlfn.TEXTBEFORE(PROPERTIES[[#This Row],[VEHIDCODE]],"_")="mtro"),1,1=1,0)</f>
        <v>0</v>
      </c>
      <c r="E730" t="str">
        <f>_xlfn.XLOOKUP(PROPERTIES[[#This Row],[COUNTRY]],COUNTRIES[COUNTRY_DESCRIPTION],COUNTRIES[COUNTRY_LABEL],"")</f>
        <v/>
      </c>
      <c r="F730" t="str" cm="1">
        <f t="array" ref="F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0" t="s">
        <v>320</v>
      </c>
      <c r="H730">
        <v>80</v>
      </c>
      <c r="I730">
        <v>7</v>
      </c>
      <c r="J730">
        <v>7</v>
      </c>
      <c r="K730" t="str" cm="1">
        <f t="array" ref="K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0">
        <f>_xlfn.XLOOKUP("LOADINGSPEEDDEF_"&amp;PROPERTIES[[#This Row],[LOADINGSPEED]],LOADINGSPEEDDEF[TYPE],LOADINGSPEEDDEF[SPEED])</f>
        <v>40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f>IF(ISNUMBER(SEARCH("passenger",PROPERTIES[[#This Row],[CARGODEF]])),1,0)</f>
        <v>1</v>
      </c>
      <c r="O730" s="32">
        <v>48</v>
      </c>
      <c r="P730">
        <v>0</v>
      </c>
      <c r="Q730">
        <v>120</v>
      </c>
      <c r="R730" s="29">
        <v>0</v>
      </c>
      <c r="S730" s="28">
        <f>IFERROR(PROPERTIES[[#This Row],[TE_STARTING_KN]]/(PROPERTIES[[#This Row],[WEIGHT]]*9.81),0)</f>
        <v>0</v>
      </c>
      <c r="T730" s="28">
        <v>0.3</v>
      </c>
      <c r="U730" s="25">
        <f>ROUND(IF(IFERROR(PROPERTIES[[#This Row],[TE_COEFFICIENT_CALC]],0)=0,PROPERTIES[[#This Row],[TE_COEFFICIENT_MANUAL]],PROPERTIES[[#This Row],[TE_COEFFICIENT_CALC]]),3)</f>
        <v>0.3</v>
      </c>
      <c r="V730" s="11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36">
        <v>0</v>
      </c>
      <c r="X730" s="9">
        <v>0</v>
      </c>
      <c r="Y730" s="10">
        <v>0</v>
      </c>
      <c r="Z730" t="s">
        <v>879</v>
      </c>
      <c r="AA730" t="s">
        <v>871</v>
      </c>
      <c r="AB730" s="2" t="s">
        <v>886</v>
      </c>
      <c r="AC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0" s="2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0" s="2" t="b">
        <v>0</v>
      </c>
      <c r="AH730" s="10" t="b">
        <v>0</v>
      </c>
      <c r="AY730"/>
      <c r="AZ730"/>
      <c r="BA730"/>
    </row>
    <row r="731" spans="1:53">
      <c r="A731" s="2" t="s">
        <v>733</v>
      </c>
      <c r="B731">
        <v>1910</v>
      </c>
      <c r="C731" cm="1">
        <f t="array" ref="C731">_xlfn.IFS(ISNUMBER(SEARCH("wagon",PROPERTIES[[#This Row],[VEHIDCODE]])),0,OR(MID(PROPERTIES[[#This Row],[VEHIDCODE]],2,2)="mu",_xlfn.TEXTBEFORE(PROPERTIES[[#This Row],[VEHIDCODE]],"_")="mtro"),1,1=1,0)</f>
        <v>0</v>
      </c>
      <c r="E731" t="str">
        <f>_xlfn.XLOOKUP(PROPERTIES[[#This Row],[COUNTRY]],COUNTRIES[COUNTRY_DESCRIPTION],COUNTRIES[COUNTRY_LABEL],"")</f>
        <v/>
      </c>
      <c r="F731" t="str" cm="1">
        <f t="array" ref="F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1" t="s">
        <v>320</v>
      </c>
      <c r="H731">
        <v>60</v>
      </c>
      <c r="I731">
        <v>7</v>
      </c>
      <c r="J731">
        <v>7</v>
      </c>
      <c r="K731" t="str" cm="1">
        <f t="array" ref="K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f>IF(ISNUMBER(SEARCH("passenger",PROPERTIES[[#This Row],[CARGODEF]])),1,0)</f>
        <v>1</v>
      </c>
      <c r="O731" s="32">
        <v>40</v>
      </c>
      <c r="P731">
        <v>0</v>
      </c>
      <c r="Q731">
        <v>120</v>
      </c>
      <c r="R731" s="29">
        <v>0</v>
      </c>
      <c r="S731" s="28">
        <f>IFERROR(PROPERTIES[[#This Row],[TE_STARTING_KN]]/(PROPERTIES[[#This Row],[WEIGHT]]*9.81),0)</f>
        <v>0</v>
      </c>
      <c r="T731" s="28">
        <v>0.3</v>
      </c>
      <c r="U731" s="25">
        <f>ROUND(IF(IFERROR(PROPERTIES[[#This Row],[TE_COEFFICIENT_CALC]],0)=0,PROPERTIES[[#This Row],[TE_COEFFICIENT_MANUAL]],PROPERTIES[[#This Row],[TE_COEFFICIENT_CALC]]),3)</f>
        <v>0.3</v>
      </c>
      <c r="V731" s="11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36">
        <v>0</v>
      </c>
      <c r="X731" s="9">
        <v>0</v>
      </c>
      <c r="Y731" s="10">
        <v>0</v>
      </c>
      <c r="Z731" t="s">
        <v>879</v>
      </c>
      <c r="AA731" t="s">
        <v>871</v>
      </c>
      <c r="AB731" s="2" t="s">
        <v>886</v>
      </c>
      <c r="AC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1" s="2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H731" s="10" t="b">
        <v>0</v>
      </c>
      <c r="AY731"/>
      <c r="AZ731"/>
      <c r="BA731"/>
    </row>
    <row r="732" spans="1:53">
      <c r="A732" s="2" t="s">
        <v>734</v>
      </c>
      <c r="B732">
        <v>1910</v>
      </c>
      <c r="C732" cm="1">
        <f t="array" ref="C732">_xlfn.IFS(ISNUMBER(SEARCH("wagon",PROPERTIES[[#This Row],[VEHIDCODE]])),0,OR(MID(PROPERTIES[[#This Row],[VEHIDCODE]],2,2)="mu",_xlfn.TEXTBEFORE(PROPERTIES[[#This Row],[VEHIDCODE]],"_")="mtro"),1,1=1,0)</f>
        <v>0</v>
      </c>
      <c r="E732" t="str">
        <f>_xlfn.XLOOKUP(PROPERTIES[[#This Row],[COUNTRY]],COUNTRIES[COUNTRY_DESCRIPTION],COUNTRIES[COUNTRY_LABEL],"")</f>
        <v/>
      </c>
      <c r="F732" t="str" cm="1">
        <f t="array" ref="F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2" t="s">
        <v>320</v>
      </c>
      <c r="H732">
        <v>120</v>
      </c>
      <c r="I732">
        <v>7</v>
      </c>
      <c r="J732">
        <v>7</v>
      </c>
      <c r="K732" t="str" cm="1">
        <f t="array" ref="K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2">
        <f>_xlfn.XLOOKUP("LOADINGSPEEDDEF_"&amp;PROPERTIES[[#This Row],[LOADINGSPEED]],LOADINGSPEEDDEF[TYPE],LOADINGSPEEDDEF[SPEED])</f>
        <v>40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f>IF(ISNUMBER(SEARCH("passenger",PROPERTIES[[#This Row],[CARGODEF]])),1,0)</f>
        <v>1</v>
      </c>
      <c r="O732" s="32">
        <v>40</v>
      </c>
      <c r="P732">
        <v>0</v>
      </c>
      <c r="Q732">
        <v>100</v>
      </c>
      <c r="R732" s="29">
        <v>0</v>
      </c>
      <c r="S732" s="28">
        <f>IFERROR(PROPERTIES[[#This Row],[TE_STARTING_KN]]/(PROPERTIES[[#This Row],[WEIGHT]]*9.81),0)</f>
        <v>0</v>
      </c>
      <c r="T732" s="28">
        <v>0.3</v>
      </c>
      <c r="U732" s="25">
        <f>ROUND(IF(IFERROR(PROPERTIES[[#This Row],[TE_COEFFICIENT_CALC]],0)=0,PROPERTIES[[#This Row],[TE_COEFFICIENT_MANUAL]],PROPERTIES[[#This Row],[TE_COEFFICIENT_CALC]]),3)</f>
        <v>0.3</v>
      </c>
      <c r="V732" s="11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36">
        <v>0</v>
      </c>
      <c r="X732" s="9">
        <v>0</v>
      </c>
      <c r="Y732" s="10">
        <v>0</v>
      </c>
      <c r="Z732" t="s">
        <v>879</v>
      </c>
      <c r="AA732" t="s">
        <v>871</v>
      </c>
      <c r="AB732" s="2" t="s">
        <v>886</v>
      </c>
      <c r="AC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2" s="2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2" s="2" t="b">
        <v>0</v>
      </c>
      <c r="AH732" s="10" t="b">
        <v>0</v>
      </c>
      <c r="AY732"/>
      <c r="AZ732"/>
      <c r="BA732"/>
    </row>
    <row r="733" spans="1:53">
      <c r="A733" s="2" t="s">
        <v>735</v>
      </c>
      <c r="B733">
        <v>1910</v>
      </c>
      <c r="C733" cm="1">
        <f t="array" ref="C733">_xlfn.IFS(ISNUMBER(SEARCH("wagon",PROPERTIES[[#This Row],[VEHIDCODE]])),0,OR(MID(PROPERTIES[[#This Row],[VEHIDCODE]],2,2)="mu",_xlfn.TEXTBEFORE(PROPERTIES[[#This Row],[VEHIDCODE]],"_")="mtro"),1,1=1,0)</f>
        <v>0</v>
      </c>
      <c r="E733" t="str">
        <f>_xlfn.XLOOKUP(PROPERTIES[[#This Row],[COUNTRY]],COUNTRIES[COUNTRY_DESCRIPTION],COUNTRIES[COUNTRY_LABEL],"")</f>
        <v/>
      </c>
      <c r="F733" t="str" cm="1">
        <f t="array" ref="F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3" t="s">
        <v>665</v>
      </c>
      <c r="H733">
        <v>60</v>
      </c>
      <c r="I733">
        <v>7</v>
      </c>
      <c r="J733">
        <v>7</v>
      </c>
      <c r="K733" t="str" cm="1">
        <f t="array" ref="K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f>IF(ISNUMBER(SEARCH("passenger",PROPERTIES[[#This Row],[CARGODEF]])),1,0)</f>
        <v>0</v>
      </c>
      <c r="O733" s="32">
        <v>44</v>
      </c>
      <c r="P733">
        <v>0</v>
      </c>
      <c r="Q733">
        <v>120</v>
      </c>
      <c r="R733" s="29">
        <v>0</v>
      </c>
      <c r="S733" s="28">
        <f>IFERROR(PROPERTIES[[#This Row],[TE_STARTING_KN]]/(PROPERTIES[[#This Row],[WEIGHT]]*9.81),0)</f>
        <v>0</v>
      </c>
      <c r="T733" s="28">
        <v>0.3</v>
      </c>
      <c r="U733" s="25">
        <f>ROUND(IF(IFERROR(PROPERTIES[[#This Row],[TE_COEFFICIENT_CALC]],0)=0,PROPERTIES[[#This Row],[TE_COEFFICIENT_MANUAL]],PROPERTIES[[#This Row],[TE_COEFFICIENT_CALC]]),3)</f>
        <v>0.3</v>
      </c>
      <c r="V733" s="11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36">
        <v>0</v>
      </c>
      <c r="X733" s="9">
        <v>0</v>
      </c>
      <c r="Y733" s="10">
        <v>0</v>
      </c>
      <c r="Z733" t="s">
        <v>879</v>
      </c>
      <c r="AA733" t="s">
        <v>871</v>
      </c>
      <c r="AB733" s="2" t="s">
        <v>886</v>
      </c>
      <c r="AC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3" s="2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H733" s="10" t="b">
        <v>0</v>
      </c>
      <c r="AY733"/>
      <c r="AZ733"/>
      <c r="BA733"/>
    </row>
    <row r="734" spans="1:53">
      <c r="A734" s="2" t="s">
        <v>736</v>
      </c>
      <c r="B734">
        <v>1920</v>
      </c>
      <c r="C734" cm="1">
        <f t="array" ref="C734">_xlfn.IFS(ISNUMBER(SEARCH("wagon",PROPERTIES[[#This Row],[VEHIDCODE]])),0,OR(MID(PROPERTIES[[#This Row],[VEHIDCODE]],2,2)="mu",_xlfn.TEXTBEFORE(PROPERTIES[[#This Row],[VEHIDCODE]],"_")="mtro"),1,1=1,0)</f>
        <v>0</v>
      </c>
      <c r="E734" t="str">
        <f>_xlfn.XLOOKUP(PROPERTIES[[#This Row],[COUNTRY]],COUNTRIES[COUNTRY_DESCRIPTION],COUNTRIES[COUNTRY_LABEL],"")</f>
        <v/>
      </c>
      <c r="F734" t="str" cm="1">
        <f t="array" ref="F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4" t="s">
        <v>320</v>
      </c>
      <c r="H734">
        <v>45</v>
      </c>
      <c r="I734">
        <v>5</v>
      </c>
      <c r="J734">
        <v>5</v>
      </c>
      <c r="K734" t="str" cm="1">
        <f t="array" ref="K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f>IF(ISNUMBER(SEARCH("passenger",PROPERTIES[[#This Row],[CARGODEF]])),1,0)</f>
        <v>1</v>
      </c>
      <c r="O734" s="32">
        <v>21</v>
      </c>
      <c r="P734">
        <v>0</v>
      </c>
      <c r="Q734">
        <v>90</v>
      </c>
      <c r="R734" s="29">
        <v>0</v>
      </c>
      <c r="S734" s="28">
        <f>IFERROR(PROPERTIES[[#This Row],[TE_STARTING_KN]]/(PROPERTIES[[#This Row],[WEIGHT]]*9.81),0)</f>
        <v>0</v>
      </c>
      <c r="T734" s="28">
        <v>0.3</v>
      </c>
      <c r="U734" s="25">
        <f>ROUND(IF(IFERROR(PROPERTIES[[#This Row],[TE_COEFFICIENT_CALC]],0)=0,PROPERTIES[[#This Row],[TE_COEFFICIENT_MANUAL]],PROPERTIES[[#This Row],[TE_COEFFICIENT_CALC]]),3)</f>
        <v>0.3</v>
      </c>
      <c r="V734" s="11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36">
        <v>0</v>
      </c>
      <c r="X734" s="9">
        <v>0</v>
      </c>
      <c r="Y734" s="10">
        <v>0</v>
      </c>
      <c r="Z734" t="s">
        <v>879</v>
      </c>
      <c r="AA734" t="s">
        <v>871</v>
      </c>
      <c r="AB734" s="2" t="s">
        <v>886</v>
      </c>
      <c r="AC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4" s="2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H734" s="10" t="b">
        <v>0</v>
      </c>
      <c r="AY734"/>
      <c r="AZ734"/>
      <c r="BA734"/>
    </row>
    <row r="735" spans="1:53">
      <c r="A735" s="2" t="s">
        <v>737</v>
      </c>
      <c r="B735">
        <v>1920</v>
      </c>
      <c r="C735" cm="1">
        <f t="array" ref="C735">_xlfn.IFS(ISNUMBER(SEARCH("wagon",PROPERTIES[[#This Row],[VEHIDCODE]])),0,OR(MID(PROPERTIES[[#This Row],[VEHIDCODE]],2,2)="mu",_xlfn.TEXTBEFORE(PROPERTIES[[#This Row],[VEHIDCODE]],"_")="mtro"),1,1=1,0)</f>
        <v>0</v>
      </c>
      <c r="E735" t="str">
        <f>_xlfn.XLOOKUP(PROPERTIES[[#This Row],[COUNTRY]],COUNTRIES[COUNTRY_DESCRIPTION],COUNTRIES[COUNTRY_LABEL],"")</f>
        <v/>
      </c>
      <c r="F735" t="str" cm="1">
        <f t="array" ref="F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5" t="s">
        <v>320</v>
      </c>
      <c r="H735">
        <v>90</v>
      </c>
      <c r="I735">
        <v>5</v>
      </c>
      <c r="J735">
        <v>5</v>
      </c>
      <c r="K735" t="str" cm="1">
        <f t="array" ref="K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5">
        <f>_xlfn.XLOOKUP("LOADINGSPEEDDEF_"&amp;PROPERTIES[[#This Row],[LOADINGSPEED]],LOADINGSPEEDDEF[TYPE],LOADINGSPEEDDEF[SPEED])</f>
        <v>40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f>IF(ISNUMBER(SEARCH("passenger",PROPERTIES[[#This Row],[CARGODEF]])),1,0)</f>
        <v>1</v>
      </c>
      <c r="O735" s="32">
        <v>22</v>
      </c>
      <c r="P735">
        <v>0</v>
      </c>
      <c r="Q735">
        <v>90</v>
      </c>
      <c r="R735" s="29">
        <v>0</v>
      </c>
      <c r="S735" s="28">
        <f>IFERROR(PROPERTIES[[#This Row],[TE_STARTING_KN]]/(PROPERTIES[[#This Row],[WEIGHT]]*9.81),0)</f>
        <v>0</v>
      </c>
      <c r="T735" s="28">
        <v>0.3</v>
      </c>
      <c r="U735" s="25">
        <f>ROUND(IF(IFERROR(PROPERTIES[[#This Row],[TE_COEFFICIENT_CALC]],0)=0,PROPERTIES[[#This Row],[TE_COEFFICIENT_MANUAL]],PROPERTIES[[#This Row],[TE_COEFFICIENT_CALC]]),3)</f>
        <v>0.3</v>
      </c>
      <c r="V735" s="11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36">
        <v>0</v>
      </c>
      <c r="X735" s="9">
        <v>0</v>
      </c>
      <c r="Y735" s="10">
        <v>0</v>
      </c>
      <c r="Z735" t="s">
        <v>882</v>
      </c>
      <c r="AA735" t="s">
        <v>868</v>
      </c>
      <c r="AB735" s="2" t="s">
        <v>886</v>
      </c>
      <c r="AC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5" s="2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5" s="2" t="b">
        <v>0</v>
      </c>
      <c r="AH735" s="10" t="b">
        <v>0</v>
      </c>
      <c r="AY735"/>
      <c r="AZ735"/>
      <c r="BA735"/>
    </row>
    <row r="736" spans="1:53">
      <c r="A736" s="2" t="s">
        <v>738</v>
      </c>
      <c r="B736">
        <v>1920</v>
      </c>
      <c r="C736" cm="1">
        <f t="array" ref="C736">_xlfn.IFS(ISNUMBER(SEARCH("wagon",PROPERTIES[[#This Row],[VEHIDCODE]])),0,OR(MID(PROPERTIES[[#This Row],[VEHIDCODE]],2,2)="mu",_xlfn.TEXTBEFORE(PROPERTIES[[#This Row],[VEHIDCODE]],"_")="mtro"),1,1=1,0)</f>
        <v>0</v>
      </c>
      <c r="E736" t="str">
        <f>_xlfn.XLOOKUP(PROPERTIES[[#This Row],[COUNTRY]],COUNTRIES[COUNTRY_DESCRIPTION],COUNTRIES[COUNTRY_LABEL],"")</f>
        <v/>
      </c>
      <c r="F736" t="str" cm="1">
        <f t="array" ref="F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6" t="s">
        <v>665</v>
      </c>
      <c r="H736">
        <v>32</v>
      </c>
      <c r="I736">
        <v>5</v>
      </c>
      <c r="J736">
        <v>5</v>
      </c>
      <c r="K736" t="str" cm="1">
        <f t="array" ref="K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f>IF(ISNUMBER(SEARCH("passenger",PROPERTIES[[#This Row],[CARGODEF]])),1,0)</f>
        <v>0</v>
      </c>
      <c r="O736" s="32">
        <v>19.5</v>
      </c>
      <c r="P736">
        <v>0</v>
      </c>
      <c r="Q736">
        <v>90</v>
      </c>
      <c r="R736" s="29">
        <v>0</v>
      </c>
      <c r="S736" s="28">
        <f>IFERROR(PROPERTIES[[#This Row],[TE_STARTING_KN]]/(PROPERTIES[[#This Row],[WEIGHT]]*9.81),0)</f>
        <v>0</v>
      </c>
      <c r="T736" s="28">
        <v>0.3</v>
      </c>
      <c r="U736" s="25">
        <f>ROUND(IF(IFERROR(PROPERTIES[[#This Row],[TE_COEFFICIENT_CALC]],0)=0,PROPERTIES[[#This Row],[TE_COEFFICIENT_MANUAL]],PROPERTIES[[#This Row],[TE_COEFFICIENT_CALC]]),3)</f>
        <v>0.3</v>
      </c>
      <c r="V736" s="11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36">
        <v>0</v>
      </c>
      <c r="X736" s="9">
        <v>0</v>
      </c>
      <c r="Y736" s="10">
        <v>0</v>
      </c>
      <c r="Z736" t="s">
        <v>882</v>
      </c>
      <c r="AA736" t="s">
        <v>868</v>
      </c>
      <c r="AB736" s="2" t="s">
        <v>886</v>
      </c>
      <c r="AC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6" s="2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H736" s="10" t="b">
        <v>0</v>
      </c>
      <c r="AY736"/>
      <c r="AZ736"/>
      <c r="BA736"/>
    </row>
    <row r="737" spans="1:53">
      <c r="A737" s="2" t="s">
        <v>739</v>
      </c>
      <c r="B737">
        <v>1920</v>
      </c>
      <c r="C737" cm="1">
        <f t="array" ref="C737">_xlfn.IFS(ISNUMBER(SEARCH("wagon",PROPERTIES[[#This Row],[VEHIDCODE]])),0,OR(MID(PROPERTIES[[#This Row],[VEHIDCODE]],2,2)="mu",_xlfn.TEXTBEFORE(PROPERTIES[[#This Row],[VEHIDCODE]],"_")="mtro"),1,1=1,0)</f>
        <v>0</v>
      </c>
      <c r="E737" t="str">
        <f>_xlfn.XLOOKUP(PROPERTIES[[#This Row],[COUNTRY]],COUNTRIES[COUNTRY_DESCRIPTION],COUNTRIES[COUNTRY_LABEL],"")</f>
        <v/>
      </c>
      <c r="F737" t="str" cm="1">
        <f t="array" ref="F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7" t="s">
        <v>320</v>
      </c>
      <c r="H737">
        <v>62</v>
      </c>
      <c r="I737">
        <v>6</v>
      </c>
      <c r="J737">
        <v>6</v>
      </c>
      <c r="K737" t="str" cm="1">
        <f t="array" ref="K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f>IF(ISNUMBER(SEARCH("passenger",PROPERTIES[[#This Row],[CARGODEF]])),1,0)</f>
        <v>1</v>
      </c>
      <c r="O737" s="32">
        <v>27</v>
      </c>
      <c r="P737">
        <v>0</v>
      </c>
      <c r="Q737">
        <v>90</v>
      </c>
      <c r="R737" s="29">
        <v>0</v>
      </c>
      <c r="S737" s="28">
        <f>IFERROR(PROPERTIES[[#This Row],[TE_STARTING_KN]]/(PROPERTIES[[#This Row],[WEIGHT]]*9.81),0)</f>
        <v>0</v>
      </c>
      <c r="T737" s="28">
        <v>0.3</v>
      </c>
      <c r="U737" s="25">
        <f>ROUND(IF(IFERROR(PROPERTIES[[#This Row],[TE_COEFFICIENT_CALC]],0)=0,PROPERTIES[[#This Row],[TE_COEFFICIENT_MANUAL]],PROPERTIES[[#This Row],[TE_COEFFICIENT_CALC]]),3)</f>
        <v>0.3</v>
      </c>
      <c r="V737" s="11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36">
        <v>0</v>
      </c>
      <c r="X737" s="9">
        <v>0</v>
      </c>
      <c r="Y737" s="10">
        <v>0</v>
      </c>
      <c r="Z737" t="s">
        <v>879</v>
      </c>
      <c r="AA737" t="s">
        <v>871</v>
      </c>
      <c r="AB737" s="2" t="s">
        <v>886</v>
      </c>
      <c r="AC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7" s="2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H737" s="10" t="b">
        <v>0</v>
      </c>
      <c r="AY737"/>
      <c r="AZ737"/>
      <c r="BA737"/>
    </row>
    <row r="738" spans="1:53">
      <c r="A738" s="2" t="s">
        <v>740</v>
      </c>
      <c r="B738">
        <v>1920</v>
      </c>
      <c r="C738" cm="1">
        <f t="array" ref="C738">_xlfn.IFS(ISNUMBER(SEARCH("wagon",PROPERTIES[[#This Row],[VEHIDCODE]])),0,OR(MID(PROPERTIES[[#This Row],[VEHIDCODE]],2,2)="mu",_xlfn.TEXTBEFORE(PROPERTIES[[#This Row],[VEHIDCODE]],"_")="mtro"),1,1=1,0)</f>
        <v>0</v>
      </c>
      <c r="E738" t="str">
        <f>_xlfn.XLOOKUP(PROPERTIES[[#This Row],[COUNTRY]],COUNTRIES[COUNTRY_DESCRIPTION],COUNTRIES[COUNTRY_LABEL],"")</f>
        <v/>
      </c>
      <c r="F738" t="str" cm="1">
        <f t="array" ref="F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8" t="s">
        <v>320</v>
      </c>
      <c r="H738">
        <v>100</v>
      </c>
      <c r="I738">
        <v>6</v>
      </c>
      <c r="J738">
        <v>6</v>
      </c>
      <c r="K738" t="str" cm="1">
        <f t="array" ref="K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8">
        <f>_xlfn.XLOOKUP("LOADINGSPEEDDEF_"&amp;PROPERTIES[[#This Row],[LOADINGSPEED]],LOADINGSPEEDDEF[TYPE],LOADINGSPEEDDEF[SPEED])</f>
        <v>40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f>IF(ISNUMBER(SEARCH("passenger",PROPERTIES[[#This Row],[CARGODEF]])),1,0)</f>
        <v>1</v>
      </c>
      <c r="O738" s="32">
        <v>30</v>
      </c>
      <c r="P738">
        <v>0</v>
      </c>
      <c r="Q738">
        <v>90</v>
      </c>
      <c r="R738" s="29">
        <v>0</v>
      </c>
      <c r="S738" s="28">
        <f>IFERROR(PROPERTIES[[#This Row],[TE_STARTING_KN]]/(PROPERTIES[[#This Row],[WEIGHT]]*9.81),0)</f>
        <v>0</v>
      </c>
      <c r="T738" s="28">
        <v>0.3</v>
      </c>
      <c r="U738" s="25">
        <f>ROUND(IF(IFERROR(PROPERTIES[[#This Row],[TE_COEFFICIENT_CALC]],0)=0,PROPERTIES[[#This Row],[TE_COEFFICIENT_MANUAL]],PROPERTIES[[#This Row],[TE_COEFFICIENT_CALC]]),3)</f>
        <v>0.3</v>
      </c>
      <c r="V738" s="11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36">
        <v>0</v>
      </c>
      <c r="X738" s="9">
        <v>0</v>
      </c>
      <c r="Y738" s="10">
        <v>0</v>
      </c>
      <c r="Z738" t="s">
        <v>879</v>
      </c>
      <c r="AA738" t="s">
        <v>871</v>
      </c>
      <c r="AB738" s="2" t="s">
        <v>886</v>
      </c>
      <c r="AC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8" s="2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8" s="2" t="b">
        <v>0</v>
      </c>
      <c r="AH738" s="10" t="b">
        <v>0</v>
      </c>
      <c r="AY738"/>
      <c r="AZ738"/>
      <c r="BA738"/>
    </row>
    <row r="739" spans="1:53">
      <c r="A739" s="2" t="s">
        <v>741</v>
      </c>
      <c r="B739">
        <v>1920</v>
      </c>
      <c r="C739" cm="1">
        <f t="array" ref="C739">_xlfn.IFS(ISNUMBER(SEARCH("wagon",PROPERTIES[[#This Row],[VEHIDCODE]])),0,OR(MID(PROPERTIES[[#This Row],[VEHIDCODE]],2,2)="mu",_xlfn.TEXTBEFORE(PROPERTIES[[#This Row],[VEHIDCODE]],"_")="mtro"),1,1=1,0)</f>
        <v>0</v>
      </c>
      <c r="E739" t="str">
        <f>_xlfn.XLOOKUP(PROPERTIES[[#This Row],[COUNTRY]],COUNTRIES[COUNTRY_DESCRIPTION],COUNTRIES[COUNTRY_LABEL],"")</f>
        <v/>
      </c>
      <c r="F739" t="str" cm="1">
        <f t="array" ref="F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9" t="s">
        <v>665</v>
      </c>
      <c r="H739">
        <v>42</v>
      </c>
      <c r="I739">
        <v>6</v>
      </c>
      <c r="J739">
        <v>6</v>
      </c>
      <c r="K739" t="str" cm="1">
        <f t="array" ref="K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f>IF(ISNUMBER(SEARCH("passenger",PROPERTIES[[#This Row],[CARGODEF]])),1,0)</f>
        <v>0</v>
      </c>
      <c r="O739" s="32">
        <v>27.5</v>
      </c>
      <c r="P739">
        <v>0</v>
      </c>
      <c r="Q739">
        <v>90</v>
      </c>
      <c r="R739" s="29">
        <v>0</v>
      </c>
      <c r="S739" s="28">
        <f>IFERROR(PROPERTIES[[#This Row],[TE_STARTING_KN]]/(PROPERTIES[[#This Row],[WEIGHT]]*9.81),0)</f>
        <v>0</v>
      </c>
      <c r="T739" s="28">
        <v>0.3</v>
      </c>
      <c r="U739" s="25">
        <f>ROUND(IF(IFERROR(PROPERTIES[[#This Row],[TE_COEFFICIENT_CALC]],0)=0,PROPERTIES[[#This Row],[TE_COEFFICIENT_MANUAL]],PROPERTIES[[#This Row],[TE_COEFFICIENT_CALC]]),3)</f>
        <v>0.3</v>
      </c>
      <c r="V739" s="11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36">
        <v>0</v>
      </c>
      <c r="X739" s="9">
        <v>0</v>
      </c>
      <c r="Y739" s="10">
        <v>0</v>
      </c>
      <c r="Z739" t="s">
        <v>879</v>
      </c>
      <c r="AA739" t="s">
        <v>871</v>
      </c>
      <c r="AB739" s="2" t="s">
        <v>886</v>
      </c>
      <c r="AC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9" s="2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H739" s="10" t="b">
        <v>0</v>
      </c>
      <c r="AY739"/>
      <c r="AZ739"/>
      <c r="BA739"/>
    </row>
    <row r="740" spans="1:53">
      <c r="A740" s="2" t="s">
        <v>742</v>
      </c>
      <c r="B740">
        <v>1930</v>
      </c>
      <c r="C740" cm="1">
        <f t="array" ref="C740">_xlfn.IFS(ISNUMBER(SEARCH("wagon",PROPERTIES[[#This Row],[VEHIDCODE]])),0,OR(MID(PROPERTIES[[#This Row],[VEHIDCODE]],2,2)="mu",_xlfn.TEXTBEFORE(PROPERTIES[[#This Row],[VEHIDCODE]],"_")="mtro"),1,1=1,0)</f>
        <v>0</v>
      </c>
      <c r="E740" t="str">
        <f>_xlfn.XLOOKUP(PROPERTIES[[#This Row],[COUNTRY]],COUNTRIES[COUNTRY_DESCRIPTION],COUNTRIES[COUNTRY_LABEL],"")</f>
        <v/>
      </c>
      <c r="F740" t="str" cm="1">
        <f t="array" ref="F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0" t="s">
        <v>320</v>
      </c>
      <c r="H740">
        <v>70</v>
      </c>
      <c r="I740">
        <v>8</v>
      </c>
      <c r="J740">
        <v>8</v>
      </c>
      <c r="K740" t="str" cm="1">
        <f t="array" ref="K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0">
        <f>_xlfn.XLOOKUP("LOADINGSPEEDDEF_"&amp;PROPERTIES[[#This Row],[LOADINGSPEED]],LOADINGSPEEDDEF[TYPE],LOADINGSPEEDDEF[SPEED])</f>
        <v>40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f>IF(ISNUMBER(SEARCH("passenger",PROPERTIES[[#This Row],[CARGODEF]])),1,0)</f>
        <v>1</v>
      </c>
      <c r="O740" s="32">
        <v>34</v>
      </c>
      <c r="P740">
        <v>0</v>
      </c>
      <c r="Q740">
        <v>145</v>
      </c>
      <c r="R740" s="29">
        <v>0</v>
      </c>
      <c r="S740" s="28">
        <f>IFERROR(PROPERTIES[[#This Row],[TE_STARTING_KN]]/(PROPERTIES[[#This Row],[WEIGHT]]*9.81),0)</f>
        <v>0</v>
      </c>
      <c r="T740" s="28">
        <v>0.3</v>
      </c>
      <c r="U740" s="25">
        <f>ROUND(IF(IFERROR(PROPERTIES[[#This Row],[TE_COEFFICIENT_CALC]],0)=0,PROPERTIES[[#This Row],[TE_COEFFICIENT_MANUAL]],PROPERTIES[[#This Row],[TE_COEFFICIENT_CALC]]),3)</f>
        <v>0.3</v>
      </c>
      <c r="V740" s="11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36">
        <v>0</v>
      </c>
      <c r="X740" s="9">
        <v>0</v>
      </c>
      <c r="Y740" s="10">
        <v>0</v>
      </c>
      <c r="Z740" t="s">
        <v>883</v>
      </c>
      <c r="AA740" t="s">
        <v>881</v>
      </c>
      <c r="AB740" s="2" t="s">
        <v>886</v>
      </c>
      <c r="AC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0" s="2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0" s="2" t="b">
        <v>0</v>
      </c>
      <c r="AH740" s="10" t="b">
        <v>0</v>
      </c>
      <c r="AY740"/>
      <c r="AZ740"/>
      <c r="BA740"/>
    </row>
    <row r="741" spans="1:53">
      <c r="A741" s="2" t="s">
        <v>743</v>
      </c>
      <c r="B741">
        <v>1930</v>
      </c>
      <c r="C741" cm="1">
        <f t="array" ref="C741">_xlfn.IFS(ISNUMBER(SEARCH("wagon",PROPERTIES[[#This Row],[VEHIDCODE]])),0,OR(MID(PROPERTIES[[#This Row],[VEHIDCODE]],2,2)="mu",_xlfn.TEXTBEFORE(PROPERTIES[[#This Row],[VEHIDCODE]],"_")="mtro"),1,1=1,0)</f>
        <v>0</v>
      </c>
      <c r="E741" t="str">
        <f>_xlfn.XLOOKUP(PROPERTIES[[#This Row],[COUNTRY]],COUNTRIES[COUNTRY_DESCRIPTION],COUNTRIES[COUNTRY_LABEL],"")</f>
        <v/>
      </c>
      <c r="F741" t="str" cm="1">
        <f t="array" ref="F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1" t="s">
        <v>320</v>
      </c>
      <c r="H741">
        <v>135</v>
      </c>
      <c r="I741">
        <v>8</v>
      </c>
      <c r="J741">
        <v>8</v>
      </c>
      <c r="K741" t="str" cm="1">
        <f t="array" ref="K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1">
        <f>_xlfn.XLOOKUP("LOADINGSPEEDDEF_"&amp;PROPERTIES[[#This Row],[LOADINGSPEED]],LOADINGSPEEDDEF[TYPE],LOADINGSPEEDDEF[SPEED])</f>
        <v>40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f>IF(ISNUMBER(SEARCH("passenger",PROPERTIES[[#This Row],[CARGODEF]])),1,0)</f>
        <v>1</v>
      </c>
      <c r="O741" s="32">
        <v>32</v>
      </c>
      <c r="P741">
        <v>0</v>
      </c>
      <c r="Q741">
        <v>120</v>
      </c>
      <c r="R741" s="29">
        <v>0</v>
      </c>
      <c r="S741" s="28">
        <f>IFERROR(PROPERTIES[[#This Row],[TE_STARTING_KN]]/(PROPERTIES[[#This Row],[WEIGHT]]*9.81),0)</f>
        <v>0</v>
      </c>
      <c r="T741" s="28">
        <v>0.3</v>
      </c>
      <c r="U741" s="25">
        <f>ROUND(IF(IFERROR(PROPERTIES[[#This Row],[TE_COEFFICIENT_CALC]],0)=0,PROPERTIES[[#This Row],[TE_COEFFICIENT_MANUAL]],PROPERTIES[[#This Row],[TE_COEFFICIENT_CALC]]),3)</f>
        <v>0.3</v>
      </c>
      <c r="V741" s="11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36">
        <v>0</v>
      </c>
      <c r="X741" s="9">
        <v>0</v>
      </c>
      <c r="Y741" s="10">
        <v>0</v>
      </c>
      <c r="Z741" t="s">
        <v>883</v>
      </c>
      <c r="AA741" t="s">
        <v>881</v>
      </c>
      <c r="AB741" s="2" t="s">
        <v>886</v>
      </c>
      <c r="AC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1" s="2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1" s="2" t="b">
        <v>0</v>
      </c>
      <c r="AH741" s="10" t="b">
        <v>0</v>
      </c>
      <c r="AY741"/>
      <c r="AZ741"/>
      <c r="BA741"/>
    </row>
    <row r="742" spans="1:53">
      <c r="A742" s="2" t="s">
        <v>744</v>
      </c>
      <c r="B742">
        <v>1930</v>
      </c>
      <c r="C742" cm="1">
        <f t="array" ref="C742">_xlfn.IFS(ISNUMBER(SEARCH("wagon",PROPERTIES[[#This Row],[VEHIDCODE]])),0,OR(MID(PROPERTIES[[#This Row],[VEHIDCODE]],2,2)="mu",_xlfn.TEXTBEFORE(PROPERTIES[[#This Row],[VEHIDCODE]],"_")="mtro"),1,1=1,0)</f>
        <v>0</v>
      </c>
      <c r="E742" t="str">
        <f>_xlfn.XLOOKUP(PROPERTIES[[#This Row],[COUNTRY]],COUNTRIES[COUNTRY_DESCRIPTION],COUNTRIES[COUNTRY_LABEL],"")</f>
        <v/>
      </c>
      <c r="F742" t="str" cm="1">
        <f t="array" ref="F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2" t="s">
        <v>665</v>
      </c>
      <c r="H742">
        <v>75</v>
      </c>
      <c r="I742">
        <v>8</v>
      </c>
      <c r="J742">
        <v>8</v>
      </c>
      <c r="K742" t="str" cm="1">
        <f t="array" ref="K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f>IF(ISNUMBER(SEARCH("passenger",PROPERTIES[[#This Row],[CARGODEF]])),1,0)</f>
        <v>0</v>
      </c>
      <c r="O742" s="32">
        <v>34</v>
      </c>
      <c r="P742">
        <v>0</v>
      </c>
      <c r="Q742">
        <v>145</v>
      </c>
      <c r="R742" s="29">
        <v>0</v>
      </c>
      <c r="S742" s="28">
        <f>IFERROR(PROPERTIES[[#This Row],[TE_STARTING_KN]]/(PROPERTIES[[#This Row],[WEIGHT]]*9.81),0)</f>
        <v>0</v>
      </c>
      <c r="T742" s="28">
        <v>0.3</v>
      </c>
      <c r="U742" s="25">
        <f>ROUND(IF(IFERROR(PROPERTIES[[#This Row],[TE_COEFFICIENT_CALC]],0)=0,PROPERTIES[[#This Row],[TE_COEFFICIENT_MANUAL]],PROPERTIES[[#This Row],[TE_COEFFICIENT_CALC]]),3)</f>
        <v>0.3</v>
      </c>
      <c r="V742" s="11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36">
        <v>0</v>
      </c>
      <c r="X742" s="9">
        <v>0</v>
      </c>
      <c r="Y742" s="10">
        <v>0</v>
      </c>
      <c r="Z742" t="s">
        <v>883</v>
      </c>
      <c r="AA742" t="s">
        <v>881</v>
      </c>
      <c r="AB742" s="2" t="s">
        <v>886</v>
      </c>
      <c r="AC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2" s="2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H742" s="10" t="b">
        <v>0</v>
      </c>
      <c r="AY742"/>
      <c r="AZ742"/>
      <c r="BA742"/>
    </row>
    <row r="743" spans="1:53">
      <c r="A743" s="2" t="s">
        <v>745</v>
      </c>
      <c r="B743">
        <v>1940</v>
      </c>
      <c r="C743" cm="1">
        <f t="array" ref="C743">_xlfn.IFS(ISNUMBER(SEARCH("wagon",PROPERTIES[[#This Row],[VEHIDCODE]])),0,OR(MID(PROPERTIES[[#This Row],[VEHIDCODE]],2,2)="mu",_xlfn.TEXTBEFORE(PROPERTIES[[#This Row],[VEHIDCODE]],"_")="mtro"),1,1=1,0)</f>
        <v>0</v>
      </c>
      <c r="E743" t="str">
        <f>_xlfn.XLOOKUP(PROPERTIES[[#This Row],[COUNTRY]],COUNTRIES[COUNTRY_DESCRIPTION],COUNTRIES[COUNTRY_LABEL],"")</f>
        <v/>
      </c>
      <c r="F743" t="str" cm="1">
        <f t="array" ref="F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3" t="s">
        <v>320</v>
      </c>
      <c r="H743">
        <v>75</v>
      </c>
      <c r="I743">
        <v>8</v>
      </c>
      <c r="J743">
        <v>8</v>
      </c>
      <c r="K743" t="str" cm="1">
        <f t="array" ref="K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3">
        <f>_xlfn.XLOOKUP("LOADINGSPEEDDEF_"&amp;PROPERTIES[[#This Row],[LOADINGSPEED]],LOADINGSPEEDDEF[TYPE],LOADINGSPEEDDEF[SPEED])</f>
        <v>40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f>IF(ISNUMBER(SEARCH("passenger",PROPERTIES[[#This Row],[CARGODEF]])),1,0)</f>
        <v>1</v>
      </c>
      <c r="O743" s="32">
        <v>30</v>
      </c>
      <c r="P743">
        <v>0</v>
      </c>
      <c r="Q743">
        <v>160</v>
      </c>
      <c r="R743" s="29">
        <v>0</v>
      </c>
      <c r="S743" s="28">
        <f>IFERROR(PROPERTIES[[#This Row],[TE_STARTING_KN]]/(PROPERTIES[[#This Row],[WEIGHT]]*9.81),0)</f>
        <v>0</v>
      </c>
      <c r="T743" s="28">
        <v>0.3</v>
      </c>
      <c r="U743" s="25">
        <f>ROUND(IF(IFERROR(PROPERTIES[[#This Row],[TE_COEFFICIENT_CALC]],0)=0,PROPERTIES[[#This Row],[TE_COEFFICIENT_MANUAL]],PROPERTIES[[#This Row],[TE_COEFFICIENT_CALC]]),3)</f>
        <v>0.3</v>
      </c>
      <c r="V743" s="11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36">
        <v>0</v>
      </c>
      <c r="X743" s="9">
        <v>0</v>
      </c>
      <c r="Y743" s="10">
        <v>0</v>
      </c>
      <c r="Z743" t="s">
        <v>879</v>
      </c>
      <c r="AA743" t="s">
        <v>871</v>
      </c>
      <c r="AB743" s="2" t="s">
        <v>886</v>
      </c>
      <c r="AC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3" s="2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H743" s="10" t="b">
        <v>0</v>
      </c>
      <c r="AY743"/>
      <c r="AZ743"/>
      <c r="BA743"/>
    </row>
    <row r="744" spans="1:53">
      <c r="A744" s="2" t="s">
        <v>746</v>
      </c>
      <c r="B744">
        <v>1940</v>
      </c>
      <c r="C744" cm="1">
        <f t="array" ref="C744">_xlfn.IFS(ISNUMBER(SEARCH("wagon",PROPERTIES[[#This Row],[VEHIDCODE]])),0,OR(MID(PROPERTIES[[#This Row],[VEHIDCODE]],2,2)="mu",_xlfn.TEXTBEFORE(PROPERTIES[[#This Row],[VEHIDCODE]],"_")="mtro"),1,1=1,0)</f>
        <v>0</v>
      </c>
      <c r="E744" t="str">
        <f>_xlfn.XLOOKUP(PROPERTIES[[#This Row],[COUNTRY]],COUNTRIES[COUNTRY_DESCRIPTION],COUNTRIES[COUNTRY_LABEL],"")</f>
        <v/>
      </c>
      <c r="F744" t="str" cm="1">
        <f t="array" ref="F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4" t="s">
        <v>320</v>
      </c>
      <c r="H744">
        <v>150</v>
      </c>
      <c r="I744">
        <v>8</v>
      </c>
      <c r="J744">
        <v>8</v>
      </c>
      <c r="K744" t="str" cm="1">
        <f t="array" ref="K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4">
        <f>_xlfn.XLOOKUP("LOADINGSPEEDDEF_"&amp;PROPERTIES[[#This Row],[LOADINGSPEED]],LOADINGSPEEDDEF[TYPE],LOADINGSPEEDDEF[SPEED])</f>
        <v>40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f>IF(ISNUMBER(SEARCH("passenger",PROPERTIES[[#This Row],[CARGODEF]])),1,0)</f>
        <v>1</v>
      </c>
      <c r="O744" s="32">
        <v>25</v>
      </c>
      <c r="P744">
        <v>0</v>
      </c>
      <c r="Q744">
        <v>120</v>
      </c>
      <c r="R744" s="29">
        <v>0</v>
      </c>
      <c r="S744" s="28">
        <f>IFERROR(PROPERTIES[[#This Row],[TE_STARTING_KN]]/(PROPERTIES[[#This Row],[WEIGHT]]*9.81),0)</f>
        <v>0</v>
      </c>
      <c r="T744" s="28">
        <v>0.3</v>
      </c>
      <c r="U744" s="25">
        <f>ROUND(IF(IFERROR(PROPERTIES[[#This Row],[TE_COEFFICIENT_CALC]],0)=0,PROPERTIES[[#This Row],[TE_COEFFICIENT_MANUAL]],PROPERTIES[[#This Row],[TE_COEFFICIENT_CALC]]),3)</f>
        <v>0.3</v>
      </c>
      <c r="V744" s="11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36">
        <v>0</v>
      </c>
      <c r="X744" s="9">
        <v>0</v>
      </c>
      <c r="Y744" s="10">
        <v>0</v>
      </c>
      <c r="Z744" t="s">
        <v>881</v>
      </c>
      <c r="AA744" t="s">
        <v>871</v>
      </c>
      <c r="AB744" s="2" t="s">
        <v>886</v>
      </c>
      <c r="AC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4" s="2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4" s="2" t="b">
        <v>0</v>
      </c>
      <c r="AH744" s="10" t="b">
        <v>0</v>
      </c>
      <c r="AY744"/>
      <c r="AZ744"/>
      <c r="BA744"/>
    </row>
    <row r="745" spans="1:53">
      <c r="A745" s="2" t="s">
        <v>747</v>
      </c>
      <c r="B745">
        <v>1940</v>
      </c>
      <c r="C745" cm="1">
        <f t="array" ref="C745">_xlfn.IFS(ISNUMBER(SEARCH("wagon",PROPERTIES[[#This Row],[VEHIDCODE]])),0,OR(MID(PROPERTIES[[#This Row],[VEHIDCODE]],2,2)="mu",_xlfn.TEXTBEFORE(PROPERTIES[[#This Row],[VEHIDCODE]],"_")="mtro"),1,1=1,0)</f>
        <v>0</v>
      </c>
      <c r="E745" t="str">
        <f>_xlfn.XLOOKUP(PROPERTIES[[#This Row],[COUNTRY]],COUNTRIES[COUNTRY_DESCRIPTION],COUNTRIES[COUNTRY_LABEL],"")</f>
        <v/>
      </c>
      <c r="F745" t="str" cm="1">
        <f t="array" ref="F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5" t="s">
        <v>665</v>
      </c>
      <c r="H745">
        <v>80</v>
      </c>
      <c r="I745">
        <v>8</v>
      </c>
      <c r="J745">
        <v>8</v>
      </c>
      <c r="K745" t="str" cm="1">
        <f t="array" ref="K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f>IF(ISNUMBER(SEARCH("passenger",PROPERTIES[[#This Row],[CARGODEF]])),1,0)</f>
        <v>0</v>
      </c>
      <c r="O745" s="32">
        <v>24</v>
      </c>
      <c r="P745">
        <v>0</v>
      </c>
      <c r="Q745">
        <v>160</v>
      </c>
      <c r="R745" s="29">
        <v>0</v>
      </c>
      <c r="S745" s="28">
        <f>IFERROR(PROPERTIES[[#This Row],[TE_STARTING_KN]]/(PROPERTIES[[#This Row],[WEIGHT]]*9.81),0)</f>
        <v>0</v>
      </c>
      <c r="T745" s="28">
        <v>0.3</v>
      </c>
      <c r="U745" s="25">
        <f>ROUND(IF(IFERROR(PROPERTIES[[#This Row],[TE_COEFFICIENT_CALC]],0)=0,PROPERTIES[[#This Row],[TE_COEFFICIENT_MANUAL]],PROPERTIES[[#This Row],[TE_COEFFICIENT_CALC]]),3)</f>
        <v>0.3</v>
      </c>
      <c r="V745" s="11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36">
        <v>0</v>
      </c>
      <c r="X745" s="9">
        <v>0</v>
      </c>
      <c r="Y745" s="10">
        <v>0</v>
      </c>
      <c r="Z745" t="s">
        <v>881</v>
      </c>
      <c r="AA745" t="s">
        <v>871</v>
      </c>
      <c r="AB745" s="2" t="s">
        <v>886</v>
      </c>
      <c r="AC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5" s="2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H745" s="10" t="b">
        <v>0</v>
      </c>
      <c r="AY745"/>
      <c r="AZ745"/>
      <c r="BA745"/>
    </row>
    <row r="746" spans="1:53">
      <c r="A746" s="2" t="s">
        <v>748</v>
      </c>
      <c r="B746">
        <v>1950</v>
      </c>
      <c r="C746" cm="1">
        <f t="array" ref="C746">_xlfn.IFS(ISNUMBER(SEARCH("wagon",PROPERTIES[[#This Row],[VEHIDCODE]])),0,OR(MID(PROPERTIES[[#This Row],[VEHIDCODE]],2,2)="mu",_xlfn.TEXTBEFORE(PROPERTIES[[#This Row],[VEHIDCODE]],"_")="mtro"),1,1=1,0)</f>
        <v>0</v>
      </c>
      <c r="E746" t="str">
        <f>_xlfn.XLOOKUP(PROPERTIES[[#This Row],[COUNTRY]],COUNTRIES[COUNTRY_DESCRIPTION],COUNTRIES[COUNTRY_LABEL],"")</f>
        <v/>
      </c>
      <c r="F746" t="str" cm="1">
        <f t="array" ref="F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6" t="s">
        <v>320</v>
      </c>
      <c r="H746">
        <v>170</v>
      </c>
      <c r="I746">
        <v>8</v>
      </c>
      <c r="J746">
        <v>8</v>
      </c>
      <c r="K746" t="str" cm="1">
        <f t="array" ref="K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6">
        <f>_xlfn.XLOOKUP("LOADINGSPEEDDEF_"&amp;PROPERTIES[[#This Row],[LOADINGSPEED]],LOADINGSPEEDDEF[TYPE],LOADINGSPEEDDEF[SPEED])</f>
        <v>40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f>IF(ISNUMBER(SEARCH("passenger",PROPERTIES[[#This Row],[CARGODEF]])),1,0)</f>
        <v>1</v>
      </c>
      <c r="O746" s="32">
        <v>75</v>
      </c>
      <c r="P746">
        <v>0</v>
      </c>
      <c r="Q746">
        <v>130</v>
      </c>
      <c r="R746" s="29">
        <v>0</v>
      </c>
      <c r="S746" s="28">
        <f>IFERROR(PROPERTIES[[#This Row],[TE_STARTING_KN]]/(PROPERTIES[[#This Row],[WEIGHT]]*9.81),0)</f>
        <v>0</v>
      </c>
      <c r="T746" s="28">
        <v>0.3</v>
      </c>
      <c r="U746" s="25">
        <f>ROUND(IF(IFERROR(PROPERTIES[[#This Row],[TE_COEFFICIENT_CALC]],0)=0,PROPERTIES[[#This Row],[TE_COEFFICIENT_MANUAL]],PROPERTIES[[#This Row],[TE_COEFFICIENT_CALC]]),3)</f>
        <v>0.3</v>
      </c>
      <c r="V746" s="11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36">
        <v>0</v>
      </c>
      <c r="X746" s="9">
        <v>0</v>
      </c>
      <c r="Y746" s="10">
        <v>0</v>
      </c>
      <c r="Z746" t="s">
        <v>881</v>
      </c>
      <c r="AA746" t="s">
        <v>871</v>
      </c>
      <c r="AB746" s="2" t="s">
        <v>886</v>
      </c>
      <c r="AC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6" s="2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6" s="2" t="b">
        <v>0</v>
      </c>
      <c r="AH746" s="10" t="b">
        <v>0</v>
      </c>
      <c r="AY746"/>
      <c r="AZ746"/>
      <c r="BA746"/>
    </row>
    <row r="747" spans="1:53">
      <c r="A747" s="2" t="s">
        <v>749</v>
      </c>
      <c r="B747">
        <v>1950</v>
      </c>
      <c r="C747" cm="1">
        <f t="array" ref="C747">_xlfn.IFS(ISNUMBER(SEARCH("wagon",PROPERTIES[[#This Row],[VEHIDCODE]])),0,OR(MID(PROPERTIES[[#This Row],[VEHIDCODE]],2,2)="mu",_xlfn.TEXTBEFORE(PROPERTIES[[#This Row],[VEHIDCODE]],"_")="mtro"),1,1=1,0)</f>
        <v>0</v>
      </c>
      <c r="E747" t="str">
        <f>_xlfn.XLOOKUP(PROPERTIES[[#This Row],[COUNTRY]],COUNTRIES[COUNTRY_DESCRIPTION],COUNTRIES[COUNTRY_LABEL],"")</f>
        <v/>
      </c>
      <c r="F747" t="str" cm="1">
        <f t="array" ref="F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7" t="s">
        <v>320</v>
      </c>
      <c r="H747">
        <v>72</v>
      </c>
      <c r="I747">
        <v>7</v>
      </c>
      <c r="J747">
        <v>7</v>
      </c>
      <c r="K747" t="str" cm="1">
        <f t="array" ref="K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7">
        <f>_xlfn.XLOOKUP("LOADINGSPEEDDEF_"&amp;PROPERTIES[[#This Row],[LOADINGSPEED]],LOADINGSPEEDDEF[TYPE],LOADINGSPEEDDEF[SPEED])</f>
        <v>40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f>IF(ISNUMBER(SEARCH("passenger",PROPERTIES[[#This Row],[CARGODEF]])),1,0)</f>
        <v>1</v>
      </c>
      <c r="O747" s="32">
        <v>35</v>
      </c>
      <c r="P747">
        <v>0</v>
      </c>
      <c r="Q747">
        <v>145</v>
      </c>
      <c r="R747" s="29">
        <v>0</v>
      </c>
      <c r="S747" s="28">
        <f>IFERROR(PROPERTIES[[#This Row],[TE_STARTING_KN]]/(PROPERTIES[[#This Row],[WEIGHT]]*9.81),0)</f>
        <v>0</v>
      </c>
      <c r="T747" s="28">
        <v>0.3</v>
      </c>
      <c r="U747" s="25">
        <f>ROUND(IF(IFERROR(PROPERTIES[[#This Row],[TE_COEFFICIENT_CALC]],0)=0,PROPERTIES[[#This Row],[TE_COEFFICIENT_MANUAL]],PROPERTIES[[#This Row],[TE_COEFFICIENT_CALC]]),3)</f>
        <v>0.3</v>
      </c>
      <c r="V747" s="11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36">
        <v>0</v>
      </c>
      <c r="X747" s="9">
        <v>0</v>
      </c>
      <c r="Y747" s="10">
        <v>0</v>
      </c>
      <c r="Z747" t="s">
        <v>879</v>
      </c>
      <c r="AA747" t="s">
        <v>868</v>
      </c>
      <c r="AB747" s="2" t="s">
        <v>886</v>
      </c>
      <c r="AC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7" s="2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7" s="2" t="b">
        <v>0</v>
      </c>
      <c r="AH747" s="10" t="b">
        <v>0</v>
      </c>
      <c r="AY747"/>
      <c r="AZ747"/>
      <c r="BA747"/>
    </row>
    <row r="748" spans="1:53">
      <c r="A748" s="2" t="s">
        <v>750</v>
      </c>
      <c r="B748">
        <v>1950</v>
      </c>
      <c r="C748" cm="1">
        <f t="array" ref="C748">_xlfn.IFS(ISNUMBER(SEARCH("wagon",PROPERTIES[[#This Row],[VEHIDCODE]])),0,OR(MID(PROPERTIES[[#This Row],[VEHIDCODE]],2,2)="mu",_xlfn.TEXTBEFORE(PROPERTIES[[#This Row],[VEHIDCODE]],"_")="mtro"),1,1=1,0)</f>
        <v>0</v>
      </c>
      <c r="E748" t="str">
        <f>_xlfn.XLOOKUP(PROPERTIES[[#This Row],[COUNTRY]],COUNTRIES[COUNTRY_DESCRIPTION],COUNTRIES[COUNTRY_LABEL],"")</f>
        <v/>
      </c>
      <c r="F748" t="str" cm="1">
        <f t="array" ref="F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8" t="s">
        <v>320</v>
      </c>
      <c r="H748">
        <v>150</v>
      </c>
      <c r="I748">
        <v>7</v>
      </c>
      <c r="J748">
        <v>7</v>
      </c>
      <c r="K748" t="str" cm="1">
        <f t="array" ref="K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8">
        <f>_xlfn.XLOOKUP("LOADINGSPEEDDEF_"&amp;PROPERTIES[[#This Row],[LOADINGSPEED]],LOADINGSPEEDDEF[TYPE],LOADINGSPEEDDEF[SPEED])</f>
        <v>40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f>IF(ISNUMBER(SEARCH("passenger",PROPERTIES[[#This Row],[CARGODEF]])),1,0)</f>
        <v>1</v>
      </c>
      <c r="O748" s="32">
        <v>31</v>
      </c>
      <c r="P748">
        <v>0</v>
      </c>
      <c r="Q748">
        <v>120</v>
      </c>
      <c r="R748" s="29">
        <v>0</v>
      </c>
      <c r="S748" s="28">
        <f>IFERROR(PROPERTIES[[#This Row],[TE_STARTING_KN]]/(PROPERTIES[[#This Row],[WEIGHT]]*9.81),0)</f>
        <v>0</v>
      </c>
      <c r="T748" s="28">
        <v>0.3</v>
      </c>
      <c r="U748" s="25">
        <f>ROUND(IF(IFERROR(PROPERTIES[[#This Row],[TE_COEFFICIENT_CALC]],0)=0,PROPERTIES[[#This Row],[TE_COEFFICIENT_MANUAL]],PROPERTIES[[#This Row],[TE_COEFFICIENT_CALC]]),3)</f>
        <v>0.3</v>
      </c>
      <c r="V748" s="11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36">
        <v>0</v>
      </c>
      <c r="X748" s="9">
        <v>0</v>
      </c>
      <c r="Y748" s="10">
        <v>0</v>
      </c>
      <c r="Z748" t="s">
        <v>879</v>
      </c>
      <c r="AA748" t="s">
        <v>868</v>
      </c>
      <c r="AB748" s="2" t="s">
        <v>886</v>
      </c>
      <c r="AC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8" s="2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8" s="2" t="b">
        <v>0</v>
      </c>
      <c r="AH748" s="10" t="b">
        <v>0</v>
      </c>
      <c r="AY748"/>
      <c r="AZ748"/>
      <c r="BA748"/>
    </row>
    <row r="749" spans="1:53">
      <c r="A749" s="2" t="s">
        <v>751</v>
      </c>
      <c r="B749">
        <v>1950</v>
      </c>
      <c r="C749" cm="1">
        <f t="array" ref="C749">_xlfn.IFS(ISNUMBER(SEARCH("wagon",PROPERTIES[[#This Row],[VEHIDCODE]])),0,OR(MID(PROPERTIES[[#This Row],[VEHIDCODE]],2,2)="mu",_xlfn.TEXTBEFORE(PROPERTIES[[#This Row],[VEHIDCODE]],"_")="mtro"),1,1=1,0)</f>
        <v>0</v>
      </c>
      <c r="E749" t="str">
        <f>_xlfn.XLOOKUP(PROPERTIES[[#This Row],[COUNTRY]],COUNTRIES[COUNTRY_DESCRIPTION],COUNTRIES[COUNTRY_LABEL],"")</f>
        <v/>
      </c>
      <c r="F749" t="str" cm="1">
        <f t="array" ref="F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9" t="s">
        <v>665</v>
      </c>
      <c r="H749">
        <v>80</v>
      </c>
      <c r="I749">
        <v>7</v>
      </c>
      <c r="J749">
        <v>7</v>
      </c>
      <c r="K749" t="str" cm="1">
        <f t="array" ref="K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f>IF(ISNUMBER(SEARCH("passenger",PROPERTIES[[#This Row],[CARGODEF]])),1,0)</f>
        <v>0</v>
      </c>
      <c r="O749" s="32">
        <v>34</v>
      </c>
      <c r="P749">
        <v>0</v>
      </c>
      <c r="Q749">
        <v>145</v>
      </c>
      <c r="R749" s="29">
        <v>0</v>
      </c>
      <c r="S749" s="28">
        <f>IFERROR(PROPERTIES[[#This Row],[TE_STARTING_KN]]/(PROPERTIES[[#This Row],[WEIGHT]]*9.81),0)</f>
        <v>0</v>
      </c>
      <c r="T749" s="28">
        <v>0.3</v>
      </c>
      <c r="U749" s="25">
        <f>ROUND(IF(IFERROR(PROPERTIES[[#This Row],[TE_COEFFICIENT_CALC]],0)=0,PROPERTIES[[#This Row],[TE_COEFFICIENT_MANUAL]],PROPERTIES[[#This Row],[TE_COEFFICIENT_CALC]]),3)</f>
        <v>0.3</v>
      </c>
      <c r="V749" s="11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36">
        <v>0</v>
      </c>
      <c r="X749" s="9">
        <v>0</v>
      </c>
      <c r="Y749" s="10">
        <v>0</v>
      </c>
      <c r="Z749" t="s">
        <v>879</v>
      </c>
      <c r="AA749" t="s">
        <v>868</v>
      </c>
      <c r="AB749" s="2" t="s">
        <v>886</v>
      </c>
      <c r="AC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9" s="2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H749" s="10" t="b">
        <v>0</v>
      </c>
      <c r="AY749"/>
      <c r="AZ749"/>
      <c r="BA749"/>
    </row>
    <row r="750" spans="1:53">
      <c r="A750" s="2" t="s">
        <v>752</v>
      </c>
      <c r="B750">
        <v>1950</v>
      </c>
      <c r="C750" cm="1">
        <f t="array" ref="C750">_xlfn.IFS(ISNUMBER(SEARCH("wagon",PROPERTIES[[#This Row],[VEHIDCODE]])),0,OR(MID(PROPERTIES[[#This Row],[VEHIDCODE]],2,2)="mu",_xlfn.TEXTBEFORE(PROPERTIES[[#This Row],[VEHIDCODE]],"_")="mtro"),1,1=1,0)</f>
        <v>0</v>
      </c>
      <c r="E750" t="str">
        <f>_xlfn.XLOOKUP(PROPERTIES[[#This Row],[COUNTRY]],COUNTRIES[COUNTRY_DESCRIPTION],COUNTRIES[COUNTRY_LABEL],"")</f>
        <v/>
      </c>
      <c r="F750" t="str" cm="1">
        <f t="array" ref="F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0" t="s">
        <v>320</v>
      </c>
      <c r="H750">
        <v>72</v>
      </c>
      <c r="I750">
        <v>8</v>
      </c>
      <c r="J750">
        <v>8</v>
      </c>
      <c r="K750" t="str" cm="1">
        <f t="array" ref="K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0">
        <f>_xlfn.XLOOKUP("LOADINGSPEEDDEF_"&amp;PROPERTIES[[#This Row],[LOADINGSPEED]],LOADINGSPEEDDEF[TYPE],LOADINGSPEEDDEF[SPEED])</f>
        <v>40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f>IF(ISNUMBER(SEARCH("passenger",PROPERTIES[[#This Row],[CARGODEF]])),1,0)</f>
        <v>1</v>
      </c>
      <c r="O750" s="32">
        <v>42</v>
      </c>
      <c r="P750">
        <v>0</v>
      </c>
      <c r="Q750">
        <v>160</v>
      </c>
      <c r="R750" s="29">
        <v>0</v>
      </c>
      <c r="S750" s="28">
        <f>IFERROR(PROPERTIES[[#This Row],[TE_STARTING_KN]]/(PROPERTIES[[#This Row],[WEIGHT]]*9.81),0)</f>
        <v>0</v>
      </c>
      <c r="T750" s="28">
        <v>0.3</v>
      </c>
      <c r="U750" s="25">
        <f>ROUND(IF(IFERROR(PROPERTIES[[#This Row],[TE_COEFFICIENT_CALC]],0)=0,PROPERTIES[[#This Row],[TE_COEFFICIENT_MANUAL]],PROPERTIES[[#This Row],[TE_COEFFICIENT_CALC]]),3)</f>
        <v>0.3</v>
      </c>
      <c r="V750" s="11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36">
        <v>0</v>
      </c>
      <c r="X750" s="9">
        <v>0</v>
      </c>
      <c r="Y750" s="10">
        <v>0</v>
      </c>
      <c r="Z750" t="s">
        <v>879</v>
      </c>
      <c r="AA750" t="s">
        <v>868</v>
      </c>
      <c r="AB750" s="2" t="s">
        <v>886</v>
      </c>
      <c r="AC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0" s="2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H750" s="10" t="b">
        <v>0</v>
      </c>
      <c r="AY750"/>
      <c r="AZ750"/>
      <c r="BA750"/>
    </row>
    <row r="751" spans="1:53">
      <c r="A751" s="2" t="s">
        <v>753</v>
      </c>
      <c r="B751">
        <v>1950</v>
      </c>
      <c r="C751" cm="1">
        <f t="array" ref="C751">_xlfn.IFS(ISNUMBER(SEARCH("wagon",PROPERTIES[[#This Row],[VEHIDCODE]])),0,OR(MID(PROPERTIES[[#This Row],[VEHIDCODE]],2,2)="mu",_xlfn.TEXTBEFORE(PROPERTIES[[#This Row],[VEHIDCODE]],"_")="mtro"),1,1=1,0)</f>
        <v>0</v>
      </c>
      <c r="E751" t="str">
        <f>_xlfn.XLOOKUP(PROPERTIES[[#This Row],[COUNTRY]],COUNTRIES[COUNTRY_DESCRIPTION],COUNTRIES[COUNTRY_LABEL],"")</f>
        <v/>
      </c>
      <c r="F751" t="str" cm="1">
        <f t="array" ref="F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1" t="s">
        <v>320</v>
      </c>
      <c r="H751">
        <v>48</v>
      </c>
      <c r="I751">
        <v>8</v>
      </c>
      <c r="J751">
        <v>8</v>
      </c>
      <c r="K751" t="str" cm="1">
        <f t="array" ref="K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1">
        <f>_xlfn.XLOOKUP("LOADINGSPEEDDEF_"&amp;PROPERTIES[[#This Row],[LOADINGSPEED]],LOADINGSPEEDDEF[TYPE],LOADINGSPEEDDEF[SPEED])</f>
        <v>40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f>IF(ISNUMBER(SEARCH("passenger",PROPERTIES[[#This Row],[CARGODEF]])),1,0)</f>
        <v>1</v>
      </c>
      <c r="O751" s="32">
        <v>48</v>
      </c>
      <c r="P751">
        <v>0</v>
      </c>
      <c r="Q751">
        <v>160</v>
      </c>
      <c r="R751" s="29">
        <v>0</v>
      </c>
      <c r="S751" s="28">
        <f>IFERROR(PROPERTIES[[#This Row],[TE_STARTING_KN]]/(PROPERTIES[[#This Row],[WEIGHT]]*9.81),0)</f>
        <v>0</v>
      </c>
      <c r="T751" s="28">
        <v>0.3</v>
      </c>
      <c r="U751" s="25">
        <f>ROUND(IF(IFERROR(PROPERTIES[[#This Row],[TE_COEFFICIENT_CALC]],0)=0,PROPERTIES[[#This Row],[TE_COEFFICIENT_MANUAL]],PROPERTIES[[#This Row],[TE_COEFFICIENT_CALC]]),3)</f>
        <v>0.3</v>
      </c>
      <c r="V751" s="11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36">
        <v>0</v>
      </c>
      <c r="X751" s="9">
        <v>0</v>
      </c>
      <c r="Y751" s="10">
        <v>0</v>
      </c>
      <c r="Z751" t="s">
        <v>878</v>
      </c>
      <c r="AA751" t="s">
        <v>868</v>
      </c>
      <c r="AB751" s="2" t="s">
        <v>886</v>
      </c>
      <c r="AC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1" s="2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H751" s="10" t="b">
        <v>0</v>
      </c>
      <c r="AY751"/>
      <c r="AZ751"/>
      <c r="BA751"/>
    </row>
    <row r="752" spans="1:53">
      <c r="A752" s="2" t="s">
        <v>754</v>
      </c>
      <c r="B752">
        <v>1950</v>
      </c>
      <c r="C752" cm="1">
        <f t="array" ref="C752">_xlfn.IFS(ISNUMBER(SEARCH("wagon",PROPERTIES[[#This Row],[VEHIDCODE]])),0,OR(MID(PROPERTIES[[#This Row],[VEHIDCODE]],2,2)="mu",_xlfn.TEXTBEFORE(PROPERTIES[[#This Row],[VEHIDCODE]],"_")="mtro"),1,1=1,0)</f>
        <v>0</v>
      </c>
      <c r="E752" t="str">
        <f>_xlfn.XLOOKUP(PROPERTIES[[#This Row],[COUNTRY]],COUNTRIES[COUNTRY_DESCRIPTION],COUNTRIES[COUNTRY_LABEL],"")</f>
        <v/>
      </c>
      <c r="F752" t="str" cm="1">
        <f t="array" ref="F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2" t="s">
        <v>320</v>
      </c>
      <c r="H752">
        <v>175</v>
      </c>
      <c r="I752">
        <v>8</v>
      </c>
      <c r="J752">
        <v>8</v>
      </c>
      <c r="K752" t="str" cm="1">
        <f t="array" ref="K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2">
        <f>_xlfn.XLOOKUP("LOADINGSPEEDDEF_"&amp;PROPERTIES[[#This Row],[LOADINGSPEED]],LOADINGSPEEDDEF[TYPE],LOADINGSPEEDDEF[SPEED])</f>
        <v>40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f>IF(ISNUMBER(SEARCH("passenger",PROPERTIES[[#This Row],[CARGODEF]])),1,0)</f>
        <v>1</v>
      </c>
      <c r="O752" s="32">
        <v>35</v>
      </c>
      <c r="P752">
        <v>0</v>
      </c>
      <c r="Q752">
        <v>140</v>
      </c>
      <c r="R752" s="29">
        <v>0</v>
      </c>
      <c r="S752" s="28">
        <f>IFERROR(PROPERTIES[[#This Row],[TE_STARTING_KN]]/(PROPERTIES[[#This Row],[WEIGHT]]*9.81),0)</f>
        <v>0</v>
      </c>
      <c r="T752" s="28">
        <v>0.3</v>
      </c>
      <c r="U752" s="25">
        <f>ROUND(IF(IFERROR(PROPERTIES[[#This Row],[TE_COEFFICIENT_CALC]],0)=0,PROPERTIES[[#This Row],[TE_COEFFICIENT_MANUAL]],PROPERTIES[[#This Row],[TE_COEFFICIENT_CALC]]),3)</f>
        <v>0.3</v>
      </c>
      <c r="V752" s="11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36">
        <v>0</v>
      </c>
      <c r="X752" s="9">
        <v>0</v>
      </c>
      <c r="Y752" s="10">
        <v>0</v>
      </c>
      <c r="Z752" t="s">
        <v>879</v>
      </c>
      <c r="AA752" t="s">
        <v>868</v>
      </c>
      <c r="AB752" s="2" t="s">
        <v>886</v>
      </c>
      <c r="AC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2" s="2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2" s="2" t="b">
        <v>0</v>
      </c>
      <c r="AH752" s="10" t="b">
        <v>0</v>
      </c>
      <c r="AY752"/>
      <c r="AZ752"/>
      <c r="BA752"/>
    </row>
    <row r="753" spans="1:53">
      <c r="A753" s="2" t="s">
        <v>755</v>
      </c>
      <c r="B753">
        <v>1950</v>
      </c>
      <c r="C753" cm="1">
        <f t="array" ref="C753">_xlfn.IFS(ISNUMBER(SEARCH("wagon",PROPERTIES[[#This Row],[VEHIDCODE]])),0,OR(MID(PROPERTIES[[#This Row],[VEHIDCODE]],2,2)="mu",_xlfn.TEXTBEFORE(PROPERTIES[[#This Row],[VEHIDCODE]],"_")="mtro"),1,1=1,0)</f>
        <v>0</v>
      </c>
      <c r="E753" t="str">
        <f>_xlfn.XLOOKUP(PROPERTIES[[#This Row],[COUNTRY]],COUNTRIES[COUNTRY_DESCRIPTION],COUNTRIES[COUNTRY_LABEL],"")</f>
        <v/>
      </c>
      <c r="F753" t="str" cm="1">
        <f t="array" ref="F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3" t="s">
        <v>320</v>
      </c>
      <c r="H753">
        <v>72</v>
      </c>
      <c r="I753">
        <v>7</v>
      </c>
      <c r="J753">
        <v>7</v>
      </c>
      <c r="K753" t="str" cm="1">
        <f t="array" ref="K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f>IF(ISNUMBER(SEARCH("passenger",PROPERTIES[[#This Row],[CARGODEF]])),1,0)</f>
        <v>1</v>
      </c>
      <c r="O753" s="32">
        <v>30</v>
      </c>
      <c r="P753">
        <v>0</v>
      </c>
      <c r="Q753">
        <v>100</v>
      </c>
      <c r="R753" s="29">
        <v>0</v>
      </c>
      <c r="S753" s="28">
        <f>IFERROR(PROPERTIES[[#This Row],[TE_STARTING_KN]]/(PROPERTIES[[#This Row],[WEIGHT]]*9.81),0)</f>
        <v>0</v>
      </c>
      <c r="T753" s="28">
        <v>0.3</v>
      </c>
      <c r="U753" s="25">
        <f>ROUND(IF(IFERROR(PROPERTIES[[#This Row],[TE_COEFFICIENT_CALC]],0)=0,PROPERTIES[[#This Row],[TE_COEFFICIENT_MANUAL]],PROPERTIES[[#This Row],[TE_COEFFICIENT_CALC]]),3)</f>
        <v>0.3</v>
      </c>
      <c r="V753" s="11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36">
        <v>0</v>
      </c>
      <c r="X753" s="9">
        <v>0</v>
      </c>
      <c r="Y753" s="10">
        <v>0</v>
      </c>
      <c r="Z753" t="s">
        <v>879</v>
      </c>
      <c r="AA753" t="s">
        <v>868</v>
      </c>
      <c r="AB753" s="2" t="s">
        <v>886</v>
      </c>
      <c r="AC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3" s="2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H753" s="10" t="b">
        <v>0</v>
      </c>
      <c r="AY753"/>
      <c r="AZ753"/>
      <c r="BA753"/>
    </row>
    <row r="754" spans="1:53">
      <c r="A754" s="2" t="s">
        <v>756</v>
      </c>
      <c r="B754">
        <v>1950</v>
      </c>
      <c r="C754" cm="1">
        <f t="array" ref="C754">_xlfn.IFS(ISNUMBER(SEARCH("wagon",PROPERTIES[[#This Row],[VEHIDCODE]])),0,OR(MID(PROPERTIES[[#This Row],[VEHIDCODE]],2,2)="mu",_xlfn.TEXTBEFORE(PROPERTIES[[#This Row],[VEHIDCODE]],"_")="mtro"),1,1=1,0)</f>
        <v>0</v>
      </c>
      <c r="E754" t="str">
        <f>_xlfn.XLOOKUP(PROPERTIES[[#This Row],[COUNTRY]],COUNTRIES[COUNTRY_DESCRIPTION],COUNTRIES[COUNTRY_LABEL],"")</f>
        <v/>
      </c>
      <c r="F754" t="str" cm="1">
        <f t="array" ref="F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4" t="s">
        <v>320</v>
      </c>
      <c r="H754">
        <v>150</v>
      </c>
      <c r="I754">
        <v>8</v>
      </c>
      <c r="J754">
        <v>8</v>
      </c>
      <c r="K754" t="str" cm="1">
        <f t="array" ref="K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f>IF(ISNUMBER(SEARCH("passenger",PROPERTIES[[#This Row],[CARGODEF]])),1,0)</f>
        <v>1</v>
      </c>
      <c r="O754" s="32">
        <f>85/2</f>
        <v>42.5</v>
      </c>
      <c r="P754">
        <v>0</v>
      </c>
      <c r="Q754">
        <v>120</v>
      </c>
      <c r="R754" s="29">
        <v>0</v>
      </c>
      <c r="S754" s="28">
        <f>IFERROR(PROPERTIES[[#This Row],[TE_STARTING_KN]]/(PROPERTIES[[#This Row],[WEIGHT]]*9.81),0)</f>
        <v>0</v>
      </c>
      <c r="T754" s="28">
        <v>0.3</v>
      </c>
      <c r="U754" s="25">
        <f>ROUND(IF(IFERROR(PROPERTIES[[#This Row],[TE_COEFFICIENT_CALC]],0)=0,PROPERTIES[[#This Row],[TE_COEFFICIENT_MANUAL]],PROPERTIES[[#This Row],[TE_COEFFICIENT_CALC]]),3)</f>
        <v>0.3</v>
      </c>
      <c r="V754" s="11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36">
        <v>0</v>
      </c>
      <c r="X754" s="9">
        <v>0</v>
      </c>
      <c r="Y754" s="10">
        <v>0</v>
      </c>
      <c r="Z754" t="s">
        <v>879</v>
      </c>
      <c r="AA754" t="s">
        <v>868</v>
      </c>
      <c r="AB754" s="2" t="s">
        <v>886</v>
      </c>
      <c r="AC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4" s="2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H754" s="10" t="b">
        <v>0</v>
      </c>
      <c r="AY754"/>
      <c r="AZ754"/>
      <c r="BA754"/>
    </row>
    <row r="755" spans="1:53">
      <c r="A755" s="2" t="s">
        <v>757</v>
      </c>
      <c r="B755">
        <v>1950</v>
      </c>
      <c r="C755" cm="1">
        <f t="array" ref="C755">_xlfn.IFS(ISNUMBER(SEARCH("wagon",PROPERTIES[[#This Row],[VEHIDCODE]])),0,OR(MID(PROPERTIES[[#This Row],[VEHIDCODE]],2,2)="mu",_xlfn.TEXTBEFORE(PROPERTIES[[#This Row],[VEHIDCODE]],"_")="mtro"),1,1=1,0)</f>
        <v>0</v>
      </c>
      <c r="E755" t="str">
        <f>_xlfn.XLOOKUP(PROPERTIES[[#This Row],[COUNTRY]],COUNTRIES[COUNTRY_DESCRIPTION],COUNTRIES[COUNTRY_LABEL],"")</f>
        <v/>
      </c>
      <c r="F755" t="str" cm="1">
        <f t="array" ref="F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5" t="s">
        <v>665</v>
      </c>
      <c r="H755">
        <v>120</v>
      </c>
      <c r="I755">
        <v>8</v>
      </c>
      <c r="J755">
        <v>8</v>
      </c>
      <c r="K755" t="str" cm="1">
        <f t="array" ref="K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f>IF(ISNUMBER(SEARCH("passenger",PROPERTIES[[#This Row],[CARGODEF]])),1,0)</f>
        <v>0</v>
      </c>
      <c r="O755" s="32">
        <v>40</v>
      </c>
      <c r="P755">
        <v>0</v>
      </c>
      <c r="Q755">
        <v>160</v>
      </c>
      <c r="R755" s="29">
        <v>0</v>
      </c>
      <c r="S755" s="28">
        <f>IFERROR(PROPERTIES[[#This Row],[TE_STARTING_KN]]/(PROPERTIES[[#This Row],[WEIGHT]]*9.81),0)</f>
        <v>0</v>
      </c>
      <c r="T755" s="28">
        <v>0.3</v>
      </c>
      <c r="U755" s="25">
        <f>ROUND(IF(IFERROR(PROPERTIES[[#This Row],[TE_COEFFICIENT_CALC]],0)=0,PROPERTIES[[#This Row],[TE_COEFFICIENT_MANUAL]],PROPERTIES[[#This Row],[TE_COEFFICIENT_CALC]]),3)</f>
        <v>0.3</v>
      </c>
      <c r="V755" s="11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36">
        <v>0</v>
      </c>
      <c r="X755" s="9">
        <v>0</v>
      </c>
      <c r="Y755" s="10">
        <v>0</v>
      </c>
      <c r="Z755" t="s">
        <v>879</v>
      </c>
      <c r="AA755" t="s">
        <v>868</v>
      </c>
      <c r="AB755" s="2" t="s">
        <v>886</v>
      </c>
      <c r="AC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5" s="2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H755" s="10" t="b">
        <v>0</v>
      </c>
      <c r="AY755"/>
      <c r="AZ755"/>
      <c r="BA755"/>
    </row>
    <row r="756" spans="1:53">
      <c r="A756" s="2" t="s">
        <v>758</v>
      </c>
      <c r="B756">
        <v>1950</v>
      </c>
      <c r="C756" cm="1">
        <f t="array" ref="C756">_xlfn.IFS(ISNUMBER(SEARCH("wagon",PROPERTIES[[#This Row],[VEHIDCODE]])),0,OR(MID(PROPERTIES[[#This Row],[VEHIDCODE]],2,2)="mu",_xlfn.TEXTBEFORE(PROPERTIES[[#This Row],[VEHIDCODE]],"_")="mtro"),1,1=1,0)</f>
        <v>0</v>
      </c>
      <c r="E756" t="str">
        <f>_xlfn.XLOOKUP(PROPERTIES[[#This Row],[COUNTRY]],COUNTRIES[COUNTRY_DESCRIPTION],COUNTRIES[COUNTRY_LABEL],"")</f>
        <v/>
      </c>
      <c r="F756" t="str" cm="1">
        <f t="array" ref="F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6" t="s">
        <v>320</v>
      </c>
      <c r="H756">
        <v>108</v>
      </c>
      <c r="I756">
        <v>8</v>
      </c>
      <c r="J756">
        <v>8</v>
      </c>
      <c r="K756" t="str" cm="1">
        <f t="array" ref="K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6">
        <f>_xlfn.XLOOKUP("LOADINGSPEEDDEF_"&amp;PROPERTIES[[#This Row],[LOADINGSPEED]],LOADINGSPEEDDEF[TYPE],LOADINGSPEEDDEF[SPEED])</f>
        <v>40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f>IF(ISNUMBER(SEARCH("passenger",PROPERTIES[[#This Row],[CARGODEF]])),1,0)</f>
        <v>1</v>
      </c>
      <c r="O756" s="32">
        <v>42</v>
      </c>
      <c r="P756">
        <v>0</v>
      </c>
      <c r="Q756">
        <v>130</v>
      </c>
      <c r="R756" s="29">
        <v>0</v>
      </c>
      <c r="S756" s="28">
        <f>IFERROR(PROPERTIES[[#This Row],[TE_STARTING_KN]]/(PROPERTIES[[#This Row],[WEIGHT]]*9.81),0)</f>
        <v>0</v>
      </c>
      <c r="T756" s="28">
        <v>0.3</v>
      </c>
      <c r="U756" s="25">
        <f>ROUND(IF(IFERROR(PROPERTIES[[#This Row],[TE_COEFFICIENT_CALC]],0)=0,PROPERTIES[[#This Row],[TE_COEFFICIENT_MANUAL]],PROPERTIES[[#This Row],[TE_COEFFICIENT_CALC]]),3)</f>
        <v>0.3</v>
      </c>
      <c r="V756" s="11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36">
        <v>0</v>
      </c>
      <c r="X756" s="9">
        <v>0</v>
      </c>
      <c r="Y756" s="10">
        <v>0</v>
      </c>
      <c r="Z756" t="s">
        <v>877</v>
      </c>
      <c r="AA756" t="s">
        <v>868</v>
      </c>
      <c r="AB756" s="2" t="s">
        <v>886</v>
      </c>
      <c r="AC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6" s="2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6" s="2" t="b">
        <v>0</v>
      </c>
      <c r="AH756" s="10" t="b">
        <v>0</v>
      </c>
      <c r="AY756"/>
      <c r="AZ756"/>
      <c r="BA756"/>
    </row>
    <row r="757" spans="1:53">
      <c r="A757" s="2" t="s">
        <v>759</v>
      </c>
      <c r="B757">
        <v>1950</v>
      </c>
      <c r="C757" cm="1">
        <f t="array" ref="C757">_xlfn.IFS(ISNUMBER(SEARCH("wagon",PROPERTIES[[#This Row],[VEHIDCODE]])),0,OR(MID(PROPERTIES[[#This Row],[VEHIDCODE]],2,2)="mu",_xlfn.TEXTBEFORE(PROPERTIES[[#This Row],[VEHIDCODE]],"_")="mtro"),1,1=1,0)</f>
        <v>0</v>
      </c>
      <c r="E757" t="str">
        <f>_xlfn.XLOOKUP(PROPERTIES[[#This Row],[COUNTRY]],COUNTRIES[COUNTRY_DESCRIPTION],COUNTRIES[COUNTRY_LABEL],"")</f>
        <v/>
      </c>
      <c r="F757" t="str" cm="1">
        <f t="array" ref="F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7" t="s">
        <v>320</v>
      </c>
      <c r="H757">
        <v>210</v>
      </c>
      <c r="I757">
        <v>8</v>
      </c>
      <c r="J757">
        <v>8</v>
      </c>
      <c r="K757" t="str" cm="1">
        <f t="array" ref="K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f>IF(ISNUMBER(SEARCH("passenger",PROPERTIES[[#This Row],[CARGODEF]])),1,0)</f>
        <v>1</v>
      </c>
      <c r="O757" s="32">
        <v>39</v>
      </c>
      <c r="P757">
        <v>0</v>
      </c>
      <c r="Q757">
        <v>110</v>
      </c>
      <c r="R757" s="29">
        <v>0</v>
      </c>
      <c r="S757" s="28">
        <f>IFERROR(PROPERTIES[[#This Row],[TE_STARTING_KN]]/(PROPERTIES[[#This Row],[WEIGHT]]*9.81),0)</f>
        <v>0</v>
      </c>
      <c r="T757" s="28">
        <v>0.3</v>
      </c>
      <c r="U757" s="25">
        <f>ROUND(IF(IFERROR(PROPERTIES[[#This Row],[TE_COEFFICIENT_CALC]],0)=0,PROPERTIES[[#This Row],[TE_COEFFICIENT_MANUAL]],PROPERTIES[[#This Row],[TE_COEFFICIENT_CALC]]),3)</f>
        <v>0.3</v>
      </c>
      <c r="V757" s="11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36">
        <v>0</v>
      </c>
      <c r="X757" s="9">
        <v>0</v>
      </c>
      <c r="Y757" s="10">
        <v>0</v>
      </c>
      <c r="Z757" t="s">
        <v>877</v>
      </c>
      <c r="AA757" t="s">
        <v>868</v>
      </c>
      <c r="AB757" s="2" t="s">
        <v>886</v>
      </c>
      <c r="AC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7" s="2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H757" s="10" t="b">
        <v>0</v>
      </c>
      <c r="AY757"/>
      <c r="AZ757"/>
      <c r="BA757"/>
    </row>
    <row r="758" spans="1:53">
      <c r="A758" s="2" t="s">
        <v>760</v>
      </c>
      <c r="B758">
        <v>1950</v>
      </c>
      <c r="C758" cm="1">
        <f t="array" ref="C758">_xlfn.IFS(ISNUMBER(SEARCH("wagon",PROPERTIES[[#This Row],[VEHIDCODE]])),0,OR(MID(PROPERTIES[[#This Row],[VEHIDCODE]],2,2)="mu",_xlfn.TEXTBEFORE(PROPERTIES[[#This Row],[VEHIDCODE]],"_")="mtro"),1,1=1,0)</f>
        <v>0</v>
      </c>
      <c r="E758" t="str">
        <f>_xlfn.XLOOKUP(PROPERTIES[[#This Row],[COUNTRY]],COUNTRIES[COUNTRY_DESCRIPTION],COUNTRIES[COUNTRY_LABEL],"")</f>
        <v/>
      </c>
      <c r="F758" t="str" cm="1">
        <f t="array" ref="F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8" t="s">
        <v>320</v>
      </c>
      <c r="H758">
        <v>140</v>
      </c>
      <c r="I758">
        <v>8</v>
      </c>
      <c r="J758">
        <v>8</v>
      </c>
      <c r="K758" t="str" cm="1">
        <f t="array" ref="K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8">
        <f>_xlfn.XLOOKUP("LOADINGSPEEDDEF_"&amp;PROPERTIES[[#This Row],[LOADINGSPEED]],LOADINGSPEEDDEF[TYPE],LOADINGSPEEDDEF[SPEED])</f>
        <v>40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f>IF(ISNUMBER(SEARCH("passenger",PROPERTIES[[#This Row],[CARGODEF]])),1,0)</f>
        <v>1</v>
      </c>
      <c r="O758" s="32">
        <v>37.5</v>
      </c>
      <c r="P758">
        <v>0</v>
      </c>
      <c r="Q758">
        <v>110</v>
      </c>
      <c r="R758" s="29">
        <v>0</v>
      </c>
      <c r="S758" s="28">
        <f>IFERROR(PROPERTIES[[#This Row],[TE_STARTING_KN]]/(PROPERTIES[[#This Row],[WEIGHT]]*9.81),0)</f>
        <v>0</v>
      </c>
      <c r="T758" s="28">
        <v>0.3</v>
      </c>
      <c r="U758" s="25">
        <f>ROUND(IF(IFERROR(PROPERTIES[[#This Row],[TE_COEFFICIENT_CALC]],0)=0,PROPERTIES[[#This Row],[TE_COEFFICIENT_MANUAL]],PROPERTIES[[#This Row],[TE_COEFFICIENT_CALC]]),3)</f>
        <v>0.3</v>
      </c>
      <c r="V758" s="11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36">
        <v>0</v>
      </c>
      <c r="X758" s="9">
        <v>0</v>
      </c>
      <c r="Y758" s="10">
        <v>0</v>
      </c>
      <c r="Z758" t="s">
        <v>877</v>
      </c>
      <c r="AA758" t="s">
        <v>868</v>
      </c>
      <c r="AB758" s="2" t="s">
        <v>886</v>
      </c>
      <c r="AC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8" s="2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8" s="2" t="b">
        <v>0</v>
      </c>
      <c r="AH758" s="10" t="b">
        <v>0</v>
      </c>
      <c r="AY758"/>
      <c r="AZ758"/>
      <c r="BA758"/>
    </row>
    <row r="759" spans="1:53">
      <c r="A759" s="2" t="s">
        <v>761</v>
      </c>
      <c r="B759">
        <v>1950</v>
      </c>
      <c r="C759" cm="1">
        <f t="array" ref="C759">_xlfn.IFS(ISNUMBER(SEARCH("wagon",PROPERTIES[[#This Row],[VEHIDCODE]])),0,OR(MID(PROPERTIES[[#This Row],[VEHIDCODE]],2,2)="mu",_xlfn.TEXTBEFORE(PROPERTIES[[#This Row],[VEHIDCODE]],"_")="mtro"),1,1=1,0)</f>
        <v>0</v>
      </c>
      <c r="E759" t="str">
        <f>_xlfn.XLOOKUP(PROPERTIES[[#This Row],[COUNTRY]],COUNTRIES[COUNTRY_DESCRIPTION],COUNTRIES[COUNTRY_LABEL],"")</f>
        <v/>
      </c>
      <c r="F759" t="str" cm="1">
        <f t="array" ref="F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9" t="s">
        <v>665</v>
      </c>
      <c r="H759">
        <v>100</v>
      </c>
      <c r="I759">
        <v>8</v>
      </c>
      <c r="J759">
        <v>8</v>
      </c>
      <c r="K759" t="str" cm="1">
        <f t="array" ref="K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f>IF(ISNUMBER(SEARCH("passenger",PROPERTIES[[#This Row],[CARGODEF]])),1,0)</f>
        <v>0</v>
      </c>
      <c r="O759" s="32">
        <v>38</v>
      </c>
      <c r="P759">
        <v>0</v>
      </c>
      <c r="Q759">
        <v>110</v>
      </c>
      <c r="R759" s="29">
        <v>0</v>
      </c>
      <c r="S759" s="28">
        <f>IFERROR(PROPERTIES[[#This Row],[TE_STARTING_KN]]/(PROPERTIES[[#This Row],[WEIGHT]]*9.81),0)</f>
        <v>0</v>
      </c>
      <c r="T759" s="28">
        <v>0.3</v>
      </c>
      <c r="U759" s="25">
        <f>ROUND(IF(IFERROR(PROPERTIES[[#This Row],[TE_COEFFICIENT_CALC]],0)=0,PROPERTIES[[#This Row],[TE_COEFFICIENT_MANUAL]],PROPERTIES[[#This Row],[TE_COEFFICIENT_CALC]]),3)</f>
        <v>0.3</v>
      </c>
      <c r="V759" s="11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36">
        <v>0</v>
      </c>
      <c r="X759" s="9">
        <v>0</v>
      </c>
      <c r="Y759" s="10">
        <v>0</v>
      </c>
      <c r="Z759" t="s">
        <v>877</v>
      </c>
      <c r="AA759" t="s">
        <v>868</v>
      </c>
      <c r="AB759" s="2" t="s">
        <v>886</v>
      </c>
      <c r="AC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9" s="2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H759" s="10" t="b">
        <v>0</v>
      </c>
      <c r="AY759"/>
      <c r="AZ759"/>
      <c r="BA759"/>
    </row>
    <row r="760" spans="1:53">
      <c r="A760" s="2" t="s">
        <v>762</v>
      </c>
      <c r="B760">
        <v>1970</v>
      </c>
      <c r="C760" cm="1">
        <f t="array" ref="C760">_xlfn.IFS(ISNUMBER(SEARCH("wagon",PROPERTIES[[#This Row],[VEHIDCODE]])),0,OR(MID(PROPERTIES[[#This Row],[VEHIDCODE]],2,2)="mu",_xlfn.TEXTBEFORE(PROPERTIES[[#This Row],[VEHIDCODE]],"_")="mtro"),1,1=1,0)</f>
        <v>0</v>
      </c>
      <c r="E760" t="str">
        <f>_xlfn.XLOOKUP(PROPERTIES[[#This Row],[COUNTRY]],COUNTRIES[COUNTRY_DESCRIPTION],COUNTRIES[COUNTRY_LABEL],"")</f>
        <v/>
      </c>
      <c r="F760" t="str" cm="1">
        <f t="array" ref="F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0" t="s">
        <v>320</v>
      </c>
      <c r="H760">
        <v>66</v>
      </c>
      <c r="I760">
        <v>8</v>
      </c>
      <c r="J760">
        <v>8</v>
      </c>
      <c r="K760" t="str" cm="1">
        <f t="array" ref="K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f>IF(ISNUMBER(SEARCH("passenger",PROPERTIES[[#This Row],[CARGODEF]])),1,0)</f>
        <v>1</v>
      </c>
      <c r="O760" s="32">
        <v>42</v>
      </c>
      <c r="P760">
        <v>0</v>
      </c>
      <c r="Q760">
        <v>200</v>
      </c>
      <c r="R760" s="29">
        <v>0</v>
      </c>
      <c r="S760" s="28">
        <f>IFERROR(PROPERTIES[[#This Row],[TE_STARTING_KN]]/(PROPERTIES[[#This Row],[WEIGHT]]*9.81),0)</f>
        <v>0</v>
      </c>
      <c r="T760" s="28">
        <v>0.3</v>
      </c>
      <c r="U760" s="25">
        <f>ROUND(IF(IFERROR(PROPERTIES[[#This Row],[TE_COEFFICIENT_CALC]],0)=0,PROPERTIES[[#This Row],[TE_COEFFICIENT_MANUAL]],PROPERTIES[[#This Row],[TE_COEFFICIENT_CALC]]),3)</f>
        <v>0.3</v>
      </c>
      <c r="V760" s="11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36">
        <v>0</v>
      </c>
      <c r="X760" s="9">
        <v>0</v>
      </c>
      <c r="Y760" s="10">
        <v>0</v>
      </c>
      <c r="Z760" t="s">
        <v>879</v>
      </c>
      <c r="AA760" t="s">
        <v>868</v>
      </c>
      <c r="AB760" s="2" t="s">
        <v>886</v>
      </c>
      <c r="AC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0" s="2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H760" s="10" t="b">
        <v>0</v>
      </c>
      <c r="AY760"/>
      <c r="AZ760"/>
      <c r="BA760"/>
    </row>
    <row r="761" spans="1:53">
      <c r="A761" s="2" t="s">
        <v>763</v>
      </c>
      <c r="B761">
        <v>1970</v>
      </c>
      <c r="C761" cm="1">
        <f t="array" ref="C761">_xlfn.IFS(ISNUMBER(SEARCH("wagon",PROPERTIES[[#This Row],[VEHIDCODE]])),0,OR(MID(PROPERTIES[[#This Row],[VEHIDCODE]],2,2)="mu",_xlfn.TEXTBEFORE(PROPERTIES[[#This Row],[VEHIDCODE]],"_")="mtro"),1,1=1,0)</f>
        <v>0</v>
      </c>
      <c r="E761" t="str">
        <f>_xlfn.XLOOKUP(PROPERTIES[[#This Row],[COUNTRY]],COUNTRIES[COUNTRY_DESCRIPTION],COUNTRIES[COUNTRY_LABEL],"")</f>
        <v/>
      </c>
      <c r="F761" t="str" cm="1">
        <f t="array" ref="F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1" t="s">
        <v>320</v>
      </c>
      <c r="H761">
        <v>78</v>
      </c>
      <c r="I761">
        <v>8</v>
      </c>
      <c r="J761">
        <v>8</v>
      </c>
      <c r="K761" t="str" cm="1">
        <f t="array" ref="K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f>IF(ISNUMBER(SEARCH("passenger",PROPERTIES[[#This Row],[CARGODEF]])),1,0)</f>
        <v>1</v>
      </c>
      <c r="O761" s="32">
        <v>40</v>
      </c>
      <c r="P761">
        <v>0</v>
      </c>
      <c r="Q761">
        <v>200</v>
      </c>
      <c r="R761" s="29">
        <v>0</v>
      </c>
      <c r="S761" s="28">
        <f>IFERROR(PROPERTIES[[#This Row],[TE_STARTING_KN]]/(PROPERTIES[[#This Row],[WEIGHT]]*9.81),0)</f>
        <v>0</v>
      </c>
      <c r="T761" s="28">
        <v>0.3</v>
      </c>
      <c r="U761" s="25">
        <f>ROUND(IF(IFERROR(PROPERTIES[[#This Row],[TE_COEFFICIENT_CALC]],0)=0,PROPERTIES[[#This Row],[TE_COEFFICIENT_MANUAL]],PROPERTIES[[#This Row],[TE_COEFFICIENT_CALC]]),3)</f>
        <v>0.3</v>
      </c>
      <c r="V761" s="11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36">
        <v>0</v>
      </c>
      <c r="X761" s="9">
        <v>0</v>
      </c>
      <c r="Y761" s="10">
        <v>0</v>
      </c>
      <c r="Z761" t="s">
        <v>879</v>
      </c>
      <c r="AA761" t="s">
        <v>868</v>
      </c>
      <c r="AB761" s="2" t="s">
        <v>886</v>
      </c>
      <c r="AC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1" s="2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H761" s="10" t="b">
        <v>0</v>
      </c>
      <c r="AY761"/>
      <c r="AZ761"/>
      <c r="BA761"/>
    </row>
    <row r="762" spans="1:53">
      <c r="A762" s="2" t="s">
        <v>764</v>
      </c>
      <c r="B762">
        <v>1960</v>
      </c>
      <c r="C762" cm="1">
        <f t="array" ref="C762">_xlfn.IFS(ISNUMBER(SEARCH("wagon",PROPERTIES[[#This Row],[VEHIDCODE]])),0,OR(MID(PROPERTIES[[#This Row],[VEHIDCODE]],2,2)="mu",_xlfn.TEXTBEFORE(PROPERTIES[[#This Row],[VEHIDCODE]],"_")="mtro"),1,1=1,0)</f>
        <v>0</v>
      </c>
      <c r="E762" t="str">
        <f>_xlfn.XLOOKUP(PROPERTIES[[#This Row],[COUNTRY]],COUNTRIES[COUNTRY_DESCRIPTION],COUNTRIES[COUNTRY_LABEL],"")</f>
        <v/>
      </c>
      <c r="F762" t="str" cm="1">
        <f t="array" ref="F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2" t="s">
        <v>320</v>
      </c>
      <c r="H762">
        <v>190</v>
      </c>
      <c r="I762">
        <v>8</v>
      </c>
      <c r="J762">
        <v>8</v>
      </c>
      <c r="K762" t="str" cm="1">
        <f t="array" ref="K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f>IF(ISNUMBER(SEARCH("passenger",PROPERTIES[[#This Row],[CARGODEF]])),1,0)</f>
        <v>1</v>
      </c>
      <c r="O762" s="32">
        <v>31</v>
      </c>
      <c r="P762">
        <v>0</v>
      </c>
      <c r="Q762">
        <v>140</v>
      </c>
      <c r="R762" s="29">
        <v>0</v>
      </c>
      <c r="S762" s="28">
        <f>IFERROR(PROPERTIES[[#This Row],[TE_STARTING_KN]]/(PROPERTIES[[#This Row],[WEIGHT]]*9.81),0)</f>
        <v>0</v>
      </c>
      <c r="T762" s="28">
        <v>0.3</v>
      </c>
      <c r="U762" s="25">
        <f>ROUND(IF(IFERROR(PROPERTIES[[#This Row],[TE_COEFFICIENT_CALC]],0)=0,PROPERTIES[[#This Row],[TE_COEFFICIENT_MANUAL]],PROPERTIES[[#This Row],[TE_COEFFICIENT_CALC]]),3)</f>
        <v>0.3</v>
      </c>
      <c r="V762" s="11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36">
        <v>0</v>
      </c>
      <c r="X762" s="9">
        <v>0</v>
      </c>
      <c r="Y762" s="10">
        <v>0</v>
      </c>
      <c r="Z762" t="s">
        <v>879</v>
      </c>
      <c r="AA762" t="s">
        <v>868</v>
      </c>
      <c r="AB762" s="2" t="s">
        <v>886</v>
      </c>
      <c r="AC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2" s="2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H762" s="10" t="b">
        <v>0</v>
      </c>
      <c r="AY762"/>
      <c r="AZ762"/>
      <c r="BA762"/>
    </row>
    <row r="763" spans="1:53">
      <c r="A763" s="2" t="s">
        <v>765</v>
      </c>
      <c r="B763">
        <v>1970</v>
      </c>
      <c r="C763" cm="1">
        <f t="array" ref="C763">_xlfn.IFS(ISNUMBER(SEARCH("wagon",PROPERTIES[[#This Row],[VEHIDCODE]])),0,OR(MID(PROPERTIES[[#This Row],[VEHIDCODE]],2,2)="mu",_xlfn.TEXTBEFORE(PROPERTIES[[#This Row],[VEHIDCODE]],"_")="mtro"),1,1=1,0)</f>
        <v>0</v>
      </c>
      <c r="E763" t="str">
        <f>_xlfn.XLOOKUP(PROPERTIES[[#This Row],[COUNTRY]],COUNTRIES[COUNTRY_DESCRIPTION],COUNTRIES[COUNTRY_LABEL],"")</f>
        <v/>
      </c>
      <c r="F763" t="str" cm="1">
        <f t="array" ref="F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3" t="s">
        <v>665</v>
      </c>
      <c r="H763">
        <v>130</v>
      </c>
      <c r="I763">
        <v>8</v>
      </c>
      <c r="J763">
        <v>8</v>
      </c>
      <c r="K763" t="str" cm="1">
        <f t="array" ref="K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f>IF(ISNUMBER(SEARCH("passenger",PROPERTIES[[#This Row],[CARGODEF]])),1,0)</f>
        <v>0</v>
      </c>
      <c r="O763" s="32">
        <v>40</v>
      </c>
      <c r="P763">
        <v>0</v>
      </c>
      <c r="Q763">
        <v>200</v>
      </c>
      <c r="R763" s="29">
        <v>0</v>
      </c>
      <c r="S763" s="28">
        <f>IFERROR(PROPERTIES[[#This Row],[TE_STARTING_KN]]/(PROPERTIES[[#This Row],[WEIGHT]]*9.81),0)</f>
        <v>0</v>
      </c>
      <c r="T763" s="28">
        <v>0.3</v>
      </c>
      <c r="U763" s="25">
        <f>ROUND(IF(IFERROR(PROPERTIES[[#This Row],[TE_COEFFICIENT_CALC]],0)=0,PROPERTIES[[#This Row],[TE_COEFFICIENT_MANUAL]],PROPERTIES[[#This Row],[TE_COEFFICIENT_CALC]]),3)</f>
        <v>0.3</v>
      </c>
      <c r="V763" s="11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36">
        <v>0</v>
      </c>
      <c r="X763" s="9">
        <v>0</v>
      </c>
      <c r="Y763" s="10">
        <v>0</v>
      </c>
      <c r="Z763" t="s">
        <v>879</v>
      </c>
      <c r="AA763" t="s">
        <v>868</v>
      </c>
      <c r="AB763" s="2" t="s">
        <v>886</v>
      </c>
      <c r="AC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3" s="2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H763" s="10" t="b">
        <v>0</v>
      </c>
      <c r="AY763"/>
      <c r="AZ763"/>
      <c r="BA763"/>
    </row>
    <row r="764" spans="1:53">
      <c r="A764" s="2" t="s">
        <v>766</v>
      </c>
      <c r="B764">
        <v>1970</v>
      </c>
      <c r="C764" cm="1">
        <f t="array" ref="C764">_xlfn.IFS(ISNUMBER(SEARCH("wagon",PROPERTIES[[#This Row],[VEHIDCODE]])),0,OR(MID(PROPERTIES[[#This Row],[VEHIDCODE]],2,2)="mu",_xlfn.TEXTBEFORE(PROPERTIES[[#This Row],[VEHIDCODE]],"_")="mtro"),1,1=1,0)</f>
        <v>0</v>
      </c>
      <c r="E764" t="str">
        <f>_xlfn.XLOOKUP(PROPERTIES[[#This Row],[COUNTRY]],COUNTRIES[COUNTRY_DESCRIPTION],COUNTRIES[COUNTRY_LABEL],"")</f>
        <v/>
      </c>
      <c r="F764" t="str" cm="1">
        <f t="array" ref="F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4" t="s">
        <v>320</v>
      </c>
      <c r="H764">
        <v>170</v>
      </c>
      <c r="I764">
        <v>8</v>
      </c>
      <c r="J764">
        <v>8</v>
      </c>
      <c r="K764" t="str" cm="1">
        <f t="array" ref="K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4">
        <f>_xlfn.XLOOKUP("LOADINGSPEEDDEF_"&amp;PROPERTIES[[#This Row],[LOADINGSPEED]],LOADINGSPEEDDEF[TYPE],LOADINGSPEEDDEF[SPEED])</f>
        <v>40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f>IF(ISNUMBER(SEARCH("passenger",PROPERTIES[[#This Row],[CARGODEF]])),1,0)</f>
        <v>1</v>
      </c>
      <c r="O764" s="32">
        <v>50</v>
      </c>
      <c r="P764">
        <v>0</v>
      </c>
      <c r="Q764">
        <v>140</v>
      </c>
      <c r="R764" s="29">
        <v>0</v>
      </c>
      <c r="S764" s="28">
        <f>IFERROR(PROPERTIES[[#This Row],[TE_STARTING_KN]]/(PROPERTIES[[#This Row],[WEIGHT]]*9.81),0)</f>
        <v>0</v>
      </c>
      <c r="T764" s="28">
        <v>0.3</v>
      </c>
      <c r="U764" s="25">
        <f>ROUND(IF(IFERROR(PROPERTIES[[#This Row],[TE_COEFFICIENT_CALC]],0)=0,PROPERTIES[[#This Row],[TE_COEFFICIENT_MANUAL]],PROPERTIES[[#This Row],[TE_COEFFICIENT_CALC]]),3)</f>
        <v>0.3</v>
      </c>
      <c r="V764" s="11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36">
        <v>0</v>
      </c>
      <c r="X764" s="9">
        <v>0</v>
      </c>
      <c r="Y764" s="10">
        <v>0</v>
      </c>
      <c r="Z764" t="s">
        <v>878</v>
      </c>
      <c r="AA764" t="s">
        <v>877</v>
      </c>
      <c r="AB764" s="2" t="s">
        <v>886</v>
      </c>
      <c r="AC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4" s="2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4" s="2" t="b">
        <v>0</v>
      </c>
      <c r="AH764" s="10" t="b">
        <v>0</v>
      </c>
      <c r="AY764"/>
      <c r="AZ764"/>
      <c r="BA764"/>
    </row>
    <row r="765" spans="1:53">
      <c r="A765" s="2" t="s">
        <v>767</v>
      </c>
      <c r="B765">
        <v>1960</v>
      </c>
      <c r="C765" cm="1">
        <f t="array" ref="C765">_xlfn.IFS(ISNUMBER(SEARCH("wagon",PROPERTIES[[#This Row],[VEHIDCODE]])),0,OR(MID(PROPERTIES[[#This Row],[VEHIDCODE]],2,2)="mu",_xlfn.TEXTBEFORE(PROPERTIES[[#This Row],[VEHIDCODE]],"_")="mtro"),1,1=1,0)</f>
        <v>0</v>
      </c>
      <c r="E765" t="str">
        <f>_xlfn.XLOOKUP(PROPERTIES[[#This Row],[COUNTRY]],COUNTRIES[COUNTRY_DESCRIPTION],COUNTRIES[COUNTRY_LABEL],"")</f>
        <v/>
      </c>
      <c r="F765" t="str" cm="1">
        <f t="array" ref="F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5" t="s">
        <v>320</v>
      </c>
      <c r="H765">
        <v>54</v>
      </c>
      <c r="I765">
        <v>8</v>
      </c>
      <c r="J765">
        <v>8</v>
      </c>
      <c r="K765" t="str" cm="1">
        <f t="array" ref="K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5">
        <f>_xlfn.XLOOKUP("LOADINGSPEEDDEF_"&amp;PROPERTIES[[#This Row],[LOADINGSPEED]],LOADINGSPEEDDEF[TYPE],LOADINGSPEEDDEF[SPEED])</f>
        <v>40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f>IF(ISNUMBER(SEARCH("passenger",PROPERTIES[[#This Row],[CARGODEF]])),1,0)</f>
        <v>1</v>
      </c>
      <c r="O765" s="32">
        <v>58</v>
      </c>
      <c r="P765">
        <v>0</v>
      </c>
      <c r="Q765">
        <v>120</v>
      </c>
      <c r="R765" s="29">
        <v>0</v>
      </c>
      <c r="S765" s="28">
        <f>IFERROR(PROPERTIES[[#This Row],[TE_STARTING_KN]]/(PROPERTIES[[#This Row],[WEIGHT]]*9.81),0)</f>
        <v>0</v>
      </c>
      <c r="T765" s="28">
        <v>0.3</v>
      </c>
      <c r="U765" s="25">
        <f>ROUND(IF(IFERROR(PROPERTIES[[#This Row],[TE_COEFFICIENT_CALC]],0)=0,PROPERTIES[[#This Row],[TE_COEFFICIENT_MANUAL]],PROPERTIES[[#This Row],[TE_COEFFICIENT_CALC]]),3)</f>
        <v>0.3</v>
      </c>
      <c r="V765" s="11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36">
        <v>0</v>
      </c>
      <c r="X765" s="9">
        <v>0</v>
      </c>
      <c r="Y765" s="10">
        <v>0</v>
      </c>
      <c r="Z765" t="s">
        <v>878</v>
      </c>
      <c r="AA765" t="s">
        <v>877</v>
      </c>
      <c r="AB765" s="2" t="s">
        <v>886</v>
      </c>
      <c r="AC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5" s="2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5" s="2" t="b">
        <v>0</v>
      </c>
      <c r="AH765" s="10" t="b">
        <v>0</v>
      </c>
      <c r="AY765"/>
      <c r="AZ765"/>
      <c r="BA765"/>
    </row>
    <row r="766" spans="1:53">
      <c r="A766" s="2" t="s">
        <v>768</v>
      </c>
      <c r="B766">
        <v>1960</v>
      </c>
      <c r="C766" cm="1">
        <f t="array" ref="C766">_xlfn.IFS(ISNUMBER(SEARCH("wagon",PROPERTIES[[#This Row],[VEHIDCODE]])),0,OR(MID(PROPERTIES[[#This Row],[VEHIDCODE]],2,2)="mu",_xlfn.TEXTBEFORE(PROPERTIES[[#This Row],[VEHIDCODE]],"_")="mtro"),1,1=1,0)</f>
        <v>0</v>
      </c>
      <c r="E766" t="str">
        <f>_xlfn.XLOOKUP(PROPERTIES[[#This Row],[COUNTRY]],COUNTRIES[COUNTRY_DESCRIPTION],COUNTRIES[COUNTRY_LABEL],"")</f>
        <v/>
      </c>
      <c r="F766" t="str" cm="1">
        <f t="array" ref="F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6" t="s">
        <v>320</v>
      </c>
      <c r="H766">
        <v>220</v>
      </c>
      <c r="I766">
        <v>8</v>
      </c>
      <c r="J766">
        <v>8</v>
      </c>
      <c r="K766" t="str" cm="1">
        <f t="array" ref="K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6">
        <f>_xlfn.XLOOKUP("LOADINGSPEEDDEF_"&amp;PROPERTIES[[#This Row],[LOADINGSPEED]],LOADINGSPEEDDEF[TYPE],LOADINGSPEEDDEF[SPEED])</f>
        <v>40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f>IF(ISNUMBER(SEARCH("passenger",PROPERTIES[[#This Row],[CARGODEF]])),1,0)</f>
        <v>1</v>
      </c>
      <c r="O766" s="32">
        <v>45</v>
      </c>
      <c r="P766">
        <v>0</v>
      </c>
      <c r="Q766">
        <v>130</v>
      </c>
      <c r="R766" s="29">
        <v>0</v>
      </c>
      <c r="S766" s="28">
        <f>IFERROR(PROPERTIES[[#This Row],[TE_STARTING_KN]]/(PROPERTIES[[#This Row],[WEIGHT]]*9.81),0)</f>
        <v>0</v>
      </c>
      <c r="T766" s="28">
        <v>0.3</v>
      </c>
      <c r="U766" s="25">
        <f>ROUND(IF(IFERROR(PROPERTIES[[#This Row],[TE_COEFFICIENT_CALC]],0)=0,PROPERTIES[[#This Row],[TE_COEFFICIENT_MANUAL]],PROPERTIES[[#This Row],[TE_COEFFICIENT_CALC]]),3)</f>
        <v>0.3</v>
      </c>
      <c r="V766" s="11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36">
        <v>0</v>
      </c>
      <c r="X766" s="9">
        <v>0</v>
      </c>
      <c r="Y766" s="10">
        <v>0</v>
      </c>
      <c r="Z766" t="s">
        <v>878</v>
      </c>
      <c r="AA766" t="s">
        <v>877</v>
      </c>
      <c r="AB766" s="2" t="s">
        <v>886</v>
      </c>
      <c r="AC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6" s="2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6" s="2" t="b">
        <v>0</v>
      </c>
      <c r="AH766" s="10" t="b">
        <v>0</v>
      </c>
      <c r="AY766"/>
      <c r="AZ766"/>
      <c r="BA766"/>
    </row>
    <row r="767" spans="1:53">
      <c r="A767" s="2" t="s">
        <v>769</v>
      </c>
      <c r="B767">
        <v>1960</v>
      </c>
      <c r="C767" cm="1">
        <f t="array" ref="C767">_xlfn.IFS(ISNUMBER(SEARCH("wagon",PROPERTIES[[#This Row],[VEHIDCODE]])),0,OR(MID(PROPERTIES[[#This Row],[VEHIDCODE]],2,2)="mu",_xlfn.TEXTBEFORE(PROPERTIES[[#This Row],[VEHIDCODE]],"_")="mtro"),1,1=1,0)</f>
        <v>0</v>
      </c>
      <c r="E767" t="str">
        <f>_xlfn.XLOOKUP(PROPERTIES[[#This Row],[COUNTRY]],COUNTRIES[COUNTRY_DESCRIPTION],COUNTRIES[COUNTRY_LABEL],"")</f>
        <v/>
      </c>
      <c r="F767" t="str" cm="1">
        <f t="array" ref="F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7" t="s">
        <v>665</v>
      </c>
      <c r="H767">
        <v>150</v>
      </c>
      <c r="I767">
        <v>8</v>
      </c>
      <c r="J767">
        <v>8</v>
      </c>
      <c r="K767" t="str" cm="1">
        <f t="array" ref="K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f>IF(ISNUMBER(SEARCH("passenger",PROPERTIES[[#This Row],[CARGODEF]])),1,0)</f>
        <v>0</v>
      </c>
      <c r="O767" s="32">
        <v>52</v>
      </c>
      <c r="P767">
        <v>0</v>
      </c>
      <c r="Q767">
        <v>160</v>
      </c>
      <c r="R767" s="29">
        <v>0</v>
      </c>
      <c r="S767" s="28">
        <f>IFERROR(PROPERTIES[[#This Row],[TE_STARTING_KN]]/(PROPERTIES[[#This Row],[WEIGHT]]*9.81),0)</f>
        <v>0</v>
      </c>
      <c r="T767" s="28">
        <v>0.3</v>
      </c>
      <c r="U767" s="25">
        <f>ROUND(IF(IFERROR(PROPERTIES[[#This Row],[TE_COEFFICIENT_CALC]],0)=0,PROPERTIES[[#This Row],[TE_COEFFICIENT_MANUAL]],PROPERTIES[[#This Row],[TE_COEFFICIENT_CALC]]),3)</f>
        <v>0.3</v>
      </c>
      <c r="V767" s="11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36">
        <v>0</v>
      </c>
      <c r="X767" s="9">
        <v>0</v>
      </c>
      <c r="Y767" s="10">
        <v>0</v>
      </c>
      <c r="Z767" t="s">
        <v>878</v>
      </c>
      <c r="AA767" t="s">
        <v>877</v>
      </c>
      <c r="AB767" s="2" t="s">
        <v>886</v>
      </c>
      <c r="AC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7" s="2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H767" s="10" t="b">
        <v>0</v>
      </c>
      <c r="AY767"/>
      <c r="AZ767"/>
      <c r="BA767"/>
    </row>
    <row r="768" spans="1:53">
      <c r="A768" s="2" t="s">
        <v>770</v>
      </c>
      <c r="B768">
        <v>1980</v>
      </c>
      <c r="C768" cm="1">
        <f t="array" ref="C768">_xlfn.IFS(ISNUMBER(SEARCH("wagon",PROPERTIES[[#This Row],[VEHIDCODE]])),0,OR(MID(PROPERTIES[[#This Row],[VEHIDCODE]],2,2)="mu",_xlfn.TEXTBEFORE(PROPERTIES[[#This Row],[VEHIDCODE]],"_")="mtro"),1,1=1,0)</f>
        <v>0</v>
      </c>
      <c r="E768" t="str">
        <f>_xlfn.XLOOKUP(PROPERTIES[[#This Row],[COUNTRY]],COUNTRIES[COUNTRY_DESCRIPTION],COUNTRIES[COUNTRY_LABEL],"")</f>
        <v/>
      </c>
      <c r="F768" t="str" cm="1">
        <f t="array" ref="F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8" t="s">
        <v>320</v>
      </c>
      <c r="H768">
        <v>78</v>
      </c>
      <c r="I768">
        <v>8</v>
      </c>
      <c r="J768">
        <v>8</v>
      </c>
      <c r="K768" t="str" cm="1">
        <f t="array" ref="K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8">
        <f>_xlfn.XLOOKUP("LOADINGSPEEDDEF_"&amp;PROPERTIES[[#This Row],[LOADINGSPEED]],LOADINGSPEEDDEF[TYPE],LOADINGSPEEDDEF[SPEED])</f>
        <v>40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f>IF(ISNUMBER(SEARCH("passenger",PROPERTIES[[#This Row],[CARGODEF]])),1,0)</f>
        <v>1</v>
      </c>
      <c r="O768" s="32">
        <v>71</v>
      </c>
      <c r="P768">
        <v>0</v>
      </c>
      <c r="Q768">
        <v>160</v>
      </c>
      <c r="R768" s="29">
        <v>0</v>
      </c>
      <c r="S768" s="28">
        <f>IFERROR(PROPERTIES[[#This Row],[TE_STARTING_KN]]/(PROPERTIES[[#This Row],[WEIGHT]]*9.81),0)</f>
        <v>0</v>
      </c>
      <c r="T768" s="28">
        <v>0.3</v>
      </c>
      <c r="U768" s="25">
        <f>ROUND(IF(IFERROR(PROPERTIES[[#This Row],[TE_COEFFICIENT_CALC]],0)=0,PROPERTIES[[#This Row],[TE_COEFFICIENT_MANUAL]],PROPERTIES[[#This Row],[TE_COEFFICIENT_CALC]]),3)</f>
        <v>0.3</v>
      </c>
      <c r="V768" s="11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36">
        <v>0</v>
      </c>
      <c r="X768" s="9">
        <v>0</v>
      </c>
      <c r="Y768" s="10">
        <v>0</v>
      </c>
      <c r="Z768" t="s">
        <v>881</v>
      </c>
      <c r="AA768" t="s">
        <v>871</v>
      </c>
      <c r="AB768" s="2" t="s">
        <v>886</v>
      </c>
      <c r="AC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8" s="2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H768" s="10" t="b">
        <v>0</v>
      </c>
      <c r="AY768"/>
      <c r="AZ768"/>
      <c r="BA768"/>
    </row>
    <row r="769" spans="1:53">
      <c r="A769" s="2" t="s">
        <v>771</v>
      </c>
      <c r="B769">
        <v>1990</v>
      </c>
      <c r="C769" cm="1">
        <f t="array" ref="C769">_xlfn.IFS(ISNUMBER(SEARCH("wagon",PROPERTIES[[#This Row],[VEHIDCODE]])),0,OR(MID(PROPERTIES[[#This Row],[VEHIDCODE]],2,2)="mu",_xlfn.TEXTBEFORE(PROPERTIES[[#This Row],[VEHIDCODE]],"_")="mtro"),1,1=1,0)</f>
        <v>0</v>
      </c>
      <c r="E769" t="str">
        <f>_xlfn.XLOOKUP(PROPERTIES[[#This Row],[COUNTRY]],COUNTRIES[COUNTRY_DESCRIPTION],COUNTRIES[COUNTRY_LABEL],"")</f>
        <v/>
      </c>
      <c r="F769" t="str" cm="1">
        <f t="array" ref="F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9" t="s">
        <v>320</v>
      </c>
      <c r="H769">
        <v>94</v>
      </c>
      <c r="I769">
        <v>8</v>
      </c>
      <c r="J769">
        <v>8</v>
      </c>
      <c r="K769" t="str" cm="1">
        <f t="array" ref="K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9">
        <f>_xlfn.XLOOKUP("LOADINGSPEEDDEF_"&amp;PROPERTIES[[#This Row],[LOADINGSPEED]],LOADINGSPEEDDEF[TYPE],LOADINGSPEEDDEF[SPEED])</f>
        <v>40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f>IF(ISNUMBER(SEARCH("passenger",PROPERTIES[[#This Row],[CARGODEF]])),1,0)</f>
        <v>1</v>
      </c>
      <c r="O769" s="32">
        <v>68</v>
      </c>
      <c r="P769">
        <v>0</v>
      </c>
      <c r="Q769">
        <v>160</v>
      </c>
      <c r="R769" s="29">
        <v>0</v>
      </c>
      <c r="S769" s="28">
        <f>IFERROR(PROPERTIES[[#This Row],[TE_STARTING_KN]]/(PROPERTIES[[#This Row],[WEIGHT]]*9.81),0)</f>
        <v>0</v>
      </c>
      <c r="T769" s="28">
        <v>0.3</v>
      </c>
      <c r="U769" s="25">
        <f>ROUND(IF(IFERROR(PROPERTIES[[#This Row],[TE_COEFFICIENT_CALC]],0)=0,PROPERTIES[[#This Row],[TE_COEFFICIENT_MANUAL]],PROPERTIES[[#This Row],[TE_COEFFICIENT_CALC]]),3)</f>
        <v>0.3</v>
      </c>
      <c r="V769" s="11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36">
        <v>0</v>
      </c>
      <c r="X769" s="9">
        <v>0</v>
      </c>
      <c r="Y769" s="10">
        <v>0</v>
      </c>
      <c r="Z769" t="s">
        <v>881</v>
      </c>
      <c r="AA769" t="s">
        <v>871</v>
      </c>
      <c r="AB769" s="2" t="s">
        <v>886</v>
      </c>
      <c r="AC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9" s="2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H769" s="10" t="b">
        <v>0</v>
      </c>
      <c r="AY769"/>
      <c r="AZ769"/>
      <c r="BA769"/>
    </row>
    <row r="770" spans="1:53">
      <c r="A770" s="2" t="s">
        <v>772</v>
      </c>
      <c r="B770">
        <v>1970</v>
      </c>
      <c r="C770" cm="1">
        <f t="array" ref="C770">_xlfn.IFS(ISNUMBER(SEARCH("wagon",PROPERTIES[[#This Row],[VEHIDCODE]])),0,OR(MID(PROPERTIES[[#This Row],[VEHIDCODE]],2,2)="mu",_xlfn.TEXTBEFORE(PROPERTIES[[#This Row],[VEHIDCODE]],"_")="mtro"),1,1=1,0)</f>
        <v>0</v>
      </c>
      <c r="E770" t="str">
        <f>_xlfn.XLOOKUP(PROPERTIES[[#This Row],[COUNTRY]],COUNTRIES[COUNTRY_DESCRIPTION],COUNTRIES[COUNTRY_LABEL],"")</f>
        <v/>
      </c>
      <c r="F770" t="str" cm="1">
        <f t="array" ref="F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0" t="s">
        <v>320</v>
      </c>
      <c r="H770">
        <v>84</v>
      </c>
      <c r="I770">
        <v>8</v>
      </c>
      <c r="J770">
        <v>8</v>
      </c>
      <c r="K770" t="str" cm="1">
        <f t="array" ref="K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f>IF(ISNUMBER(SEARCH("passenger",PROPERTIES[[#This Row],[CARGODEF]])),1,0)</f>
        <v>1</v>
      </c>
      <c r="O770" s="32">
        <v>48</v>
      </c>
      <c r="P770">
        <v>0</v>
      </c>
      <c r="Q770">
        <v>200</v>
      </c>
      <c r="R770" s="29">
        <v>0</v>
      </c>
      <c r="S770" s="28">
        <f>IFERROR(PROPERTIES[[#This Row],[TE_STARTING_KN]]/(PROPERTIES[[#This Row],[WEIGHT]]*9.81),0)</f>
        <v>0</v>
      </c>
      <c r="T770" s="28">
        <v>0.3</v>
      </c>
      <c r="U770" s="25">
        <f>ROUND(IF(IFERROR(PROPERTIES[[#This Row],[TE_COEFFICIENT_CALC]],0)=0,PROPERTIES[[#This Row],[TE_COEFFICIENT_MANUAL]],PROPERTIES[[#This Row],[TE_COEFFICIENT_CALC]]),3)</f>
        <v>0.3</v>
      </c>
      <c r="V770" s="11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36">
        <v>0</v>
      </c>
      <c r="X770" s="9">
        <v>0</v>
      </c>
      <c r="Y770" s="10">
        <v>0</v>
      </c>
      <c r="Z770" t="s">
        <v>881</v>
      </c>
      <c r="AA770" t="s">
        <v>871</v>
      </c>
      <c r="AB770" s="2" t="s">
        <v>886</v>
      </c>
      <c r="AC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0" s="2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H770" s="10" t="b">
        <v>0</v>
      </c>
      <c r="AY770"/>
      <c r="AZ770"/>
      <c r="BA770"/>
    </row>
    <row r="771" spans="1:53">
      <c r="A771" s="2" t="s">
        <v>773</v>
      </c>
      <c r="B771">
        <v>1970</v>
      </c>
      <c r="C771" cm="1">
        <f t="array" ref="C771">_xlfn.IFS(ISNUMBER(SEARCH("wagon",PROPERTIES[[#This Row],[VEHIDCODE]])),0,OR(MID(PROPERTIES[[#This Row],[VEHIDCODE]],2,2)="mu",_xlfn.TEXTBEFORE(PROPERTIES[[#This Row],[VEHIDCODE]],"_")="mtro"),1,1=1,0)</f>
        <v>0</v>
      </c>
      <c r="E771" t="str">
        <f>_xlfn.XLOOKUP(PROPERTIES[[#This Row],[COUNTRY]],COUNTRIES[COUNTRY_DESCRIPTION],COUNTRIES[COUNTRY_LABEL],"")</f>
        <v/>
      </c>
      <c r="F771" t="str" cm="1">
        <f t="array" ref="F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1" t="s">
        <v>320</v>
      </c>
      <c r="H771">
        <v>62</v>
      </c>
      <c r="I771">
        <v>8</v>
      </c>
      <c r="J771">
        <v>8</v>
      </c>
      <c r="K771" t="str" cm="1">
        <f t="array" ref="K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f>IF(ISNUMBER(SEARCH("passenger",PROPERTIES[[#This Row],[CARGODEF]])),1,0)</f>
        <v>1</v>
      </c>
      <c r="O771" s="32">
        <v>49</v>
      </c>
      <c r="P771">
        <v>0</v>
      </c>
      <c r="Q771">
        <v>200</v>
      </c>
      <c r="R771" s="29">
        <v>0</v>
      </c>
      <c r="S771" s="28">
        <f>IFERROR(PROPERTIES[[#This Row],[TE_STARTING_KN]]/(PROPERTIES[[#This Row],[WEIGHT]]*9.81),0)</f>
        <v>0</v>
      </c>
      <c r="T771" s="28">
        <v>0.3</v>
      </c>
      <c r="U771" s="25">
        <f>ROUND(IF(IFERROR(PROPERTIES[[#This Row],[TE_COEFFICIENT_CALC]],0)=0,PROPERTIES[[#This Row],[TE_COEFFICIENT_MANUAL]],PROPERTIES[[#This Row],[TE_COEFFICIENT_CALC]]),3)</f>
        <v>0.3</v>
      </c>
      <c r="V771" s="11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36">
        <v>0</v>
      </c>
      <c r="X771" s="9">
        <v>0</v>
      </c>
      <c r="Y771" s="10">
        <v>0</v>
      </c>
      <c r="Z771" t="s">
        <v>881</v>
      </c>
      <c r="AA771" t="s">
        <v>871</v>
      </c>
      <c r="AB771" s="2" t="s">
        <v>886</v>
      </c>
      <c r="AC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1" s="2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H771" s="10" t="b">
        <v>0</v>
      </c>
      <c r="AY771"/>
      <c r="AZ771"/>
      <c r="BA771"/>
    </row>
    <row r="772" spans="1:53">
      <c r="A772" s="2" t="s">
        <v>774</v>
      </c>
      <c r="B772">
        <v>1970</v>
      </c>
      <c r="C772" cm="1">
        <f t="array" ref="C772">_xlfn.IFS(ISNUMBER(SEARCH("wagon",PROPERTIES[[#This Row],[VEHIDCODE]])),0,OR(MID(PROPERTIES[[#This Row],[VEHIDCODE]],2,2)="mu",_xlfn.TEXTBEFORE(PROPERTIES[[#This Row],[VEHIDCODE]],"_")="mtro"),1,1=1,0)</f>
        <v>0</v>
      </c>
      <c r="E772" t="str">
        <f>_xlfn.XLOOKUP(PROPERTIES[[#This Row],[COUNTRY]],COUNTRIES[COUNTRY_DESCRIPTION],COUNTRIES[COUNTRY_LABEL],"")</f>
        <v/>
      </c>
      <c r="F772" t="str" cm="1">
        <f t="array" ref="F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2" t="s">
        <v>320</v>
      </c>
      <c r="H772">
        <v>117</v>
      </c>
      <c r="I772">
        <v>8</v>
      </c>
      <c r="J772">
        <v>8</v>
      </c>
      <c r="K772" t="str" cm="1">
        <f t="array" ref="K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f>IF(ISNUMBER(SEARCH("passenger",PROPERTIES[[#This Row],[CARGODEF]])),1,0)</f>
        <v>1</v>
      </c>
      <c r="O772" s="32">
        <v>42</v>
      </c>
      <c r="P772">
        <v>0</v>
      </c>
      <c r="Q772">
        <v>160</v>
      </c>
      <c r="R772" s="29">
        <v>0</v>
      </c>
      <c r="S772" s="28">
        <f>IFERROR(PROPERTIES[[#This Row],[TE_STARTING_KN]]/(PROPERTIES[[#This Row],[WEIGHT]]*9.81),0)</f>
        <v>0</v>
      </c>
      <c r="T772" s="28">
        <v>0.3</v>
      </c>
      <c r="U772" s="25">
        <f>ROUND(IF(IFERROR(PROPERTIES[[#This Row],[TE_COEFFICIENT_CALC]],0)=0,PROPERTIES[[#This Row],[TE_COEFFICIENT_MANUAL]],PROPERTIES[[#This Row],[TE_COEFFICIENT_CALC]]),3)</f>
        <v>0.3</v>
      </c>
      <c r="V772" s="11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36">
        <v>0</v>
      </c>
      <c r="X772" s="9">
        <v>0</v>
      </c>
      <c r="Y772" s="10">
        <v>0</v>
      </c>
      <c r="Z772" t="s">
        <v>881</v>
      </c>
      <c r="AA772" t="s">
        <v>871</v>
      </c>
      <c r="AB772" s="2" t="s">
        <v>886</v>
      </c>
      <c r="AC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2" s="2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H772" s="10" t="b">
        <v>0</v>
      </c>
      <c r="AY772"/>
      <c r="AZ772"/>
      <c r="BA772"/>
    </row>
    <row r="773" spans="1:53">
      <c r="A773" s="2" t="s">
        <v>775</v>
      </c>
      <c r="B773">
        <v>1970</v>
      </c>
      <c r="C773" cm="1">
        <f t="array" ref="C773">_xlfn.IFS(ISNUMBER(SEARCH("wagon",PROPERTIES[[#This Row],[VEHIDCODE]])),0,OR(MID(PROPERTIES[[#This Row],[VEHIDCODE]],2,2)="mu",_xlfn.TEXTBEFORE(PROPERTIES[[#This Row],[VEHIDCODE]],"_")="mtro"),1,1=1,0)</f>
        <v>0</v>
      </c>
      <c r="E773" t="str">
        <f>_xlfn.XLOOKUP(PROPERTIES[[#This Row],[COUNTRY]],COUNTRIES[COUNTRY_DESCRIPTION],COUNTRIES[COUNTRY_LABEL],"")</f>
        <v/>
      </c>
      <c r="F773" t="str" cm="1">
        <f t="array" ref="F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3" t="s">
        <v>320</v>
      </c>
      <c r="H773">
        <v>72</v>
      </c>
      <c r="I773">
        <v>8</v>
      </c>
      <c r="J773">
        <v>8</v>
      </c>
      <c r="K773" t="str" cm="1">
        <f t="array" ref="K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f>IF(ISNUMBER(SEARCH("passenger",PROPERTIES[[#This Row],[CARGODEF]])),1,0)</f>
        <v>1</v>
      </c>
      <c r="O773" s="32">
        <v>43</v>
      </c>
      <c r="P773">
        <v>0</v>
      </c>
      <c r="Q773">
        <v>200</v>
      </c>
      <c r="R773" s="29">
        <v>0</v>
      </c>
      <c r="S773" s="28">
        <f>IFERROR(PROPERTIES[[#This Row],[TE_STARTING_KN]]/(PROPERTIES[[#This Row],[WEIGHT]]*9.81),0)</f>
        <v>0</v>
      </c>
      <c r="T773" s="28">
        <v>0.3</v>
      </c>
      <c r="U773" s="25">
        <f>ROUND(IF(IFERROR(PROPERTIES[[#This Row],[TE_COEFFICIENT_CALC]],0)=0,PROPERTIES[[#This Row],[TE_COEFFICIENT_MANUAL]],PROPERTIES[[#This Row],[TE_COEFFICIENT_CALC]]),3)</f>
        <v>0.3</v>
      </c>
      <c r="V773" s="11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36">
        <v>0</v>
      </c>
      <c r="X773" s="9">
        <v>0</v>
      </c>
      <c r="Y773" s="10">
        <v>0</v>
      </c>
      <c r="Z773" t="s">
        <v>881</v>
      </c>
      <c r="AA773" t="s">
        <v>871</v>
      </c>
      <c r="AB773" s="2" t="s">
        <v>886</v>
      </c>
      <c r="AC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3" s="2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H773" s="10" t="b">
        <v>0</v>
      </c>
      <c r="AY773"/>
      <c r="AZ773"/>
      <c r="BA773"/>
    </row>
    <row r="774" spans="1:53">
      <c r="A774" s="2" t="s">
        <v>776</v>
      </c>
      <c r="B774">
        <v>1970</v>
      </c>
      <c r="C774" cm="1">
        <f t="array" ref="C774">_xlfn.IFS(ISNUMBER(SEARCH("wagon",PROPERTIES[[#This Row],[VEHIDCODE]])),0,OR(MID(PROPERTIES[[#This Row],[VEHIDCODE]],2,2)="mu",_xlfn.TEXTBEFORE(PROPERTIES[[#This Row],[VEHIDCODE]],"_")="mtro"),1,1=1,0)</f>
        <v>0</v>
      </c>
      <c r="E774" t="str">
        <f>_xlfn.XLOOKUP(PROPERTIES[[#This Row],[COUNTRY]],COUNTRIES[COUNTRY_DESCRIPTION],COUNTRIES[COUNTRY_LABEL],"")</f>
        <v/>
      </c>
      <c r="F774" t="str" cm="1">
        <f t="array" ref="F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4" t="s">
        <v>665</v>
      </c>
      <c r="H774">
        <v>160</v>
      </c>
      <c r="I774">
        <v>8</v>
      </c>
      <c r="J774">
        <v>8</v>
      </c>
      <c r="K774" t="str" cm="1">
        <f t="array" ref="K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f>IF(ISNUMBER(SEARCH("passenger",PROPERTIES[[#This Row],[CARGODEF]])),1,0)</f>
        <v>0</v>
      </c>
      <c r="O774" s="32">
        <v>42</v>
      </c>
      <c r="P774">
        <v>0</v>
      </c>
      <c r="Q774">
        <v>200</v>
      </c>
      <c r="R774" s="29">
        <v>0</v>
      </c>
      <c r="S774" s="28">
        <f>IFERROR(PROPERTIES[[#This Row],[TE_STARTING_KN]]/(PROPERTIES[[#This Row],[WEIGHT]]*9.81),0)</f>
        <v>0</v>
      </c>
      <c r="T774" s="28">
        <v>0.3</v>
      </c>
      <c r="U774" s="25">
        <f>ROUND(IF(IFERROR(PROPERTIES[[#This Row],[TE_COEFFICIENT_CALC]],0)=0,PROPERTIES[[#This Row],[TE_COEFFICIENT_MANUAL]],PROPERTIES[[#This Row],[TE_COEFFICIENT_CALC]]),3)</f>
        <v>0.3</v>
      </c>
      <c r="V774" s="11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36">
        <v>0</v>
      </c>
      <c r="X774" s="9">
        <v>0</v>
      </c>
      <c r="Y774" s="10">
        <v>0</v>
      </c>
      <c r="Z774" t="s">
        <v>881</v>
      </c>
      <c r="AA774" t="s">
        <v>871</v>
      </c>
      <c r="AB774" s="2" t="s">
        <v>886</v>
      </c>
      <c r="AC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4" s="2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H774" s="10" t="b">
        <v>0</v>
      </c>
      <c r="AY774"/>
      <c r="AZ774"/>
      <c r="BA774"/>
    </row>
    <row r="775" spans="1:53">
      <c r="A775" s="2" t="s">
        <v>777</v>
      </c>
      <c r="B775">
        <v>1970</v>
      </c>
      <c r="C775" cm="1">
        <f t="array" ref="C775">_xlfn.IFS(ISNUMBER(SEARCH("wagon",PROPERTIES[[#This Row],[VEHIDCODE]])),0,OR(MID(PROPERTIES[[#This Row],[VEHIDCODE]],2,2)="mu",_xlfn.TEXTBEFORE(PROPERTIES[[#This Row],[VEHIDCODE]],"_")="mtro"),1,1=1,0)</f>
        <v>0</v>
      </c>
      <c r="E775" t="str">
        <f>_xlfn.XLOOKUP(PROPERTIES[[#This Row],[COUNTRY]],COUNTRIES[COUNTRY_DESCRIPTION],COUNTRIES[COUNTRY_LABEL],"")</f>
        <v/>
      </c>
      <c r="F775" t="str" cm="1">
        <f t="array" ref="F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5" t="s">
        <v>320</v>
      </c>
      <c r="H775">
        <v>255</v>
      </c>
      <c r="I775">
        <v>8</v>
      </c>
      <c r="J775">
        <v>8</v>
      </c>
      <c r="K775" t="str" cm="1">
        <f t="array" ref="K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5">
        <f>_xlfn.XLOOKUP("LOADINGSPEEDDEF_"&amp;PROPERTIES[[#This Row],[LOADINGSPEED]],LOADINGSPEEDDEF[TYPE],LOADINGSPEEDDEF[SPEED])</f>
        <v>40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f>IF(ISNUMBER(SEARCH("passenger",PROPERTIES[[#This Row],[CARGODEF]])),1,0)</f>
        <v>1</v>
      </c>
      <c r="O775" s="32">
        <v>54</v>
      </c>
      <c r="P775">
        <v>0</v>
      </c>
      <c r="Q775">
        <v>160</v>
      </c>
      <c r="R775" s="29">
        <v>0</v>
      </c>
      <c r="S775" s="28">
        <f>IFERROR(PROPERTIES[[#This Row],[TE_STARTING_KN]]/(PROPERTIES[[#This Row],[WEIGHT]]*9.81),0)</f>
        <v>0</v>
      </c>
      <c r="T775" s="28">
        <v>0.3</v>
      </c>
      <c r="U775" s="25">
        <f>ROUND(IF(IFERROR(PROPERTIES[[#This Row],[TE_COEFFICIENT_CALC]],0)=0,PROPERTIES[[#This Row],[TE_COEFFICIENT_MANUAL]],PROPERTIES[[#This Row],[TE_COEFFICIENT_CALC]]),3)</f>
        <v>0.3</v>
      </c>
      <c r="V775" s="11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36">
        <v>0</v>
      </c>
      <c r="X775" s="9">
        <v>0</v>
      </c>
      <c r="Y775" s="10">
        <v>0</v>
      </c>
      <c r="Z775" t="s">
        <v>881</v>
      </c>
      <c r="AA775" t="s">
        <v>871</v>
      </c>
      <c r="AB775" s="2" t="s">
        <v>886</v>
      </c>
      <c r="AC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5" s="2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H775" s="10" t="b">
        <v>0</v>
      </c>
      <c r="AY775"/>
      <c r="AZ775"/>
      <c r="BA775"/>
    </row>
    <row r="776" spans="1:53">
      <c r="A776" s="2" t="s">
        <v>778</v>
      </c>
      <c r="B776">
        <v>2000</v>
      </c>
      <c r="C776" cm="1">
        <f t="array" ref="C776">_xlfn.IFS(ISNUMBER(SEARCH("wagon",PROPERTIES[[#This Row],[VEHIDCODE]])),0,OR(MID(PROPERTIES[[#This Row],[VEHIDCODE]],2,2)="mu",_xlfn.TEXTBEFORE(PROPERTIES[[#This Row],[VEHIDCODE]],"_")="mtro"),1,1=1,0)</f>
        <v>0</v>
      </c>
      <c r="E776" t="str">
        <f>_xlfn.XLOOKUP(PROPERTIES[[#This Row],[COUNTRY]],COUNTRIES[COUNTRY_DESCRIPTION],COUNTRIES[COUNTRY_LABEL],"")</f>
        <v/>
      </c>
      <c r="F776" t="str" cm="1">
        <f t="array" ref="F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6" t="s">
        <v>320</v>
      </c>
      <c r="H776">
        <v>80</v>
      </c>
      <c r="I776">
        <v>8</v>
      </c>
      <c r="J776">
        <v>8</v>
      </c>
      <c r="K776" t="str" cm="1">
        <f t="array" ref="K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f>IF(ISNUMBER(SEARCH("passenger",PROPERTIES[[#This Row],[CARGODEF]])),1,0)</f>
        <v>1</v>
      </c>
      <c r="O776" s="32">
        <v>52</v>
      </c>
      <c r="P776">
        <v>0</v>
      </c>
      <c r="Q776">
        <v>250</v>
      </c>
      <c r="R776" s="29">
        <v>0</v>
      </c>
      <c r="S776" s="28">
        <f>IFERROR(PROPERTIES[[#This Row],[TE_STARTING_KN]]/(PROPERTIES[[#This Row],[WEIGHT]]*9.81),0)</f>
        <v>0</v>
      </c>
      <c r="T776" s="28">
        <v>0.3</v>
      </c>
      <c r="U776" s="25">
        <f>ROUND(IF(IFERROR(PROPERTIES[[#This Row],[TE_COEFFICIENT_CALC]],0)=0,PROPERTIES[[#This Row],[TE_COEFFICIENT_MANUAL]],PROPERTIES[[#This Row],[TE_COEFFICIENT_CALC]]),3)</f>
        <v>0.3</v>
      </c>
      <c r="V776" s="11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36">
        <v>0</v>
      </c>
      <c r="X776" s="9">
        <v>0</v>
      </c>
      <c r="Y776" s="10">
        <v>0</v>
      </c>
      <c r="Z776" t="s">
        <v>882</v>
      </c>
      <c r="AA776" t="s">
        <v>868</v>
      </c>
      <c r="AB776" s="2" t="s">
        <v>886</v>
      </c>
      <c r="AC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6" s="2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H776" s="10" t="b">
        <v>0</v>
      </c>
      <c r="AY776"/>
      <c r="AZ776"/>
      <c r="BA776"/>
    </row>
    <row r="777" spans="1:53">
      <c r="A777" s="2" t="s">
        <v>779</v>
      </c>
      <c r="B777">
        <v>2000</v>
      </c>
      <c r="C777" cm="1">
        <f t="array" ref="C777">_xlfn.IFS(ISNUMBER(SEARCH("wagon",PROPERTIES[[#This Row],[VEHIDCODE]])),0,OR(MID(PROPERTIES[[#This Row],[VEHIDCODE]],2,2)="mu",_xlfn.TEXTBEFORE(PROPERTIES[[#This Row],[VEHIDCODE]],"_")="mtro"),1,1=1,0)</f>
        <v>0</v>
      </c>
      <c r="E777" t="str">
        <f>_xlfn.XLOOKUP(PROPERTIES[[#This Row],[COUNTRY]],COUNTRIES[COUNTRY_DESCRIPTION],COUNTRIES[COUNTRY_LABEL],"")</f>
        <v/>
      </c>
      <c r="F777" t="str" cm="1">
        <f t="array" ref="F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7" t="s">
        <v>320</v>
      </c>
      <c r="H777">
        <v>160</v>
      </c>
      <c r="I777">
        <v>8</v>
      </c>
      <c r="J777">
        <v>8</v>
      </c>
      <c r="K777" t="str" cm="1">
        <f t="array" ref="K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f>IF(ISNUMBER(SEARCH("passenger",PROPERTIES[[#This Row],[CARGODEF]])),1,0)</f>
        <v>1</v>
      </c>
      <c r="O777" s="32">
        <v>50</v>
      </c>
      <c r="P777">
        <v>0</v>
      </c>
      <c r="Q777">
        <v>200</v>
      </c>
      <c r="R777" s="29">
        <v>0</v>
      </c>
      <c r="S777" s="28">
        <f>IFERROR(PROPERTIES[[#This Row],[TE_STARTING_KN]]/(PROPERTIES[[#This Row],[WEIGHT]]*9.81),0)</f>
        <v>0</v>
      </c>
      <c r="T777" s="28">
        <v>0.3</v>
      </c>
      <c r="U777" s="25">
        <f>ROUND(IF(IFERROR(PROPERTIES[[#This Row],[TE_COEFFICIENT_CALC]],0)=0,PROPERTIES[[#This Row],[TE_COEFFICIENT_MANUAL]],PROPERTIES[[#This Row],[TE_COEFFICIENT_CALC]]),3)</f>
        <v>0.3</v>
      </c>
      <c r="V777" s="11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36">
        <v>0</v>
      </c>
      <c r="X777" s="9">
        <v>0</v>
      </c>
      <c r="Y777" s="10">
        <v>0</v>
      </c>
      <c r="Z777" t="s">
        <v>882</v>
      </c>
      <c r="AA777" t="s">
        <v>868</v>
      </c>
      <c r="AB777" s="2" t="s">
        <v>886</v>
      </c>
      <c r="AC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7" s="2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H777" s="10" t="b">
        <v>0</v>
      </c>
      <c r="AY777"/>
      <c r="AZ777"/>
      <c r="BA777"/>
    </row>
    <row r="778" spans="1:53">
      <c r="A778" s="2" t="s">
        <v>780</v>
      </c>
      <c r="B778">
        <v>2000</v>
      </c>
      <c r="C778" cm="1">
        <f t="array" ref="C778">_xlfn.IFS(ISNUMBER(SEARCH("wagon",PROPERTIES[[#This Row],[VEHIDCODE]])),0,OR(MID(PROPERTIES[[#This Row],[VEHIDCODE]],2,2)="mu",_xlfn.TEXTBEFORE(PROPERTIES[[#This Row],[VEHIDCODE]],"_")="mtro"),1,1=1,0)</f>
        <v>0</v>
      </c>
      <c r="E778" t="str">
        <f>_xlfn.XLOOKUP(PROPERTIES[[#This Row],[COUNTRY]],COUNTRIES[COUNTRY_DESCRIPTION],COUNTRIES[COUNTRY_LABEL],"")</f>
        <v/>
      </c>
      <c r="F778" t="str" cm="1">
        <f t="array" ref="F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8" t="s">
        <v>320</v>
      </c>
      <c r="H778">
        <v>220</v>
      </c>
      <c r="I778">
        <v>8</v>
      </c>
      <c r="J778">
        <v>8</v>
      </c>
      <c r="K778" t="str" cm="1">
        <f t="array" ref="K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8">
        <f>_xlfn.XLOOKUP("LOADINGSPEEDDEF_"&amp;PROPERTIES[[#This Row],[LOADINGSPEED]],LOADINGSPEEDDEF[TYPE],LOADINGSPEEDDEF[SPEED])</f>
        <v>16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f>IF(ISNUMBER(SEARCH("passenger",PROPERTIES[[#This Row],[CARGODEF]])),1,0)</f>
        <v>1</v>
      </c>
      <c r="O778" s="32">
        <v>48</v>
      </c>
      <c r="P778">
        <v>0</v>
      </c>
      <c r="Q778">
        <v>200</v>
      </c>
      <c r="R778" s="29">
        <v>0</v>
      </c>
      <c r="S778" s="28">
        <f>IFERROR(PROPERTIES[[#This Row],[TE_STARTING_KN]]/(PROPERTIES[[#This Row],[WEIGHT]]*9.81),0)</f>
        <v>0</v>
      </c>
      <c r="T778" s="28">
        <v>0.3</v>
      </c>
      <c r="U778" s="25">
        <f>ROUND(IF(IFERROR(PROPERTIES[[#This Row],[TE_COEFFICIENT_CALC]],0)=0,PROPERTIES[[#This Row],[TE_COEFFICIENT_MANUAL]],PROPERTIES[[#This Row],[TE_COEFFICIENT_CALC]]),3)</f>
        <v>0.3</v>
      </c>
      <c r="V778" s="11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36">
        <v>0</v>
      </c>
      <c r="X778" s="9">
        <v>0</v>
      </c>
      <c r="Y778" s="10">
        <v>0</v>
      </c>
      <c r="Z778" t="s">
        <v>882</v>
      </c>
      <c r="AA778" t="s">
        <v>868</v>
      </c>
      <c r="AB778" s="2" t="s">
        <v>886</v>
      </c>
      <c r="AC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8" s="2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H778" s="10" t="b">
        <v>0</v>
      </c>
      <c r="AY778"/>
      <c r="AZ778"/>
      <c r="BA778"/>
    </row>
    <row r="779" spans="1:53">
      <c r="A779" s="2" t="s">
        <v>781</v>
      </c>
      <c r="B779">
        <v>2000</v>
      </c>
      <c r="C779" cm="1">
        <f t="array" ref="C779">_xlfn.IFS(ISNUMBER(SEARCH("wagon",PROPERTIES[[#This Row],[VEHIDCODE]])),0,OR(MID(PROPERTIES[[#This Row],[VEHIDCODE]],2,2)="mu",_xlfn.TEXTBEFORE(PROPERTIES[[#This Row],[VEHIDCODE]],"_")="mtro"),1,1=1,0)</f>
        <v>0</v>
      </c>
      <c r="E779" t="str">
        <f>_xlfn.XLOOKUP(PROPERTIES[[#This Row],[COUNTRY]],COUNTRIES[COUNTRY_DESCRIPTION],COUNTRIES[COUNTRY_LABEL],"")</f>
        <v/>
      </c>
      <c r="F779" t="str" cm="1">
        <f t="array" ref="F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9" t="s">
        <v>320</v>
      </c>
      <c r="H779">
        <v>255</v>
      </c>
      <c r="I779">
        <v>8</v>
      </c>
      <c r="J779">
        <v>8</v>
      </c>
      <c r="K779" t="str" cm="1">
        <f t="array" ref="K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9">
        <f>_xlfn.XLOOKUP("LOADINGSPEEDDEF_"&amp;PROPERTIES[[#This Row],[LOADINGSPEED]],LOADINGSPEEDDEF[TYPE],LOADINGSPEEDDEF[SPEED])</f>
        <v>40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f>IF(ISNUMBER(SEARCH("passenger",PROPERTIES[[#This Row],[CARGODEF]])),1,0)</f>
        <v>1</v>
      </c>
      <c r="O779" s="32">
        <v>55</v>
      </c>
      <c r="P779">
        <v>0</v>
      </c>
      <c r="Q779">
        <v>160</v>
      </c>
      <c r="R779" s="29">
        <v>0</v>
      </c>
      <c r="S779" s="28">
        <f>IFERROR(PROPERTIES[[#This Row],[TE_STARTING_KN]]/(PROPERTIES[[#This Row],[WEIGHT]]*9.81),0)</f>
        <v>0</v>
      </c>
      <c r="T779" s="28">
        <v>0.3</v>
      </c>
      <c r="U779" s="25">
        <f>ROUND(IF(IFERROR(PROPERTIES[[#This Row],[TE_COEFFICIENT_CALC]],0)=0,PROPERTIES[[#This Row],[TE_COEFFICIENT_MANUAL]],PROPERTIES[[#This Row],[TE_COEFFICIENT_CALC]]),3)</f>
        <v>0.3</v>
      </c>
      <c r="V779" s="11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36">
        <v>0</v>
      </c>
      <c r="X779" s="9">
        <v>0</v>
      </c>
      <c r="Y779" s="10">
        <v>0</v>
      </c>
      <c r="Z779" t="s">
        <v>882</v>
      </c>
      <c r="AA779" t="s">
        <v>868</v>
      </c>
      <c r="AB779" s="2" t="s">
        <v>886</v>
      </c>
      <c r="AC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9" s="2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H779" s="10" t="b">
        <v>0</v>
      </c>
      <c r="AY779"/>
      <c r="AZ779"/>
      <c r="BA779"/>
    </row>
    <row r="780" spans="1:53">
      <c r="A780" s="2" t="s">
        <v>782</v>
      </c>
      <c r="B780">
        <v>2000</v>
      </c>
      <c r="C780" cm="1">
        <f t="array" ref="C780">_xlfn.IFS(ISNUMBER(SEARCH("wagon",PROPERTIES[[#This Row],[VEHIDCODE]])),0,OR(MID(PROPERTIES[[#This Row],[VEHIDCODE]],2,2)="mu",_xlfn.TEXTBEFORE(PROPERTIES[[#This Row],[VEHIDCODE]],"_")="mtro"),1,1=1,0)</f>
        <v>0</v>
      </c>
      <c r="E780" t="str">
        <f>_xlfn.XLOOKUP(PROPERTIES[[#This Row],[COUNTRY]],COUNTRIES[COUNTRY_DESCRIPTION],COUNTRIES[COUNTRY_LABEL],"")</f>
        <v/>
      </c>
      <c r="F780" t="str" cm="1">
        <f t="array" ref="F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0" t="s">
        <v>320</v>
      </c>
      <c r="H780">
        <v>140</v>
      </c>
      <c r="I780">
        <v>8</v>
      </c>
      <c r="J780">
        <v>8</v>
      </c>
      <c r="K780" t="str" cm="1">
        <f t="array" ref="K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f>IF(ISNUMBER(SEARCH("passenger",PROPERTIES[[#This Row],[CARGODEF]])),1,0)</f>
        <v>1</v>
      </c>
      <c r="O780" s="32">
        <v>50</v>
      </c>
      <c r="P780">
        <v>0</v>
      </c>
      <c r="Q780">
        <v>200</v>
      </c>
      <c r="R780" s="29">
        <v>0</v>
      </c>
      <c r="S780" s="28">
        <f>IFERROR(PROPERTIES[[#This Row],[TE_STARTING_KN]]/(PROPERTIES[[#This Row],[WEIGHT]]*9.81),0)</f>
        <v>0</v>
      </c>
      <c r="T780" s="28">
        <v>0.3</v>
      </c>
      <c r="U780" s="25">
        <f>ROUND(IF(IFERROR(PROPERTIES[[#This Row],[TE_COEFFICIENT_CALC]],0)=0,PROPERTIES[[#This Row],[TE_COEFFICIENT_MANUAL]],PROPERTIES[[#This Row],[TE_COEFFICIENT_CALC]]),3)</f>
        <v>0.3</v>
      </c>
      <c r="V780" s="11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36">
        <v>0</v>
      </c>
      <c r="X780" s="9">
        <v>0</v>
      </c>
      <c r="Y780" s="10">
        <v>0</v>
      </c>
      <c r="Z780" t="s">
        <v>882</v>
      </c>
      <c r="AA780" t="s">
        <v>868</v>
      </c>
      <c r="AB780" s="2" t="s">
        <v>886</v>
      </c>
      <c r="AC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0" s="2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H780" s="10" t="b">
        <v>0</v>
      </c>
      <c r="AY780"/>
      <c r="AZ780"/>
      <c r="BA780"/>
    </row>
    <row r="781" spans="1:53">
      <c r="A781" s="2" t="s">
        <v>783</v>
      </c>
      <c r="B781">
        <v>2000</v>
      </c>
      <c r="C781" cm="1">
        <f t="array" ref="C781">_xlfn.IFS(ISNUMBER(SEARCH("wagon",PROPERTIES[[#This Row],[VEHIDCODE]])),0,OR(MID(PROPERTIES[[#This Row],[VEHIDCODE]],2,2)="mu",_xlfn.TEXTBEFORE(PROPERTIES[[#This Row],[VEHIDCODE]],"_")="mtro"),1,1=1,0)</f>
        <v>0</v>
      </c>
      <c r="E781" t="str">
        <f>_xlfn.XLOOKUP(PROPERTIES[[#This Row],[COUNTRY]],COUNTRIES[COUNTRY_DESCRIPTION],COUNTRIES[COUNTRY_LABEL],"")</f>
        <v/>
      </c>
      <c r="F781" t="str" cm="1">
        <f t="array" ref="F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1" t="s">
        <v>665</v>
      </c>
      <c r="H781">
        <v>180</v>
      </c>
      <c r="I781">
        <v>8</v>
      </c>
      <c r="J781">
        <v>8</v>
      </c>
      <c r="K781" t="str" cm="1">
        <f t="array" ref="K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f>IF(ISNUMBER(SEARCH("passenger",PROPERTIES[[#This Row],[CARGODEF]])),1,0)</f>
        <v>0</v>
      </c>
      <c r="O781" s="32">
        <v>50</v>
      </c>
      <c r="P781">
        <v>0</v>
      </c>
      <c r="Q781">
        <v>250</v>
      </c>
      <c r="R781" s="29">
        <v>0</v>
      </c>
      <c r="S781" s="28">
        <f>IFERROR(PROPERTIES[[#This Row],[TE_STARTING_KN]]/(PROPERTIES[[#This Row],[WEIGHT]]*9.81),0)</f>
        <v>0</v>
      </c>
      <c r="T781" s="28">
        <v>0.3</v>
      </c>
      <c r="U781" s="25">
        <f>ROUND(IF(IFERROR(PROPERTIES[[#This Row],[TE_COEFFICIENT_CALC]],0)=0,PROPERTIES[[#This Row],[TE_COEFFICIENT_MANUAL]],PROPERTIES[[#This Row],[TE_COEFFICIENT_CALC]]),3)</f>
        <v>0.3</v>
      </c>
      <c r="V781" s="11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36">
        <v>0</v>
      </c>
      <c r="X781" s="9">
        <v>0</v>
      </c>
      <c r="Y781" s="10">
        <v>0</v>
      </c>
      <c r="Z781" t="s">
        <v>882</v>
      </c>
      <c r="AA781" t="s">
        <v>868</v>
      </c>
      <c r="AB781" s="2" t="s">
        <v>886</v>
      </c>
      <c r="AC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1" s="2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H781" s="10" t="b">
        <v>0</v>
      </c>
      <c r="AY781"/>
      <c r="AZ781"/>
      <c r="BA781"/>
    </row>
    <row r="782" spans="1:53">
      <c r="A782" s="2" t="s">
        <v>784</v>
      </c>
      <c r="B782">
        <v>1980</v>
      </c>
      <c r="C782" cm="1">
        <f t="array" ref="C782">_xlfn.IFS(ISNUMBER(SEARCH("wagon",PROPERTIES[[#This Row],[VEHIDCODE]])),0,OR(MID(PROPERTIES[[#This Row],[VEHIDCODE]],2,2)="mu",_xlfn.TEXTBEFORE(PROPERTIES[[#This Row],[VEHIDCODE]],"_")="mtro"),1,1=1,0)</f>
        <v>0</v>
      </c>
      <c r="E782" t="str">
        <f>_xlfn.XLOOKUP(PROPERTIES[[#This Row],[COUNTRY]],COUNTRIES[COUNTRY_DESCRIPTION],COUNTRIES[COUNTRY_LABEL],"")</f>
        <v/>
      </c>
      <c r="F782" t="str" cm="1">
        <f t="array" ref="F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2" t="s">
        <v>320</v>
      </c>
      <c r="H782">
        <v>40</v>
      </c>
      <c r="I782">
        <v>6</v>
      </c>
      <c r="J782">
        <v>6</v>
      </c>
      <c r="K782" t="str" cm="1">
        <f t="array" ref="K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2">
        <f>_xlfn.XLOOKUP("LOADINGSPEEDDEF_"&amp;PROPERTIES[[#This Row],[LOADINGSPEED]],LOADINGSPEEDDEF[TYPE],LOADINGSPEEDDEF[SPEED])</f>
        <v>16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f>IF(ISNUMBER(SEARCH("passenger",PROPERTIES[[#This Row],[CARGODEF]])),1,0)</f>
        <v>1</v>
      </c>
      <c r="O782" s="32">
        <v>15</v>
      </c>
      <c r="P782">
        <v>0</v>
      </c>
      <c r="Q782">
        <v>200</v>
      </c>
      <c r="R782" s="29">
        <v>0</v>
      </c>
      <c r="S782" s="28">
        <f>IFERROR(PROPERTIES[[#This Row],[TE_STARTING_KN]]/(PROPERTIES[[#This Row],[WEIGHT]]*9.81),0)</f>
        <v>0</v>
      </c>
      <c r="T782" s="28">
        <v>0.3</v>
      </c>
      <c r="U782" s="25">
        <f>ROUND(IF(IFERROR(PROPERTIES[[#This Row],[TE_COEFFICIENT_CALC]],0)=0,PROPERTIES[[#This Row],[TE_COEFFICIENT_MANUAL]],PROPERTIES[[#This Row],[TE_COEFFICIENT_CALC]]),3)</f>
        <v>0.3</v>
      </c>
      <c r="V782" s="11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36">
        <v>0</v>
      </c>
      <c r="X782" s="9">
        <v>0</v>
      </c>
      <c r="Y782" s="10">
        <v>0</v>
      </c>
      <c r="Z782" t="s">
        <v>882</v>
      </c>
      <c r="AA782" t="s">
        <v>868</v>
      </c>
      <c r="AB782" s="2" t="s">
        <v>886</v>
      </c>
      <c r="AC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2" s="2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H782" s="10" t="b">
        <v>0</v>
      </c>
      <c r="AY782"/>
      <c r="AZ782"/>
      <c r="BA782"/>
    </row>
    <row r="783" spans="1:53">
      <c r="A783" s="2" t="s">
        <v>785</v>
      </c>
      <c r="B783">
        <v>1980</v>
      </c>
      <c r="C783" cm="1">
        <f t="array" ref="C783">_xlfn.IFS(ISNUMBER(SEARCH("wagon",PROPERTIES[[#This Row],[VEHIDCODE]])),0,OR(MID(PROPERTIES[[#This Row],[VEHIDCODE]],2,2)="mu",_xlfn.TEXTBEFORE(PROPERTIES[[#This Row],[VEHIDCODE]],"_")="mtro"),1,1=1,0)</f>
        <v>0</v>
      </c>
      <c r="E783" t="str">
        <f>_xlfn.XLOOKUP(PROPERTIES[[#This Row],[COUNTRY]],COUNTRIES[COUNTRY_DESCRIPTION],COUNTRIES[COUNTRY_LABEL],"")</f>
        <v/>
      </c>
      <c r="F783" t="str" cm="1">
        <f t="array" ref="F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3" t="s">
        <v>665</v>
      </c>
      <c r="H783">
        <v>60</v>
      </c>
      <c r="I783">
        <v>6</v>
      </c>
      <c r="J783">
        <v>6</v>
      </c>
      <c r="K783" t="str" cm="1">
        <f t="array" ref="K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f>IF(ISNUMBER(SEARCH("passenger",PROPERTIES[[#This Row],[CARGODEF]])),1,0)</f>
        <v>0</v>
      </c>
      <c r="O783" s="32">
        <v>18</v>
      </c>
      <c r="P783">
        <v>0</v>
      </c>
      <c r="Q783">
        <v>200</v>
      </c>
      <c r="R783" s="29">
        <v>0</v>
      </c>
      <c r="S783" s="28">
        <f>IFERROR(PROPERTIES[[#This Row],[TE_STARTING_KN]]/(PROPERTIES[[#This Row],[WEIGHT]]*9.81),0)</f>
        <v>0</v>
      </c>
      <c r="T783" s="28">
        <v>0.3</v>
      </c>
      <c r="U783" s="25">
        <f>ROUND(IF(IFERROR(PROPERTIES[[#This Row],[TE_COEFFICIENT_CALC]],0)=0,PROPERTIES[[#This Row],[TE_COEFFICIENT_MANUAL]],PROPERTIES[[#This Row],[TE_COEFFICIENT_CALC]]),3)</f>
        <v>0.3</v>
      </c>
      <c r="V783" s="11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36">
        <v>0</v>
      </c>
      <c r="X783" s="9">
        <v>0</v>
      </c>
      <c r="Y783" s="10">
        <v>0</v>
      </c>
      <c r="Z783" t="s">
        <v>882</v>
      </c>
      <c r="AA783" t="s">
        <v>868</v>
      </c>
      <c r="AB783" s="2" t="s">
        <v>886</v>
      </c>
      <c r="AC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3" s="2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H783" s="10" t="b">
        <v>0</v>
      </c>
      <c r="AY783"/>
      <c r="AZ783"/>
      <c r="BA783"/>
    </row>
    <row r="784" spans="1:53">
      <c r="A784" s="2" t="s">
        <v>786</v>
      </c>
      <c r="B784">
        <v>2030</v>
      </c>
      <c r="C784" cm="1">
        <f t="array" ref="C784">_xlfn.IFS(ISNUMBER(SEARCH("wagon",PROPERTIES[[#This Row],[VEHIDCODE]])),0,OR(MID(PROPERTIES[[#This Row],[VEHIDCODE]],2,2)="mu",_xlfn.TEXTBEFORE(PROPERTIES[[#This Row],[VEHIDCODE]],"_")="mtro"),1,1=1,0)</f>
        <v>0</v>
      </c>
      <c r="E784" t="str">
        <f>_xlfn.XLOOKUP(PROPERTIES[[#This Row],[COUNTRY]],COUNTRIES[COUNTRY_DESCRIPTION],COUNTRIES[COUNTRY_LABEL],"")</f>
        <v/>
      </c>
      <c r="F784" t="str" cm="1">
        <f t="array" ref="F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4" t="s">
        <v>320</v>
      </c>
      <c r="H784">
        <v>64</v>
      </c>
      <c r="I784">
        <v>8</v>
      </c>
      <c r="J784">
        <v>8</v>
      </c>
      <c r="K784" t="str" cm="1">
        <f t="array" ref="K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f>IF(ISNUMBER(SEARCH("passenger",PROPERTIES[[#This Row],[CARGODEF]])),1,0)</f>
        <v>1</v>
      </c>
      <c r="O784" s="32">
        <v>30</v>
      </c>
      <c r="P784">
        <v>0</v>
      </c>
      <c r="Q784">
        <v>350</v>
      </c>
      <c r="R784" s="29">
        <v>0</v>
      </c>
      <c r="S784" s="28">
        <f>IFERROR(PROPERTIES[[#This Row],[TE_STARTING_KN]]/(PROPERTIES[[#This Row],[WEIGHT]]*9.81),0)</f>
        <v>0</v>
      </c>
      <c r="T784" s="28">
        <v>0.3</v>
      </c>
      <c r="U784" s="25">
        <f>ROUND(IF(IFERROR(PROPERTIES[[#This Row],[TE_COEFFICIENT_CALC]],0)=0,PROPERTIES[[#This Row],[TE_COEFFICIENT_MANUAL]],PROPERTIES[[#This Row],[TE_COEFFICIENT_CALC]]),3)</f>
        <v>0.3</v>
      </c>
      <c r="V784" s="11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36">
        <v>0</v>
      </c>
      <c r="X784" s="9">
        <v>0</v>
      </c>
      <c r="Y784" s="10">
        <v>0</v>
      </c>
      <c r="Z784" t="s">
        <v>882</v>
      </c>
      <c r="AA784" t="s">
        <v>868</v>
      </c>
      <c r="AB784" s="2" t="s">
        <v>886</v>
      </c>
      <c r="AC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4" s="2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H784" s="10" t="b">
        <v>0</v>
      </c>
      <c r="AY784"/>
      <c r="AZ784"/>
      <c r="BA784"/>
    </row>
    <row r="785" spans="1:53">
      <c r="A785" s="2" t="s">
        <v>787</v>
      </c>
      <c r="B785">
        <v>2030</v>
      </c>
      <c r="C785" cm="1">
        <f t="array" ref="C785">_xlfn.IFS(ISNUMBER(SEARCH("wagon",PROPERTIES[[#This Row],[VEHIDCODE]])),0,OR(MID(PROPERTIES[[#This Row],[VEHIDCODE]],2,2)="mu",_xlfn.TEXTBEFORE(PROPERTIES[[#This Row],[VEHIDCODE]],"_")="mtro"),1,1=1,0)</f>
        <v>0</v>
      </c>
      <c r="E785" t="str">
        <f>_xlfn.XLOOKUP(PROPERTIES[[#This Row],[COUNTRY]],COUNTRIES[COUNTRY_DESCRIPTION],COUNTRIES[COUNTRY_LABEL],"")</f>
        <v/>
      </c>
      <c r="F785" t="str" cm="1">
        <f t="array" ref="F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5" t="s">
        <v>320</v>
      </c>
      <c r="H785">
        <v>255</v>
      </c>
      <c r="I785">
        <v>8</v>
      </c>
      <c r="J785">
        <v>8</v>
      </c>
      <c r="K785" t="str" cm="1">
        <f t="array" ref="K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f>IF(ISNUMBER(SEARCH("passenger",PROPERTIES[[#This Row],[CARGODEF]])),1,0)</f>
        <v>1</v>
      </c>
      <c r="O785" s="32">
        <v>36</v>
      </c>
      <c r="P785">
        <v>0</v>
      </c>
      <c r="Q785">
        <v>230</v>
      </c>
      <c r="R785" s="29">
        <v>0</v>
      </c>
      <c r="S785" s="28">
        <f>IFERROR(PROPERTIES[[#This Row],[TE_STARTING_KN]]/(PROPERTIES[[#This Row],[WEIGHT]]*9.81),0)</f>
        <v>0</v>
      </c>
      <c r="T785" s="28">
        <v>0.3</v>
      </c>
      <c r="U785" s="25">
        <f>ROUND(IF(IFERROR(PROPERTIES[[#This Row],[TE_COEFFICIENT_CALC]],0)=0,PROPERTIES[[#This Row],[TE_COEFFICIENT_MANUAL]],PROPERTIES[[#This Row],[TE_COEFFICIENT_CALC]]),3)</f>
        <v>0.3</v>
      </c>
      <c r="V785" s="11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36">
        <v>0</v>
      </c>
      <c r="X785" s="9">
        <v>0</v>
      </c>
      <c r="Y785" s="10">
        <v>0</v>
      </c>
      <c r="Z785" t="s">
        <v>882</v>
      </c>
      <c r="AA785" t="s">
        <v>868</v>
      </c>
      <c r="AB785" s="2" t="s">
        <v>886</v>
      </c>
      <c r="AC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5" s="2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H785" s="10" t="b">
        <v>0</v>
      </c>
      <c r="AY785"/>
      <c r="AZ785"/>
      <c r="BA785"/>
    </row>
    <row r="786" spans="1:53">
      <c r="A786" s="2" t="s">
        <v>788</v>
      </c>
      <c r="B786">
        <v>2030</v>
      </c>
      <c r="C786" cm="1">
        <f t="array" ref="C786">_xlfn.IFS(ISNUMBER(SEARCH("wagon",PROPERTIES[[#This Row],[VEHIDCODE]])),0,OR(MID(PROPERTIES[[#This Row],[VEHIDCODE]],2,2)="mu",_xlfn.TEXTBEFORE(PROPERTIES[[#This Row],[VEHIDCODE]],"_")="mtro"),1,1=1,0)</f>
        <v>0</v>
      </c>
      <c r="E786" t="str">
        <f>_xlfn.XLOOKUP(PROPERTIES[[#This Row],[COUNTRY]],COUNTRIES[COUNTRY_DESCRIPTION],COUNTRIES[COUNTRY_LABEL],"")</f>
        <v/>
      </c>
      <c r="F786" t="str" cm="1">
        <f t="array" ref="F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6" t="s">
        <v>320</v>
      </c>
      <c r="H786">
        <v>255</v>
      </c>
      <c r="I786">
        <v>8</v>
      </c>
      <c r="J786">
        <v>8</v>
      </c>
      <c r="K786" t="str" cm="1">
        <f t="array" ref="K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f>IF(ISNUMBER(SEARCH("passenger",PROPERTIES[[#This Row],[CARGODEF]])),1,0)</f>
        <v>1</v>
      </c>
      <c r="O786" s="32">
        <v>33</v>
      </c>
      <c r="P786">
        <v>0</v>
      </c>
      <c r="Q786">
        <v>140</v>
      </c>
      <c r="R786" s="29">
        <v>0</v>
      </c>
      <c r="S786" s="28">
        <f>IFERROR(PROPERTIES[[#This Row],[TE_STARTING_KN]]/(PROPERTIES[[#This Row],[WEIGHT]]*9.81),0)</f>
        <v>0</v>
      </c>
      <c r="T786" s="28">
        <v>0.3</v>
      </c>
      <c r="U786" s="25">
        <f>ROUND(IF(IFERROR(PROPERTIES[[#This Row],[TE_COEFFICIENT_CALC]],0)=0,PROPERTIES[[#This Row],[TE_COEFFICIENT_MANUAL]],PROPERTIES[[#This Row],[TE_COEFFICIENT_CALC]]),3)</f>
        <v>0.3</v>
      </c>
      <c r="V786" s="11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36">
        <v>0</v>
      </c>
      <c r="X786" s="9">
        <v>0</v>
      </c>
      <c r="Y786" s="10">
        <v>0</v>
      </c>
      <c r="Z786" t="s">
        <v>882</v>
      </c>
      <c r="AA786" t="s">
        <v>868</v>
      </c>
      <c r="AB786" s="2" t="s">
        <v>886</v>
      </c>
      <c r="AC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6" s="2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H786" s="10" t="b">
        <v>0</v>
      </c>
      <c r="AY786"/>
      <c r="AZ786"/>
      <c r="BA786"/>
    </row>
    <row r="787" spans="1:53">
      <c r="A787" s="2" t="s">
        <v>789</v>
      </c>
      <c r="B787">
        <v>2030</v>
      </c>
      <c r="C787" cm="1">
        <f t="array" ref="C787">_xlfn.IFS(ISNUMBER(SEARCH("wagon",PROPERTIES[[#This Row],[VEHIDCODE]])),0,OR(MID(PROPERTIES[[#This Row],[VEHIDCODE]],2,2)="mu",_xlfn.TEXTBEFORE(PROPERTIES[[#This Row],[VEHIDCODE]],"_")="mtro"),1,1=1,0)</f>
        <v>0</v>
      </c>
      <c r="E787" t="str">
        <f>_xlfn.XLOOKUP(PROPERTIES[[#This Row],[COUNTRY]],COUNTRIES[COUNTRY_DESCRIPTION],COUNTRIES[COUNTRY_LABEL],"")</f>
        <v/>
      </c>
      <c r="F787" t="str" cm="1">
        <f t="array" ref="F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7" t="s">
        <v>665</v>
      </c>
      <c r="H787">
        <v>255</v>
      </c>
      <c r="I787">
        <v>8</v>
      </c>
      <c r="J787">
        <v>8</v>
      </c>
      <c r="K787" t="str" cm="1">
        <f t="array" ref="K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f>IF(ISNUMBER(SEARCH("passenger",PROPERTIES[[#This Row],[CARGODEF]])),1,0)</f>
        <v>0</v>
      </c>
      <c r="O787" s="32">
        <v>32</v>
      </c>
      <c r="P787">
        <v>0</v>
      </c>
      <c r="Q787">
        <v>350</v>
      </c>
      <c r="R787" s="29">
        <v>0</v>
      </c>
      <c r="S787" s="28">
        <f>IFERROR(PROPERTIES[[#This Row],[TE_STARTING_KN]]/(PROPERTIES[[#This Row],[WEIGHT]]*9.81),0)</f>
        <v>0</v>
      </c>
      <c r="T787" s="28">
        <v>0.3</v>
      </c>
      <c r="U787" s="25">
        <f>ROUND(IF(IFERROR(PROPERTIES[[#This Row],[TE_COEFFICIENT_CALC]],0)=0,PROPERTIES[[#This Row],[TE_COEFFICIENT_MANUAL]],PROPERTIES[[#This Row],[TE_COEFFICIENT_CALC]]),3)</f>
        <v>0.3</v>
      </c>
      <c r="V787" s="11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36">
        <v>0</v>
      </c>
      <c r="X787" s="9">
        <v>0</v>
      </c>
      <c r="Y787" s="10">
        <v>0</v>
      </c>
      <c r="Z787" t="s">
        <v>882</v>
      </c>
      <c r="AA787" t="s">
        <v>868</v>
      </c>
      <c r="AB787" s="2" t="s">
        <v>886</v>
      </c>
      <c r="AC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7" s="2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H787" s="10" t="b">
        <v>0</v>
      </c>
      <c r="AY787"/>
      <c r="AZ787"/>
      <c r="BA787"/>
    </row>
    <row r="788" spans="1:53">
      <c r="A788" s="2" t="s">
        <v>790</v>
      </c>
      <c r="B788">
        <v>2030</v>
      </c>
      <c r="C788" cm="1">
        <f t="array" ref="C788">_xlfn.IFS(ISNUMBER(SEARCH("wagon",PROPERTIES[[#This Row],[VEHIDCODE]])),0,OR(MID(PROPERTIES[[#This Row],[VEHIDCODE]],2,2)="mu",_xlfn.TEXTBEFORE(PROPERTIES[[#This Row],[VEHIDCODE]],"_")="mtro"),1,1=1,0)</f>
        <v>0</v>
      </c>
      <c r="E788" t="str">
        <f>_xlfn.XLOOKUP(PROPERTIES[[#This Row],[COUNTRY]],COUNTRIES[COUNTRY_DESCRIPTION],COUNTRIES[COUNTRY_LABEL],"")</f>
        <v/>
      </c>
      <c r="F788" t="str" cm="1">
        <f t="array" ref="F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8" t="s">
        <v>320</v>
      </c>
      <c r="H788">
        <v>255</v>
      </c>
      <c r="I788">
        <v>8</v>
      </c>
      <c r="J788">
        <v>8</v>
      </c>
      <c r="K788" t="str" cm="1">
        <f t="array" ref="K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f>IF(ISNUMBER(SEARCH("passenger",PROPERTIES[[#This Row],[CARGODEF]])),1,0)</f>
        <v>1</v>
      </c>
      <c r="O788" s="32">
        <v>44</v>
      </c>
      <c r="P788">
        <v>0</v>
      </c>
      <c r="Q788">
        <v>200</v>
      </c>
      <c r="R788" s="29">
        <v>0</v>
      </c>
      <c r="S788" s="28">
        <f>IFERROR(PROPERTIES[[#This Row],[TE_STARTING_KN]]/(PROPERTIES[[#This Row],[WEIGHT]]*9.81),0)</f>
        <v>0</v>
      </c>
      <c r="T788" s="28">
        <v>0.3</v>
      </c>
      <c r="U788" s="25">
        <f>ROUND(IF(IFERROR(PROPERTIES[[#This Row],[TE_COEFFICIENT_CALC]],0)=0,PROPERTIES[[#This Row],[TE_COEFFICIENT_MANUAL]],PROPERTIES[[#This Row],[TE_COEFFICIENT_CALC]]),3)</f>
        <v>0.3</v>
      </c>
      <c r="V788" s="11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36">
        <v>0</v>
      </c>
      <c r="X788" s="9">
        <v>0</v>
      </c>
      <c r="Y788" s="10">
        <v>0</v>
      </c>
      <c r="Z788" t="s">
        <v>882</v>
      </c>
      <c r="AA788" t="s">
        <v>868</v>
      </c>
      <c r="AB788" s="2" t="s">
        <v>886</v>
      </c>
      <c r="AC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8" s="2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H788" s="10" t="b">
        <v>0</v>
      </c>
      <c r="AY788"/>
      <c r="AZ788"/>
      <c r="BA788"/>
    </row>
    <row r="789" spans="1:53">
      <c r="A789" s="2" t="s">
        <v>791</v>
      </c>
      <c r="B789">
        <v>2030</v>
      </c>
      <c r="C789" cm="1">
        <f t="array" ref="C789">_xlfn.IFS(ISNUMBER(SEARCH("wagon",PROPERTIES[[#This Row],[VEHIDCODE]])),0,OR(MID(PROPERTIES[[#This Row],[VEHIDCODE]],2,2)="mu",_xlfn.TEXTBEFORE(PROPERTIES[[#This Row],[VEHIDCODE]],"_")="mtro"),1,1=1,0)</f>
        <v>0</v>
      </c>
      <c r="E789" t="str">
        <f>_xlfn.XLOOKUP(PROPERTIES[[#This Row],[COUNTRY]],COUNTRIES[COUNTRY_DESCRIPTION],COUNTRIES[COUNTRY_LABEL],"")</f>
        <v/>
      </c>
      <c r="F789" t="str" cm="1">
        <f t="array" ref="F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9" t="s">
        <v>320</v>
      </c>
      <c r="H789">
        <v>120</v>
      </c>
      <c r="I789">
        <v>8</v>
      </c>
      <c r="J789">
        <v>8</v>
      </c>
      <c r="K789" t="str" cm="1">
        <f t="array" ref="K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f>IF(ISNUMBER(SEARCH("passenger",PROPERTIES[[#This Row],[CARGODEF]])),1,0)</f>
        <v>1</v>
      </c>
      <c r="O789" s="32">
        <v>42</v>
      </c>
      <c r="P789">
        <v>0</v>
      </c>
      <c r="Q789">
        <v>350</v>
      </c>
      <c r="R789" s="29">
        <v>0</v>
      </c>
      <c r="S789" s="28">
        <f>IFERROR(PROPERTIES[[#This Row],[TE_STARTING_KN]]/(PROPERTIES[[#This Row],[WEIGHT]]*9.81),0)</f>
        <v>0</v>
      </c>
      <c r="T789" s="28">
        <v>0.3</v>
      </c>
      <c r="U789" s="25">
        <f>ROUND(IF(IFERROR(PROPERTIES[[#This Row],[TE_COEFFICIENT_CALC]],0)=0,PROPERTIES[[#This Row],[TE_COEFFICIENT_MANUAL]],PROPERTIES[[#This Row],[TE_COEFFICIENT_CALC]]),3)</f>
        <v>0.3</v>
      </c>
      <c r="V789" s="11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36">
        <v>0</v>
      </c>
      <c r="X789" s="9">
        <v>0</v>
      </c>
      <c r="Y789" s="10">
        <v>0</v>
      </c>
      <c r="Z789" t="s">
        <v>882</v>
      </c>
      <c r="AA789" t="s">
        <v>868</v>
      </c>
      <c r="AB789" s="2" t="s">
        <v>886</v>
      </c>
      <c r="AC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9" s="2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H789" s="10" t="b">
        <v>0</v>
      </c>
      <c r="AY789"/>
      <c r="AZ789"/>
      <c r="BA789"/>
    </row>
    <row r="790" spans="1:53">
      <c r="A790" s="2" t="s">
        <v>1700</v>
      </c>
      <c r="B790">
        <v>1978</v>
      </c>
      <c r="C790" cm="1">
        <f t="array" ref="C790">_xlfn.IFS(ISNUMBER(SEARCH("wagon",PROPERTIES[[#This Row],[VEHIDCODE]])),0,OR(MID(PROPERTIES[[#This Row],[VEHIDCODE]],2,2)="mu",_xlfn.TEXTBEFORE(PROPERTIES[[#This Row],[VEHIDCODE]],"_")="mtro"),1,1=1,0)</f>
        <v>0</v>
      </c>
      <c r="D790" t="s">
        <v>2210</v>
      </c>
      <c r="E790" t="str">
        <f>_xlfn.XLOOKUP(PROPERTIES[[#This Row],[COUNTRY]],COUNTRIES[COUNTRY_DESCRIPTION],COUNTRIES[COUNTRY_LABEL],"")</f>
        <v>GA</v>
      </c>
      <c r="F790" t="str" cm="1">
        <f t="array" ref="F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0" t="s">
        <v>19</v>
      </c>
      <c r="H790">
        <v>0</v>
      </c>
      <c r="I790">
        <v>8</v>
      </c>
      <c r="J790">
        <v>8</v>
      </c>
      <c r="K790" t="str" cm="1">
        <f t="array" ref="K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0">
        <f>_xlfn.XLOOKUP("LOADINGSPEEDDEF_"&amp;PROPERTIES[[#This Row],[LOADINGSPEED]],LOADINGSPEEDDEF[TYPE],LOADINGSPEEDDEF[SPEED])</f>
        <v>20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f>IF(ISNUMBER(SEARCH("passenger",PROPERTIES[[#This Row],[CARGODEF]])),1,0)</f>
        <v>0</v>
      </c>
      <c r="O790" s="32">
        <v>110</v>
      </c>
      <c r="P790">
        <v>3000</v>
      </c>
      <c r="Q790">
        <v>80</v>
      </c>
      <c r="R790" s="29">
        <v>320</v>
      </c>
      <c r="S790" s="28">
        <f>IFERROR(PROPERTIES[[#This Row],[TE_STARTING_KN]]/(PROPERTIES[[#This Row],[WEIGHT]]*9.81),0)</f>
        <v>0.2965434158094708</v>
      </c>
      <c r="T790" s="28">
        <f>IF(PROPERTIES[[#This Row],[INTRODUCTION_YEAR]]&gt;1980,0.3,IF(PROPERTIES[[#This Row],[ENGINE_CLASS]]="STEAM",0.2,0.25))</f>
        <v>0.25</v>
      </c>
      <c r="U790" s="25">
        <f>ROUND(IF(IFERROR(PROPERTIES[[#This Row],[TE_COEFFICIENT_CALC]],0)=0,PROPERTIES[[#This Row],[TE_COEFFICIENT_MANUAL]],PROPERTIES[[#This Row],[TE_COEFFICIENT_CALC]]),3)</f>
        <v>0.29699999999999999</v>
      </c>
      <c r="V790" s="11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36">
        <v>0</v>
      </c>
      <c r="X790" s="9">
        <v>0</v>
      </c>
      <c r="Y790" s="10">
        <v>0</v>
      </c>
      <c r="Z790" t="s">
        <v>872</v>
      </c>
      <c r="AA790" t="s">
        <v>868</v>
      </c>
      <c r="AB790" s="2" t="s">
        <v>886</v>
      </c>
      <c r="AC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H790" s="10" t="b">
        <v>0</v>
      </c>
      <c r="AX790" s="9"/>
      <c r="AY790" s="10"/>
      <c r="AZ790" s="11"/>
      <c r="BA790"/>
    </row>
    <row r="791" spans="1:53">
      <c r="A791" s="2" t="s">
        <v>1702</v>
      </c>
      <c r="B791">
        <v>1917</v>
      </c>
      <c r="C791" cm="1">
        <f t="array" ref="C791">_xlfn.IFS(ISNUMBER(SEARCH("wagon",PROPERTIES[[#This Row],[VEHIDCODE]])),0,OR(MID(PROPERTIES[[#This Row],[VEHIDCODE]],2,2)="mu",_xlfn.TEXTBEFORE(PROPERTIES[[#This Row],[VEHIDCODE]],"_")="mtro"),1,1=1,0)</f>
        <v>0</v>
      </c>
      <c r="D791" t="s">
        <v>1746</v>
      </c>
      <c r="E791" t="str">
        <f>_xlfn.XLOOKUP(PROPERTIES[[#This Row],[COUNTRY]],COUNTRIES[COUNTRY_DESCRIPTION],COUNTRIES[COUNTRY_LABEL],"")</f>
        <v>CD</v>
      </c>
      <c r="F791" t="str" cm="1">
        <f t="array" ref="F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1" t="s">
        <v>19</v>
      </c>
      <c r="H791">
        <v>0</v>
      </c>
      <c r="I791">
        <v>7</v>
      </c>
      <c r="J791">
        <v>12</v>
      </c>
      <c r="K791" t="str" cm="1">
        <f t="array" ref="K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1">
        <f>_xlfn.XLOOKUP("LOADINGSPEEDDEF_"&amp;PROPERTIES[[#This Row],[LOADINGSPEED]],LOADINGSPEEDDEF[TYPE],LOADINGSPEEDDEF[SPEED])</f>
        <v>20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f>IF(ISNUMBER(SEARCH("passenger",PROPERTIES[[#This Row],[CARGODEF]])),1,0)</f>
        <v>0</v>
      </c>
      <c r="O791" s="32">
        <v>67</v>
      </c>
      <c r="P791">
        <v>950</v>
      </c>
      <c r="Q791">
        <v>55</v>
      </c>
      <c r="R791" s="29">
        <v>143.31725222</v>
      </c>
      <c r="S791" s="28">
        <f>IFERROR(PROPERTIES[[#This Row],[TE_STARTING_KN]]/(PROPERTIES[[#This Row],[WEIGHT]]*9.81),0)</f>
        <v>0.21804928297351164</v>
      </c>
      <c r="T791" s="28">
        <v>0.12</v>
      </c>
      <c r="U791" s="25">
        <f>ROUND(IF(IFERROR(PROPERTIES[[#This Row],[TE_COEFFICIENT_CALC]],0)=0,PROPERTIES[[#This Row],[TE_COEFFICIENT_MANUAL]],PROPERTIES[[#This Row],[TE_COEFFICIENT_CALC]]),3)</f>
        <v>0.218</v>
      </c>
      <c r="V791" s="11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36">
        <v>0</v>
      </c>
      <c r="X791" s="9">
        <v>5</v>
      </c>
      <c r="Y791" s="10">
        <v>0</v>
      </c>
      <c r="Z791" t="s">
        <v>872</v>
      </c>
      <c r="AA791" t="s">
        <v>868</v>
      </c>
      <c r="AB791" s="2" t="s">
        <v>886</v>
      </c>
      <c r="AC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1" s="2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H791" s="10" t="b">
        <v>0</v>
      </c>
      <c r="AX791" s="9"/>
      <c r="AY791" s="10"/>
      <c r="AZ791" s="11"/>
      <c r="BA791"/>
    </row>
    <row r="792" spans="1:53">
      <c r="A792" s="2" t="s">
        <v>2748</v>
      </c>
      <c r="B792">
        <v>2003</v>
      </c>
      <c r="C792" cm="1">
        <f t="array" ref="C792">_xlfn.IFS(ISNUMBER(SEARCH("wagon",PROPERTIES[[#This Row],[VEHIDCODE]])),0,OR(MID(PROPERTIES[[#This Row],[VEHIDCODE]],2,2)="mu",_xlfn.TEXTBEFORE(PROPERTIES[[#This Row],[VEHIDCODE]],"_")="mtro"),1,1=1,0)</f>
        <v>0</v>
      </c>
      <c r="D792" t="s">
        <v>1819</v>
      </c>
      <c r="E792" t="str">
        <f>_xlfn.XLOOKUP(PROPERTIES[[#This Row],[COUNTRY]],COUNTRIES[COUNTRY_DESCRIPTION],COUNTRIES[COUNTRY_LABEL],"")</f>
        <v>JP</v>
      </c>
      <c r="F792" t="str" cm="1">
        <f t="array" ref="F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2" t="s">
        <v>526</v>
      </c>
      <c r="H792">
        <v>60</v>
      </c>
      <c r="I792">
        <v>8</v>
      </c>
      <c r="J792">
        <v>8</v>
      </c>
      <c r="K792" t="str" cm="1">
        <f t="array" ref="K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f>IF(ISNUMBER(SEARCH("passenger",PROPERTIES[[#This Row],[CARGODEF]])),1,0)</f>
        <v>0</v>
      </c>
      <c r="O792" s="32">
        <f>51/2</f>
        <v>25.5</v>
      </c>
      <c r="P792">
        <v>2360</v>
      </c>
      <c r="Q792">
        <v>140</v>
      </c>
      <c r="R792" s="29">
        <f>98/2</f>
        <v>49</v>
      </c>
      <c r="S792" s="28">
        <f>IFERROR(PROPERTIES[[#This Row],[TE_STARTING_KN]]/(PROPERTIES[[#This Row],[WEIGHT]]*9.81),0)</f>
        <v>0.19587855529571666</v>
      </c>
      <c r="T792" s="28">
        <v>0.17</v>
      </c>
      <c r="U792" s="25">
        <f>ROUND(IF(IFERROR(PROPERTIES[[#This Row],[TE_COEFFICIENT_CALC]],0)=0,PROPERTIES[[#This Row],[TE_COEFFICIENT_MANUAL]],PROPERTIES[[#This Row],[TE_COEFFICIENT_CALC]]),3)</f>
        <v>0.19600000000000001</v>
      </c>
      <c r="V792" s="11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36">
        <v>60</v>
      </c>
      <c r="X792" s="9">
        <v>8</v>
      </c>
      <c r="Y792" s="10">
        <v>0</v>
      </c>
      <c r="Z792" t="s">
        <v>877</v>
      </c>
      <c r="AA792" t="s">
        <v>868</v>
      </c>
      <c r="AB792" s="2" t="s">
        <v>886</v>
      </c>
      <c r="AC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792" s="2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  <c r="AH792" s="10" t="b">
        <v>0</v>
      </c>
    </row>
    <row r="793" spans="1:53">
      <c r="A793" s="2" t="s">
        <v>2885</v>
      </c>
      <c r="B793">
        <v>1880</v>
      </c>
      <c r="C793" cm="1">
        <f t="array" ref="C793">_xlfn.IFS(ISNUMBER(SEARCH("wagon",PROPERTIES[[#This Row],[VEHIDCODE]])),0,OR(MID(PROPERTIES[[#This Row],[VEHIDCODE]],2,2)="mu",_xlfn.TEXTBEFORE(PROPERTIES[[#This Row],[VEHIDCODE]],"_")="mtro"),1,1=1,0)</f>
        <v>0</v>
      </c>
      <c r="D793" t="s">
        <v>1763</v>
      </c>
      <c r="E793" t="str">
        <f>_xlfn.XLOOKUP(PROPERTIES[[#This Row],[COUNTRY]],COUNTRIES[COUNTRY_DESCRIPTION],COUNTRIES[COUNTRY_LABEL],"")</f>
        <v>DE</v>
      </c>
      <c r="F793" t="str" cm="1">
        <f t="array" ref="F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3" t="s">
        <v>17</v>
      </c>
      <c r="H793">
        <v>80</v>
      </c>
      <c r="I793">
        <v>6</v>
      </c>
      <c r="J793">
        <v>6</v>
      </c>
      <c r="K793" t="str" cm="1">
        <f t="array" ref="K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f>IF(ISNUMBER(SEARCH("passenger",PROPERTIES[[#This Row],[CARGODEF]])),1,0)</f>
        <v>1</v>
      </c>
      <c r="O793" s="32">
        <v>29</v>
      </c>
      <c r="P793">
        <v>99</v>
      </c>
      <c r="Q793">
        <f>INT(25*1.62)</f>
        <v>40</v>
      </c>
      <c r="R793" s="29">
        <v>13.4</v>
      </c>
      <c r="S793" s="28">
        <f>IFERROR(PROPERTIES[[#This Row],[TE_STARTING_KN]]/(PROPERTIES[[#This Row],[WEIGHT]]*9.81),0)</f>
        <v>4.7101831347323278E-2</v>
      </c>
      <c r="T793" s="28">
        <v>0</v>
      </c>
      <c r="U793" s="25">
        <f>ROUND(IF(IFERROR(PROPERTIES[[#This Row],[TE_COEFFICIENT_CALC]],0)=0,PROPERTIES[[#This Row],[TE_COEFFICIENT_MANUAL]],PROPERTIES[[#This Row],[TE_COEFFICIENT_CALC]]),3)</f>
        <v>4.7E-2</v>
      </c>
      <c r="V793" s="11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36">
        <v>0</v>
      </c>
      <c r="X793" s="9">
        <v>0</v>
      </c>
      <c r="Y793" s="10">
        <v>0</v>
      </c>
      <c r="Z793" t="s">
        <v>869</v>
      </c>
      <c r="AA793" t="s">
        <v>873</v>
      </c>
      <c r="AB793" s="2" t="s">
        <v>886</v>
      </c>
      <c r="AC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3" s="2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  <c r="AH793" s="10" t="b">
        <v>0</v>
      </c>
    </row>
    <row r="794" spans="1:53">
      <c r="A794" s="2" t="s">
        <v>2887</v>
      </c>
      <c r="B794">
        <v>1905</v>
      </c>
      <c r="C794" cm="1">
        <f t="array" ref="C794">_xlfn.IFS(ISNUMBER(SEARCH("wagon",PROPERTIES[[#This Row],[VEHIDCODE]])),0,OR(MID(PROPERTIES[[#This Row],[VEHIDCODE]],2,2)="mu",_xlfn.TEXTBEFORE(PROPERTIES[[#This Row],[VEHIDCODE]],"_")="mtro"),1,1=1,0)</f>
        <v>0</v>
      </c>
      <c r="D794" t="s">
        <v>1718</v>
      </c>
      <c r="E794" t="str">
        <f>_xlfn.XLOOKUP(PROPERTIES[[#This Row],[COUNTRY]],COUNTRIES[COUNTRY_DESCRIPTION],COUNTRIES[COUNTRY_LABEL],"")</f>
        <v>AT</v>
      </c>
      <c r="F794" t="str" cm="1">
        <f t="array" ref="F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4" t="s">
        <v>17</v>
      </c>
      <c r="H794">
        <v>30</v>
      </c>
      <c r="I794">
        <v>5</v>
      </c>
      <c r="J794">
        <v>5</v>
      </c>
      <c r="K794" t="str" cm="1">
        <f t="array" ref="K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f>IF(ISNUMBER(SEARCH("passenger",PROPERTIES[[#This Row],[CARGODEF]])),1,0)</f>
        <v>1</v>
      </c>
      <c r="O794" s="32">
        <v>24</v>
      </c>
      <c r="P794">
        <v>150</v>
      </c>
      <c r="Q794">
        <v>40</v>
      </c>
      <c r="R794" s="29">
        <v>23.3576116216</v>
      </c>
      <c r="S794" s="28">
        <f>IFERROR(PROPERTIES[[#This Row],[TE_STARTING_KN]]/(PROPERTIES[[#This Row],[WEIGHT]]*9.81),0)</f>
        <v>9.920834022086307E-2</v>
      </c>
      <c r="T794" s="28">
        <v>0</v>
      </c>
      <c r="U794" s="25">
        <f>ROUND(IF(IFERROR(PROPERTIES[[#This Row],[TE_COEFFICIENT_CALC]],0)=0,PROPERTIES[[#This Row],[TE_COEFFICIENT_MANUAL]],PROPERTIES[[#This Row],[TE_COEFFICIENT_CALC]]),3)</f>
        <v>9.9000000000000005E-2</v>
      </c>
      <c r="V794" s="11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6">
        <v>0</v>
      </c>
      <c r="X794" s="9">
        <v>0</v>
      </c>
      <c r="Y794" s="10">
        <v>0</v>
      </c>
      <c r="Z794" s="9" t="s">
        <v>869</v>
      </c>
      <c r="AA794" s="10" t="s">
        <v>868</v>
      </c>
      <c r="AB794" s="10" t="s">
        <v>886</v>
      </c>
      <c r="AC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  <c r="AH794" s="10" t="b">
        <v>0</v>
      </c>
    </row>
    <row r="795" spans="1:53">
      <c r="A795" t="s">
        <v>2889</v>
      </c>
      <c r="B795">
        <v>1923</v>
      </c>
      <c r="C795" cm="1">
        <f t="array" ref="C795">_xlfn.IFS(ISNUMBER(SEARCH("wagon",PROPERTIES[[#This Row],[VEHIDCODE]])),0,OR(MID(PROPERTIES[[#This Row],[VEHIDCODE]],2,2)="mu",_xlfn.TEXTBEFORE(PROPERTIES[[#This Row],[VEHIDCODE]],"_")="mtro"),1,1=1,0)</f>
        <v>0</v>
      </c>
      <c r="D795" t="s">
        <v>1864</v>
      </c>
      <c r="E795" t="str">
        <f>_xlfn.XLOOKUP(PROPERTIES[[#This Row],[COUNTRY]],COUNTRIES[COUNTRY_DESCRIPTION],COUNTRIES[COUNTRY_LABEL],"")</f>
        <v>MZ</v>
      </c>
      <c r="F795" t="str" cm="1">
        <f t="array" ref="F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5" t="s">
        <v>19</v>
      </c>
      <c r="H795">
        <v>0</v>
      </c>
      <c r="I795">
        <v>6</v>
      </c>
      <c r="J795">
        <v>11</v>
      </c>
      <c r="K795" t="str" cm="1">
        <f t="array" ref="K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5">
        <f>_xlfn.XLOOKUP("LOADINGSPEEDDEF_"&amp;PROPERTIES[[#This Row],[LOADINGSPEED]],LOADINGSPEEDDEF[TYPE],LOADINGSPEEDDEF[SPEED])</f>
        <v>20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f>IF(ISNUMBER(SEARCH("passenger",PROPERTIES[[#This Row],[CARGODEF]])),1,0)</f>
        <v>0</v>
      </c>
      <c r="O795" s="32">
        <v>101</v>
      </c>
      <c r="P795">
        <v>1207</v>
      </c>
      <c r="Q795">
        <v>96</v>
      </c>
      <c r="R795" s="29">
        <v>103</v>
      </c>
      <c r="S795" s="28">
        <f>IFERROR(PROPERTIES[[#This Row],[TE_STARTING_KN]]/(PROPERTIES[[#This Row],[WEIGHT]]*9.81),0)</f>
        <v>0.10395534966340671</v>
      </c>
      <c r="T795" s="28">
        <v>0</v>
      </c>
      <c r="U795" s="25">
        <f>ROUND(IF(IFERROR(PROPERTIES[[#This Row],[TE_COEFFICIENT_CALC]],0)=0,PROPERTIES[[#This Row],[TE_COEFFICIENT_MANUAL]],PROPERTIES[[#This Row],[TE_COEFFICIENT_CALC]]),3)</f>
        <v>0.104</v>
      </c>
      <c r="V795" s="11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36">
        <v>0</v>
      </c>
      <c r="X795" s="9">
        <v>5</v>
      </c>
      <c r="Y795" s="10">
        <v>0</v>
      </c>
      <c r="Z795" t="s">
        <v>872</v>
      </c>
      <c r="AA795" t="s">
        <v>868</v>
      </c>
      <c r="AB795" s="2" t="s">
        <v>886</v>
      </c>
      <c r="AC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5" s="2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  <c r="AH795" s="10" t="b">
        <v>0</v>
      </c>
    </row>
    <row r="796" spans="1:53">
      <c r="A796" t="s">
        <v>2891</v>
      </c>
      <c r="B796">
        <v>1930</v>
      </c>
      <c r="C796" cm="1">
        <f t="array" ref="C796">_xlfn.IFS(ISNUMBER(SEARCH("wagon",PROPERTIES[[#This Row],[VEHIDCODE]])),0,OR(MID(PROPERTIES[[#This Row],[VEHIDCODE]],2,2)="mu",_xlfn.TEXTBEFORE(PROPERTIES[[#This Row],[VEHIDCODE]],"_")="mtro"),1,1=1,0)</f>
        <v>0</v>
      </c>
      <c r="D796" t="s">
        <v>1750</v>
      </c>
      <c r="E796" t="str">
        <f>_xlfn.XLOOKUP(PROPERTIES[[#This Row],[COUNTRY]],COUNTRIES[COUNTRY_DESCRIPTION],COUNTRIES[COUNTRY_LABEL],"")</f>
        <v>CI</v>
      </c>
      <c r="F796" t="str" cm="1">
        <f t="array" ref="F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6" t="s">
        <v>19</v>
      </c>
      <c r="H796">
        <v>0</v>
      </c>
      <c r="I796">
        <v>7</v>
      </c>
      <c r="J796">
        <v>11</v>
      </c>
      <c r="K796" t="str" cm="1">
        <f t="array" ref="K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6">
        <f>_xlfn.XLOOKUP("LOADINGSPEEDDEF_"&amp;PROPERTIES[[#This Row],[LOADINGSPEED]],LOADINGSPEEDDEF[TYPE],LOADINGSPEEDDEF[SPEED])</f>
        <v>20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f>IF(ISNUMBER(SEARCH("passenger",PROPERTIES[[#This Row],[CARGODEF]])),1,0)</f>
        <v>0</v>
      </c>
      <c r="O796" s="32">
        <v>96</v>
      </c>
      <c r="P796">
        <v>939</v>
      </c>
      <c r="Q796">
        <v>40</v>
      </c>
      <c r="R796" s="29">
        <v>166</v>
      </c>
      <c r="S796" s="29">
        <f>IFERROR(PROPERTIES[[#This Row],[TE_STARTING_KN]]/(PROPERTIES[[#This Row],[WEIGHT]]*9.81),0)</f>
        <v>0.17626571525654094</v>
      </c>
      <c r="T796" s="29">
        <v>0</v>
      </c>
      <c r="U796" s="25">
        <f>ROUND(IF(IFERROR(PROPERTIES[[#This Row],[TE_COEFFICIENT_CALC]],0)=0,PROPERTIES[[#This Row],[TE_COEFFICIENT_MANUAL]],PROPERTIES[[#This Row],[TE_COEFFICIENT_CALC]]),3)</f>
        <v>0.17599999999999999</v>
      </c>
      <c r="V796" s="11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36">
        <v>0</v>
      </c>
      <c r="X796" s="9">
        <v>4</v>
      </c>
      <c r="Y796" s="10">
        <v>0</v>
      </c>
      <c r="Z796" s="9" t="s">
        <v>872</v>
      </c>
      <c r="AA796" s="10" t="s">
        <v>868</v>
      </c>
      <c r="AB796" s="10" t="s">
        <v>886</v>
      </c>
      <c r="AC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6" s="2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  <c r="AH796" s="10" t="b">
        <v>0</v>
      </c>
    </row>
    <row r="797" spans="1:53">
      <c r="A797" t="s">
        <v>2904</v>
      </c>
      <c r="B797">
        <v>1959</v>
      </c>
      <c r="C797" cm="1">
        <f t="array" ref="C797">_xlfn.IFS(ISNUMBER(SEARCH("wagon",PROPERTIES[[#This Row],[VEHIDCODE]])),0,OR(MID(PROPERTIES[[#This Row],[VEHIDCODE]],2,2)="mu",_xlfn.TEXTBEFORE(PROPERTIES[[#This Row],[VEHIDCODE]],"_")="mtro"),1,1=1,0)</f>
        <v>0</v>
      </c>
      <c r="D797" t="s">
        <v>1787</v>
      </c>
      <c r="E797" t="str">
        <f>_xlfn.XLOOKUP(PROPERTIES[[#This Row],[COUNTRY]],COUNTRIES[COUNTRY_DESCRIPTION],COUNTRIES[COUNTRY_LABEL],"")</f>
        <v>GH</v>
      </c>
      <c r="F797" t="str" cm="1">
        <f t="array" ref="F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7" t="s">
        <v>19</v>
      </c>
      <c r="H797">
        <v>0</v>
      </c>
      <c r="I797">
        <v>8</v>
      </c>
      <c r="J797">
        <v>9</v>
      </c>
      <c r="K797" t="str" cm="1">
        <f t="array" ref="K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7">
        <f>_xlfn.XLOOKUP("LOADINGSPEEDDEF_"&amp;PROPERTIES[[#This Row],[LOADINGSPEED]],LOADINGSPEEDDEF[TYPE],LOADINGSPEEDDEF[SPEED])</f>
        <v>20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f>IF(ISNUMBER(SEARCH("passenger",PROPERTIES[[#This Row],[CARGODEF]])),1,0)</f>
        <v>0</v>
      </c>
      <c r="O797" s="32">
        <v>83</v>
      </c>
      <c r="P797">
        <v>1425</v>
      </c>
      <c r="Q797">
        <v>100</v>
      </c>
      <c r="R797" s="29">
        <v>240</v>
      </c>
      <c r="S797" s="29">
        <f>IFERROR(PROPERTIES[[#This Row],[TE_STARTING_KN]]/(PROPERTIES[[#This Row],[WEIGHT]]*9.81),0)</f>
        <v>0.29475700969013668</v>
      </c>
      <c r="T797" s="29">
        <v>0</v>
      </c>
      <c r="U797" s="25">
        <f>ROUND(IF(IFERROR(PROPERTIES[[#This Row],[TE_COEFFICIENT_CALC]],0)=0,PROPERTIES[[#This Row],[TE_COEFFICIENT_MANUAL]],PROPERTIES[[#This Row],[TE_COEFFICIENT_CALC]]),3)</f>
        <v>0.29499999999999998</v>
      </c>
      <c r="V797" s="11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7">
        <v>0</v>
      </c>
      <c r="X797" s="39">
        <v>0</v>
      </c>
      <c r="Y797" s="40">
        <v>0</v>
      </c>
      <c r="Z797" s="22" t="s">
        <v>872</v>
      </c>
      <c r="AA797" s="22" t="s">
        <v>868</v>
      </c>
      <c r="AB797" s="38" t="s">
        <v>886</v>
      </c>
      <c r="AC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7" s="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8" t="b">
        <v>0</v>
      </c>
      <c r="AH797" s="10" t="b">
        <v>0</v>
      </c>
    </row>
    <row r="798" spans="1:53">
      <c r="A798" s="2" t="s">
        <v>2906</v>
      </c>
      <c r="B798">
        <v>1962</v>
      </c>
      <c r="C798" cm="1">
        <f t="array" ref="C798">_xlfn.IFS(ISNUMBER(SEARCH("wagon",PROPERTIES[[#This Row],[VEHIDCODE]])),0,OR(MID(PROPERTIES[[#This Row],[VEHIDCODE]],2,2)="mu",_xlfn.TEXTBEFORE(PROPERTIES[[#This Row],[VEHIDCODE]],"_")="mtro"),1,1=1,0)</f>
        <v>0</v>
      </c>
      <c r="D798" t="s">
        <v>1836</v>
      </c>
      <c r="E798" t="str">
        <f>_xlfn.XLOOKUP(PROPERTIES[[#This Row],[COUNTRY]],COUNTRIES[COUNTRY_DESCRIPTION],COUNTRIES[COUNTRY_LABEL],"")</f>
        <v>LR</v>
      </c>
      <c r="F798" t="str" cm="1">
        <f t="array" ref="F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8" t="s">
        <v>19</v>
      </c>
      <c r="H798">
        <v>0</v>
      </c>
      <c r="I798">
        <v>8</v>
      </c>
      <c r="J798">
        <v>10</v>
      </c>
      <c r="K798" t="str" cm="1">
        <f t="array" ref="K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8">
        <f>_xlfn.XLOOKUP("LOADINGSPEEDDEF_"&amp;PROPERTIES[[#This Row],[LOADINGSPEED]],LOADINGSPEEDDEF[TYPE],LOADINGSPEEDDEF[SPEED])</f>
        <v>20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f>IF(ISNUMBER(SEARCH("passenger",PROPERTIES[[#This Row],[CARGODEF]])),1,0)</f>
        <v>0</v>
      </c>
      <c r="O798" s="32">
        <v>176</v>
      </c>
      <c r="P798">
        <v>1950</v>
      </c>
      <c r="Q798">
        <v>105</v>
      </c>
      <c r="R798" s="29">
        <v>512</v>
      </c>
      <c r="S798" s="29">
        <f>IFERROR(PROPERTIES[[#This Row],[TE_STARTING_KN]]/(PROPERTIES[[#This Row],[WEIGHT]]*9.81),0)</f>
        <v>0.2965434158094708</v>
      </c>
      <c r="T798" s="29">
        <v>0</v>
      </c>
      <c r="U798" s="25">
        <f>ROUND(IF(IFERROR(PROPERTIES[[#This Row],[TE_COEFFICIENT_CALC]],0)=0,PROPERTIES[[#This Row],[TE_COEFFICIENT_MANUAL]],PROPERTIES[[#This Row],[TE_COEFFICIENT_CALC]]),3)</f>
        <v>0.29699999999999999</v>
      </c>
      <c r="V798" s="11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7">
        <v>0</v>
      </c>
      <c r="X798" s="39">
        <v>2</v>
      </c>
      <c r="Y798" s="40">
        <v>0</v>
      </c>
      <c r="Z798" s="22" t="s">
        <v>872</v>
      </c>
      <c r="AA798" s="22" t="s">
        <v>868</v>
      </c>
      <c r="AB798" s="38" t="s">
        <v>886</v>
      </c>
      <c r="AC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8" s="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8" t="b">
        <v>0</v>
      </c>
      <c r="AH798" s="10" t="b">
        <v>0</v>
      </c>
    </row>
    <row r="799" spans="1:53">
      <c r="A799" s="2" t="s">
        <v>2908</v>
      </c>
      <c r="B799">
        <v>1963</v>
      </c>
      <c r="C799" cm="1">
        <f t="array" ref="C799">_xlfn.IFS(ISNUMBER(SEARCH("wagon",PROPERTIES[[#This Row],[VEHIDCODE]])),0,OR(MID(PROPERTIES[[#This Row],[VEHIDCODE]],2,2)="mu",_xlfn.TEXTBEFORE(PROPERTIES[[#This Row],[VEHIDCODE]],"_")="mtro"),1,1=1,0)</f>
        <v>0</v>
      </c>
      <c r="D799" t="s">
        <v>1746</v>
      </c>
      <c r="E799" t="str">
        <f>_xlfn.XLOOKUP(PROPERTIES[[#This Row],[COUNTRY]],COUNTRIES[COUNTRY_DESCRIPTION],COUNTRIES[COUNTRY_LABEL],"")</f>
        <v>CD</v>
      </c>
      <c r="F799" t="str" cm="1">
        <f t="array" ref="F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9" t="s">
        <v>19</v>
      </c>
      <c r="H799">
        <v>0</v>
      </c>
      <c r="I799">
        <v>6</v>
      </c>
      <c r="J799">
        <v>6</v>
      </c>
      <c r="K799" t="str" cm="1">
        <f t="array" ref="K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9">
        <f>_xlfn.XLOOKUP("LOADINGSPEEDDEF_"&amp;PROPERTIES[[#This Row],[LOADINGSPEED]],LOADINGSPEEDDEF[TYPE],LOADINGSPEEDDEF[SPEED])</f>
        <v>20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f>IF(ISNUMBER(SEARCH("passenger",PROPERTIES[[#This Row],[CARGODEF]])),1,0)</f>
        <v>0</v>
      </c>
      <c r="O799" s="32">
        <v>60</v>
      </c>
      <c r="P799">
        <v>2200</v>
      </c>
      <c r="Q799">
        <v>70</v>
      </c>
      <c r="R799" s="29">
        <v>137</v>
      </c>
      <c r="S799" s="28">
        <f>IFERROR(PROPERTIES[[#This Row],[TE_STARTING_KN]]/(PROPERTIES[[#This Row],[WEIGHT]]*9.81),0)</f>
        <v>0.2327556914712878</v>
      </c>
      <c r="T799" s="29">
        <v>0</v>
      </c>
      <c r="U799" s="25">
        <f>ROUND(IF(IFERROR(PROPERTIES[[#This Row],[TE_COEFFICIENT_CALC]],0)=0,PROPERTIES[[#This Row],[TE_COEFFICIENT_MANUAL]],PROPERTIES[[#This Row],[TE_COEFFICIENT_CALC]]),3)</f>
        <v>0.23300000000000001</v>
      </c>
      <c r="V799" s="11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36">
        <v>0</v>
      </c>
      <c r="X799" s="9">
        <v>0</v>
      </c>
      <c r="Y799" s="10">
        <v>0</v>
      </c>
      <c r="Z799" s="9" t="s">
        <v>872</v>
      </c>
      <c r="AA799" s="10" t="s">
        <v>868</v>
      </c>
      <c r="AB799" s="10" t="s">
        <v>886</v>
      </c>
      <c r="AC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799" s="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8" t="b">
        <v>0</v>
      </c>
      <c r="AH799" s="10" t="b">
        <v>0</v>
      </c>
    </row>
    <row r="800" spans="1:53">
      <c r="A800" s="2" t="s">
        <v>2911</v>
      </c>
      <c r="B800">
        <v>1970</v>
      </c>
      <c r="C800" cm="1">
        <f t="array" ref="C800">_xlfn.IFS(ISNUMBER(SEARCH("wagon",PROPERTIES[[#This Row],[VEHIDCODE]])),0,OR(MID(PROPERTIES[[#This Row],[VEHIDCODE]],2,2)="mu",_xlfn.TEXTBEFORE(PROPERTIES[[#This Row],[VEHIDCODE]],"_")="mtro"),1,1=1,0)</f>
        <v>0</v>
      </c>
      <c r="D800" t="s">
        <v>1746</v>
      </c>
      <c r="E800" t="str">
        <f>_xlfn.XLOOKUP(PROPERTIES[[#This Row],[COUNTRY]],COUNTRIES[COUNTRY_DESCRIPTION],COUNTRIES[COUNTRY_LABEL],"")</f>
        <v>CD</v>
      </c>
      <c r="F800" t="str" cm="1">
        <f t="array" ref="F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0" t="s">
        <v>19</v>
      </c>
      <c r="H800">
        <v>0</v>
      </c>
      <c r="I800">
        <v>8</v>
      </c>
      <c r="J800">
        <v>8</v>
      </c>
      <c r="K800" t="str" cm="1">
        <f t="array" ref="K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0">
        <f>_xlfn.XLOOKUP("LOADINGSPEEDDEF_"&amp;PROPERTIES[[#This Row],[LOADINGSPEED]],LOADINGSPEEDDEF[TYPE],LOADINGSPEEDDEF[SPEED])</f>
        <v>20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f>IF(ISNUMBER(SEARCH("passenger",PROPERTIES[[#This Row],[CARGODEF]])),1,0)</f>
        <v>0</v>
      </c>
      <c r="O800" s="32">
        <v>130</v>
      </c>
      <c r="P800">
        <v>3600</v>
      </c>
      <c r="Q800">
        <v>80</v>
      </c>
      <c r="R800" s="29">
        <v>380</v>
      </c>
      <c r="S800" s="28">
        <f>IFERROR(PROPERTIES[[#This Row],[TE_STARTING_KN]]/(PROPERTIES[[#This Row],[WEIGHT]]*9.81),0)</f>
        <v>0.29796910530855486</v>
      </c>
      <c r="T800" s="28">
        <v>0</v>
      </c>
      <c r="U800" s="25">
        <f>ROUND(IF(IFERROR(PROPERTIES[[#This Row],[TE_COEFFICIENT_CALC]],0)=0,PROPERTIES[[#This Row],[TE_COEFFICIENT_MANUAL]],PROPERTIES[[#This Row],[TE_COEFFICIENT_CALC]]),3)</f>
        <v>0.29799999999999999</v>
      </c>
      <c r="V800" s="11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36">
        <v>0</v>
      </c>
      <c r="X800" s="9">
        <v>0</v>
      </c>
      <c r="Y800" s="10">
        <v>0</v>
      </c>
      <c r="Z800" t="s">
        <v>872</v>
      </c>
      <c r="AA800" t="s">
        <v>868</v>
      </c>
      <c r="AB800" s="2" t="s">
        <v>886</v>
      </c>
      <c r="AC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  <c r="AH800" s="10" t="b">
        <v>0</v>
      </c>
    </row>
    <row r="801" spans="1:34">
      <c r="A801" s="2" t="s">
        <v>2913</v>
      </c>
      <c r="B801">
        <v>1974</v>
      </c>
      <c r="C801" cm="1">
        <f t="array" ref="C801">_xlfn.IFS(ISNUMBER(SEARCH("wagon",PROPERTIES[[#This Row],[VEHIDCODE]])),0,OR(MID(PROPERTIES[[#This Row],[VEHIDCODE]],2,2)="mu",_xlfn.TEXTBEFORE(PROPERTIES[[#This Row],[VEHIDCODE]],"_")="mtro"),1,1=1,0)</f>
        <v>0</v>
      </c>
      <c r="D801" t="s">
        <v>1953</v>
      </c>
      <c r="E801" t="str">
        <f>_xlfn.XLOOKUP(PROPERTIES[[#This Row],[COUNTRY]],COUNTRIES[COUNTRY_DESCRIPTION],COUNTRIES[COUNTRY_LABEL],"")</f>
        <v>ZW</v>
      </c>
      <c r="F801" t="str" cm="1">
        <f t="array" ref="F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1" t="s">
        <v>19</v>
      </c>
      <c r="H801">
        <v>0</v>
      </c>
      <c r="I801">
        <v>8</v>
      </c>
      <c r="J801">
        <v>8</v>
      </c>
      <c r="K801" t="str" cm="1">
        <f t="array" ref="K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1">
        <f>_xlfn.XLOOKUP("LOADINGSPEEDDEF_"&amp;PROPERTIES[[#This Row],[LOADINGSPEED]],LOADINGSPEEDDEF[TYPE],LOADINGSPEEDDEF[SPEED])</f>
        <v>20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f>IF(ISNUMBER(SEARCH("passenger",PROPERTIES[[#This Row],[CARGODEF]])),1,0)</f>
        <v>0</v>
      </c>
      <c r="O801" s="32">
        <v>120</v>
      </c>
      <c r="P801">
        <v>2321</v>
      </c>
      <c r="Q801">
        <v>100</v>
      </c>
      <c r="R801" s="29">
        <v>250</v>
      </c>
      <c r="S801" s="28">
        <f>IFERROR(PROPERTIES[[#This Row],[TE_STARTING_KN]]/(PROPERTIES[[#This Row],[WEIGHT]]*9.81),0)</f>
        <v>0.21236833163438668</v>
      </c>
      <c r="T801" s="28">
        <v>0</v>
      </c>
      <c r="U801" s="25">
        <f>ROUND(IF(IFERROR(PROPERTIES[[#This Row],[TE_COEFFICIENT_CALC]],0)=0,PROPERTIES[[#This Row],[TE_COEFFICIENT_MANUAL]],PROPERTIES[[#This Row],[TE_COEFFICIENT_CALC]]),3)</f>
        <v>0.21199999999999999</v>
      </c>
      <c r="V801" s="11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36">
        <v>0</v>
      </c>
      <c r="X801" s="9">
        <v>0</v>
      </c>
      <c r="Y801" s="10">
        <v>0</v>
      </c>
      <c r="Z801" t="s">
        <v>872</v>
      </c>
      <c r="AA801" t="s">
        <v>868</v>
      </c>
      <c r="AB801" s="2" t="s">
        <v>886</v>
      </c>
      <c r="AC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  <c r="AH801" s="10" t="b">
        <v>0</v>
      </c>
    </row>
    <row r="802" spans="1:34">
      <c r="A802" s="2" t="s">
        <v>2915</v>
      </c>
      <c r="B802">
        <v>1981</v>
      </c>
      <c r="C802" cm="1">
        <f t="array" ref="C802">_xlfn.IFS(ISNUMBER(SEARCH("wagon",PROPERTIES[[#This Row],[VEHIDCODE]])),0,OR(MID(PROPERTIES[[#This Row],[VEHIDCODE]],2,2)="mu",_xlfn.TEXTBEFORE(PROPERTIES[[#This Row],[VEHIDCODE]],"_")="mtro"),1,1=1,0)</f>
        <v>0</v>
      </c>
      <c r="D802" t="s">
        <v>1750</v>
      </c>
      <c r="E802" t="str">
        <f>_xlfn.XLOOKUP(PROPERTIES[[#This Row],[COUNTRY]],COUNTRIES[COUNTRY_DESCRIPTION],COUNTRIES[COUNTRY_LABEL],"")</f>
        <v>CI</v>
      </c>
      <c r="F802" t="str" cm="1">
        <f t="array" ref="F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2" t="s">
        <v>19</v>
      </c>
      <c r="H802">
        <v>0</v>
      </c>
      <c r="I802">
        <v>7</v>
      </c>
      <c r="J802">
        <v>7</v>
      </c>
      <c r="K802" t="str" cm="1">
        <f t="array" ref="K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2">
        <f>_xlfn.XLOOKUP("LOADINGSPEEDDEF_"&amp;PROPERTIES[[#This Row],[LOADINGSPEED]],LOADINGSPEEDDEF[TYPE],LOADINGSPEEDDEF[SPEED])</f>
        <v>20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f>IF(ISNUMBER(SEARCH("passenger",PROPERTIES[[#This Row],[CARGODEF]])),1,0)</f>
        <v>0</v>
      </c>
      <c r="O802" s="32">
        <v>95</v>
      </c>
      <c r="P802">
        <v>2250</v>
      </c>
      <c r="Q802">
        <v>105</v>
      </c>
      <c r="R802" s="29">
        <v>231</v>
      </c>
      <c r="S802" s="29">
        <f>IFERROR(PROPERTIES[[#This Row],[TE_STARTING_KN]]/(PROPERTIES[[#This Row],[WEIGHT]]*9.81),0)</f>
        <v>0.24786737485916624</v>
      </c>
      <c r="T802" s="29">
        <v>0</v>
      </c>
      <c r="U802" s="25">
        <f>ROUND(IF(IFERROR(PROPERTIES[[#This Row],[TE_COEFFICIENT_CALC]],0)=0,PROPERTIES[[#This Row],[TE_COEFFICIENT_MANUAL]],PROPERTIES[[#This Row],[TE_COEFFICIENT_CALC]]),3)</f>
        <v>0.248</v>
      </c>
      <c r="V802" s="11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36">
        <v>0</v>
      </c>
      <c r="X802" s="9">
        <v>0</v>
      </c>
      <c r="Y802" s="10">
        <v>0</v>
      </c>
      <c r="Z802" t="s">
        <v>872</v>
      </c>
      <c r="AA802" t="s">
        <v>868</v>
      </c>
      <c r="AB802" s="2" t="s">
        <v>886</v>
      </c>
      <c r="AC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  <c r="AH802" s="10" t="b">
        <v>0</v>
      </c>
    </row>
    <row r="803" spans="1:34">
      <c r="A803" s="2" t="s">
        <v>2917</v>
      </c>
      <c r="B803">
        <v>2024</v>
      </c>
      <c r="C803" cm="1">
        <f t="array" ref="C803">_xlfn.IFS(ISNUMBER(SEARCH("wagon",PROPERTIES[[#This Row],[VEHIDCODE]])),0,OR(MID(PROPERTIES[[#This Row],[VEHIDCODE]],2,2)="mu",_xlfn.TEXTBEFORE(PROPERTIES[[#This Row],[VEHIDCODE]],"_")="mtro"),1,1=1,0)</f>
        <v>0</v>
      </c>
      <c r="D803" t="s">
        <v>1933</v>
      </c>
      <c r="E803" t="str">
        <f>_xlfn.XLOOKUP(PROPERTIES[[#This Row],[COUNTRY]],COUNTRIES[COUNTRY_DESCRIPTION],COUNTRIES[COUNTRY_LABEL],"")</f>
        <v>TZ</v>
      </c>
      <c r="F803" t="str" cm="1">
        <f t="array" ref="F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03" t="s">
        <v>19</v>
      </c>
      <c r="H803">
        <v>0</v>
      </c>
      <c r="I803">
        <v>8</v>
      </c>
      <c r="J803">
        <v>8</v>
      </c>
      <c r="K803" t="str" cm="1">
        <f t="array" ref="K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3">
        <f>_xlfn.XLOOKUP("LOADINGSPEEDDEF_"&amp;PROPERTIES[[#This Row],[LOADINGSPEED]],LOADINGSPEEDDEF[TYPE],LOADINGSPEEDDEF[SPEED])</f>
        <v>20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f>IF(ISNUMBER(SEARCH("passenger",PROPERTIES[[#This Row],[CARGODEF]])),1,0)</f>
        <v>0</v>
      </c>
      <c r="O803" s="32">
        <v>86</v>
      </c>
      <c r="P803">
        <v>6705</v>
      </c>
      <c r="Q803">
        <v>160</v>
      </c>
      <c r="R803" s="29">
        <v>285</v>
      </c>
      <c r="S803" s="29">
        <f>IFERROR(PROPERTIES[[#This Row],[TE_STARTING_KN]]/(PROPERTIES[[#This Row],[WEIGHT]]*9.81),0)</f>
        <v>0.33781381125097787</v>
      </c>
      <c r="T803" s="29">
        <v>0</v>
      </c>
      <c r="U803" s="25">
        <f>ROUND(IF(IFERROR(PROPERTIES[[#This Row],[TE_COEFFICIENT_CALC]],0)=0,PROPERTIES[[#This Row],[TE_COEFFICIENT_MANUAL]],PROPERTIES[[#This Row],[TE_COEFFICIENT_CALC]]),3)</f>
        <v>0.33800000000000002</v>
      </c>
      <c r="V803" s="11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36">
        <v>0</v>
      </c>
      <c r="X803" s="9">
        <v>0</v>
      </c>
      <c r="Y803" s="10">
        <v>0</v>
      </c>
      <c r="Z803" s="9" t="s">
        <v>872</v>
      </c>
      <c r="AA803" t="s">
        <v>868</v>
      </c>
      <c r="AB803" s="2" t="s">
        <v>886</v>
      </c>
      <c r="AC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  <c r="AH803" s="10" t="b">
        <v>0</v>
      </c>
    </row>
    <row r="804" spans="1:34">
      <c r="A804" s="2" t="s">
        <v>2921</v>
      </c>
      <c r="B804">
        <v>1880</v>
      </c>
      <c r="C804" cm="1">
        <f t="array" ref="C804">_xlfn.IFS(ISNUMBER(SEARCH("wagon",PROPERTIES[[#This Row],[VEHIDCODE]])),0,OR(MID(PROPERTIES[[#This Row],[VEHIDCODE]],2,2)="mu",_xlfn.TEXTBEFORE(PROPERTIES[[#This Row],[VEHIDCODE]],"_")="mtro"),1,1=1,0)</f>
        <v>1</v>
      </c>
      <c r="D804" t="s">
        <v>1937</v>
      </c>
      <c r="E804" t="str">
        <f>_xlfn.XLOOKUP(PROPERTIES[[#This Row],[COUNTRY]],COUNTRIES[COUNTRY_DESCRIPTION],COUNTRIES[COUNTRY_LABEL],"")</f>
        <v>US</v>
      </c>
      <c r="F804" t="str" cm="1">
        <f t="array" ref="F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04" t="s">
        <v>320</v>
      </c>
      <c r="H804">
        <v>48</v>
      </c>
      <c r="I804">
        <v>7</v>
      </c>
      <c r="J804">
        <v>7</v>
      </c>
      <c r="K804" t="str" cm="1">
        <f t="array" ref="K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f>IF(ISNUMBER(SEARCH("passenger",PROPERTIES[[#This Row],[CARGODEF]])),1,0)</f>
        <v>1</v>
      </c>
      <c r="O804" s="32">
        <v>28</v>
      </c>
      <c r="P804">
        <v>200</v>
      </c>
      <c r="Q804">
        <v>60</v>
      </c>
      <c r="R804" s="29">
        <v>25</v>
      </c>
      <c r="S804" s="28">
        <f>IFERROR(PROPERTIES[[#This Row],[TE_STARTING_KN]]/(PROPERTIES[[#This Row],[WEIGHT]]*9.81),0)</f>
        <v>9.1014999271880004E-2</v>
      </c>
      <c r="T804" s="28">
        <v>0.5</v>
      </c>
      <c r="U804" s="25">
        <f>ROUND(IF(IFERROR(PROPERTIES[[#This Row],[TE_COEFFICIENT_CALC]],0)=0,PROPERTIES[[#This Row],[TE_COEFFICIENT_MANUAL]],PROPERTIES[[#This Row],[TE_COEFFICIENT_CALC]]),3)</f>
        <v>9.0999999999999998E-2</v>
      </c>
      <c r="V804" s="11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6">
        <v>48</v>
      </c>
      <c r="X804" s="9">
        <v>7</v>
      </c>
      <c r="Y804" s="10">
        <v>0</v>
      </c>
      <c r="Z804" s="9" t="s">
        <v>874</v>
      </c>
      <c r="AA804" s="10" t="s">
        <v>868</v>
      </c>
      <c r="AB804" s="10" t="s">
        <v>886</v>
      </c>
      <c r="AC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  <c r="AH804" s="10" t="b">
        <v>0</v>
      </c>
    </row>
    <row r="805" spans="1:34">
      <c r="A805" s="2" t="s">
        <v>3048</v>
      </c>
      <c r="B805">
        <v>1995</v>
      </c>
      <c r="C805" cm="1">
        <f t="array" ref="C805">_xlfn.IFS(ISNUMBER(SEARCH("wagon",PROPERTIES[[#This Row],[VEHIDCODE]])),0,OR(MID(PROPERTIES[[#This Row],[VEHIDCODE]],2,2)="mu",_xlfn.TEXTBEFORE(PROPERTIES[[#This Row],[VEHIDCODE]],"_")="mtro"),1,1=1,0)</f>
        <v>0</v>
      </c>
      <c r="E805" t="str">
        <f>_xlfn.XLOOKUP(PROPERTIES[[#This Row],[COUNTRY]],COUNTRIES[COUNTRY_DESCRIPTION],COUNTRIES[COUNTRY_LABEL],"")</f>
        <v/>
      </c>
      <c r="F805" t="str" cm="1">
        <f t="array" ref="F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5" t="s">
        <v>320</v>
      </c>
      <c r="H805">
        <v>60</v>
      </c>
      <c r="I805">
        <v>8</v>
      </c>
      <c r="J805">
        <v>8</v>
      </c>
      <c r="K805" t="str" cm="1">
        <f t="array" ref="K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5">
        <f>_xlfn.XLOOKUP("LOADINGSPEEDDEF_"&amp;PROPERTIES[[#This Row],[LOADINGSPEED]],LOADINGSPEEDDEF[TYPE],LOADINGSPEEDDEF[SPEED])</f>
        <v>40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f>IF(ISNUMBER(SEARCH("passenger",PROPERTIES[[#This Row],[CARGODEF]])),1,0)</f>
        <v>1</v>
      </c>
      <c r="O805" s="32">
        <v>40</v>
      </c>
      <c r="P805">
        <v>0</v>
      </c>
      <c r="Q805">
        <v>160</v>
      </c>
      <c r="R805" s="29">
        <v>0</v>
      </c>
      <c r="S805" s="29">
        <f>IFERROR(PROPERTIES[[#This Row],[TE_STARTING_KN]]/(PROPERTIES[[#This Row],[WEIGHT]]*9.81),0)</f>
        <v>0</v>
      </c>
      <c r="T805" s="29">
        <v>0.3</v>
      </c>
      <c r="U805" s="25">
        <f>ROUND(IF(IFERROR(PROPERTIES[[#This Row],[TE_COEFFICIENT_CALC]],0)=0,PROPERTIES[[#This Row],[TE_COEFFICIENT_MANUAL]],PROPERTIES[[#This Row],[TE_COEFFICIENT_CALC]]),3)</f>
        <v>0.3</v>
      </c>
      <c r="V805" s="11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36">
        <v>0</v>
      </c>
      <c r="X805" s="9">
        <v>0</v>
      </c>
      <c r="Y805" s="10">
        <v>0</v>
      </c>
      <c r="Z805" t="s">
        <v>882</v>
      </c>
      <c r="AA805" t="s">
        <v>868</v>
      </c>
      <c r="AB805" s="2" t="s">
        <v>886</v>
      </c>
      <c r="AC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5" s="2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  <c r="AH805" s="10" t="b">
        <v>0</v>
      </c>
    </row>
    <row r="806" spans="1:34">
      <c r="A806" s="2" t="s">
        <v>3049</v>
      </c>
      <c r="B806">
        <v>1970</v>
      </c>
      <c r="C806" cm="1">
        <f t="array" ref="C806">_xlfn.IFS(ISNUMBER(SEARCH("wagon",PROPERTIES[[#This Row],[VEHIDCODE]])),0,OR(MID(PROPERTIES[[#This Row],[VEHIDCODE]],2,2)="mu",_xlfn.TEXTBEFORE(PROPERTIES[[#This Row],[VEHIDCODE]],"_")="mtro"),1,1=1,0)</f>
        <v>0</v>
      </c>
      <c r="E806" t="str">
        <f>_xlfn.XLOOKUP(PROPERTIES[[#This Row],[COUNTRY]],COUNTRIES[COUNTRY_DESCRIPTION],COUNTRIES[COUNTRY_LABEL],"")</f>
        <v/>
      </c>
      <c r="F806" t="str" cm="1">
        <f t="array" ref="F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6" t="s">
        <v>320</v>
      </c>
      <c r="H806">
        <v>50</v>
      </c>
      <c r="I806">
        <v>8</v>
      </c>
      <c r="J806">
        <v>8</v>
      </c>
      <c r="K806" t="str" cm="1">
        <f t="array" ref="K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6">
        <f>_xlfn.XLOOKUP("LOADINGSPEEDDEF_"&amp;PROPERTIES[[#This Row],[LOADINGSPEED]],LOADINGSPEEDDEF[TYPE],LOADINGSPEEDDEF[SPEED])</f>
        <v>40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f>IF(ISNUMBER(SEARCH("passenger",PROPERTIES[[#This Row],[CARGODEF]])),1,0)</f>
        <v>1</v>
      </c>
      <c r="O806" s="32">
        <v>40</v>
      </c>
      <c r="P806">
        <v>0</v>
      </c>
      <c r="Q806">
        <v>140</v>
      </c>
      <c r="R806" s="29">
        <v>0</v>
      </c>
      <c r="S806" s="29">
        <f>IFERROR(PROPERTIES[[#This Row],[TE_STARTING_KN]]/(PROPERTIES[[#This Row],[WEIGHT]]*9.81),0)</f>
        <v>0</v>
      </c>
      <c r="T806" s="29">
        <v>0.3</v>
      </c>
      <c r="U806" s="25">
        <f>ROUND(IF(IFERROR(PROPERTIES[[#This Row],[TE_COEFFICIENT_CALC]],0)=0,PROPERTIES[[#This Row],[TE_COEFFICIENT_MANUAL]],PROPERTIES[[#This Row],[TE_COEFFICIENT_CALC]]),3)</f>
        <v>0.3</v>
      </c>
      <c r="V806" s="11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36">
        <v>0</v>
      </c>
      <c r="X806" s="9">
        <v>0</v>
      </c>
      <c r="Y806" s="10">
        <v>0</v>
      </c>
      <c r="Z806" t="s">
        <v>882</v>
      </c>
      <c r="AA806" t="s">
        <v>868</v>
      </c>
      <c r="AB806" s="2" t="s">
        <v>886</v>
      </c>
      <c r="AC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6" s="2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806" s="2" t="b">
        <v>0</v>
      </c>
      <c r="AH806" s="10" t="b">
        <v>0</v>
      </c>
    </row>
    <row r="807" spans="1:34">
      <c r="A807" s="2" t="s">
        <v>3021</v>
      </c>
      <c r="B807">
        <v>1830</v>
      </c>
      <c r="C807" cm="1">
        <f t="array" ref="C807">_xlfn.IFS(ISNUMBER(SEARCH("wagon",PROPERTIES[[#This Row],[VEHIDCODE]])),0,OR(MID(PROPERTIES[[#This Row],[VEHIDCODE]],2,2)="mu",_xlfn.TEXTBEFORE(PROPERTIES[[#This Row],[VEHIDCODE]],"_")="mtro"),1,1=1,0)</f>
        <v>0</v>
      </c>
      <c r="E807" t="str">
        <f>_xlfn.XLOOKUP(PROPERTIES[[#This Row],[COUNTRY]],COUNTRIES[COUNTRY_DESCRIPTION],COUNTRIES[COUNTRY_LABEL],"")</f>
        <v/>
      </c>
      <c r="F807" t="str" cm="1">
        <f t="array" ref="F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7" t="s">
        <v>3029</v>
      </c>
      <c r="H807">
        <v>20</v>
      </c>
      <c r="I807">
        <v>4</v>
      </c>
      <c r="J807">
        <v>4</v>
      </c>
      <c r="K807" t="str" cm="1">
        <f t="array" ref="K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f>IF(ISNUMBER(SEARCH("passenger",PROPERTIES[[#This Row],[CARGODEF]])),1,0)</f>
        <v>0</v>
      </c>
      <c r="O807" s="32">
        <v>6</v>
      </c>
      <c r="P807">
        <v>0</v>
      </c>
      <c r="Q807">
        <v>55</v>
      </c>
      <c r="R807" s="29">
        <v>0</v>
      </c>
      <c r="S807" s="28">
        <f>IFERROR(PROPERTIES[[#This Row],[TE_STARTING_KN]]/(PROPERTIES[[#This Row],[WEIGHT]]*9.81),0)</f>
        <v>0</v>
      </c>
      <c r="T807" s="28">
        <v>0.3</v>
      </c>
      <c r="U807" s="25">
        <f>ROUND(IF(IFERROR(PROPERTIES[[#This Row],[TE_COEFFICIENT_CALC]],0)=0,PROPERTIES[[#This Row],[TE_COEFFICIENT_MANUAL]],PROPERTIES[[#This Row],[TE_COEFFICIENT_CALC]]),3)</f>
        <v>0.3</v>
      </c>
      <c r="V807" s="11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36">
        <v>0</v>
      </c>
      <c r="X807" s="9">
        <v>0</v>
      </c>
      <c r="Y807" s="10">
        <v>0</v>
      </c>
      <c r="Z807" t="s">
        <v>882</v>
      </c>
      <c r="AA807" t="s">
        <v>868</v>
      </c>
      <c r="AB807" s="2" t="s">
        <v>886</v>
      </c>
      <c r="AC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7" s="2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  <c r="AH807" s="10" t="b">
        <v>0</v>
      </c>
    </row>
    <row r="808" spans="1:34">
      <c r="A808" s="2" t="s">
        <v>3016</v>
      </c>
      <c r="B808">
        <v>1890</v>
      </c>
      <c r="C808" cm="1">
        <f t="array" ref="C808">_xlfn.IFS(ISNUMBER(SEARCH("wagon",PROPERTIES[[#This Row],[VEHIDCODE]])),0,OR(MID(PROPERTIES[[#This Row],[VEHIDCODE]],2,2)="mu",_xlfn.TEXTBEFORE(PROPERTIES[[#This Row],[VEHIDCODE]],"_")="mtro"),1,1=1,0)</f>
        <v>0</v>
      </c>
      <c r="E808" t="str">
        <f>_xlfn.XLOOKUP(PROPERTIES[[#This Row],[COUNTRY]],COUNTRIES[COUNTRY_DESCRIPTION],COUNTRIES[COUNTRY_LABEL],"")</f>
        <v/>
      </c>
      <c r="F808" t="str" cm="1">
        <f t="array" ref="F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8" t="s">
        <v>3029</v>
      </c>
      <c r="H808">
        <v>25</v>
      </c>
      <c r="I808">
        <v>5</v>
      </c>
      <c r="J808">
        <v>5</v>
      </c>
      <c r="K808" t="str" cm="1">
        <f t="array" ref="K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f>IF(ISNUMBER(SEARCH("passenger",PROPERTIES[[#This Row],[CARGODEF]])),1,0)</f>
        <v>0</v>
      </c>
      <c r="O808" s="32">
        <v>12</v>
      </c>
      <c r="P808">
        <v>0</v>
      </c>
      <c r="Q808">
        <v>90</v>
      </c>
      <c r="R808" s="29">
        <v>0</v>
      </c>
      <c r="S808" s="28">
        <f>IFERROR(PROPERTIES[[#This Row],[TE_STARTING_KN]]/(PROPERTIES[[#This Row],[WEIGHT]]*9.81),0)</f>
        <v>0</v>
      </c>
      <c r="T808" s="28">
        <v>0.3</v>
      </c>
      <c r="U808" s="25">
        <f>ROUND(IF(IFERROR(PROPERTIES[[#This Row],[TE_COEFFICIENT_CALC]],0)=0,PROPERTIES[[#This Row],[TE_COEFFICIENT_MANUAL]],PROPERTIES[[#This Row],[TE_COEFFICIENT_CALC]]),3)</f>
        <v>0.3</v>
      </c>
      <c r="V808" s="11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36">
        <v>0</v>
      </c>
      <c r="X808" s="9">
        <v>0</v>
      </c>
      <c r="Y808" s="10">
        <v>0</v>
      </c>
      <c r="Z808" t="s">
        <v>882</v>
      </c>
      <c r="AA808" t="s">
        <v>868</v>
      </c>
      <c r="AB808" s="2" t="s">
        <v>886</v>
      </c>
      <c r="AC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8" s="2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  <c r="AH808" s="10" t="b">
        <v>0</v>
      </c>
    </row>
    <row r="809" spans="1:34">
      <c r="A809" s="2" t="s">
        <v>3017</v>
      </c>
      <c r="B809">
        <v>1920</v>
      </c>
      <c r="C809" cm="1">
        <f t="array" ref="C809">_xlfn.IFS(ISNUMBER(SEARCH("wagon",PROPERTIES[[#This Row],[VEHIDCODE]])),0,OR(MID(PROPERTIES[[#This Row],[VEHIDCODE]],2,2)="mu",_xlfn.TEXTBEFORE(PROPERTIES[[#This Row],[VEHIDCODE]],"_")="mtro"),1,1=1,0)</f>
        <v>0</v>
      </c>
      <c r="E809" t="str">
        <f>_xlfn.XLOOKUP(PROPERTIES[[#This Row],[COUNTRY]],COUNTRIES[COUNTRY_DESCRIPTION],COUNTRIES[COUNTRY_LABEL],"")</f>
        <v/>
      </c>
      <c r="F809" t="str" cm="1">
        <f t="array" ref="F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9" t="s">
        <v>3029</v>
      </c>
      <c r="H809">
        <v>40</v>
      </c>
      <c r="I809">
        <v>6</v>
      </c>
      <c r="J809">
        <v>6</v>
      </c>
      <c r="K809" t="str" cm="1">
        <f t="array" ref="K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f>IF(ISNUMBER(SEARCH("passenger",PROPERTIES[[#This Row],[CARGODEF]])),1,0)</f>
        <v>0</v>
      </c>
      <c r="O809" s="32">
        <v>23</v>
      </c>
      <c r="P809">
        <v>0</v>
      </c>
      <c r="Q809">
        <v>100</v>
      </c>
      <c r="R809" s="29">
        <v>0</v>
      </c>
      <c r="S809" s="28">
        <f>IFERROR(PROPERTIES[[#This Row],[TE_STARTING_KN]]/(PROPERTIES[[#This Row],[WEIGHT]]*9.81),0)</f>
        <v>0</v>
      </c>
      <c r="T809" s="28">
        <v>0.3</v>
      </c>
      <c r="U809" s="25">
        <f>ROUND(IF(IFERROR(PROPERTIES[[#This Row],[TE_COEFFICIENT_CALC]],0)=0,PROPERTIES[[#This Row],[TE_COEFFICIENT_MANUAL]],PROPERTIES[[#This Row],[TE_COEFFICIENT_CALC]]),3)</f>
        <v>0.3</v>
      </c>
      <c r="V809" s="11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36">
        <v>0</v>
      </c>
      <c r="X809" s="9">
        <v>0</v>
      </c>
      <c r="Y809" s="10">
        <v>0</v>
      </c>
      <c r="Z809" t="s">
        <v>882</v>
      </c>
      <c r="AA809" t="s">
        <v>868</v>
      </c>
      <c r="AB809" s="2" t="s">
        <v>886</v>
      </c>
      <c r="AC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9" s="2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  <c r="AH809" s="10" t="b">
        <v>0</v>
      </c>
    </row>
    <row r="810" spans="1:34">
      <c r="A810" s="2" t="s">
        <v>3018</v>
      </c>
      <c r="B810">
        <v>1950</v>
      </c>
      <c r="C810" cm="1">
        <f t="array" ref="C810">_xlfn.IFS(ISNUMBER(SEARCH("wagon",PROPERTIES[[#This Row],[VEHIDCODE]])),0,OR(MID(PROPERTIES[[#This Row],[VEHIDCODE]],2,2)="mu",_xlfn.TEXTBEFORE(PROPERTIES[[#This Row],[VEHIDCODE]],"_")="mtro"),1,1=1,0)</f>
        <v>0</v>
      </c>
      <c r="E810" t="str">
        <f>_xlfn.XLOOKUP(PROPERTIES[[#This Row],[COUNTRY]],COUNTRIES[COUNTRY_DESCRIPTION],COUNTRIES[COUNTRY_LABEL],"")</f>
        <v/>
      </c>
      <c r="F810" t="str" cm="1">
        <f t="array" ref="F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0" t="s">
        <v>3029</v>
      </c>
      <c r="H810">
        <v>42</v>
      </c>
      <c r="I810">
        <v>7</v>
      </c>
      <c r="J810">
        <v>7</v>
      </c>
      <c r="K810" t="str" cm="1">
        <f t="array" ref="K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f>IF(ISNUMBER(SEARCH("passenger",PROPERTIES[[#This Row],[CARGODEF]])),1,0)</f>
        <v>0</v>
      </c>
      <c r="O810" s="32">
        <v>30</v>
      </c>
      <c r="P810">
        <v>0</v>
      </c>
      <c r="Q810">
        <v>120</v>
      </c>
      <c r="R810" s="29">
        <v>0</v>
      </c>
      <c r="S810" s="28">
        <f>IFERROR(PROPERTIES[[#This Row],[TE_STARTING_KN]]/(PROPERTIES[[#This Row],[WEIGHT]]*9.81),0)</f>
        <v>0</v>
      </c>
      <c r="T810" s="28">
        <v>0.3</v>
      </c>
      <c r="U810" s="25">
        <f>ROUND(IF(IFERROR(PROPERTIES[[#This Row],[TE_COEFFICIENT_CALC]],0)=0,PROPERTIES[[#This Row],[TE_COEFFICIENT_MANUAL]],PROPERTIES[[#This Row],[TE_COEFFICIENT_CALC]]),3)</f>
        <v>0.3</v>
      </c>
      <c r="V810" s="11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36">
        <v>0</v>
      </c>
      <c r="X810" s="9">
        <v>0</v>
      </c>
      <c r="Y810" s="10">
        <v>0</v>
      </c>
      <c r="Z810" t="s">
        <v>882</v>
      </c>
      <c r="AA810" t="s">
        <v>868</v>
      </c>
      <c r="AB810" s="2" t="s">
        <v>886</v>
      </c>
      <c r="AC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0" s="2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  <c r="AH810" s="10" t="b">
        <v>0</v>
      </c>
    </row>
    <row r="811" spans="1:34">
      <c r="A811" s="2" t="s">
        <v>3019</v>
      </c>
      <c r="B811">
        <v>1990</v>
      </c>
      <c r="C811" cm="1">
        <f t="array" ref="C811">_xlfn.IFS(ISNUMBER(SEARCH("wagon",PROPERTIES[[#This Row],[VEHIDCODE]])),0,OR(MID(PROPERTIES[[#This Row],[VEHIDCODE]],2,2)="mu",_xlfn.TEXTBEFORE(PROPERTIES[[#This Row],[VEHIDCODE]],"_")="mtro"),1,1=1,0)</f>
        <v>0</v>
      </c>
      <c r="E811" t="str">
        <f>_xlfn.XLOOKUP(PROPERTIES[[#This Row],[COUNTRY]],COUNTRIES[COUNTRY_DESCRIPTION],COUNTRIES[COUNTRY_LABEL],"")</f>
        <v/>
      </c>
      <c r="F811" t="str" cm="1">
        <f t="array" ref="F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1" t="s">
        <v>3029</v>
      </c>
      <c r="H811">
        <v>63</v>
      </c>
      <c r="I811">
        <v>8</v>
      </c>
      <c r="J811">
        <v>8</v>
      </c>
      <c r="K811" t="str" cm="1">
        <f t="array" ref="K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f>IF(ISNUMBER(SEARCH("passenger",PROPERTIES[[#This Row],[CARGODEF]])),1,0)</f>
        <v>0</v>
      </c>
      <c r="O811" s="32">
        <v>27</v>
      </c>
      <c r="P811">
        <v>0</v>
      </c>
      <c r="Q811">
        <v>120</v>
      </c>
      <c r="R811" s="29">
        <v>0</v>
      </c>
      <c r="S811" s="28">
        <f>IFERROR(PROPERTIES[[#This Row],[TE_STARTING_KN]]/(PROPERTIES[[#This Row],[WEIGHT]]*9.81),0)</f>
        <v>0</v>
      </c>
      <c r="T811" s="28">
        <v>0.3</v>
      </c>
      <c r="U811" s="25">
        <f>ROUND(IF(IFERROR(PROPERTIES[[#This Row],[TE_COEFFICIENT_CALC]],0)=0,PROPERTIES[[#This Row],[TE_COEFFICIENT_MANUAL]],PROPERTIES[[#This Row],[TE_COEFFICIENT_CALC]]),3)</f>
        <v>0.3</v>
      </c>
      <c r="V811" s="11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36">
        <v>0</v>
      </c>
      <c r="X811" s="9">
        <v>0</v>
      </c>
      <c r="Y811" s="10">
        <v>0</v>
      </c>
      <c r="Z811" t="s">
        <v>882</v>
      </c>
      <c r="AA811" t="s">
        <v>868</v>
      </c>
      <c r="AB811" s="2" t="s">
        <v>886</v>
      </c>
      <c r="AC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1" s="2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  <c r="AH811" s="10" t="b">
        <v>0</v>
      </c>
    </row>
    <row r="812" spans="1:34">
      <c r="A812" s="2" t="s">
        <v>3020</v>
      </c>
      <c r="B812">
        <v>2010</v>
      </c>
      <c r="C812" cm="1">
        <f t="array" ref="C812">_xlfn.IFS(ISNUMBER(SEARCH("wagon",PROPERTIES[[#This Row],[VEHIDCODE]])),0,OR(MID(PROPERTIES[[#This Row],[VEHIDCODE]],2,2)="mu",_xlfn.TEXTBEFORE(PROPERTIES[[#This Row],[VEHIDCODE]],"_")="mtro"),1,1=1,0)</f>
        <v>0</v>
      </c>
      <c r="E812" t="str">
        <f>_xlfn.XLOOKUP(PROPERTIES[[#This Row],[COUNTRY]],COUNTRIES[COUNTRY_DESCRIPTION],COUNTRIES[COUNTRY_LABEL],"")</f>
        <v/>
      </c>
      <c r="F812" t="str" cm="1">
        <f t="array" ref="F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2" t="s">
        <v>3029</v>
      </c>
      <c r="H812">
        <v>74</v>
      </c>
      <c r="I812">
        <v>8</v>
      </c>
      <c r="J812">
        <v>8</v>
      </c>
      <c r="K812" t="str" cm="1">
        <f t="array" ref="K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f>IF(ISNUMBER(SEARCH("passenger",PROPERTIES[[#This Row],[CARGODEF]])),1,0)</f>
        <v>0</v>
      </c>
      <c r="O812" s="32">
        <v>27</v>
      </c>
      <c r="P812">
        <v>0</v>
      </c>
      <c r="Q812">
        <v>160</v>
      </c>
      <c r="R812" s="29">
        <v>0</v>
      </c>
      <c r="S812" s="28">
        <f>IFERROR(PROPERTIES[[#This Row],[TE_STARTING_KN]]/(PROPERTIES[[#This Row],[WEIGHT]]*9.81),0)</f>
        <v>0</v>
      </c>
      <c r="T812" s="28">
        <v>0.3</v>
      </c>
      <c r="U812" s="25">
        <f>ROUND(IF(IFERROR(PROPERTIES[[#This Row],[TE_COEFFICIENT_CALC]],0)=0,PROPERTIES[[#This Row],[TE_COEFFICIENT_MANUAL]],PROPERTIES[[#This Row],[TE_COEFFICIENT_CALC]]),3)</f>
        <v>0.3</v>
      </c>
      <c r="V812" s="11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36">
        <v>0</v>
      </c>
      <c r="X812" s="9">
        <v>0</v>
      </c>
      <c r="Y812" s="10">
        <v>0</v>
      </c>
      <c r="Z812" t="s">
        <v>882</v>
      </c>
      <c r="AA812" t="s">
        <v>868</v>
      </c>
      <c r="AB812" s="2" t="s">
        <v>886</v>
      </c>
      <c r="AC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2" s="2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  <c r="AH812" s="10" t="b">
        <v>0</v>
      </c>
    </row>
    <row r="813" spans="1:34">
      <c r="A813" s="2" t="s">
        <v>3056</v>
      </c>
      <c r="B813">
        <v>2010</v>
      </c>
      <c r="C813" cm="1">
        <f t="array" ref="C813">_xlfn.IFS(ISNUMBER(SEARCH("wagon",PROPERTIES[[#This Row],[VEHIDCODE]])),0,OR(MID(PROPERTIES[[#This Row],[VEHIDCODE]],2,2)="mu",_xlfn.TEXTBEFORE(PROPERTIES[[#This Row],[VEHIDCODE]],"_")="mtro"),1,1=1,0)</f>
        <v>0</v>
      </c>
      <c r="E813" t="str">
        <f>_xlfn.XLOOKUP(PROPERTIES[[#This Row],[COUNTRY]],COUNTRIES[COUNTRY_DESCRIPTION],COUNTRIES[COUNTRY_LABEL],"")</f>
        <v/>
      </c>
      <c r="F813" t="str" cm="1">
        <f t="array" ref="F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3" t="s">
        <v>3029</v>
      </c>
      <c r="H813">
        <v>74</v>
      </c>
      <c r="I813">
        <v>8</v>
      </c>
      <c r="J813">
        <v>8</v>
      </c>
      <c r="K813" t="str" cm="1">
        <f t="array" ref="K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f>IF(ISNUMBER(SEARCH("passenger",PROPERTIES[[#This Row],[CARGODEF]])),1,0)</f>
        <v>0</v>
      </c>
      <c r="O813" s="32">
        <v>27</v>
      </c>
      <c r="P813">
        <v>0</v>
      </c>
      <c r="Q813">
        <v>160</v>
      </c>
      <c r="R813" s="29">
        <v>0</v>
      </c>
      <c r="S813" s="28">
        <f>IFERROR(PROPERTIES[[#This Row],[TE_STARTING_KN]]/(PROPERTIES[[#This Row],[WEIGHT]]*9.81),0)</f>
        <v>0</v>
      </c>
      <c r="T813" s="28">
        <v>0.3</v>
      </c>
      <c r="U813" s="25">
        <f>ROUND(IF(IFERROR(PROPERTIES[[#This Row],[TE_COEFFICIENT_CALC]],0)=0,PROPERTIES[[#This Row],[TE_COEFFICIENT_MANUAL]],PROPERTIES[[#This Row],[TE_COEFFICIENT_CALC]]),3)</f>
        <v>0.3</v>
      </c>
      <c r="V813" s="11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36">
        <v>0</v>
      </c>
      <c r="X813" s="9">
        <v>0</v>
      </c>
      <c r="Y813" s="10">
        <v>0</v>
      </c>
      <c r="Z813" t="s">
        <v>882</v>
      </c>
      <c r="AA813" t="s">
        <v>868</v>
      </c>
      <c r="AB813" s="2" t="s">
        <v>887</v>
      </c>
      <c r="AC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3" s="2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  <c r="AH813" s="10" t="b">
        <v>0</v>
      </c>
    </row>
    <row r="814" spans="1:34">
      <c r="A814" s="2" t="s">
        <v>3032</v>
      </c>
      <c r="B814">
        <v>1974</v>
      </c>
      <c r="C814" cm="1">
        <f t="array" ref="C814">_xlfn.IFS(ISNUMBER(SEARCH("wagon",PROPERTIES[[#This Row],[VEHIDCODE]])),0,OR(MID(PROPERTIES[[#This Row],[VEHIDCODE]],2,2)="mu",_xlfn.TEXTBEFORE(PROPERTIES[[#This Row],[VEHIDCODE]],"_")="mtro"),1,1=1,0)</f>
        <v>0</v>
      </c>
      <c r="D814" t="s">
        <v>1805</v>
      </c>
      <c r="E814" t="str">
        <f>_xlfn.XLOOKUP(PROPERTIES[[#This Row],[COUNTRY]],COUNTRIES[COUNTRY_DESCRIPTION],COUNTRIES[COUNTRY_LABEL],"")</f>
        <v>HU</v>
      </c>
      <c r="F814" t="str" cm="1">
        <f t="array" ref="F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14" t="s">
        <v>19</v>
      </c>
      <c r="H814">
        <v>0</v>
      </c>
      <c r="I814">
        <v>8</v>
      </c>
      <c r="J814">
        <v>10</v>
      </c>
      <c r="K814" t="str" cm="1">
        <f t="array" ref="K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4">
        <f>_xlfn.XLOOKUP("LOADINGSPEEDDEF_"&amp;PROPERTIES[[#This Row],[LOADINGSPEED]],LOADINGSPEEDDEF[TYPE],LOADINGSPEEDDEF[SPEED])</f>
        <v>20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f>IF(ISNUMBER(SEARCH("passenger",PROPERTIES[[#This Row],[CARGODEF]])),1,0)</f>
        <v>0</v>
      </c>
      <c r="O814" s="32">
        <v>118</v>
      </c>
      <c r="P814">
        <v>4800</v>
      </c>
      <c r="Q814">
        <v>130</v>
      </c>
      <c r="R814" s="29">
        <v>415</v>
      </c>
      <c r="S814" s="28">
        <f>IFERROR(PROPERTIES[[#This Row],[TE_STARTING_KN]]/(PROPERTIES[[#This Row],[WEIGHT]]*9.81),0)</f>
        <v>0.35850653950482897</v>
      </c>
      <c r="T814" s="28">
        <v>0</v>
      </c>
      <c r="U814" s="25">
        <f>ROUND(IF(IFERROR(PROPERTIES[[#This Row],[TE_COEFFICIENT_CALC]],0)=0,PROPERTIES[[#This Row],[TE_COEFFICIENT_MANUAL]],PROPERTIES[[#This Row],[TE_COEFFICIENT_CALC]]),3)</f>
        <v>0.35899999999999999</v>
      </c>
      <c r="V814" s="11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36">
        <v>0</v>
      </c>
      <c r="X814" s="9">
        <v>2</v>
      </c>
      <c r="Y814" s="10">
        <v>0</v>
      </c>
      <c r="Z814" t="s">
        <v>875</v>
      </c>
      <c r="AA814" t="s">
        <v>868</v>
      </c>
      <c r="AB814" s="2" t="s">
        <v>886</v>
      </c>
      <c r="AC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14" s="2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  <c r="AH814" s="10" t="b">
        <v>0</v>
      </c>
    </row>
    <row r="815" spans="1:34">
      <c r="A815" s="2" t="s">
        <v>3050</v>
      </c>
      <c r="B815">
        <v>1992</v>
      </c>
      <c r="C815" cm="1">
        <f t="array" ref="C815">_xlfn.IFS(ISNUMBER(SEARCH("wagon",PROPERTIES[[#This Row],[VEHIDCODE]])),0,OR(MID(PROPERTIES[[#This Row],[VEHIDCODE]],2,2)="mu",_xlfn.TEXTBEFORE(PROPERTIES[[#This Row],[VEHIDCODE]],"_")="mtro"),1,1=1,0)</f>
        <v>1</v>
      </c>
      <c r="D815" t="s">
        <v>1782</v>
      </c>
      <c r="E815" t="str">
        <f>_xlfn.XLOOKUP(PROPERTIES[[#This Row],[COUNTRY]],COUNTRIES[COUNTRY_DESCRIPTION],COUNTRIES[COUNTRY_LABEL],"")</f>
        <v>GB</v>
      </c>
      <c r="F815" t="str" cm="1">
        <f t="array" ref="F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5" t="s">
        <v>320</v>
      </c>
      <c r="H815">
        <f>INT(1047/8)</f>
        <v>130</v>
      </c>
      <c r="I815">
        <v>8</v>
      </c>
      <c r="J815">
        <v>8</v>
      </c>
      <c r="K815" t="str" cm="1">
        <f t="array" ref="K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f>IF(ISNUMBER(SEARCH("passenger",PROPERTIES[[#This Row],[CARGODEF]])),1,0)</f>
        <v>1</v>
      </c>
      <c r="O815" s="32">
        <v>22.5</v>
      </c>
      <c r="P815">
        <v>1700</v>
      </c>
      <c r="Q815">
        <v>100</v>
      </c>
      <c r="R815" s="29">
        <v>0</v>
      </c>
      <c r="S815" s="28">
        <f>IFERROR(PROPERTIES[[#This Row],[TE_STARTING_KN]]/(PROPERTIES[[#This Row],[WEIGHT]]*9.81),0)</f>
        <v>0</v>
      </c>
      <c r="T815" s="28">
        <v>0.3</v>
      </c>
      <c r="U815" s="25">
        <f>ROUND(IF(IFERROR(PROPERTIES[[#This Row],[TE_COEFFICIENT_CALC]],0)=0,PROPERTIES[[#This Row],[TE_COEFFICIENT_MANUAL]],PROPERTIES[[#This Row],[TE_COEFFICIENT_CALC]]),3)</f>
        <v>0.3</v>
      </c>
      <c r="V815" s="11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36">
        <v>125</v>
      </c>
      <c r="X815" s="9">
        <v>8</v>
      </c>
      <c r="Y815" s="10">
        <v>0</v>
      </c>
      <c r="Z815" t="s">
        <v>873</v>
      </c>
      <c r="AA815" t="s">
        <v>868</v>
      </c>
      <c r="AB815" s="2" t="s">
        <v>886</v>
      </c>
      <c r="AC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5" s="2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  <c r="AH815" s="10" t="b">
        <v>0</v>
      </c>
    </row>
    <row r="816" spans="1:34">
      <c r="A816" s="2" t="s">
        <v>3053</v>
      </c>
      <c r="B816">
        <v>2010</v>
      </c>
      <c r="C816" cm="1">
        <f t="array" ref="C816">_xlfn.IFS(ISNUMBER(SEARCH("wagon",PROPERTIES[[#This Row],[VEHIDCODE]])),0,OR(MID(PROPERTIES[[#This Row],[VEHIDCODE]],2,2)="mu",_xlfn.TEXTBEFORE(PROPERTIES[[#This Row],[VEHIDCODE]],"_")="mtro"),1,1=1,0)</f>
        <v>1</v>
      </c>
      <c r="D816" t="s">
        <v>1782</v>
      </c>
      <c r="E816" t="str">
        <f>_xlfn.XLOOKUP(PROPERTIES[[#This Row],[COUNTRY]],COUNTRIES[COUNTRY_DESCRIPTION],COUNTRIES[COUNTRY_LABEL],"")</f>
        <v>GB</v>
      </c>
      <c r="F816" t="str" cm="1">
        <f t="array" ref="F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6" t="s">
        <v>320</v>
      </c>
      <c r="H816">
        <f>INT(1350/8)</f>
        <v>168</v>
      </c>
      <c r="I816">
        <v>8</v>
      </c>
      <c r="J816">
        <v>8</v>
      </c>
      <c r="K816" t="str" cm="1">
        <f t="array" ref="K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f>IF(ISNUMBER(SEARCH("passenger",PROPERTIES[[#This Row],[CARGODEF]])),1,0)</f>
        <v>1</v>
      </c>
      <c r="O816" s="32">
        <f>INT(238/8)</f>
        <v>29</v>
      </c>
      <c r="P816">
        <v>2000</v>
      </c>
      <c r="Q816">
        <v>100</v>
      </c>
      <c r="R816" s="29">
        <v>0</v>
      </c>
      <c r="S816" s="28">
        <f>IFERROR(PROPERTIES[[#This Row],[TE_STARTING_KN]]/(PROPERTIES[[#This Row],[WEIGHT]]*9.81),0)</f>
        <v>0</v>
      </c>
      <c r="T816" s="28">
        <v>0.3</v>
      </c>
      <c r="U816" s="25">
        <f>ROUND(IF(IFERROR(PROPERTIES[[#This Row],[TE_COEFFICIENT_CALC]],0)=0,PROPERTIES[[#This Row],[TE_COEFFICIENT_MANUAL]],PROPERTIES[[#This Row],[TE_COEFFICIENT_CALC]]),3)</f>
        <v>0.3</v>
      </c>
      <c r="V816" s="11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36">
        <v>160</v>
      </c>
      <c r="X816" s="9">
        <v>8</v>
      </c>
      <c r="Y816" s="10">
        <v>0</v>
      </c>
      <c r="Z816" t="s">
        <v>873</v>
      </c>
      <c r="AA816" t="s">
        <v>868</v>
      </c>
      <c r="AB816" s="2" t="s">
        <v>886</v>
      </c>
      <c r="AC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6" s="2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  <c r="AH816" s="10" t="b">
        <v>0</v>
      </c>
    </row>
    <row r="817" spans="1:34">
      <c r="A817" s="2" t="s">
        <v>3057</v>
      </c>
      <c r="B817">
        <v>1972</v>
      </c>
      <c r="C817" cm="1">
        <f t="array" ref="C817">_xlfn.IFS(ISNUMBER(SEARCH("wagon",PROPERTIES[[#This Row],[VEHIDCODE]])),0,OR(MID(PROPERTIES[[#This Row],[VEHIDCODE]],2,2)="mu",_xlfn.TEXTBEFORE(PROPERTIES[[#This Row],[VEHIDCODE]],"_")="mtro"),1,1=1,0)</f>
        <v>1</v>
      </c>
      <c r="D817" t="s">
        <v>1782</v>
      </c>
      <c r="E817" t="str">
        <f>_xlfn.XLOOKUP(PROPERTIES[[#This Row],[COUNTRY]],COUNTRIES[COUNTRY_DESCRIPTION],COUNTRIES[COUNTRY_LABEL],"")</f>
        <v>GB</v>
      </c>
      <c r="F817" t="str" cm="1">
        <f t="array" ref="F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7" t="s">
        <v>320</v>
      </c>
      <c r="H817">
        <f>INT(851/7)</f>
        <v>121</v>
      </c>
      <c r="I817">
        <v>7</v>
      </c>
      <c r="J817">
        <v>7</v>
      </c>
      <c r="K817" t="str" cm="1">
        <f t="array" ref="K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f>IF(ISNUMBER(SEARCH("passenger",PROPERTIES[[#This Row],[CARGODEF]])),1,0)</f>
        <v>1</v>
      </c>
      <c r="O817" s="32">
        <f>INT(238/8)</f>
        <v>29</v>
      </c>
      <c r="P817">
        <v>1400</v>
      </c>
      <c r="Q817">
        <v>72</v>
      </c>
      <c r="R817" s="29">
        <v>0</v>
      </c>
      <c r="S817" s="28">
        <f>IFERROR(PROPERTIES[[#This Row],[TE_STARTING_KN]]/(PROPERTIES[[#This Row],[WEIGHT]]*9.81),0)</f>
        <v>0</v>
      </c>
      <c r="T817" s="28">
        <v>0.25</v>
      </c>
      <c r="U817" s="25">
        <f>ROUND(IF(IFERROR(PROPERTIES[[#This Row],[TE_COEFFICIENT_CALC]],0)=0,PROPERTIES[[#This Row],[TE_COEFFICIENT_MANUAL]],PROPERTIES[[#This Row],[TE_COEFFICIENT_CALC]]),3)</f>
        <v>0.25</v>
      </c>
      <c r="V817" s="11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36">
        <v>120</v>
      </c>
      <c r="X817" s="9">
        <v>7</v>
      </c>
      <c r="Y817" s="10">
        <v>0</v>
      </c>
      <c r="Z817" t="s">
        <v>873</v>
      </c>
      <c r="AA817" t="s">
        <v>868</v>
      </c>
      <c r="AB817" s="2" t="s">
        <v>886</v>
      </c>
      <c r="AC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7" s="2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  <c r="AH817" s="10" t="b">
        <v>0</v>
      </c>
    </row>
    <row r="818" spans="1:34">
      <c r="A818" s="2" t="s">
        <v>3060</v>
      </c>
      <c r="B818">
        <v>1959</v>
      </c>
      <c r="C818" cm="1">
        <f t="array" ref="C818">_xlfn.IFS(ISNUMBER(SEARCH("wagon",PROPERTIES[[#This Row],[VEHIDCODE]])),0,OR(MID(PROPERTIES[[#This Row],[VEHIDCODE]],2,2)="mu",_xlfn.TEXTBEFORE(PROPERTIES[[#This Row],[VEHIDCODE]],"_")="mtro"),1,1=1,0)</f>
        <v>1</v>
      </c>
      <c r="D818" t="s">
        <v>1782</v>
      </c>
      <c r="E818" t="str">
        <f>_xlfn.XLOOKUP(PROPERTIES[[#This Row],[COUNTRY]],COUNTRIES[COUNTRY_DESCRIPTION],COUNTRIES[COUNTRY_LABEL],"")</f>
        <v>GB</v>
      </c>
      <c r="F818" t="str" cm="1">
        <f t="array" ref="F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8" t="s">
        <v>320</v>
      </c>
      <c r="H818">
        <v>105</v>
      </c>
      <c r="I818">
        <v>7</v>
      </c>
      <c r="J818">
        <v>7</v>
      </c>
      <c r="K818" t="str" cm="1">
        <f t="array" ref="K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f>IF(ISNUMBER(SEARCH("passenger",PROPERTIES[[#This Row],[CARGODEF]])),1,0)</f>
        <v>1</v>
      </c>
      <c r="O818" s="32">
        <v>27</v>
      </c>
      <c r="P818">
        <v>700</v>
      </c>
      <c r="Q818">
        <v>72</v>
      </c>
      <c r="R818" s="29">
        <v>0</v>
      </c>
      <c r="S818" s="28">
        <f>IFERROR(PROPERTIES[[#This Row],[TE_STARTING_KN]]/(PROPERTIES[[#This Row],[WEIGHT]]*9.81),0)</f>
        <v>0</v>
      </c>
      <c r="T818" s="28">
        <v>0.22</v>
      </c>
      <c r="U818" s="25">
        <f>ROUND(IF(IFERROR(PROPERTIES[[#This Row],[TE_COEFFICIENT_CALC]],0)=0,PROPERTIES[[#This Row],[TE_COEFFICIENT_MANUAL]],PROPERTIES[[#This Row],[TE_COEFFICIENT_CALC]]),3)</f>
        <v>0.22</v>
      </c>
      <c r="V818" s="11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36">
        <v>120</v>
      </c>
      <c r="X818" s="9">
        <v>7</v>
      </c>
      <c r="Y818" s="10">
        <v>0</v>
      </c>
      <c r="Z818" t="s">
        <v>873</v>
      </c>
      <c r="AA818" t="s">
        <v>868</v>
      </c>
      <c r="AB818" s="2" t="s">
        <v>886</v>
      </c>
      <c r="AC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8" s="2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  <c r="AH818" s="10" t="b">
        <v>0</v>
      </c>
    </row>
    <row r="819" spans="1:34">
      <c r="A819" s="2" t="s">
        <v>3074</v>
      </c>
      <c r="B819">
        <v>1987</v>
      </c>
      <c r="C819" cm="1">
        <f t="array" ref="C819">_xlfn.IFS(ISNUMBER(SEARCH("wagon",PROPERTIES[[#This Row],[VEHIDCODE]])),0,OR(MID(PROPERTIES[[#This Row],[VEHIDCODE]],2,2)="mu",_xlfn.TEXTBEFORE(PROPERTIES[[#This Row],[VEHIDCODE]],"_")="mtro"),1,1=1,0)</f>
        <v>1</v>
      </c>
      <c r="D819" t="s">
        <v>1903</v>
      </c>
      <c r="E819" t="str">
        <f>_xlfn.XLOOKUP(PROPERTIES[[#This Row],[COUNTRY]],COUNTRIES[COUNTRY_DESCRIPTION],COUNTRIES[COUNTRY_LABEL],"")</f>
        <v>SG</v>
      </c>
      <c r="F819" t="str" cm="1">
        <f t="array" ref="F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9" t="s">
        <v>320</v>
      </c>
      <c r="H819">
        <v>160</v>
      </c>
      <c r="I819">
        <v>8</v>
      </c>
      <c r="J819">
        <v>8</v>
      </c>
      <c r="K819" t="str" cm="1">
        <f t="array" ref="K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f>IF(ISNUMBER(SEARCH("passenger",PROPERTIES[[#This Row],[CARGODEF]])),1,0)</f>
        <v>1</v>
      </c>
      <c r="O819" s="32">
        <v>35</v>
      </c>
      <c r="P819">
        <v>1000</v>
      </c>
      <c r="Q819">
        <v>90</v>
      </c>
      <c r="R819" s="29">
        <v>0</v>
      </c>
      <c r="S819" s="28">
        <f>IFERROR(PROPERTIES[[#This Row],[TE_STARTING_KN]]/(PROPERTIES[[#This Row],[WEIGHT]]*9.81),0)</f>
        <v>0</v>
      </c>
      <c r="T819" s="28">
        <v>0.3</v>
      </c>
      <c r="U819" s="25">
        <f>ROUND(IF(IFERROR(PROPERTIES[[#This Row],[TE_COEFFICIENT_CALC]],0)=0,PROPERTIES[[#This Row],[TE_COEFFICIENT_MANUAL]],PROPERTIES[[#This Row],[TE_COEFFICIENT_CALC]]),3)</f>
        <v>0.3</v>
      </c>
      <c r="V819" s="11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36">
        <v>160</v>
      </c>
      <c r="X819" s="9">
        <v>8</v>
      </c>
      <c r="Y819" s="10">
        <v>0</v>
      </c>
      <c r="Z819" t="s">
        <v>877</v>
      </c>
      <c r="AA819" t="s">
        <v>868</v>
      </c>
      <c r="AB819" s="2" t="s">
        <v>886</v>
      </c>
      <c r="AC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9" s="2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  <c r="AH819" s="10" t="b">
        <v>0</v>
      </c>
    </row>
    <row r="820" spans="1:34">
      <c r="A820" s="2" t="s">
        <v>3075</v>
      </c>
      <c r="B820">
        <v>2000</v>
      </c>
      <c r="C820" cm="1">
        <f t="array" ref="C820">_xlfn.IFS(ISNUMBER(SEARCH("wagon",PROPERTIES[[#This Row],[VEHIDCODE]])),0,OR(MID(PROPERTIES[[#This Row],[VEHIDCODE]],2,2)="mu",_xlfn.TEXTBEFORE(PROPERTIES[[#This Row],[VEHIDCODE]],"_")="mtro"),1,1=1,0)</f>
        <v>1</v>
      </c>
      <c r="D820" t="s">
        <v>1903</v>
      </c>
      <c r="E820" t="str">
        <f>_xlfn.XLOOKUP(PROPERTIES[[#This Row],[COUNTRY]],COUNTRIES[COUNTRY_DESCRIPTION],COUNTRIES[COUNTRY_LABEL],"")</f>
        <v>SG</v>
      </c>
      <c r="F820" t="str" cm="1">
        <f t="array" ref="F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0" t="s">
        <v>320</v>
      </c>
      <c r="H820">
        <v>160</v>
      </c>
      <c r="I820">
        <v>8</v>
      </c>
      <c r="J820">
        <v>8</v>
      </c>
      <c r="K820" t="str" cm="1">
        <f t="array" ref="K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f>IF(ISNUMBER(SEARCH("passenger",PROPERTIES[[#This Row],[CARGODEF]])),1,0)</f>
        <v>1</v>
      </c>
      <c r="O820" s="32">
        <v>35</v>
      </c>
      <c r="P820">
        <v>1000</v>
      </c>
      <c r="Q820">
        <v>90</v>
      </c>
      <c r="R820" s="29">
        <v>0</v>
      </c>
      <c r="S820" s="28">
        <f>IFERROR(PROPERTIES[[#This Row],[TE_STARTING_KN]]/(PROPERTIES[[#This Row],[WEIGHT]]*9.81),0)</f>
        <v>0</v>
      </c>
      <c r="T820" s="28">
        <v>0.3</v>
      </c>
      <c r="U820" s="25">
        <f>ROUND(IF(IFERROR(PROPERTIES[[#This Row],[TE_COEFFICIENT_CALC]],0)=0,PROPERTIES[[#This Row],[TE_COEFFICIENT_MANUAL]],PROPERTIES[[#This Row],[TE_COEFFICIENT_CALC]]),3)</f>
        <v>0.3</v>
      </c>
      <c r="V820" s="11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36">
        <v>160</v>
      </c>
      <c r="X820" s="9">
        <v>8</v>
      </c>
      <c r="Y820" s="10">
        <v>0</v>
      </c>
      <c r="Z820" t="s">
        <v>877</v>
      </c>
      <c r="AA820" t="s">
        <v>868</v>
      </c>
      <c r="AB820" s="2" t="s">
        <v>886</v>
      </c>
      <c r="AC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0" s="2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  <c r="AH820" s="10" t="b">
        <v>0</v>
      </c>
    </row>
    <row r="821" spans="1:34">
      <c r="A821" s="2" t="s">
        <v>3078</v>
      </c>
      <c r="B821">
        <v>1965</v>
      </c>
      <c r="C821" cm="1">
        <f t="array" ref="C821">_xlfn.IFS(ISNUMBER(SEARCH("wagon",PROPERTIES[[#This Row],[VEHIDCODE]])),0,OR(MID(PROPERTIES[[#This Row],[VEHIDCODE]],2,2)="mu",_xlfn.TEXTBEFORE(PROPERTIES[[#This Row],[VEHIDCODE]],"_")="mtro"),1,1=1,0)</f>
        <v>1</v>
      </c>
      <c r="D821" t="s">
        <v>1719</v>
      </c>
      <c r="E821" t="str">
        <f>_xlfn.XLOOKUP(PROPERTIES[[#This Row],[COUNTRY]],COUNTRIES[COUNTRY_DESCRIPTION],COUNTRIES[COUNTRY_LABEL],"")</f>
        <v>AU</v>
      </c>
      <c r="F821" t="str" cm="1">
        <f t="array" ref="F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1" t="s">
        <v>320</v>
      </c>
      <c r="H821">
        <v>100</v>
      </c>
      <c r="I821">
        <v>8</v>
      </c>
      <c r="J821">
        <v>8</v>
      </c>
      <c r="K821" t="str" cm="1">
        <f t="array" ref="K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f>IF(ISNUMBER(SEARCH("passenger",PROPERTIES[[#This Row],[CARGODEF]])),1,0)</f>
        <v>1</v>
      </c>
      <c r="O821" s="32">
        <v>22</v>
      </c>
      <c r="P821">
        <v>500</v>
      </c>
      <c r="Q821">
        <v>100</v>
      </c>
      <c r="R821" s="29">
        <v>0</v>
      </c>
      <c r="S821" s="28">
        <f>IFERROR(PROPERTIES[[#This Row],[TE_STARTING_KN]]/(PROPERTIES[[#This Row],[WEIGHT]]*9.81),0)</f>
        <v>0</v>
      </c>
      <c r="T821" s="28">
        <v>0.25</v>
      </c>
      <c r="U821" s="25">
        <f>ROUND(IF(IFERROR(PROPERTIES[[#This Row],[TE_COEFFICIENT_CALC]],0)=0,PROPERTIES[[#This Row],[TE_COEFFICIENT_MANUAL]],PROPERTIES[[#This Row],[TE_COEFFICIENT_CALC]]),3)</f>
        <v>0.25</v>
      </c>
      <c r="V821" s="11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36">
        <v>80</v>
      </c>
      <c r="X821" s="9">
        <v>8</v>
      </c>
      <c r="Y821" s="10">
        <v>0</v>
      </c>
      <c r="Z821" t="s">
        <v>871</v>
      </c>
      <c r="AA821" t="s">
        <v>868</v>
      </c>
      <c r="AB821" s="2" t="s">
        <v>887</v>
      </c>
      <c r="AC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1" s="2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  <c r="AH821" s="10" t="b">
        <v>0</v>
      </c>
    </row>
    <row r="822" spans="1:34">
      <c r="A822" t="s">
        <v>3082</v>
      </c>
      <c r="B822">
        <v>1981</v>
      </c>
      <c r="C822" cm="1">
        <f t="array" ref="C822">_xlfn.IFS(ISNUMBER(SEARCH("wagon",PROPERTIES[[#This Row],[VEHIDCODE]])),0,OR(MID(PROPERTIES[[#This Row],[VEHIDCODE]],2,2)="mu",_xlfn.TEXTBEFORE(PROPERTIES[[#This Row],[VEHIDCODE]],"_")="mtro"),1,1=1,0)</f>
        <v>1</v>
      </c>
      <c r="D822" t="s">
        <v>1719</v>
      </c>
      <c r="E822" t="str">
        <f>_xlfn.XLOOKUP(PROPERTIES[[#This Row],[COUNTRY]],COUNTRIES[COUNTRY_DESCRIPTION],COUNTRIES[COUNTRY_LABEL],"")</f>
        <v>AU</v>
      </c>
      <c r="F822" t="str" cm="1">
        <f t="array" ref="F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2" t="s">
        <v>320</v>
      </c>
      <c r="H822">
        <v>127</v>
      </c>
      <c r="I822">
        <v>8</v>
      </c>
      <c r="J822">
        <v>8</v>
      </c>
      <c r="K822" t="str" cm="1">
        <f t="array" ref="K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f>IF(ISNUMBER(SEARCH("passenger",PROPERTIES[[#This Row],[CARGODEF]])),1,0)</f>
        <v>1</v>
      </c>
      <c r="O822" s="32">
        <f>INT(141/3)</f>
        <v>47</v>
      </c>
      <c r="P822">
        <v>885</v>
      </c>
      <c r="Q822">
        <v>115</v>
      </c>
      <c r="R822" s="29">
        <v>0</v>
      </c>
      <c r="S822" s="29">
        <f>IFERROR(PROPERTIES[[#This Row],[TE_STARTING_KN]]/(PROPERTIES[[#This Row],[WEIGHT]]*9.81),0)</f>
        <v>0</v>
      </c>
      <c r="T822" s="29">
        <v>0.3</v>
      </c>
      <c r="U822" s="25">
        <f>ROUND(IF(IFERROR(PROPERTIES[[#This Row],[TE_COEFFICIENT_CALC]],0)=0,PROPERTIES[[#This Row],[TE_COEFFICIENT_MANUAL]],PROPERTIES[[#This Row],[TE_COEFFICIENT_CALC]]),3)</f>
        <v>0.3</v>
      </c>
      <c r="V822" s="11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36">
        <v>127</v>
      </c>
      <c r="X822" s="9">
        <v>8</v>
      </c>
      <c r="Y822" s="10">
        <v>0</v>
      </c>
      <c r="Z822" s="9" t="s">
        <v>871</v>
      </c>
      <c r="AA822" t="s">
        <v>868</v>
      </c>
      <c r="AB822" s="10" t="s">
        <v>886</v>
      </c>
      <c r="AC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2" s="2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  <c r="AH822" s="10" t="b">
        <v>0</v>
      </c>
    </row>
    <row r="823" spans="1:34">
      <c r="A823" s="2" t="s">
        <v>3083</v>
      </c>
      <c r="B823">
        <v>2020</v>
      </c>
      <c r="C823" cm="1">
        <f t="array" ref="C823">_xlfn.IFS(ISNUMBER(SEARCH("wagon",PROPERTIES[[#This Row],[VEHIDCODE]])),0,OR(MID(PROPERTIES[[#This Row],[VEHIDCODE]],2,2)="mu",_xlfn.TEXTBEFORE(PROPERTIES[[#This Row],[VEHIDCODE]],"_")="mtro"),1,1=1,0)</f>
        <v>1</v>
      </c>
      <c r="D823" t="s">
        <v>1719</v>
      </c>
      <c r="E823" t="str">
        <f>_xlfn.XLOOKUP(PROPERTIES[[#This Row],[COUNTRY]],COUNTRIES[COUNTRY_DESCRIPTION],COUNTRIES[COUNTRY_LABEL],"")</f>
        <v>AU</v>
      </c>
      <c r="F823" t="str" cm="1">
        <f t="array" ref="F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3" t="s">
        <v>320</v>
      </c>
      <c r="H823">
        <v>160</v>
      </c>
      <c r="I823">
        <v>8</v>
      </c>
      <c r="J823">
        <v>8</v>
      </c>
      <c r="K823" t="str" cm="1">
        <f t="array" ref="K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f>IF(ISNUMBER(SEARCH("passenger",PROPERTIES[[#This Row],[CARGODEF]])),1,0)</f>
        <v>1</v>
      </c>
      <c r="O823" s="32">
        <v>38</v>
      </c>
      <c r="P823">
        <v>1500</v>
      </c>
      <c r="Q823">
        <v>130</v>
      </c>
      <c r="R823" s="29">
        <v>0</v>
      </c>
      <c r="S823" s="29">
        <f>IFERROR(PROPERTIES[[#This Row],[TE_STARTING_KN]]/(PROPERTIES[[#This Row],[WEIGHT]]*9.81),0)</f>
        <v>0</v>
      </c>
      <c r="T823" s="29">
        <v>0.3</v>
      </c>
      <c r="U823" s="25">
        <f>ROUND(IF(IFERROR(PROPERTIES[[#This Row],[TE_COEFFICIENT_CALC]],0)=0,PROPERTIES[[#This Row],[TE_COEFFICIENT_MANUAL]],PROPERTIES[[#This Row],[TE_COEFFICIENT_CALC]]),3)</f>
        <v>0.3</v>
      </c>
      <c r="V823" s="11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36">
        <v>160</v>
      </c>
      <c r="X823" s="9">
        <v>8</v>
      </c>
      <c r="Y823" s="10">
        <v>0</v>
      </c>
      <c r="Z823" s="9" t="s">
        <v>871</v>
      </c>
      <c r="AA823" t="s">
        <v>868</v>
      </c>
      <c r="AB823" s="10" t="s">
        <v>886</v>
      </c>
      <c r="AC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3" s="2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  <c r="AH823" s="10" t="b">
        <v>0</v>
      </c>
    </row>
    <row r="824" spans="1:34">
      <c r="A824" s="2" t="s">
        <v>3086</v>
      </c>
      <c r="B824">
        <v>1973</v>
      </c>
      <c r="C824" cm="1">
        <f t="array" ref="C824">_xlfn.IFS(ISNUMBER(SEARCH("wagon",PROPERTIES[[#This Row],[VEHIDCODE]])),0,OR(MID(PROPERTIES[[#This Row],[VEHIDCODE]],2,2)="mu",_xlfn.TEXTBEFORE(PROPERTIES[[#This Row],[VEHIDCODE]],"_")="mtro"),1,1=1,0)</f>
        <v>0</v>
      </c>
      <c r="D824" t="s">
        <v>1763</v>
      </c>
      <c r="E824" t="str">
        <f>_xlfn.XLOOKUP(PROPERTIES[[#This Row],[COUNTRY]],COUNTRIES[COUNTRY_DESCRIPTION],COUNTRIES[COUNTRY_LABEL],"")</f>
        <v>DE</v>
      </c>
      <c r="F824" t="str" cm="1">
        <f t="array" ref="F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4" t="s">
        <v>19</v>
      </c>
      <c r="H824">
        <v>0</v>
      </c>
      <c r="I824">
        <v>8</v>
      </c>
      <c r="J824">
        <v>8</v>
      </c>
      <c r="K824" t="str" cm="1">
        <f t="array" ref="K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4">
        <f>_xlfn.XLOOKUP("LOADINGSPEEDDEF_"&amp;PROPERTIES[[#This Row],[LOADINGSPEED]],LOADINGSPEEDDEF[TYPE],LOADINGSPEEDDEF[SPEED])</f>
        <v>20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f>IF(ISNUMBER(SEARCH("passenger",PROPERTIES[[#This Row],[CARGODEF]])),1,0)</f>
        <v>0</v>
      </c>
      <c r="O824" s="32">
        <v>116</v>
      </c>
      <c r="P824">
        <f>INT(2206*1.3)</f>
        <v>2867</v>
      </c>
      <c r="Q824">
        <v>120</v>
      </c>
      <c r="R824" s="29">
        <v>265</v>
      </c>
      <c r="S824" s="28">
        <f>IFERROR(PROPERTIES[[#This Row],[TE_STARTING_KN]]/(PROPERTIES[[#This Row],[WEIGHT]]*9.81),0)</f>
        <v>0.23287286020598263</v>
      </c>
      <c r="T824" s="28">
        <v>0</v>
      </c>
      <c r="U824" s="25">
        <f>ROUND(IF(IFERROR(PROPERTIES[[#This Row],[TE_COEFFICIENT_CALC]],0)=0,PROPERTIES[[#This Row],[TE_COEFFICIENT_MANUAL]],PROPERTIES[[#This Row],[TE_COEFFICIENT_CALC]]),3)</f>
        <v>0.23300000000000001</v>
      </c>
      <c r="V824" s="11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36">
        <v>0</v>
      </c>
      <c r="X824" s="9">
        <v>0</v>
      </c>
      <c r="Y824" s="10">
        <v>0</v>
      </c>
      <c r="Z824" t="s">
        <v>869</v>
      </c>
      <c r="AA824" t="s">
        <v>868</v>
      </c>
      <c r="AB824" s="2" t="s">
        <v>886</v>
      </c>
      <c r="AC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4" s="2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  <c r="AH824" s="10" t="b">
        <v>0</v>
      </c>
    </row>
    <row r="825" spans="1:34">
      <c r="A825" t="s">
        <v>3090</v>
      </c>
      <c r="B825">
        <v>1995</v>
      </c>
      <c r="C825" cm="1">
        <f t="array" ref="C825">_xlfn.IFS(ISNUMBER(SEARCH("wagon",PROPERTIES[[#This Row],[VEHIDCODE]])),0,OR(MID(PROPERTIES[[#This Row],[VEHIDCODE]],2,2)="mu",_xlfn.TEXTBEFORE(PROPERTIES[[#This Row],[VEHIDCODE]],"_")="mtro"),1,1=1,0)</f>
        <v>0</v>
      </c>
      <c r="D825" t="s">
        <v>1937</v>
      </c>
      <c r="E825" t="str">
        <f>_xlfn.XLOOKUP(PROPERTIES[[#This Row],[COUNTRY]],COUNTRIES[COUNTRY_DESCRIPTION],COUNTRIES[COUNTRY_LABEL],"")</f>
        <v>US</v>
      </c>
      <c r="F825" t="str" cm="1">
        <f t="array" ref="F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5" t="s">
        <v>19</v>
      </c>
      <c r="H825">
        <v>0</v>
      </c>
      <c r="I825">
        <v>8</v>
      </c>
      <c r="J825">
        <v>10</v>
      </c>
      <c r="K825" t="str" cm="1">
        <f t="array" ref="K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5">
        <f>_xlfn.XLOOKUP("LOADINGSPEEDDEF_"&amp;PROPERTIES[[#This Row],[LOADINGSPEED]],LOADINGSPEEDDEF[TYPE],LOADINGSPEEDDEF[SPEED])</f>
        <v>20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f>IF(ISNUMBER(SEARCH("passenger",PROPERTIES[[#This Row],[CARGODEF]])),1,0)</f>
        <v>0</v>
      </c>
      <c r="O825" s="32">
        <v>196</v>
      </c>
      <c r="P825">
        <v>6000</v>
      </c>
      <c r="Q825">
        <v>120</v>
      </c>
      <c r="R825" s="29">
        <v>840</v>
      </c>
      <c r="S825" s="29">
        <f>IFERROR(PROPERTIES[[#This Row],[TE_STARTING_KN]]/(PROPERTIES[[#This Row],[WEIGHT]]*9.81),0)</f>
        <v>0.43687199650502401</v>
      </c>
      <c r="T825" s="29">
        <v>0</v>
      </c>
      <c r="U825" s="25">
        <f>ROUND(IF(IFERROR(PROPERTIES[[#This Row],[TE_COEFFICIENT_CALC]],0)=0,PROPERTIES[[#This Row],[TE_COEFFICIENT_MANUAL]],PROPERTIES[[#This Row],[TE_COEFFICIENT_CALC]]),3)</f>
        <v>0.437</v>
      </c>
      <c r="V825" s="11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36">
        <v>0</v>
      </c>
      <c r="X825" s="9">
        <v>2</v>
      </c>
      <c r="Y825" s="10">
        <v>0</v>
      </c>
      <c r="Z825" t="s">
        <v>874</v>
      </c>
      <c r="AA825" t="s">
        <v>868</v>
      </c>
      <c r="AB825" s="2" t="s">
        <v>886</v>
      </c>
      <c r="AC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5" s="2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  <c r="AH825" s="10" t="b">
        <v>0</v>
      </c>
    </row>
    <row r="826" spans="1:34">
      <c r="A826" s="2" t="s">
        <v>3092</v>
      </c>
      <c r="B826">
        <v>1995</v>
      </c>
      <c r="C826" cm="1">
        <f t="array" ref="C826">_xlfn.IFS(ISNUMBER(SEARCH("wagon",PROPERTIES[[#This Row],[VEHIDCODE]])),0,OR(MID(PROPERTIES[[#This Row],[VEHIDCODE]],2,2)="mu",_xlfn.TEXTBEFORE(PROPERTIES[[#This Row],[VEHIDCODE]],"_")="mtro"),1,1=1,0)</f>
        <v>0</v>
      </c>
      <c r="D826" t="s">
        <v>1719</v>
      </c>
      <c r="E826" t="str">
        <f>_xlfn.XLOOKUP(PROPERTIES[[#This Row],[COUNTRY]],COUNTRIES[COUNTRY_DESCRIPTION],COUNTRIES[COUNTRY_LABEL],"")</f>
        <v>AU</v>
      </c>
      <c r="F826" t="str" cm="1">
        <f t="array" ref="F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6" t="s">
        <v>19</v>
      </c>
      <c r="H826">
        <v>0</v>
      </c>
      <c r="I826">
        <v>8</v>
      </c>
      <c r="J826">
        <v>10</v>
      </c>
      <c r="K826" t="str" cm="1">
        <f t="array" ref="K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6">
        <f>_xlfn.XLOOKUP("LOADINGSPEEDDEF_"&amp;PROPERTIES[[#This Row],[LOADINGSPEED]],LOADINGSPEEDDEF[TYPE],LOADINGSPEEDDEF[SPEED])</f>
        <v>20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f>IF(ISNUMBER(SEARCH("passenger",PROPERTIES[[#This Row],[CARGODEF]])),1,0)</f>
        <v>0</v>
      </c>
      <c r="O826" s="32">
        <v>196</v>
      </c>
      <c r="P826">
        <v>6000</v>
      </c>
      <c r="Q826">
        <v>120</v>
      </c>
      <c r="R826" s="29">
        <v>840</v>
      </c>
      <c r="S826" s="29">
        <f>IFERROR(PROPERTIES[[#This Row],[TE_STARTING_KN]]/(PROPERTIES[[#This Row],[WEIGHT]]*9.81),0)</f>
        <v>0.43687199650502401</v>
      </c>
      <c r="T826" s="29">
        <v>0</v>
      </c>
      <c r="U826" s="25">
        <f>ROUND(IF(IFERROR(PROPERTIES[[#This Row],[TE_COEFFICIENT_CALC]],0)=0,PROPERTIES[[#This Row],[TE_COEFFICIENT_MANUAL]],PROPERTIES[[#This Row],[TE_COEFFICIENT_CALC]]),3)</f>
        <v>0.437</v>
      </c>
      <c r="V826" s="11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36">
        <v>0</v>
      </c>
      <c r="X826" s="9">
        <v>2</v>
      </c>
      <c r="Y826" s="10">
        <v>0</v>
      </c>
      <c r="Z826" t="s">
        <v>871</v>
      </c>
      <c r="AA826" t="s">
        <v>868</v>
      </c>
      <c r="AB826" s="2" t="s">
        <v>886</v>
      </c>
      <c r="AC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6" s="2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  <c r="AH826" s="10" t="b">
        <v>0</v>
      </c>
    </row>
    <row r="827" spans="1:34">
      <c r="A827" s="2" t="s">
        <v>3094</v>
      </c>
      <c r="B827">
        <v>1867</v>
      </c>
      <c r="C827" cm="1">
        <f t="array" ref="C827">_xlfn.IFS(ISNUMBER(SEARCH("wagon",PROPERTIES[[#This Row],[VEHIDCODE]])),0,OR(MID(PROPERTIES[[#This Row],[VEHIDCODE]],2,2)="mu",_xlfn.TEXTBEFORE(PROPERTIES[[#This Row],[VEHIDCODE]],"_")="mtro"),1,1=1,0)</f>
        <v>0</v>
      </c>
      <c r="D827" t="s">
        <v>1771</v>
      </c>
      <c r="E827" t="str">
        <f>_xlfn.XLOOKUP(PROPERTIES[[#This Row],[COUNTRY]],COUNTRIES[COUNTRY_DESCRIPTION],COUNTRIES[COUNTRY_LABEL],"")</f>
        <v>EG</v>
      </c>
      <c r="F827" t="str" cm="1">
        <f t="array" ref="F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7" t="s">
        <v>19</v>
      </c>
      <c r="H827">
        <v>0</v>
      </c>
      <c r="I827">
        <v>7</v>
      </c>
      <c r="J827">
        <v>7</v>
      </c>
      <c r="K827" t="str" cm="1">
        <f t="array" ref="K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7">
        <f>_xlfn.XLOOKUP("LOADINGSPEEDDEF_"&amp;PROPERTIES[[#This Row],[LOADINGSPEED]],LOADINGSPEEDDEF[TYPE],LOADINGSPEEDDEF[SPEED])</f>
        <v>20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f>IF(ISNUMBER(SEARCH("passenger",PROPERTIES[[#This Row],[CARGODEF]])),1,0)</f>
        <v>0</v>
      </c>
      <c r="O827" s="32">
        <v>60</v>
      </c>
      <c r="P827">
        <v>495</v>
      </c>
      <c r="Q827">
        <v>95</v>
      </c>
      <c r="R827" s="29">
        <v>33</v>
      </c>
      <c r="S827" s="28">
        <f>IFERROR(PROPERTIES[[#This Row],[TE_STARTING_KN]]/(PROPERTIES[[#This Row],[WEIGHT]]*9.81),0)</f>
        <v>5.6065239551478081E-2</v>
      </c>
      <c r="T827" s="28">
        <v>0</v>
      </c>
      <c r="U827" s="25">
        <f>ROUND(IF(IFERROR(PROPERTIES[[#This Row],[TE_COEFFICIENT_CALC]],0)=0,PROPERTIES[[#This Row],[TE_COEFFICIENT_MANUAL]],PROPERTIES[[#This Row],[TE_COEFFICIENT_CALC]]),3)</f>
        <v>5.6000000000000001E-2</v>
      </c>
      <c r="V827" s="11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36">
        <v>0</v>
      </c>
      <c r="X827" s="9">
        <v>0</v>
      </c>
      <c r="Y827" s="10">
        <v>0</v>
      </c>
      <c r="Z827" t="s">
        <v>872</v>
      </c>
      <c r="AA827" t="s">
        <v>868</v>
      </c>
      <c r="AB827" s="2" t="s">
        <v>886</v>
      </c>
      <c r="AC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7" s="2" t="str">
        <f>SUBSTITUTE(SUBSTITUTE(PROPERTIES[[#This Row],[PURCHASECOST_VALUE]], "PURCHASECOST_", ""), "_VALUE", "")</f>
        <v>STEAMENGINE</v>
      </c>
      <c r="AF827" s="9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  <c r="AH827" s="10" t="b">
        <v>0</v>
      </c>
    </row>
    <row r="828" spans="1:34">
      <c r="A828" s="2" t="s">
        <v>3096</v>
      </c>
      <c r="B828">
        <v>1973</v>
      </c>
      <c r="C828" cm="1">
        <f t="array" ref="C828">_xlfn.IFS(ISNUMBER(SEARCH("wagon",PROPERTIES[[#This Row],[VEHIDCODE]])),0,OR(MID(PROPERTIES[[#This Row],[VEHIDCODE]],2,2)="mu",_xlfn.TEXTBEFORE(PROPERTIES[[#This Row],[VEHIDCODE]],"_")="mtro"),1,1=1,0)</f>
        <v>1</v>
      </c>
      <c r="D828" t="s">
        <v>1719</v>
      </c>
      <c r="E828" t="str">
        <f>_xlfn.XLOOKUP(PROPERTIES[[#This Row],[COUNTRY]],COUNTRIES[COUNTRY_DESCRIPTION],COUNTRIES[COUNTRY_LABEL],"")</f>
        <v>AU</v>
      </c>
      <c r="F828" t="str" cm="1">
        <f t="array" ref="F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8" t="s">
        <v>320</v>
      </c>
      <c r="H828">
        <v>160</v>
      </c>
      <c r="I828">
        <v>8</v>
      </c>
      <c r="J828">
        <v>8</v>
      </c>
      <c r="K828" t="str" cm="1">
        <f t="array" ref="K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f>IF(ISNUMBER(SEARCH("passenger",PROPERTIES[[#This Row],[CARGODEF]])),1,0)</f>
        <v>1</v>
      </c>
      <c r="O828" s="32">
        <v>40</v>
      </c>
      <c r="P828">
        <v>2400</v>
      </c>
      <c r="Q828">
        <v>116</v>
      </c>
      <c r="R828" s="29">
        <v>0</v>
      </c>
      <c r="S828" s="29">
        <f>IFERROR(PROPERTIES[[#This Row],[TE_STARTING_KN]]/(PROPERTIES[[#This Row],[WEIGHT]]*9.81),0)</f>
        <v>0</v>
      </c>
      <c r="T828" s="29">
        <v>0.3</v>
      </c>
      <c r="U828" s="25">
        <f>ROUND(IF(IFERROR(PROPERTIES[[#This Row],[TE_COEFFICIENT_CALC]],0)=0,PROPERTIES[[#This Row],[TE_COEFFICIENT_MANUAL]],PROPERTIES[[#This Row],[TE_COEFFICIENT_CALC]]),3)</f>
        <v>0.3</v>
      </c>
      <c r="V828" s="11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36">
        <v>160</v>
      </c>
      <c r="X828" s="9">
        <v>8</v>
      </c>
      <c r="Y828" s="10">
        <v>0</v>
      </c>
      <c r="Z828" s="9" t="s">
        <v>871</v>
      </c>
      <c r="AA828" t="s">
        <v>868</v>
      </c>
      <c r="AB828" s="10" t="s">
        <v>886</v>
      </c>
      <c r="AC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8" s="2" t="str">
        <f>SUBSTITUTE(SUBSTITUTE(PROPERTIES[[#This Row],[PURCHASECOST_VALUE]], "PURCHASECOST_", ""), "_VALUE", "")</f>
        <v>EMU</v>
      </c>
      <c r="AF828" s="9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  <c r="AH828" s="10" t="b">
        <v>0</v>
      </c>
    </row>
    <row r="829" spans="1:34">
      <c r="A829" s="2" t="s">
        <v>3099</v>
      </c>
      <c r="B829">
        <v>1956</v>
      </c>
      <c r="C829" cm="1">
        <f t="array" ref="C829">_xlfn.IFS(ISNUMBER(SEARCH("wagon",PROPERTIES[[#This Row],[VEHIDCODE]])),0,OR(MID(PROPERTIES[[#This Row],[VEHIDCODE]],2,2)="mu",_xlfn.TEXTBEFORE(PROPERTIES[[#This Row],[VEHIDCODE]],"_")="mtro"),1,1=1,0)</f>
        <v>1</v>
      </c>
      <c r="D829" t="s">
        <v>1719</v>
      </c>
      <c r="E829" t="str">
        <f>_xlfn.XLOOKUP(PROPERTIES[[#This Row],[COUNTRY]],COUNTRIES[COUNTRY_DESCRIPTION],COUNTRIES[COUNTRY_LABEL],"")</f>
        <v>AU</v>
      </c>
      <c r="F829" t="str" cm="1">
        <f t="array" ref="F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9" t="s">
        <v>320</v>
      </c>
      <c r="H829">
        <v>101</v>
      </c>
      <c r="I829">
        <v>8</v>
      </c>
      <c r="J829">
        <v>8</v>
      </c>
      <c r="K829" t="str" cm="1">
        <f t="array" ref="K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9">
        <f>_xlfn.XLOOKUP("LOADINGSPEEDDEF_"&amp;PROPERTIES[[#This Row],[LOADINGSPEED]],LOADINGSPEEDDEF[TYPE],LOADINGSPEEDDEF[SPEED])</f>
        <v>40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f>IF(ISNUMBER(SEARCH("passenger",PROPERTIES[[#This Row],[CARGODEF]])),1,0)</f>
        <v>1</v>
      </c>
      <c r="O829" s="32">
        <v>46</v>
      </c>
      <c r="P829">
        <v>808</v>
      </c>
      <c r="Q829">
        <v>113</v>
      </c>
      <c r="R829" s="29">
        <v>0</v>
      </c>
      <c r="S829" s="29">
        <f>IFERROR(PROPERTIES[[#This Row],[TE_STARTING_KN]]/(PROPERTIES[[#This Row],[WEIGHT]]*9.81),0)</f>
        <v>0</v>
      </c>
      <c r="T829" s="29">
        <v>0.3</v>
      </c>
      <c r="U829" s="25">
        <f>ROUND(IF(IFERROR(PROPERTIES[[#This Row],[TE_COEFFICIENT_CALC]],0)=0,PROPERTIES[[#This Row],[TE_COEFFICIENT_MANUAL]],PROPERTIES[[#This Row],[TE_COEFFICIENT_CALC]]),3)</f>
        <v>0.3</v>
      </c>
      <c r="V829" s="11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36">
        <v>100</v>
      </c>
      <c r="X829" s="9">
        <v>8</v>
      </c>
      <c r="Y829" s="10">
        <v>0</v>
      </c>
      <c r="Z829" s="9" t="s">
        <v>871</v>
      </c>
      <c r="AA829" t="s">
        <v>868</v>
      </c>
      <c r="AB829" s="10" t="s">
        <v>886</v>
      </c>
      <c r="AC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9" s="2" t="str">
        <f>SUBSTITUTE(SUBSTITUTE(PROPERTIES[[#This Row],[PURCHASECOST_VALUE]], "PURCHASECOST_", ""), "_VALUE", "")</f>
        <v>EMU</v>
      </c>
      <c r="AF829" s="9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  <c r="AH829" s="10" t="b">
        <v>0</v>
      </c>
    </row>
    <row r="830" spans="1:34">
      <c r="A830" s="2" t="s">
        <v>3101</v>
      </c>
      <c r="B830">
        <v>2023</v>
      </c>
      <c r="C830" cm="1">
        <f t="array" ref="C830">_xlfn.IFS(ISNUMBER(SEARCH("wagon",PROPERTIES[[#This Row],[VEHIDCODE]])),0,OR(MID(PROPERTIES[[#This Row],[VEHIDCODE]],2,2)="mu",_xlfn.TEXTBEFORE(PROPERTIES[[#This Row],[VEHIDCODE]],"_")="mtro"),1,1=1,0)</f>
        <v>1</v>
      </c>
      <c r="D830" t="s">
        <v>1719</v>
      </c>
      <c r="E830" t="str">
        <f>_xlfn.XLOOKUP(PROPERTIES[[#This Row],[COUNTRY]],COUNTRIES[COUNTRY_DESCRIPTION],COUNTRIES[COUNTRY_LABEL],"")</f>
        <v>AU</v>
      </c>
      <c r="F830" t="str" cm="1">
        <f t="array" ref="F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0" t="s">
        <v>320</v>
      </c>
      <c r="H830">
        <v>142</v>
      </c>
      <c r="I830">
        <v>8</v>
      </c>
      <c r="J830">
        <v>8</v>
      </c>
      <c r="K830" t="str" cm="1">
        <f t="array" ref="K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f>IF(ISNUMBER(SEARCH("passenger",PROPERTIES[[#This Row],[CARGODEF]])),1,0)</f>
        <v>1</v>
      </c>
      <c r="O830" s="32">
        <v>40</v>
      </c>
      <c r="P830">
        <v>1286</v>
      </c>
      <c r="Q830">
        <v>145</v>
      </c>
      <c r="R830" s="29">
        <v>0</v>
      </c>
      <c r="S830" s="29">
        <f>IFERROR(PROPERTIES[[#This Row],[TE_STARTING_KN]]/(PROPERTIES[[#This Row],[WEIGHT]]*9.81),0)</f>
        <v>0</v>
      </c>
      <c r="T830" s="29">
        <v>0.3</v>
      </c>
      <c r="U830" s="25">
        <f>ROUND(IF(IFERROR(PROPERTIES[[#This Row],[TE_COEFFICIENT_CALC]],0)=0,PROPERTIES[[#This Row],[TE_COEFFICIENT_MANUAL]],PROPERTIES[[#This Row],[TE_COEFFICIENT_CALC]]),3)</f>
        <v>0.3</v>
      </c>
      <c r="V830" s="11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36">
        <v>140</v>
      </c>
      <c r="X830" s="9">
        <v>8</v>
      </c>
      <c r="Y830" s="10">
        <v>0</v>
      </c>
      <c r="Z830" s="9" t="s">
        <v>871</v>
      </c>
      <c r="AA830" t="s">
        <v>868</v>
      </c>
      <c r="AB830" s="10" t="s">
        <v>886</v>
      </c>
      <c r="AC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0" s="2" t="str">
        <f>SUBSTITUTE(SUBSTITUTE(PROPERTIES[[#This Row],[PURCHASECOST_VALUE]], "PURCHASECOST_", ""), "_VALUE", "")</f>
        <v>EMU</v>
      </c>
      <c r="AF830" s="9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  <c r="AH830" s="10" t="b">
        <v>0</v>
      </c>
    </row>
    <row r="831" spans="1:34">
      <c r="A831" s="2" t="s">
        <v>3104</v>
      </c>
      <c r="B831">
        <v>1919</v>
      </c>
      <c r="C831" cm="1">
        <f t="array" ref="C831">_xlfn.IFS(ISNUMBER(SEARCH("wagon",PROPERTIES[[#This Row],[VEHIDCODE]])),0,OR(MID(PROPERTIES[[#This Row],[VEHIDCODE]],2,2)="mu",_xlfn.TEXTBEFORE(PROPERTIES[[#This Row],[VEHIDCODE]],"_")="mtro"),1,1=1,0)</f>
        <v>1</v>
      </c>
      <c r="D831" t="s">
        <v>1719</v>
      </c>
      <c r="E831" t="str">
        <f>_xlfn.XLOOKUP(PROPERTIES[[#This Row],[COUNTRY]],COUNTRIES[COUNTRY_DESCRIPTION],COUNTRIES[COUNTRY_LABEL],"")</f>
        <v>AU</v>
      </c>
      <c r="F831" t="str" cm="1">
        <f t="array" ref="F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1" t="s">
        <v>320</v>
      </c>
      <c r="H831">
        <v>72</v>
      </c>
      <c r="I831">
        <v>8</v>
      </c>
      <c r="J831">
        <v>8</v>
      </c>
      <c r="K831" t="str" cm="1">
        <f t="array" ref="K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1">
        <f>_xlfn.XLOOKUP("LOADINGSPEEDDEF_"&amp;PROPERTIES[[#This Row],[LOADINGSPEED]],LOADINGSPEEDDEF[TYPE],LOADINGSPEEDDEF[SPEED])</f>
        <v>40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f>IF(ISNUMBER(SEARCH("passenger",PROPERTIES[[#This Row],[CARGODEF]])),1,0)</f>
        <v>1</v>
      </c>
      <c r="O831" s="32">
        <v>35</v>
      </c>
      <c r="P831">
        <v>282</v>
      </c>
      <c r="Q831">
        <v>80</v>
      </c>
      <c r="R831" s="29">
        <v>0</v>
      </c>
      <c r="S831" s="29">
        <f>IFERROR(PROPERTIES[[#This Row],[TE_STARTING_KN]]/(PROPERTIES[[#This Row],[WEIGHT]]*9.81),0)</f>
        <v>0</v>
      </c>
      <c r="T831" s="29">
        <v>0.2</v>
      </c>
      <c r="U831" s="25">
        <f>ROUND(IF(IFERROR(PROPERTIES[[#This Row],[TE_COEFFICIENT_CALC]],0)=0,PROPERTIES[[#This Row],[TE_COEFFICIENT_MANUAL]],PROPERTIES[[#This Row],[TE_COEFFICIENT_CALC]]),3)</f>
        <v>0.2</v>
      </c>
      <c r="V831" s="11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36">
        <v>72</v>
      </c>
      <c r="X831" s="9">
        <v>8</v>
      </c>
      <c r="Y831" s="10">
        <v>0</v>
      </c>
      <c r="Z831" s="9" t="s">
        <v>871</v>
      </c>
      <c r="AA831" t="s">
        <v>868</v>
      </c>
      <c r="AB831" s="10" t="s">
        <v>886</v>
      </c>
      <c r="AC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1" s="2" t="str">
        <f>SUBSTITUTE(SUBSTITUTE(PROPERTIES[[#This Row],[PURCHASECOST_VALUE]], "PURCHASECOST_", ""), "_VALUE", "")</f>
        <v>EMU</v>
      </c>
      <c r="AF831" s="9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  <c r="AH831" s="10" t="b">
        <v>0</v>
      </c>
    </row>
    <row r="832" spans="1:34">
      <c r="A832" s="2" t="s">
        <v>3107</v>
      </c>
      <c r="B832">
        <v>1973</v>
      </c>
      <c r="C832" cm="1">
        <f t="array" ref="C832">_xlfn.IFS(ISNUMBER(SEARCH("wagon",PROPERTIES[[#This Row],[VEHIDCODE]])),0,OR(MID(PROPERTIES[[#This Row],[VEHIDCODE]],2,2)="mu",_xlfn.TEXTBEFORE(PROPERTIES[[#This Row],[VEHIDCODE]],"_")="mtro"),1,1=1,0)</f>
        <v>1</v>
      </c>
      <c r="D832" t="s">
        <v>1763</v>
      </c>
      <c r="E832" t="str">
        <f>_xlfn.XLOOKUP(PROPERTIES[[#This Row],[COUNTRY]],COUNTRIES[COUNTRY_DESCRIPTION],COUNTRIES[COUNTRY_LABEL],"")</f>
        <v>DE</v>
      </c>
      <c r="F832" t="str" cm="1">
        <f t="array" ref="F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2" t="s">
        <v>320</v>
      </c>
      <c r="H832">
        <f>234/2</f>
        <v>117</v>
      </c>
      <c r="I832">
        <v>8</v>
      </c>
      <c r="J832">
        <v>8</v>
      </c>
      <c r="K832" t="str" cm="1">
        <f t="array" ref="K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f>IF(ISNUMBER(SEARCH("passenger",PROPERTIES[[#This Row],[CARGODEF]])),1,0)</f>
        <v>1</v>
      </c>
      <c r="O832" s="32">
        <v>38</v>
      </c>
      <c r="P832">
        <f>540*1.3</f>
        <v>702</v>
      </c>
      <c r="Q832">
        <v>72</v>
      </c>
      <c r="R832" s="29">
        <v>0</v>
      </c>
      <c r="S832" s="28">
        <f>IFERROR(PROPERTIES[[#This Row],[TE_STARTING_KN]]/(PROPERTIES[[#This Row],[WEIGHT]]*9.81),0)</f>
        <v>0</v>
      </c>
      <c r="T832" s="28">
        <v>0.25</v>
      </c>
      <c r="U832" s="25">
        <f>ROUND(IF(IFERROR(PROPERTIES[[#This Row],[TE_COEFFICIENT_CALC]],0)=0,PROPERTIES[[#This Row],[TE_COEFFICIENT_MANUAL]],PROPERTIES[[#This Row],[TE_COEFFICIENT_CALC]]),3)</f>
        <v>0.25</v>
      </c>
      <c r="V832" s="11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36">
        <v>117</v>
      </c>
      <c r="X832" s="9">
        <v>8</v>
      </c>
      <c r="Y832" s="10">
        <v>0</v>
      </c>
      <c r="Z832" t="s">
        <v>869</v>
      </c>
      <c r="AA832" t="s">
        <v>868</v>
      </c>
      <c r="AB832" s="2" t="s">
        <v>886</v>
      </c>
      <c r="AC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2" s="2" t="str">
        <f>SUBSTITUTE(SUBSTITUTE(PROPERTIES[[#This Row],[PURCHASECOST_VALUE]], "PURCHASECOST_", ""), "_VALUE", "")</f>
        <v>METRO</v>
      </c>
      <c r="AF832" s="9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  <c r="AH832" s="10" t="b">
        <v>0</v>
      </c>
    </row>
    <row r="833" spans="1:34">
      <c r="A833" s="2" t="s">
        <v>3110</v>
      </c>
      <c r="B833">
        <v>1996</v>
      </c>
      <c r="C833" cm="1">
        <f t="array" ref="C833">_xlfn.IFS(ISNUMBER(SEARCH("wagon",PROPERTIES[[#This Row],[VEHIDCODE]])),0,OR(MID(PROPERTIES[[#This Row],[VEHIDCODE]],2,2)="mu",_xlfn.TEXTBEFORE(PROPERTIES[[#This Row],[VEHIDCODE]],"_")="mtro"),1,1=1,0)</f>
        <v>1</v>
      </c>
      <c r="D833" t="s">
        <v>1763</v>
      </c>
      <c r="E833" t="str">
        <f>_xlfn.XLOOKUP(PROPERTIES[[#This Row],[COUNTRY]],COUNTRIES[COUNTRY_DESCRIPTION],COUNTRIES[COUNTRY_LABEL],"")</f>
        <v>DE</v>
      </c>
      <c r="F833" t="str" cm="1">
        <f t="array" ref="F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3" t="s">
        <v>320</v>
      </c>
      <c r="H833">
        <f>INT((168+580)/6)</f>
        <v>124</v>
      </c>
      <c r="I833">
        <v>8</v>
      </c>
      <c r="J833">
        <v>8</v>
      </c>
      <c r="K833" t="str" cm="1">
        <f t="array" ref="K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f>IF(ISNUMBER(SEARCH("passenger",PROPERTIES[[#This Row],[CARGODEF]])),1,0)</f>
        <v>1</v>
      </c>
      <c r="O833" s="32">
        <f>INT(228/6)</f>
        <v>38</v>
      </c>
      <c r="P833">
        <v>2900</v>
      </c>
      <c r="Q833">
        <v>80</v>
      </c>
      <c r="R833" s="29">
        <v>0</v>
      </c>
      <c r="S833" s="29">
        <f>IFERROR(PROPERTIES[[#This Row],[TE_STARTING_KN]]/(PROPERTIES[[#This Row],[WEIGHT]]*9.81),0)</f>
        <v>0</v>
      </c>
      <c r="T833" s="29">
        <v>0.3</v>
      </c>
      <c r="U833" s="25">
        <f>ROUND(IF(IFERROR(PROPERTIES[[#This Row],[TE_COEFFICIENT_CALC]],0)=0,PROPERTIES[[#This Row],[TE_COEFFICIENT_MANUAL]],PROPERTIES[[#This Row],[TE_COEFFICIENT_CALC]]),3)</f>
        <v>0.3</v>
      </c>
      <c r="V833" s="37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 s="46">
        <f>INT((168+580)/6)</f>
        <v>124</v>
      </c>
      <c r="X833" s="9">
        <v>8</v>
      </c>
      <c r="Y833" s="10">
        <v>0</v>
      </c>
      <c r="Z833" t="s">
        <v>869</v>
      </c>
      <c r="AA833" t="s">
        <v>868</v>
      </c>
      <c r="AB833" s="2" t="s">
        <v>886</v>
      </c>
      <c r="AC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3" s="2" t="str">
        <f>SUBSTITUTE(SUBSTITUTE(PROPERTIES[[#This Row],[PURCHASECOST_VALUE]], "PURCHASECOST_", ""), "_VALUE", "")</f>
        <v>METRO</v>
      </c>
      <c r="AF833" s="9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  <c r="AH833" s="10" t="b">
        <v>0</v>
      </c>
    </row>
    <row r="834" spans="1:34">
      <c r="A834" s="2" t="s">
        <v>3113</v>
      </c>
      <c r="B834">
        <v>1875</v>
      </c>
      <c r="C834" cm="1">
        <f t="array" ref="C834">_xlfn.IFS(ISNUMBER(SEARCH("wagon",PROPERTIES[[#This Row],[VEHIDCODE]])),0,OR(MID(PROPERTIES[[#This Row],[VEHIDCODE]],2,2)="mu",_xlfn.TEXTBEFORE(PROPERTIES[[#This Row],[VEHIDCODE]],"_")="mtro"),1,1=1,0)</f>
        <v>0</v>
      </c>
      <c r="D834" t="s">
        <v>1782</v>
      </c>
      <c r="E834" t="str">
        <f>_xlfn.XLOOKUP(PROPERTIES[[#This Row],[COUNTRY]],COUNTRIES[COUNTRY_DESCRIPTION],COUNTRIES[COUNTRY_LABEL],"")</f>
        <v>GB</v>
      </c>
      <c r="F834" t="str" cm="1">
        <f t="array" ref="F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4" t="s">
        <v>19</v>
      </c>
      <c r="H834">
        <v>0</v>
      </c>
      <c r="I834">
        <v>5</v>
      </c>
      <c r="J834">
        <v>5</v>
      </c>
      <c r="K834" t="str" cm="1">
        <f t="array" ref="K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4">
        <f>_xlfn.XLOOKUP("LOADINGSPEEDDEF_"&amp;PROPERTIES[[#This Row],[LOADINGSPEED]],LOADINGSPEEDDEF[TYPE],LOADINGSPEEDDEF[SPEED])</f>
        <v>20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f>IF(ISNUMBER(SEARCH("passenger",PROPERTIES[[#This Row],[CARGODEF]])),1,0)</f>
        <v>0</v>
      </c>
      <c r="O834" s="32">
        <v>28</v>
      </c>
      <c r="P834">
        <v>250</v>
      </c>
      <c r="Q834">
        <v>70</v>
      </c>
      <c r="R834" s="29">
        <v>34</v>
      </c>
      <c r="S834" s="29">
        <f>IFERROR(PROPERTIES[[#This Row],[TE_STARTING_KN]]/(PROPERTIES[[#This Row],[WEIGHT]]*9.81),0)</f>
        <v>0.12378039900975681</v>
      </c>
      <c r="T834" s="29">
        <v>0</v>
      </c>
      <c r="U834" s="25">
        <f>ROUND(IF(IFERROR(PROPERTIES[[#This Row],[TE_COEFFICIENT_CALC]],0)=0,PROPERTIES[[#This Row],[TE_COEFFICIENT_MANUAL]],PROPERTIES[[#This Row],[TE_COEFFICIENT_CALC]]),3)</f>
        <v>0.124</v>
      </c>
      <c r="V834" s="37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36">
        <v>0</v>
      </c>
      <c r="X834" s="9">
        <v>0</v>
      </c>
      <c r="Y834" s="10">
        <v>0</v>
      </c>
      <c r="Z834" s="9" t="s">
        <v>873</v>
      </c>
      <c r="AA834" s="9" t="s">
        <v>871</v>
      </c>
      <c r="AB834" s="10" t="s">
        <v>886</v>
      </c>
      <c r="AC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4" s="2" t="str">
        <f>SUBSTITUTE(SUBSTITUTE(PROPERTIES[[#This Row],[PURCHASECOST_VALUE]], "PURCHASECOST_", ""), "_VALUE", "")</f>
        <v>STEAMENGINE</v>
      </c>
      <c r="AF834" s="9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  <c r="AH834" s="10" t="b">
        <v>0</v>
      </c>
    </row>
    <row r="835" spans="1:34">
      <c r="A835" s="2" t="s">
        <v>3115</v>
      </c>
      <c r="B835">
        <v>1903</v>
      </c>
      <c r="C835" cm="1">
        <f t="array" ref="C835">_xlfn.IFS(ISNUMBER(SEARCH("wagon",PROPERTIES[[#This Row],[VEHIDCODE]])),0,OR(MID(PROPERTIES[[#This Row],[VEHIDCODE]],2,2)="mu",_xlfn.TEXTBEFORE(PROPERTIES[[#This Row],[VEHIDCODE]],"_")="mtro"),1,1=1,0)</f>
        <v>0</v>
      </c>
      <c r="D835" t="s">
        <v>1719</v>
      </c>
      <c r="E835" t="str">
        <f>_xlfn.XLOOKUP(PROPERTIES[[#This Row],[COUNTRY]],COUNTRIES[COUNTRY_DESCRIPTION],COUNTRIES[COUNTRY_LABEL],"")</f>
        <v>AU</v>
      </c>
      <c r="F835" t="str" cm="1">
        <f t="array" ref="F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5" t="s">
        <v>19</v>
      </c>
      <c r="H835">
        <v>0</v>
      </c>
      <c r="I835">
        <v>6</v>
      </c>
      <c r="J835">
        <v>6</v>
      </c>
      <c r="K835" t="str" cm="1">
        <f t="array" ref="K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5">
        <f>_xlfn.XLOOKUP("LOADINGSPEEDDEF_"&amp;PROPERTIES[[#This Row],[LOADINGSPEED]],LOADINGSPEEDDEF[TYPE],LOADINGSPEEDDEF[SPEED])</f>
        <v>20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f>IF(ISNUMBER(SEARCH("passenger",PROPERTIES[[#This Row],[CARGODEF]])),1,0)</f>
        <v>0</v>
      </c>
      <c r="O835" s="32">
        <v>43</v>
      </c>
      <c r="P835">
        <v>700</v>
      </c>
      <c r="Q835">
        <v>80</v>
      </c>
      <c r="R835" s="29">
        <v>95</v>
      </c>
      <c r="S835" s="29">
        <f>IFERROR(PROPERTIES[[#This Row],[TE_STARTING_KN]]/(PROPERTIES[[#This Row],[WEIGHT]]*9.81),0)</f>
        <v>0.2252092075006519</v>
      </c>
      <c r="T835" s="29">
        <v>0</v>
      </c>
      <c r="U835" s="25">
        <f>ROUND(IF(IFERROR(PROPERTIES[[#This Row],[TE_COEFFICIENT_CALC]],0)=0,PROPERTIES[[#This Row],[TE_COEFFICIENT_MANUAL]],PROPERTIES[[#This Row],[TE_COEFFICIENT_CALC]]),3)</f>
        <v>0.22500000000000001</v>
      </c>
      <c r="V835" s="37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36">
        <v>0</v>
      </c>
      <c r="X835" s="9">
        <v>0</v>
      </c>
      <c r="Y835" s="10">
        <v>0</v>
      </c>
      <c r="Z835" s="9" t="s">
        <v>871</v>
      </c>
      <c r="AA835" t="s">
        <v>868</v>
      </c>
      <c r="AB835" s="10" t="s">
        <v>886</v>
      </c>
      <c r="AC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5" s="2" t="str">
        <f>SUBSTITUTE(SUBSTITUTE(PROPERTIES[[#This Row],[PURCHASECOST_VALUE]], "PURCHASECOST_", ""), "_VALUE", "")</f>
        <v>STEAMENGINE</v>
      </c>
      <c r="AF835" s="9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  <c r="AH835" s="10" t="b">
        <v>0</v>
      </c>
    </row>
    <row r="836" spans="1:34">
      <c r="A836" s="2" t="s">
        <v>3118</v>
      </c>
      <c r="B836">
        <v>1892</v>
      </c>
      <c r="C836" cm="1">
        <f t="array" ref="C836">_xlfn.IFS(ISNUMBER(SEARCH("wagon",PROPERTIES[[#This Row],[VEHIDCODE]])),0,OR(MID(PROPERTIES[[#This Row],[VEHIDCODE]],2,2)="mu",_xlfn.TEXTBEFORE(PROPERTIES[[#This Row],[VEHIDCODE]],"_")="mtro"),1,1=1,0)</f>
        <v>0</v>
      </c>
      <c r="D836" t="s">
        <v>1719</v>
      </c>
      <c r="E836" t="str">
        <f>_xlfn.XLOOKUP(PROPERTIES[[#This Row],[COUNTRY]],COUNTRIES[COUNTRY_DESCRIPTION],COUNTRIES[COUNTRY_LABEL],"")</f>
        <v>AU</v>
      </c>
      <c r="F836" t="str" cm="1">
        <f t="array" ref="F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6" t="s">
        <v>19</v>
      </c>
      <c r="H836">
        <v>0</v>
      </c>
      <c r="I836">
        <v>5</v>
      </c>
      <c r="J836">
        <v>9</v>
      </c>
      <c r="K836" t="str" cm="1">
        <f t="array" ref="K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6">
        <f>_xlfn.XLOOKUP("LOADINGSPEEDDEF_"&amp;PROPERTIES[[#This Row],[LOADINGSPEED]],LOADINGSPEEDDEF[TYPE],LOADINGSPEEDDEF[SPEED])</f>
        <v>20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f>IF(ISNUMBER(SEARCH("passenger",PROPERTIES[[#This Row],[CARGODEF]])),1,0)</f>
        <v>0</v>
      </c>
      <c r="O836" s="32">
        <v>64</v>
      </c>
      <c r="P836">
        <v>720</v>
      </c>
      <c r="Q836">
        <v>100</v>
      </c>
      <c r="R836" s="29">
        <v>115</v>
      </c>
      <c r="S836" s="29">
        <f>IFERROR(PROPERTIES[[#This Row],[TE_STARTING_KN]]/(PROPERTIES[[#This Row],[WEIGHT]]*9.81),0)</f>
        <v>0.18316768603465849</v>
      </c>
      <c r="T836" s="29">
        <v>0</v>
      </c>
      <c r="U836" s="25">
        <f>ROUND(IF(IFERROR(PROPERTIES[[#This Row],[TE_COEFFICIENT_CALC]],0)=0,PROPERTIES[[#This Row],[TE_COEFFICIENT_MANUAL]],PROPERTIES[[#This Row],[TE_COEFFICIENT_CALC]]),3)</f>
        <v>0.183</v>
      </c>
      <c r="V836" s="37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36">
        <v>0</v>
      </c>
      <c r="X836" s="9">
        <v>4</v>
      </c>
      <c r="Y836" s="10">
        <v>0</v>
      </c>
      <c r="Z836" s="9" t="s">
        <v>871</v>
      </c>
      <c r="AA836" t="s">
        <v>868</v>
      </c>
      <c r="AB836" s="10" t="s">
        <v>886</v>
      </c>
      <c r="AC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6" s="2" t="str">
        <f>SUBSTITUTE(SUBSTITUTE(PROPERTIES[[#This Row],[PURCHASECOST_VALUE]], "PURCHASECOST_", ""), "_VALUE", "")</f>
        <v>STEAMENGINE</v>
      </c>
      <c r="AF836" s="9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  <c r="AH836" s="10" t="b">
        <v>0</v>
      </c>
    </row>
    <row r="837" spans="1:34">
      <c r="A837" s="2" t="s">
        <v>3121</v>
      </c>
      <c r="B837">
        <v>1896</v>
      </c>
      <c r="C837" cm="1">
        <f t="array" ref="C837">_xlfn.IFS(ISNUMBER(SEARCH("wagon",PROPERTIES[[#This Row],[VEHIDCODE]])),0,OR(MID(PROPERTIES[[#This Row],[VEHIDCODE]],2,2)="mu",_xlfn.TEXTBEFORE(PROPERTIES[[#This Row],[VEHIDCODE]],"_")="mtro"),1,1=1,0)</f>
        <v>0</v>
      </c>
      <c r="D837" t="s">
        <v>1719</v>
      </c>
      <c r="E837" t="str">
        <f>_xlfn.XLOOKUP(PROPERTIES[[#This Row],[COUNTRY]],COUNTRIES[COUNTRY_DESCRIPTION],COUNTRIES[COUNTRY_LABEL],"")</f>
        <v>AU</v>
      </c>
      <c r="F837" t="str" cm="1">
        <f t="array" ref="F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7" t="s">
        <v>19</v>
      </c>
      <c r="H837">
        <v>0</v>
      </c>
      <c r="I837">
        <v>5</v>
      </c>
      <c r="J837">
        <v>9</v>
      </c>
      <c r="K837" t="str" cm="1">
        <f t="array" ref="K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7">
        <f>_xlfn.XLOOKUP("LOADINGSPEEDDEF_"&amp;PROPERTIES[[#This Row],[LOADINGSPEED]],LOADINGSPEEDDEF[TYPE],LOADINGSPEEDDEF[SPEED])</f>
        <v>20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f>IF(ISNUMBER(SEARCH("passenger",PROPERTIES[[#This Row],[CARGODEF]])),1,0)</f>
        <v>0</v>
      </c>
      <c r="O837" s="32">
        <v>63</v>
      </c>
      <c r="P837">
        <v>1050</v>
      </c>
      <c r="Q837">
        <v>65</v>
      </c>
      <c r="R837" s="29">
        <v>136</v>
      </c>
      <c r="S837" s="29">
        <f>IFERROR(PROPERTIES[[#This Row],[TE_STARTING_KN]]/(PROPERTIES[[#This Row],[WEIGHT]]*9.81),0)</f>
        <v>0.22005404268401207</v>
      </c>
      <c r="T837" s="29">
        <v>0</v>
      </c>
      <c r="U837" s="25">
        <f>ROUND(IF(IFERROR(PROPERTIES[[#This Row],[TE_COEFFICIENT_CALC]],0)=0,PROPERTIES[[#This Row],[TE_COEFFICIENT_MANUAL]],PROPERTIES[[#This Row],[TE_COEFFICIENT_CALC]]),3)</f>
        <v>0.22</v>
      </c>
      <c r="V837" s="37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36">
        <v>0</v>
      </c>
      <c r="X837" s="9">
        <v>4</v>
      </c>
      <c r="Y837" s="10">
        <v>0</v>
      </c>
      <c r="Z837" s="9" t="s">
        <v>871</v>
      </c>
      <c r="AA837" t="s">
        <v>868</v>
      </c>
      <c r="AB837" s="10" t="s">
        <v>886</v>
      </c>
      <c r="AC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7" s="2" t="str">
        <f>SUBSTITUTE(SUBSTITUTE(PROPERTIES[[#This Row],[PURCHASECOST_VALUE]], "PURCHASECOST_", ""), "_VALUE", "")</f>
        <v>STEAMENGINE</v>
      </c>
      <c r="AF837" s="9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  <c r="AH837" s="10" t="b">
        <v>0</v>
      </c>
    </row>
    <row r="838" spans="1:34">
      <c r="A838" s="2" t="s">
        <v>3124</v>
      </c>
      <c r="B838">
        <v>1877</v>
      </c>
      <c r="C838" cm="1">
        <f t="array" ref="C838">_xlfn.IFS(ISNUMBER(SEARCH("wagon",PROPERTIES[[#This Row],[VEHIDCODE]])),0,OR(MID(PROPERTIES[[#This Row],[VEHIDCODE]],2,2)="mu",_xlfn.TEXTBEFORE(PROPERTIES[[#This Row],[VEHIDCODE]],"_")="mtro"),1,1=1,0)</f>
        <v>0</v>
      </c>
      <c r="D838" t="s">
        <v>1719</v>
      </c>
      <c r="E838" t="str">
        <f>_xlfn.XLOOKUP(PROPERTIES[[#This Row],[COUNTRY]],COUNTRIES[COUNTRY_DESCRIPTION],COUNTRIES[COUNTRY_LABEL],"")</f>
        <v>AU</v>
      </c>
      <c r="F838" t="str" cm="1">
        <f t="array" ref="F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8" t="s">
        <v>19</v>
      </c>
      <c r="H838">
        <v>0</v>
      </c>
      <c r="I838">
        <v>5</v>
      </c>
      <c r="J838">
        <v>8</v>
      </c>
      <c r="K838" t="str" cm="1">
        <f t="array" ref="K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8">
        <f>_xlfn.XLOOKUP("LOADINGSPEEDDEF_"&amp;PROPERTIES[[#This Row],[LOADINGSPEED]],LOADINGSPEEDDEF[TYPE],LOADINGSPEEDDEF[SPEED])</f>
        <v>20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f>IF(ISNUMBER(SEARCH("passenger",PROPERTIES[[#This Row],[CARGODEF]])),1,0)</f>
        <v>0</v>
      </c>
      <c r="O838" s="32">
        <v>40</v>
      </c>
      <c r="P838">
        <v>400</v>
      </c>
      <c r="Q838">
        <v>100</v>
      </c>
      <c r="R838" s="29">
        <v>62.4</v>
      </c>
      <c r="S838" s="29">
        <f>IFERROR(PROPERTIES[[#This Row],[TE_STARTING_KN]]/(PROPERTIES[[#This Row],[WEIGHT]]*9.81),0)</f>
        <v>0.15902140672782872</v>
      </c>
      <c r="T838" s="29">
        <v>0</v>
      </c>
      <c r="U838" s="25">
        <f>ROUND(IF(IFERROR(PROPERTIES[[#This Row],[TE_COEFFICIENT_CALC]],0)=0,PROPERTIES[[#This Row],[TE_COEFFICIENT_MANUAL]],PROPERTIES[[#This Row],[TE_COEFFICIENT_CALC]]),3)</f>
        <v>0.159</v>
      </c>
      <c r="V838" s="37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36">
        <v>0</v>
      </c>
      <c r="X838" s="9">
        <v>3</v>
      </c>
      <c r="Y838" s="10">
        <v>0</v>
      </c>
      <c r="Z838" s="9" t="s">
        <v>871</v>
      </c>
      <c r="AA838" t="s">
        <v>868</v>
      </c>
      <c r="AB838" s="10" t="s">
        <v>886</v>
      </c>
      <c r="AC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8" s="2" t="str">
        <f>SUBSTITUTE(SUBSTITUTE(PROPERTIES[[#This Row],[PURCHASECOST_VALUE]], "PURCHASECOST_", ""), "_VALUE", "")</f>
        <v>STEAMENGINE</v>
      </c>
      <c r="AF838" s="9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  <c r="AH838" s="10" t="b">
        <v>0</v>
      </c>
    </row>
    <row r="839" spans="1:34">
      <c r="A839" s="2" t="s">
        <v>3127</v>
      </c>
      <c r="B839">
        <v>1877</v>
      </c>
      <c r="C839" cm="1">
        <f t="array" ref="C839">_xlfn.IFS(ISNUMBER(SEARCH("wagon",PROPERTIES[[#This Row],[VEHIDCODE]])),0,OR(MID(PROPERTIES[[#This Row],[VEHIDCODE]],2,2)="mu",_xlfn.TEXTBEFORE(PROPERTIES[[#This Row],[VEHIDCODE]],"_")="mtro"),1,1=1,0)</f>
        <v>0</v>
      </c>
      <c r="D839" t="s">
        <v>1719</v>
      </c>
      <c r="E839" t="str">
        <f>_xlfn.XLOOKUP(PROPERTIES[[#This Row],[COUNTRY]],COUNTRIES[COUNTRY_DESCRIPTION],COUNTRIES[COUNTRY_LABEL],"")</f>
        <v>AU</v>
      </c>
      <c r="F839" t="str" cm="1">
        <f t="array" ref="F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9" t="s">
        <v>19</v>
      </c>
      <c r="H839">
        <v>0</v>
      </c>
      <c r="I839">
        <v>5</v>
      </c>
      <c r="J839">
        <v>8</v>
      </c>
      <c r="K839" t="str" cm="1">
        <f t="array" ref="K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9">
        <f>_xlfn.XLOOKUP("LOADINGSPEEDDEF_"&amp;PROPERTIES[[#This Row],[LOADINGSPEED]],LOADINGSPEEDDEF[TYPE],LOADINGSPEEDDEF[SPEED])</f>
        <v>20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f>IF(ISNUMBER(SEARCH("passenger",PROPERTIES[[#This Row],[CARGODEF]])),1,0)</f>
        <v>0</v>
      </c>
      <c r="O839" s="32">
        <v>34</v>
      </c>
      <c r="P839">
        <v>500</v>
      </c>
      <c r="Q839">
        <v>40</v>
      </c>
      <c r="R839" s="29">
        <v>79.599999999999994</v>
      </c>
      <c r="S839" s="29">
        <f>IFERROR(PROPERTIES[[#This Row],[TE_STARTING_KN]]/(PROPERTIES[[#This Row],[WEIGHT]]*9.81),0)</f>
        <v>0.23865203573784249</v>
      </c>
      <c r="T839" s="29">
        <v>0</v>
      </c>
      <c r="U839" s="25">
        <f>ROUND(IF(IFERROR(PROPERTIES[[#This Row],[TE_COEFFICIENT_CALC]],0)=0,PROPERTIES[[#This Row],[TE_COEFFICIENT_MANUAL]],PROPERTIES[[#This Row],[TE_COEFFICIENT_CALC]]),3)</f>
        <v>0.23899999999999999</v>
      </c>
      <c r="V839" s="37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36">
        <v>0</v>
      </c>
      <c r="X839" s="9">
        <v>3</v>
      </c>
      <c r="Y839" s="10">
        <v>0</v>
      </c>
      <c r="Z839" s="9" t="s">
        <v>871</v>
      </c>
      <c r="AA839" t="s">
        <v>868</v>
      </c>
      <c r="AB839" s="10" t="s">
        <v>886</v>
      </c>
      <c r="AC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9" s="2" t="str">
        <f>SUBSTITUTE(SUBSTITUTE(PROPERTIES[[#This Row],[PURCHASECOST_VALUE]], "PURCHASECOST_", ""), "_VALUE", "")</f>
        <v>STEAMENGINE</v>
      </c>
      <c r="AF839" s="9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  <c r="AH839" s="10" t="b">
        <v>0</v>
      </c>
    </row>
    <row r="840" spans="1:34">
      <c r="A840" s="2" t="s">
        <v>3130</v>
      </c>
      <c r="B840">
        <v>1892</v>
      </c>
      <c r="C840" cm="1">
        <f t="array" ref="C840">_xlfn.IFS(ISNUMBER(SEARCH("wagon",PROPERTIES[[#This Row],[VEHIDCODE]])),0,OR(MID(PROPERTIES[[#This Row],[VEHIDCODE]],2,2)="mu",_xlfn.TEXTBEFORE(PROPERTIES[[#This Row],[VEHIDCODE]],"_")="mtro"),1,1=1,0)</f>
        <v>0</v>
      </c>
      <c r="D840" t="s">
        <v>1719</v>
      </c>
      <c r="E840" t="str">
        <f>_xlfn.XLOOKUP(PROPERTIES[[#This Row],[COUNTRY]],COUNTRIES[COUNTRY_DESCRIPTION],COUNTRIES[COUNTRY_LABEL],"")</f>
        <v>AU</v>
      </c>
      <c r="F840" t="str" cm="1">
        <f t="array" ref="F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0" t="s">
        <v>19</v>
      </c>
      <c r="H840">
        <v>0</v>
      </c>
      <c r="I840">
        <v>6</v>
      </c>
      <c r="J840">
        <v>6</v>
      </c>
      <c r="K840" t="str" cm="1">
        <f t="array" ref="K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0">
        <f>_xlfn.XLOOKUP("LOADINGSPEEDDEF_"&amp;PROPERTIES[[#This Row],[LOADINGSPEED]],LOADINGSPEEDDEF[TYPE],LOADINGSPEEDDEF[SPEED])</f>
        <v>20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f>IF(ISNUMBER(SEARCH("passenger",PROPERTIES[[#This Row],[CARGODEF]])),1,0)</f>
        <v>0</v>
      </c>
      <c r="O840" s="32">
        <v>66</v>
      </c>
      <c r="P840">
        <v>900</v>
      </c>
      <c r="Q840">
        <v>65</v>
      </c>
      <c r="R840" s="29">
        <v>99.6</v>
      </c>
      <c r="S840" s="29">
        <f>IFERROR(PROPERTIES[[#This Row],[TE_STARTING_KN]]/(PROPERTIES[[#This Row],[WEIGHT]]*9.81),0)</f>
        <v>0.15383189695116298</v>
      </c>
      <c r="T840" s="29">
        <v>0</v>
      </c>
      <c r="U840" s="25">
        <f>ROUND(IF(IFERROR(PROPERTIES[[#This Row],[TE_COEFFICIENT_CALC]],0)=0,PROPERTIES[[#This Row],[TE_COEFFICIENT_MANUAL]],PROPERTIES[[#This Row],[TE_COEFFICIENT_CALC]]),3)</f>
        <v>0.154</v>
      </c>
      <c r="V840" s="37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36">
        <v>0</v>
      </c>
      <c r="X840" s="9">
        <v>0</v>
      </c>
      <c r="Y840" s="10">
        <v>0</v>
      </c>
      <c r="Z840" s="9" t="s">
        <v>871</v>
      </c>
      <c r="AA840" t="s">
        <v>868</v>
      </c>
      <c r="AB840" s="10" t="s">
        <v>886</v>
      </c>
      <c r="AC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0" s="2" t="str">
        <f>SUBSTITUTE(SUBSTITUTE(PROPERTIES[[#This Row],[PURCHASECOST_VALUE]], "PURCHASECOST_", ""), "_VALUE", "")</f>
        <v>STEAMENGINE</v>
      </c>
      <c r="AF840" s="9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  <c r="AH840" s="10" t="b">
        <v>0</v>
      </c>
    </row>
    <row r="841" spans="1:34">
      <c r="A841" s="2" t="s">
        <v>3134</v>
      </c>
      <c r="B841">
        <v>1926</v>
      </c>
      <c r="C841" cm="1">
        <f t="array" ref="C841">_xlfn.IFS(ISNUMBER(SEARCH("wagon",PROPERTIES[[#This Row],[VEHIDCODE]])),0,OR(MID(PROPERTIES[[#This Row],[VEHIDCODE]],2,2)="mu",_xlfn.TEXTBEFORE(PROPERTIES[[#This Row],[VEHIDCODE]],"_")="mtro"),1,1=1,0)</f>
        <v>0</v>
      </c>
      <c r="D841" t="s">
        <v>1782</v>
      </c>
      <c r="E841" t="str">
        <f>_xlfn.XLOOKUP(PROPERTIES[[#This Row],[COUNTRY]],COUNTRIES[COUNTRY_DESCRIPTION],COUNTRIES[COUNTRY_LABEL],"")</f>
        <v>GB</v>
      </c>
      <c r="F841" t="str" cm="1">
        <f t="array" ref="F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1" t="s">
        <v>19</v>
      </c>
      <c r="H841">
        <v>0</v>
      </c>
      <c r="I841">
        <v>6</v>
      </c>
      <c r="J841">
        <v>9</v>
      </c>
      <c r="K841" t="str" cm="1">
        <f t="array" ref="K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1">
        <f>_xlfn.XLOOKUP("LOADINGSPEEDDEF_"&amp;PROPERTIES[[#This Row],[LOADINGSPEED]],LOADINGSPEEDDEF[TYPE],LOADINGSPEEDDEF[SPEED])</f>
        <v>20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f>IF(ISNUMBER(SEARCH("passenger",PROPERTIES[[#This Row],[CARGODEF]])),1,0)</f>
        <v>0</v>
      </c>
      <c r="O841" s="32">
        <v>74</v>
      </c>
      <c r="P841">
        <v>1150</v>
      </c>
      <c r="Q841">
        <v>80</v>
      </c>
      <c r="R841" s="29">
        <v>139.4</v>
      </c>
      <c r="S841" s="29">
        <f>IFERROR(PROPERTIES[[#This Row],[TE_STARTING_KN]]/(PROPERTIES[[#This Row],[WEIGHT]]*9.81),0)</f>
        <v>0.19202688927459569</v>
      </c>
      <c r="T841" s="29">
        <v>0</v>
      </c>
      <c r="U841" s="25">
        <f>ROUND(IF(IFERROR(PROPERTIES[[#This Row],[TE_COEFFICIENT_CALC]],0)=0,PROPERTIES[[#This Row],[TE_COEFFICIENT_MANUAL]],PROPERTIES[[#This Row],[TE_COEFFICIENT_CALC]]),3)</f>
        <v>0.192</v>
      </c>
      <c r="V841" s="37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36">
        <v>0</v>
      </c>
      <c r="X841" s="9">
        <v>3</v>
      </c>
      <c r="Y841" s="10">
        <v>0</v>
      </c>
      <c r="Z841" s="9" t="s">
        <v>873</v>
      </c>
      <c r="AA841" s="9" t="s">
        <v>871</v>
      </c>
      <c r="AB841" s="10" t="s">
        <v>886</v>
      </c>
      <c r="AC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1" s="2" t="str">
        <f>SUBSTITUTE(SUBSTITUTE(PROPERTIES[[#This Row],[PURCHASECOST_VALUE]], "PURCHASECOST_", ""), "_VALUE", "")</f>
        <v>STEAMENGINE</v>
      </c>
      <c r="AF841" s="9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  <c r="AH841" s="10" t="b">
        <v>0</v>
      </c>
    </row>
    <row r="842" spans="1:34">
      <c r="A842" s="2" t="s">
        <v>3135</v>
      </c>
      <c r="B842">
        <v>1925</v>
      </c>
      <c r="C842" cm="1">
        <f t="array" ref="C842">_xlfn.IFS(ISNUMBER(SEARCH("wagon",PROPERTIES[[#This Row],[VEHIDCODE]])),0,OR(MID(PROPERTIES[[#This Row],[VEHIDCODE]],2,2)="mu",_xlfn.TEXTBEFORE(PROPERTIES[[#This Row],[VEHIDCODE]],"_")="mtro"),1,1=1,0)</f>
        <v>0</v>
      </c>
      <c r="D842" t="s">
        <v>1719</v>
      </c>
      <c r="E842" t="str">
        <f>_xlfn.XLOOKUP(PROPERTIES[[#This Row],[COUNTRY]],COUNTRIES[COUNTRY_DESCRIPTION],COUNTRIES[COUNTRY_LABEL],"")</f>
        <v>AU</v>
      </c>
      <c r="F842" t="str" cm="1">
        <f t="array" ref="F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2" t="s">
        <v>19</v>
      </c>
      <c r="H842">
        <v>0</v>
      </c>
      <c r="I842">
        <v>6</v>
      </c>
      <c r="J842">
        <v>10</v>
      </c>
      <c r="K842" t="str" cm="1">
        <f t="array" ref="K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2">
        <f>_xlfn.XLOOKUP("LOADINGSPEEDDEF_"&amp;PROPERTIES[[#This Row],[LOADINGSPEED]],LOADINGSPEEDDEF[TYPE],LOADINGSPEEDDEF[SPEED])</f>
        <v>20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f>IF(ISNUMBER(SEARCH("passenger",PROPERTIES[[#This Row],[CARGODEF]])),1,0)</f>
        <v>0</v>
      </c>
      <c r="O842" s="32">
        <v>203</v>
      </c>
      <c r="P842">
        <v>2300</v>
      </c>
      <c r="Q842">
        <v>115</v>
      </c>
      <c r="R842" s="29">
        <v>162.80000000000001</v>
      </c>
      <c r="S842" s="29">
        <f>IFERROR(PROPERTIES[[#This Row],[TE_STARTING_KN]]/(PROPERTIES[[#This Row],[WEIGHT]]*9.81),0)</f>
        <v>8.175030003565277E-2</v>
      </c>
      <c r="T842" s="29">
        <v>0</v>
      </c>
      <c r="U842" s="25">
        <f>ROUND(IF(IFERROR(PROPERTIES[[#This Row],[TE_COEFFICIENT_CALC]],0)=0,PROPERTIES[[#This Row],[TE_COEFFICIENT_MANUAL]],PROPERTIES[[#This Row],[TE_COEFFICIENT_CALC]]),3)</f>
        <v>8.2000000000000003E-2</v>
      </c>
      <c r="V842" s="37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36">
        <v>0</v>
      </c>
      <c r="X842" s="9">
        <v>4</v>
      </c>
      <c r="Y842" s="10">
        <v>0</v>
      </c>
      <c r="Z842" s="9" t="s">
        <v>871</v>
      </c>
      <c r="AA842" t="s">
        <v>868</v>
      </c>
      <c r="AB842" s="10" t="s">
        <v>886</v>
      </c>
      <c r="AC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2" s="2" t="str">
        <f>SUBSTITUTE(SUBSTITUTE(PROPERTIES[[#This Row],[PURCHASECOST_VALUE]], "PURCHASECOST_", ""), "_VALUE", "")</f>
        <v>STEAMENGINE</v>
      </c>
      <c r="AF842" s="9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  <c r="AH842" s="10" t="b">
        <v>0</v>
      </c>
    </row>
    <row r="843" spans="1:34">
      <c r="A843" s="2" t="s">
        <v>3137</v>
      </c>
      <c r="B843">
        <v>1911</v>
      </c>
      <c r="C843" cm="1">
        <f t="array" ref="C843">_xlfn.IFS(ISNUMBER(SEARCH("wagon",PROPERTIES[[#This Row],[VEHIDCODE]])),0,OR(MID(PROPERTIES[[#This Row],[VEHIDCODE]],2,2)="mu",_xlfn.TEXTBEFORE(PROPERTIES[[#This Row],[VEHIDCODE]],"_")="mtro"),1,1=1,0)</f>
        <v>0</v>
      </c>
      <c r="D843" t="s">
        <v>1719</v>
      </c>
      <c r="E843" t="str">
        <f>_xlfn.XLOOKUP(PROPERTIES[[#This Row],[COUNTRY]],COUNTRIES[COUNTRY_DESCRIPTION],COUNTRIES[COUNTRY_LABEL],"")</f>
        <v>AU</v>
      </c>
      <c r="F843" t="str" cm="1">
        <f t="array" ref="F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3" t="s">
        <v>19</v>
      </c>
      <c r="H843">
        <v>0</v>
      </c>
      <c r="I843">
        <v>7</v>
      </c>
      <c r="J843">
        <v>7</v>
      </c>
      <c r="K843" t="str" cm="1">
        <f t="array" ref="K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3">
        <f>_xlfn.XLOOKUP("LOADINGSPEEDDEF_"&amp;PROPERTIES[[#This Row],[LOADINGSPEED]],LOADINGSPEEDDEF[TYPE],LOADINGSPEEDDEF[SPEED])</f>
        <v>20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f>IF(ISNUMBER(SEARCH("passenger",PROPERTIES[[#This Row],[CARGODEF]])),1,0)</f>
        <v>0</v>
      </c>
      <c r="O843" s="32">
        <v>83</v>
      </c>
      <c r="P843">
        <v>875</v>
      </c>
      <c r="Q843">
        <v>80</v>
      </c>
      <c r="R843" s="29">
        <v>138.83000000000001</v>
      </c>
      <c r="S843" s="29">
        <f>IFERROR(PROPERTIES[[#This Row],[TE_STARTING_KN]]/(PROPERTIES[[#This Row],[WEIGHT]]*9.81),0)</f>
        <v>0.17050464856367367</v>
      </c>
      <c r="T843" s="29">
        <v>0</v>
      </c>
      <c r="U843" s="25">
        <f>ROUND(IF(IFERROR(PROPERTIES[[#This Row],[TE_COEFFICIENT_CALC]],0)=0,PROPERTIES[[#This Row],[TE_COEFFICIENT_MANUAL]],PROPERTIES[[#This Row],[TE_COEFFICIENT_CALC]]),3)</f>
        <v>0.17100000000000001</v>
      </c>
      <c r="V843" s="37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36">
        <v>0</v>
      </c>
      <c r="X843" s="9">
        <v>0</v>
      </c>
      <c r="Y843" s="10">
        <v>0</v>
      </c>
      <c r="Z843" s="9" t="s">
        <v>871</v>
      </c>
      <c r="AA843" t="s">
        <v>868</v>
      </c>
      <c r="AB843" s="10" t="s">
        <v>886</v>
      </c>
      <c r="AC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3" s="2" t="str">
        <f>SUBSTITUTE(SUBSTITUTE(PROPERTIES[[#This Row],[PURCHASECOST_VALUE]], "PURCHASECOST_", ""), "_VALUE", "")</f>
        <v>STEAMENGINE</v>
      </c>
      <c r="AF843" s="9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  <c r="AH843" s="10" t="b">
        <v>0</v>
      </c>
    </row>
    <row r="844" spans="1:34">
      <c r="A844" s="2" t="s">
        <v>3139</v>
      </c>
      <c r="B844">
        <v>1941</v>
      </c>
      <c r="C844" cm="1">
        <f t="array" ref="C844">_xlfn.IFS(ISNUMBER(SEARCH("wagon",PROPERTIES[[#This Row],[VEHIDCODE]])),0,OR(MID(PROPERTIES[[#This Row],[VEHIDCODE]],2,2)="mu",_xlfn.TEXTBEFORE(PROPERTIES[[#This Row],[VEHIDCODE]],"_")="mtro"),1,1=1,0)</f>
        <v>0</v>
      </c>
      <c r="D844" t="s">
        <v>1719</v>
      </c>
      <c r="E844" t="str">
        <f>_xlfn.XLOOKUP(PROPERTIES[[#This Row],[COUNTRY]],COUNTRIES[COUNTRY_DESCRIPTION],COUNTRIES[COUNTRY_LABEL],"")</f>
        <v>AU</v>
      </c>
      <c r="F844" t="str" cm="1">
        <f t="array" ref="F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4" t="s">
        <v>19</v>
      </c>
      <c r="H844">
        <v>0</v>
      </c>
      <c r="I844">
        <v>7</v>
      </c>
      <c r="J844">
        <v>12</v>
      </c>
      <c r="K844" t="str" cm="1">
        <f t="array" ref="K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4">
        <f>_xlfn.XLOOKUP("LOADINGSPEEDDEF_"&amp;PROPERTIES[[#This Row],[LOADINGSPEED]],LOADINGSPEEDDEF[TYPE],LOADINGSPEEDDEF[SPEED])</f>
        <v>20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f>IF(ISNUMBER(SEARCH("passenger",PROPERTIES[[#This Row],[CARGODEF]])),1,0)</f>
        <v>0</v>
      </c>
      <c r="O844" s="32">
        <v>260</v>
      </c>
      <c r="P844">
        <v>3600</v>
      </c>
      <c r="Q844">
        <v>80</v>
      </c>
      <c r="R844" s="29">
        <v>245</v>
      </c>
      <c r="S844" s="29">
        <f>IFERROR(PROPERTIES[[#This Row],[TE_STARTING_KN]]/(PROPERTIES[[#This Row],[WEIGHT]]*9.81),0)</f>
        <v>9.6055830000784131E-2</v>
      </c>
      <c r="T844" s="29">
        <v>0</v>
      </c>
      <c r="U844" s="25">
        <f>ROUND(IF(IFERROR(PROPERTIES[[#This Row],[TE_COEFFICIENT_CALC]],0)=0,PROPERTIES[[#This Row],[TE_COEFFICIENT_MANUAL]],PROPERTIES[[#This Row],[TE_COEFFICIENT_CALC]]),3)</f>
        <v>9.6000000000000002E-2</v>
      </c>
      <c r="V844" s="37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36">
        <v>0</v>
      </c>
      <c r="X844" s="9">
        <v>5</v>
      </c>
      <c r="Y844" s="10">
        <v>0</v>
      </c>
      <c r="Z844" s="9" t="s">
        <v>871</v>
      </c>
      <c r="AA844" t="s">
        <v>868</v>
      </c>
      <c r="AB844" s="10" t="s">
        <v>886</v>
      </c>
      <c r="AC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4" s="2" t="str">
        <f>SUBSTITUTE(SUBSTITUTE(PROPERTIES[[#This Row],[PURCHASECOST_VALUE]], "PURCHASECOST_", ""), "_VALUE", "")</f>
        <v>STEAMENGINE</v>
      </c>
      <c r="AF844" s="9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  <c r="AH844" s="10" t="b">
        <v>0</v>
      </c>
    </row>
    <row r="845" spans="1:34">
      <c r="A845" s="2" t="s">
        <v>3144</v>
      </c>
      <c r="B845">
        <v>1953</v>
      </c>
      <c r="C845" cm="1">
        <f t="array" ref="C845">_xlfn.IFS(ISNUMBER(SEARCH("wagon",PROPERTIES[[#This Row],[VEHIDCODE]])),0,OR(MID(PROPERTIES[[#This Row],[VEHIDCODE]],2,2)="mu",_xlfn.TEXTBEFORE(PROPERTIES[[#This Row],[VEHIDCODE]],"_")="mtro"),1,1=1,0)</f>
        <v>0</v>
      </c>
      <c r="D845" t="s">
        <v>1719</v>
      </c>
      <c r="E845" t="str">
        <f>_xlfn.XLOOKUP(PROPERTIES[[#This Row],[COUNTRY]],COUNTRIES[COUNTRY_DESCRIPTION],COUNTRIES[COUNTRY_LABEL],"")</f>
        <v>AU</v>
      </c>
      <c r="F845" t="str" cm="1">
        <f t="array" ref="F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5" t="s">
        <v>19</v>
      </c>
      <c r="H845">
        <v>0</v>
      </c>
      <c r="I845">
        <v>6</v>
      </c>
      <c r="J845">
        <v>6</v>
      </c>
      <c r="K845" t="str" cm="1">
        <f t="array" ref="K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5">
        <f>_xlfn.XLOOKUP("LOADINGSPEEDDEF_"&amp;PROPERTIES[[#This Row],[LOADINGSPEED]],LOADINGSPEEDDEF[TYPE],LOADINGSPEEDDEF[SPEED])</f>
        <v>20</v>
      </c>
      <c r="M845" cm="1">
        <f t="array" ref="M8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5">
        <f>IF(ISNUMBER(SEARCH("passenger",PROPERTIES[[#This Row],[CARGODEF]])),1,0)</f>
        <v>0</v>
      </c>
      <c r="O845" s="32">
        <v>83</v>
      </c>
      <c r="P845">
        <v>400</v>
      </c>
      <c r="Q845">
        <v>92</v>
      </c>
      <c r="R845" s="29">
        <v>150</v>
      </c>
      <c r="S845" s="29">
        <f>IFERROR(PROPERTIES[[#This Row],[TE_STARTING_KN]]/(PROPERTIES[[#This Row],[WEIGHT]]*9.81),0)</f>
        <v>0.18422313105633542</v>
      </c>
      <c r="T845" s="29">
        <v>0</v>
      </c>
      <c r="U845" s="25">
        <f>ROUND(IF(IFERROR(PROPERTIES[[#This Row],[TE_COEFFICIENT_CALC]],0)=0,PROPERTIES[[#This Row],[TE_COEFFICIENT_MANUAL]],PROPERTIES[[#This Row],[TE_COEFFICIENT_CALC]]),3)</f>
        <v>0.184</v>
      </c>
      <c r="V845" s="37" cm="1">
        <f t="array" ref="V8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5" s="36">
        <v>0</v>
      </c>
      <c r="X845" s="9">
        <v>0</v>
      </c>
      <c r="Y845" s="10">
        <v>0</v>
      </c>
      <c r="Z845" s="9" t="s">
        <v>871</v>
      </c>
      <c r="AA845" t="s">
        <v>868</v>
      </c>
      <c r="AB845" s="10" t="s">
        <v>886</v>
      </c>
      <c r="AC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5" s="2" t="str">
        <f>SUBSTITUTE(SUBSTITUTE(PROPERTIES[[#This Row],[PURCHASECOST_VALUE]], "PURCHASECOST_", ""), "_VALUE", "")</f>
        <v>DIESELENGINE</v>
      </c>
      <c r="AF845" s="9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  <c r="AH845" s="10" t="b">
        <v>0</v>
      </c>
    </row>
    <row r="846" spans="1:34">
      <c r="A846" s="2" t="s">
        <v>3147</v>
      </c>
      <c r="B846">
        <v>1959</v>
      </c>
      <c r="C846" cm="1">
        <f t="array" ref="C846">_xlfn.IFS(ISNUMBER(SEARCH("wagon",PROPERTIES[[#This Row],[VEHIDCODE]])),0,OR(MID(PROPERTIES[[#This Row],[VEHIDCODE]],2,2)="mu",_xlfn.TEXTBEFORE(PROPERTIES[[#This Row],[VEHIDCODE]],"_")="mtro"),1,1=1,0)</f>
        <v>0</v>
      </c>
      <c r="D846" t="s">
        <v>1719</v>
      </c>
      <c r="E846" t="str">
        <f>_xlfn.XLOOKUP(PROPERTIES[[#This Row],[COUNTRY]],COUNTRIES[COUNTRY_DESCRIPTION],COUNTRIES[COUNTRY_LABEL],"")</f>
        <v>AU</v>
      </c>
      <c r="F846" t="str" cm="1">
        <f t="array" ref="F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6" t="s">
        <v>19</v>
      </c>
      <c r="H846">
        <v>0</v>
      </c>
      <c r="I846">
        <v>6</v>
      </c>
      <c r="J846">
        <v>6</v>
      </c>
      <c r="K846" t="str" cm="1">
        <f t="array" ref="K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6">
        <f>_xlfn.XLOOKUP("LOADINGSPEEDDEF_"&amp;PROPERTIES[[#This Row],[LOADINGSPEED]],LOADINGSPEEDDEF[TYPE],LOADINGSPEEDDEF[SPEED])</f>
        <v>20</v>
      </c>
      <c r="M846" cm="1">
        <f t="array" ref="M8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6">
        <f>IF(ISNUMBER(SEARCH("passenger",PROPERTIES[[#This Row],[CARGODEF]])),1,0)</f>
        <v>0</v>
      </c>
      <c r="O846" s="32">
        <v>75.2</v>
      </c>
      <c r="P846">
        <v>1050</v>
      </c>
      <c r="Q846">
        <v>100</v>
      </c>
      <c r="R846" s="29">
        <v>178.82</v>
      </c>
      <c r="S846" s="29">
        <f>IFERROR(PROPERTIES[[#This Row],[TE_STARTING_KN]]/(PROPERTIES[[#This Row],[WEIGHT]]*9.81),0)</f>
        <v>0.24239811742251716</v>
      </c>
      <c r="T846" s="29">
        <v>0</v>
      </c>
      <c r="U846" s="25">
        <f>ROUND(IF(IFERROR(PROPERTIES[[#This Row],[TE_COEFFICIENT_CALC]],0)=0,PROPERTIES[[#This Row],[TE_COEFFICIENT_MANUAL]],PROPERTIES[[#This Row],[TE_COEFFICIENT_CALC]]),3)</f>
        <v>0.24199999999999999</v>
      </c>
      <c r="V846" s="37" cm="1">
        <f t="array" ref="V8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6" s="36">
        <v>0</v>
      </c>
      <c r="X846" s="9">
        <v>0</v>
      </c>
      <c r="Y846" s="10">
        <v>0</v>
      </c>
      <c r="Z846" s="9" t="s">
        <v>871</v>
      </c>
      <c r="AA846" t="s">
        <v>868</v>
      </c>
      <c r="AB846" s="10" t="s">
        <v>886</v>
      </c>
      <c r="AC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6" s="2" t="str">
        <f>SUBSTITUTE(SUBSTITUTE(PROPERTIES[[#This Row],[PURCHASECOST_VALUE]], "PURCHASECOST_", ""), "_VALUE", "")</f>
        <v>DIESELENGINE</v>
      </c>
      <c r="AF846" s="9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6" s="2" t="b">
        <v>0</v>
      </c>
      <c r="AH846" s="10" t="b">
        <v>0</v>
      </c>
    </row>
    <row r="847" spans="1:34">
      <c r="A847" s="2" t="s">
        <v>3153</v>
      </c>
      <c r="B847">
        <v>1955</v>
      </c>
      <c r="C847" cm="1">
        <f t="array" ref="C847">_xlfn.IFS(ISNUMBER(SEARCH("wagon",PROPERTIES[[#This Row],[VEHIDCODE]])),0,OR(MID(PROPERTIES[[#This Row],[VEHIDCODE]],2,2)="mu",_xlfn.TEXTBEFORE(PROPERTIES[[#This Row],[VEHIDCODE]],"_")="mtro"),1,1=1,0)</f>
        <v>0</v>
      </c>
      <c r="D847" t="s">
        <v>1719</v>
      </c>
      <c r="E847" t="str">
        <f>_xlfn.XLOOKUP(PROPERTIES[[#This Row],[COUNTRY]],COUNTRIES[COUNTRY_DESCRIPTION],COUNTRIES[COUNTRY_LABEL],"")</f>
        <v>AU</v>
      </c>
      <c r="F847" t="str" cm="1">
        <f t="array" ref="F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7" t="s">
        <v>19</v>
      </c>
      <c r="H847">
        <v>0</v>
      </c>
      <c r="I847">
        <v>7</v>
      </c>
      <c r="J847">
        <v>7</v>
      </c>
      <c r="K847" t="str" cm="1">
        <f t="array" ref="K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7">
        <f>_xlfn.XLOOKUP("LOADINGSPEEDDEF_"&amp;PROPERTIES[[#This Row],[LOADINGSPEED]],LOADINGSPEEDDEF[TYPE],LOADINGSPEEDDEF[SPEED])</f>
        <v>20</v>
      </c>
      <c r="M847" cm="1">
        <f t="array" ref="M8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7">
        <f>IF(ISNUMBER(SEARCH("passenger",PROPERTIES[[#This Row],[CARGODEF]])),1,0)</f>
        <v>0</v>
      </c>
      <c r="O847" s="32">
        <v>110</v>
      </c>
      <c r="P847">
        <v>1600</v>
      </c>
      <c r="Q847">
        <v>113</v>
      </c>
      <c r="R847" s="29">
        <v>270.8</v>
      </c>
      <c r="S847" s="29">
        <f>IFERROR(PROPERTIES[[#This Row],[TE_STARTING_KN]]/(PROPERTIES[[#This Row],[WEIGHT]]*9.81),0)</f>
        <v>0.2509498656287647</v>
      </c>
      <c r="T847" s="29">
        <v>0</v>
      </c>
      <c r="U847" s="25">
        <f>ROUND(IF(IFERROR(PROPERTIES[[#This Row],[TE_COEFFICIENT_CALC]],0)=0,PROPERTIES[[#This Row],[TE_COEFFICIENT_MANUAL]],PROPERTIES[[#This Row],[TE_COEFFICIENT_CALC]]),3)</f>
        <v>0.251</v>
      </c>
      <c r="V847" s="37" cm="1">
        <f t="array" ref="V8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7" s="36">
        <v>0</v>
      </c>
      <c r="X847" s="9">
        <v>0</v>
      </c>
      <c r="Y847" s="10">
        <v>0</v>
      </c>
      <c r="Z847" s="9" t="s">
        <v>871</v>
      </c>
      <c r="AA847" t="s">
        <v>868</v>
      </c>
      <c r="AB847" s="10" t="s">
        <v>886</v>
      </c>
      <c r="AC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7" s="2" t="str">
        <f>SUBSTITUTE(SUBSTITUTE(PROPERTIES[[#This Row],[PURCHASECOST_VALUE]], "PURCHASECOST_", ""), "_VALUE", "")</f>
        <v>DIESELENGINE</v>
      </c>
      <c r="AF847" s="9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  <c r="AH847" s="10" t="b">
        <v>0</v>
      </c>
    </row>
    <row r="848" spans="1:34">
      <c r="A848" s="2" t="s">
        <v>3154</v>
      </c>
      <c r="B848">
        <v>1951</v>
      </c>
      <c r="C848" cm="1">
        <f t="array" ref="C848">_xlfn.IFS(ISNUMBER(SEARCH("wagon",PROPERTIES[[#This Row],[VEHIDCODE]])),0,OR(MID(PROPERTIES[[#This Row],[VEHIDCODE]],2,2)="mu",_xlfn.TEXTBEFORE(PROPERTIES[[#This Row],[VEHIDCODE]],"_")="mtro"),1,1=1,0)</f>
        <v>0</v>
      </c>
      <c r="D848" t="s">
        <v>1719</v>
      </c>
      <c r="E848" t="str">
        <f>_xlfn.XLOOKUP(PROPERTIES[[#This Row],[COUNTRY]],COUNTRIES[COUNTRY_DESCRIPTION],COUNTRIES[COUNTRY_LABEL],"")</f>
        <v>AU</v>
      </c>
      <c r="F848" t="str" cm="1">
        <f t="array" ref="F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8" t="s">
        <v>19</v>
      </c>
      <c r="H848">
        <v>0</v>
      </c>
      <c r="I848">
        <v>8</v>
      </c>
      <c r="J848">
        <v>8</v>
      </c>
      <c r="K848" t="str" cm="1">
        <f t="array" ref="K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8">
        <f>_xlfn.XLOOKUP("LOADINGSPEEDDEF_"&amp;PROPERTIES[[#This Row],[LOADINGSPEED]],LOADINGSPEEDDEF[TYPE],LOADINGSPEEDDEF[SPEED])</f>
        <v>20</v>
      </c>
      <c r="M848" cm="1">
        <f t="array" ref="M8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8">
        <f>IF(ISNUMBER(SEARCH("passenger",PROPERTIES[[#This Row],[CARGODEF]])),1,0)</f>
        <v>0</v>
      </c>
      <c r="O848" s="32">
        <v>114</v>
      </c>
      <c r="P848">
        <v>1750</v>
      </c>
      <c r="Q848">
        <v>145</v>
      </c>
      <c r="R848" s="29">
        <v>251</v>
      </c>
      <c r="S848" s="29">
        <f>IFERROR(PROPERTIES[[#This Row],[TE_STARTING_KN]]/(PROPERTIES[[#This Row],[WEIGHT]]*9.81),0)</f>
        <v>0.22443979469570968</v>
      </c>
      <c r="T848" s="29">
        <v>0</v>
      </c>
      <c r="U848" s="25">
        <f>ROUND(IF(IFERROR(PROPERTIES[[#This Row],[TE_COEFFICIENT_CALC]],0)=0,PROPERTIES[[#This Row],[TE_COEFFICIENT_MANUAL]],PROPERTIES[[#This Row],[TE_COEFFICIENT_CALC]]),3)</f>
        <v>0.224</v>
      </c>
      <c r="V848" s="37" cm="1">
        <f t="array" ref="V8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8" s="36">
        <v>0</v>
      </c>
      <c r="X848" s="9">
        <v>0</v>
      </c>
      <c r="Y848" s="10">
        <v>0</v>
      </c>
      <c r="Z848" s="9" t="s">
        <v>871</v>
      </c>
      <c r="AA848" t="s">
        <v>868</v>
      </c>
      <c r="AB848" s="10" t="s">
        <v>886</v>
      </c>
      <c r="AC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8" s="2" t="str">
        <f>SUBSTITUTE(SUBSTITUTE(PROPERTIES[[#This Row],[PURCHASECOST_VALUE]], "PURCHASECOST_", ""), "_VALUE", "")</f>
        <v>DIESELENGINE</v>
      </c>
      <c r="AF848" s="9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  <c r="AH848" s="10" t="b">
        <v>0</v>
      </c>
    </row>
    <row r="849" spans="1:34">
      <c r="A849" s="2" t="s">
        <v>3156</v>
      </c>
      <c r="B849">
        <v>1984</v>
      </c>
      <c r="C849" cm="1">
        <f t="array" ref="C849">_xlfn.IFS(ISNUMBER(SEARCH("wagon",PROPERTIES[[#This Row],[VEHIDCODE]])),0,OR(MID(PROPERTIES[[#This Row],[VEHIDCODE]],2,2)="mu",_xlfn.TEXTBEFORE(PROPERTIES[[#This Row],[VEHIDCODE]],"_")="mtro"),1,1=1,0)</f>
        <v>0</v>
      </c>
      <c r="D849" t="s">
        <v>1719</v>
      </c>
      <c r="E849" t="str">
        <f>_xlfn.XLOOKUP(PROPERTIES[[#This Row],[COUNTRY]],COUNTRIES[COUNTRY_DESCRIPTION],COUNTRIES[COUNTRY_LABEL],"")</f>
        <v>AU</v>
      </c>
      <c r="F849" t="str" cm="1">
        <f t="array" ref="F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9" t="s">
        <v>19</v>
      </c>
      <c r="H849">
        <v>0</v>
      </c>
      <c r="I849">
        <v>8</v>
      </c>
      <c r="J849">
        <v>8</v>
      </c>
      <c r="K849" t="str" cm="1">
        <f t="array" ref="K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9">
        <f>_xlfn.XLOOKUP("LOADINGSPEEDDEF_"&amp;PROPERTIES[[#This Row],[LOADINGSPEED]],LOADINGSPEEDDEF[TYPE],LOADINGSPEEDDEF[SPEED])</f>
        <v>20</v>
      </c>
      <c r="M849" cm="1">
        <f t="array" ref="M8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9">
        <f>IF(ISNUMBER(SEARCH("passenger",PROPERTIES[[#This Row],[CARGODEF]])),1,0)</f>
        <v>0</v>
      </c>
      <c r="O849" s="32">
        <v>120</v>
      </c>
      <c r="P849">
        <v>2476</v>
      </c>
      <c r="Q849">
        <v>133</v>
      </c>
      <c r="R849" s="29">
        <v>294</v>
      </c>
      <c r="S849" s="29">
        <f>IFERROR(PROPERTIES[[#This Row],[TE_STARTING_KN]]/(PROPERTIES[[#This Row],[WEIGHT]]*9.81),0)</f>
        <v>0.24974515800203873</v>
      </c>
      <c r="T849" s="29">
        <v>0</v>
      </c>
      <c r="U849" s="25">
        <f>ROUND(IF(IFERROR(PROPERTIES[[#This Row],[TE_COEFFICIENT_CALC]],0)=0,PROPERTIES[[#This Row],[TE_COEFFICIENT_MANUAL]],PROPERTIES[[#This Row],[TE_COEFFICIENT_CALC]]),3)</f>
        <v>0.25</v>
      </c>
      <c r="V849" s="37" cm="1">
        <f t="array" ref="V8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9" s="36">
        <v>0</v>
      </c>
      <c r="X849" s="9">
        <v>0</v>
      </c>
      <c r="Y849" s="10">
        <v>0</v>
      </c>
      <c r="Z849" s="9" t="s">
        <v>871</v>
      </c>
      <c r="AA849" t="s">
        <v>868</v>
      </c>
      <c r="AB849" s="10" t="s">
        <v>886</v>
      </c>
      <c r="AC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9" s="2" t="str">
        <f>SUBSTITUTE(SUBSTITUTE(PROPERTIES[[#This Row],[PURCHASECOST_VALUE]], "PURCHASECOST_", ""), "_VALUE", "")</f>
        <v>DIESELENGINE</v>
      </c>
      <c r="AF849" s="9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  <c r="AH849" s="10" t="b">
        <v>1</v>
      </c>
    </row>
    <row r="850" spans="1:34">
      <c r="A850" s="2" t="s">
        <v>3160</v>
      </c>
      <c r="B850">
        <v>1955</v>
      </c>
      <c r="C850" cm="1">
        <f t="array" ref="C850">_xlfn.IFS(ISNUMBER(SEARCH("wagon",PROPERTIES[[#This Row],[VEHIDCODE]])),0,OR(MID(PROPERTIES[[#This Row],[VEHIDCODE]],2,2)="mu",_xlfn.TEXTBEFORE(PROPERTIES[[#This Row],[VEHIDCODE]],"_")="mtro"),1,1=1,0)</f>
        <v>0</v>
      </c>
      <c r="D850" t="s">
        <v>1719</v>
      </c>
      <c r="E850" t="str">
        <f>_xlfn.XLOOKUP(PROPERTIES[[#This Row],[COUNTRY]],COUNTRIES[COUNTRY_DESCRIPTION],COUNTRIES[COUNTRY_LABEL],"")</f>
        <v>AU</v>
      </c>
      <c r="F850" t="str" cm="1">
        <f t="array" ref="F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0" t="s">
        <v>19</v>
      </c>
      <c r="H850">
        <v>0</v>
      </c>
      <c r="I850">
        <v>8</v>
      </c>
      <c r="J850">
        <v>8</v>
      </c>
      <c r="K850" t="str" cm="1">
        <f t="array" ref="K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0">
        <f>_xlfn.XLOOKUP("LOADINGSPEEDDEF_"&amp;PROPERTIES[[#This Row],[LOADINGSPEED]],LOADINGSPEEDDEF[TYPE],LOADINGSPEEDDEF[SPEED])</f>
        <v>20</v>
      </c>
      <c r="M850" cm="1">
        <f t="array" ref="M8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0">
        <f>IF(ISNUMBER(SEARCH("passenger",PROPERTIES[[#This Row],[CARGODEF]])),1,0)</f>
        <v>0</v>
      </c>
      <c r="O850" s="32">
        <v>122</v>
      </c>
      <c r="P850">
        <v>1750</v>
      </c>
      <c r="Q850">
        <v>114</v>
      </c>
      <c r="R850" s="29">
        <v>300</v>
      </c>
      <c r="S850" s="29">
        <f>IFERROR(PROPERTIES[[#This Row],[TE_STARTING_KN]]/(PROPERTIES[[#This Row],[WEIGHT]]*9.81),0)</f>
        <v>0.25066426028976785</v>
      </c>
      <c r="T850" s="29">
        <v>0</v>
      </c>
      <c r="U850" s="25">
        <f>ROUND(IF(IFERROR(PROPERTIES[[#This Row],[TE_COEFFICIENT_CALC]],0)=0,PROPERTIES[[#This Row],[TE_COEFFICIENT_MANUAL]],PROPERTIES[[#This Row],[TE_COEFFICIENT_CALC]]),3)</f>
        <v>0.251</v>
      </c>
      <c r="V850" s="37" cm="1">
        <f t="array" ref="V8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0" s="36">
        <v>0</v>
      </c>
      <c r="X850" s="9">
        <v>0</v>
      </c>
      <c r="Y850" s="10">
        <v>0</v>
      </c>
      <c r="Z850" s="9" t="s">
        <v>871</v>
      </c>
      <c r="AA850" t="s">
        <v>868</v>
      </c>
      <c r="AB850" s="10" t="s">
        <v>886</v>
      </c>
      <c r="AC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0" s="2" t="str">
        <f>SUBSTITUTE(SUBSTITUTE(PROPERTIES[[#This Row],[PURCHASECOST_VALUE]], "PURCHASECOST_", ""), "_VALUE", "")</f>
        <v>DIESELENGINE</v>
      </c>
      <c r="AF850" s="9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  <c r="AH850" s="10" t="b">
        <v>0</v>
      </c>
    </row>
    <row r="851" spans="1:34">
      <c r="A851" s="2" t="s">
        <v>3162</v>
      </c>
      <c r="B851">
        <v>1988</v>
      </c>
      <c r="C851" cm="1">
        <f t="array" ref="C851">_xlfn.IFS(ISNUMBER(SEARCH("wagon",PROPERTIES[[#This Row],[VEHIDCODE]])),0,OR(MID(PROPERTIES[[#This Row],[VEHIDCODE]],2,2)="mu",_xlfn.TEXTBEFORE(PROPERTIES[[#This Row],[VEHIDCODE]],"_")="mtro"),1,1=1,0)</f>
        <v>0</v>
      </c>
      <c r="D851" t="s">
        <v>1719</v>
      </c>
      <c r="E851" t="str">
        <f>_xlfn.XLOOKUP(PROPERTIES[[#This Row],[COUNTRY]],COUNTRIES[COUNTRY_DESCRIPTION],COUNTRIES[COUNTRY_LABEL],"")</f>
        <v>AU</v>
      </c>
      <c r="F851" t="str" cm="1">
        <f t="array" ref="F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1" t="s">
        <v>19</v>
      </c>
      <c r="H851">
        <v>0</v>
      </c>
      <c r="I851">
        <v>8</v>
      </c>
      <c r="J851">
        <v>8</v>
      </c>
      <c r="K851" t="str" cm="1">
        <f t="array" ref="K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1">
        <f>_xlfn.XLOOKUP("LOADINGSPEEDDEF_"&amp;PROPERTIES[[#This Row],[LOADINGSPEED]],LOADINGSPEEDDEF[TYPE],LOADINGSPEEDDEF[SPEED])</f>
        <v>20</v>
      </c>
      <c r="M851" cm="1">
        <f t="array" ref="M8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1">
        <f>IF(ISNUMBER(SEARCH("passenger",PROPERTIES[[#This Row],[CARGODEF]])),1,0)</f>
        <v>0</v>
      </c>
      <c r="O851" s="32">
        <v>121</v>
      </c>
      <c r="P851">
        <v>3030</v>
      </c>
      <c r="Q851">
        <v>153</v>
      </c>
      <c r="R851" s="29">
        <v>370</v>
      </c>
      <c r="S851" s="29">
        <f>IFERROR(PROPERTIES[[#This Row],[TE_STARTING_KN]]/(PROPERTIES[[#This Row],[WEIGHT]]*9.81),0)</f>
        <v>0.31170756775427333</v>
      </c>
      <c r="T851" s="29">
        <v>0</v>
      </c>
      <c r="U851" s="25">
        <f>ROUND(IF(IFERROR(PROPERTIES[[#This Row],[TE_COEFFICIENT_CALC]],0)=0,PROPERTIES[[#This Row],[TE_COEFFICIENT_MANUAL]],PROPERTIES[[#This Row],[TE_COEFFICIENT_CALC]]),3)</f>
        <v>0.312</v>
      </c>
      <c r="V851" s="37" cm="1">
        <f t="array" ref="V8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1" s="36">
        <v>0</v>
      </c>
      <c r="X851" s="9">
        <v>0</v>
      </c>
      <c r="Y851" s="10">
        <v>0</v>
      </c>
      <c r="Z851" s="9" t="s">
        <v>871</v>
      </c>
      <c r="AA851" t="s">
        <v>868</v>
      </c>
      <c r="AB851" s="10" t="s">
        <v>886</v>
      </c>
      <c r="AC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1" s="2" t="str">
        <f>SUBSTITUTE(SUBSTITUTE(PROPERTIES[[#This Row],[PURCHASECOST_VALUE]], "PURCHASECOST_", ""), "_VALUE", "")</f>
        <v>DIESELENGINE</v>
      </c>
      <c r="AF851" s="9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  <c r="AH851" s="10" t="b">
        <v>0</v>
      </c>
    </row>
    <row r="852" spans="1:34">
      <c r="A852" s="2" t="s">
        <v>3167</v>
      </c>
      <c r="B852">
        <v>1986</v>
      </c>
      <c r="C852" cm="1">
        <f t="array" ref="C852">_xlfn.IFS(ISNUMBER(SEARCH("wagon",PROPERTIES[[#This Row],[VEHIDCODE]])),0,OR(MID(PROPERTIES[[#This Row],[VEHIDCODE]],2,2)="mu",_xlfn.TEXTBEFORE(PROPERTIES[[#This Row],[VEHIDCODE]],"_")="mtro"),1,1=1,0)</f>
        <v>0</v>
      </c>
      <c r="D852" t="s">
        <v>1719</v>
      </c>
      <c r="E852" t="str">
        <f>_xlfn.XLOOKUP(PROPERTIES[[#This Row],[COUNTRY]],COUNTRIES[COUNTRY_DESCRIPTION],COUNTRIES[COUNTRY_LABEL],"")</f>
        <v>AU</v>
      </c>
      <c r="F852" t="str" cm="1">
        <f t="array" ref="F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52" t="s">
        <v>19</v>
      </c>
      <c r="H852">
        <v>0</v>
      </c>
      <c r="I852">
        <v>8</v>
      </c>
      <c r="J852">
        <v>8</v>
      </c>
      <c r="K852" t="str" cm="1">
        <f t="array" ref="K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2">
        <f>_xlfn.XLOOKUP("LOADINGSPEEDDEF_"&amp;PROPERTIES[[#This Row],[LOADINGSPEED]],LOADINGSPEEDDEF[TYPE],LOADINGSPEEDDEF[SPEED])</f>
        <v>20</v>
      </c>
      <c r="M852" cm="1">
        <f t="array" ref="M8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2">
        <f>IF(ISNUMBER(SEARCH("passenger",PROPERTIES[[#This Row],[CARGODEF]])),1,0)</f>
        <v>0</v>
      </c>
      <c r="O852" s="32">
        <v>109.8</v>
      </c>
      <c r="P852">
        <v>3880</v>
      </c>
      <c r="Q852">
        <v>80</v>
      </c>
      <c r="R852" s="29">
        <v>341</v>
      </c>
      <c r="S852" s="29">
        <f>IFERROR(PROPERTIES[[#This Row],[TE_STARTING_KN]]/(PROPERTIES[[#This Row],[WEIGHT]]*9.81),0)</f>
        <v>0.31657967688448463</v>
      </c>
      <c r="T852" s="29">
        <v>0</v>
      </c>
      <c r="U852" s="25">
        <f>ROUND(IF(IFERROR(PROPERTIES[[#This Row],[TE_COEFFICIENT_CALC]],0)=0,PROPERTIES[[#This Row],[TE_COEFFICIENT_MANUAL]],PROPERTIES[[#This Row],[TE_COEFFICIENT_CALC]]),3)</f>
        <v>0.317</v>
      </c>
      <c r="V852" s="37" cm="1">
        <f t="array" ref="V8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2" s="36">
        <v>0</v>
      </c>
      <c r="X852" s="9">
        <v>0</v>
      </c>
      <c r="Y852" s="10">
        <v>0</v>
      </c>
      <c r="Z852" s="9" t="s">
        <v>871</v>
      </c>
      <c r="AA852" t="s">
        <v>868</v>
      </c>
      <c r="AB852" s="10" t="s">
        <v>886</v>
      </c>
      <c r="AC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52" s="2" t="str">
        <f>SUBSTITUTE(SUBSTITUTE(PROPERTIES[[#This Row],[PURCHASECOST_VALUE]], "PURCHASECOST_", ""), "_VALUE", "")</f>
        <v>ELECTRICENGINE</v>
      </c>
      <c r="AF852" s="9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  <c r="AH852" s="10" t="b">
        <v>0</v>
      </c>
    </row>
    <row r="853" spans="1:34">
      <c r="A853" s="2" t="s">
        <v>3168</v>
      </c>
      <c r="B853">
        <v>1994</v>
      </c>
      <c r="C853" cm="1">
        <f t="array" ref="C853">_xlfn.IFS(ISNUMBER(SEARCH("wagon",PROPERTIES[[#This Row],[VEHIDCODE]])),0,OR(MID(PROPERTIES[[#This Row],[VEHIDCODE]],2,2)="mu",_xlfn.TEXTBEFORE(PROPERTIES[[#This Row],[VEHIDCODE]],"_")="mtro"),1,1=1,0)</f>
        <v>0</v>
      </c>
      <c r="D853" t="s">
        <v>1719</v>
      </c>
      <c r="E853" t="str">
        <f>_xlfn.XLOOKUP(PROPERTIES[[#This Row],[COUNTRY]],COUNTRIES[COUNTRY_DESCRIPTION],COUNTRIES[COUNTRY_LABEL],"")</f>
        <v>AU</v>
      </c>
      <c r="F853" t="str" cm="1">
        <f t="array" ref="F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3" t="s">
        <v>19</v>
      </c>
      <c r="H853">
        <v>0</v>
      </c>
      <c r="I853">
        <v>8</v>
      </c>
      <c r="J853">
        <v>8</v>
      </c>
      <c r="K853" t="str" cm="1">
        <f t="array" ref="K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3">
        <f>_xlfn.XLOOKUP("LOADINGSPEEDDEF_"&amp;PROPERTIES[[#This Row],[LOADINGSPEED]],LOADINGSPEEDDEF[TYPE],LOADINGSPEEDDEF[SPEED])</f>
        <v>20</v>
      </c>
      <c r="M853" cm="1">
        <f t="array" ref="M8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3">
        <f>IF(ISNUMBER(SEARCH("passenger",PROPERTIES[[#This Row],[CARGODEF]])),1,0)</f>
        <v>0</v>
      </c>
      <c r="O853" s="32">
        <v>165</v>
      </c>
      <c r="P853">
        <v>4060</v>
      </c>
      <c r="Q853">
        <v>115</v>
      </c>
      <c r="R853" s="29">
        <v>470</v>
      </c>
      <c r="S853" s="29">
        <f>IFERROR(PROPERTIES[[#This Row],[TE_STARTING_KN]]/(PROPERTIES[[#This Row],[WEIGHT]]*9.81),0)</f>
        <v>0.29036542798010684</v>
      </c>
      <c r="T853" s="29">
        <v>0</v>
      </c>
      <c r="U853" s="25">
        <f>ROUND(IF(IFERROR(PROPERTIES[[#This Row],[TE_COEFFICIENT_CALC]],0)=0,PROPERTIES[[#This Row],[TE_COEFFICIENT_MANUAL]],PROPERTIES[[#This Row],[TE_COEFFICIENT_CALC]]),3)</f>
        <v>0.28999999999999998</v>
      </c>
      <c r="V853" s="37" cm="1">
        <f t="array" ref="V8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3" s="36">
        <v>0</v>
      </c>
      <c r="X853" s="9">
        <v>0</v>
      </c>
      <c r="Y853" s="10">
        <v>0</v>
      </c>
      <c r="Z853" s="9" t="s">
        <v>871</v>
      </c>
      <c r="AA853" t="s">
        <v>868</v>
      </c>
      <c r="AB853" s="10" t="s">
        <v>886</v>
      </c>
      <c r="AC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3" s="2" t="str">
        <f>SUBSTITUTE(SUBSTITUTE(PROPERTIES[[#This Row],[PURCHASECOST_VALUE]], "PURCHASECOST_", ""), "_VALUE", "")</f>
        <v>DIESELENGINE</v>
      </c>
      <c r="AF853" s="9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  <c r="AH853" s="10" t="b">
        <v>0</v>
      </c>
    </row>
    <row r="854" spans="1:34">
      <c r="A854" s="2" t="s">
        <v>3171</v>
      </c>
      <c r="B854">
        <v>1996</v>
      </c>
      <c r="C854" cm="1">
        <f t="array" ref="C854">_xlfn.IFS(ISNUMBER(SEARCH("wagon",PROPERTIES[[#This Row],[VEHIDCODE]])),0,OR(MID(PROPERTIES[[#This Row],[VEHIDCODE]],2,2)="mu",_xlfn.TEXTBEFORE(PROPERTIES[[#This Row],[VEHIDCODE]],"_")="mtro"),1,1=1,0)</f>
        <v>0</v>
      </c>
      <c r="D854" t="s">
        <v>1719</v>
      </c>
      <c r="E854" t="str">
        <f>_xlfn.XLOOKUP(PROPERTIES[[#This Row],[COUNTRY]],COUNTRIES[COUNTRY_DESCRIPTION],COUNTRIES[COUNTRY_LABEL],"")</f>
        <v>AU</v>
      </c>
      <c r="F854" t="str" cm="1">
        <f t="array" ref="F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4" t="s">
        <v>19</v>
      </c>
      <c r="H854">
        <v>0</v>
      </c>
      <c r="I854">
        <v>8</v>
      </c>
      <c r="J854">
        <v>8</v>
      </c>
      <c r="K854" t="str" cm="1">
        <f t="array" ref="K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4">
        <f>_xlfn.XLOOKUP("LOADINGSPEEDDEF_"&amp;PROPERTIES[[#This Row],[LOADINGSPEED]],LOADINGSPEEDDEF[TYPE],LOADINGSPEEDDEF[SPEED])</f>
        <v>20</v>
      </c>
      <c r="M854" t="str" cm="1">
        <f t="array" ref="M8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54">
        <f>IF(ISNUMBER(SEARCH("passenger",PROPERTIES[[#This Row],[CARGODEF]])),1,0)</f>
        <v>0</v>
      </c>
      <c r="O854" s="32">
        <v>132</v>
      </c>
      <c r="P854">
        <v>4000</v>
      </c>
      <c r="Q854">
        <v>115</v>
      </c>
      <c r="R854" s="29">
        <v>450</v>
      </c>
      <c r="S854" s="29">
        <f>IFERROR(PROPERTIES[[#This Row],[TE_STARTING_KN]]/(PROPERTIES[[#This Row],[WEIGHT]]*9.81),0)</f>
        <v>0.34751181540172366</v>
      </c>
      <c r="T854" s="29">
        <v>0</v>
      </c>
      <c r="U854" s="25">
        <f>ROUND(IF(IFERROR(PROPERTIES[[#This Row],[TE_COEFFICIENT_CALC]],0)=0,PROPERTIES[[#This Row],[TE_COEFFICIENT_MANUAL]],PROPERTIES[[#This Row],[TE_COEFFICIENT_CALC]]),3)</f>
        <v>0.34799999999999998</v>
      </c>
      <c r="V854" s="37" cm="1">
        <f t="array" ref="V8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4" s="36">
        <v>0</v>
      </c>
      <c r="X854" s="9">
        <v>0</v>
      </c>
      <c r="Y854" s="10">
        <v>0</v>
      </c>
      <c r="Z854" s="9" t="s">
        <v>871</v>
      </c>
      <c r="AA854" t="s">
        <v>868</v>
      </c>
      <c r="AB854" s="10" t="s">
        <v>887</v>
      </c>
      <c r="AC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4" s="2" t="str">
        <f>SUBSTITUTE(SUBSTITUTE(PROPERTIES[[#This Row],[PURCHASECOST_VALUE]], "PURCHASECOST_", ""), "_VALUE", "")</f>
        <v>DIESELENGINE</v>
      </c>
      <c r="AF854" s="9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  <c r="AH854" s="10" t="b">
        <v>0</v>
      </c>
    </row>
    <row r="855" spans="1:34">
      <c r="A855" s="2" t="s">
        <v>3174</v>
      </c>
      <c r="B855">
        <v>1977</v>
      </c>
      <c r="C855" cm="1">
        <f t="array" ref="C855">_xlfn.IFS(ISNUMBER(SEARCH("wagon",PROPERTIES[[#This Row],[VEHIDCODE]])),0,OR(MID(PROPERTIES[[#This Row],[VEHIDCODE]],2,2)="mu",_xlfn.TEXTBEFORE(PROPERTIES[[#This Row],[VEHIDCODE]],"_")="mtro"),1,1=1,0)</f>
        <v>0</v>
      </c>
      <c r="D855" t="s">
        <v>1719</v>
      </c>
      <c r="E855" t="str">
        <f>_xlfn.XLOOKUP(PROPERTIES[[#This Row],[COUNTRY]],COUNTRIES[COUNTRY_DESCRIPTION],COUNTRIES[COUNTRY_LABEL],"")</f>
        <v>AU</v>
      </c>
      <c r="F855" t="str" cm="1">
        <f t="array" ref="F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5" t="s">
        <v>19</v>
      </c>
      <c r="H855">
        <v>0</v>
      </c>
      <c r="I855">
        <v>8</v>
      </c>
      <c r="J855">
        <v>8</v>
      </c>
      <c r="K855" t="str" cm="1">
        <f t="array" ref="K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5">
        <f>_xlfn.XLOOKUP("LOADINGSPEEDDEF_"&amp;PROPERTIES[[#This Row],[LOADINGSPEED]],LOADINGSPEEDDEF[TYPE],LOADINGSPEEDDEF[SPEED])</f>
        <v>20</v>
      </c>
      <c r="M855" cm="1">
        <f t="array" ref="M8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5">
        <f>IF(ISNUMBER(SEARCH("passenger",PROPERTIES[[#This Row],[CARGODEF]])),1,0)</f>
        <v>0</v>
      </c>
      <c r="O855" s="32">
        <v>108</v>
      </c>
      <c r="P855">
        <v>2250</v>
      </c>
      <c r="Q855">
        <v>115</v>
      </c>
      <c r="R855" s="29">
        <v>310</v>
      </c>
      <c r="S855" s="29">
        <f>IFERROR(PROPERTIES[[#This Row],[TE_STARTING_KN]]/(PROPERTIES[[#This Row],[WEIGHT]]*9.81),0)</f>
        <v>0.29259636802959943</v>
      </c>
      <c r="T855" s="29">
        <v>0</v>
      </c>
      <c r="U855" s="25">
        <f>ROUND(IF(IFERROR(PROPERTIES[[#This Row],[TE_COEFFICIENT_CALC]],0)=0,PROPERTIES[[#This Row],[TE_COEFFICIENT_MANUAL]],PROPERTIES[[#This Row],[TE_COEFFICIENT_CALC]]),3)</f>
        <v>0.29299999999999998</v>
      </c>
      <c r="V855" s="37" cm="1">
        <f t="array" ref="V8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5" s="36">
        <v>0</v>
      </c>
      <c r="X855" s="9">
        <v>0</v>
      </c>
      <c r="Y855" s="10">
        <v>0</v>
      </c>
      <c r="Z855" s="9" t="s">
        <v>871</v>
      </c>
      <c r="AA855" t="s">
        <v>868</v>
      </c>
      <c r="AB855" s="10" t="s">
        <v>887</v>
      </c>
      <c r="AC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5" s="2" t="str">
        <f>SUBSTITUTE(SUBSTITUTE(PROPERTIES[[#This Row],[PURCHASECOST_VALUE]], "PURCHASECOST_", ""), "_VALUE", "")</f>
        <v>DIESELENGINE</v>
      </c>
      <c r="AF855" s="9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  <c r="AH855" s="10" t="b">
        <v>0</v>
      </c>
    </row>
    <row r="856" spans="1:34">
      <c r="A856" s="2" t="s">
        <v>3176</v>
      </c>
      <c r="B856">
        <v>1985</v>
      </c>
      <c r="C856" cm="1">
        <f t="array" ref="C856">_xlfn.IFS(ISNUMBER(SEARCH("wagon",PROPERTIES[[#This Row],[VEHIDCODE]])),0,OR(MID(PROPERTIES[[#This Row],[VEHIDCODE]],2,2)="mu",_xlfn.TEXTBEFORE(PROPERTIES[[#This Row],[VEHIDCODE]],"_")="mtro"),1,1=1,0)</f>
        <v>0</v>
      </c>
      <c r="D856" t="s">
        <v>1719</v>
      </c>
      <c r="E856" t="str">
        <f>_xlfn.XLOOKUP(PROPERTIES[[#This Row],[COUNTRY]],COUNTRIES[COUNTRY_DESCRIPTION],COUNTRIES[COUNTRY_LABEL],"")</f>
        <v>AU</v>
      </c>
      <c r="F856" t="str" cm="1">
        <f t="array" ref="F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6" t="s">
        <v>19</v>
      </c>
      <c r="H856">
        <v>0</v>
      </c>
      <c r="I856">
        <v>8</v>
      </c>
      <c r="J856">
        <v>8</v>
      </c>
      <c r="K856" t="str" cm="1">
        <f t="array" ref="K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6">
        <f>_xlfn.XLOOKUP("LOADINGSPEEDDEF_"&amp;PROPERTIES[[#This Row],[LOADINGSPEED]],LOADINGSPEEDDEF[TYPE],LOADINGSPEEDDEF[SPEED])</f>
        <v>20</v>
      </c>
      <c r="M856" cm="1">
        <f t="array" ref="M8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6">
        <f>IF(ISNUMBER(SEARCH("passenger",PROPERTIES[[#This Row],[CARGODEF]])),1,0)</f>
        <v>0</v>
      </c>
      <c r="O856" s="32">
        <v>123</v>
      </c>
      <c r="P856">
        <v>2476</v>
      </c>
      <c r="Q856">
        <v>130</v>
      </c>
      <c r="R856" s="29">
        <v>289</v>
      </c>
      <c r="S856" s="29">
        <f>IFERROR(PROPERTIES[[#This Row],[TE_STARTING_KN]]/(PROPERTIES[[#This Row],[WEIGHT]]*9.81),0)</f>
        <v>0.23951004036034243</v>
      </c>
      <c r="T856" s="29">
        <v>0</v>
      </c>
      <c r="U856" s="25">
        <f>ROUND(IF(IFERROR(PROPERTIES[[#This Row],[TE_COEFFICIENT_CALC]],0)=0,PROPERTIES[[#This Row],[TE_COEFFICIENT_MANUAL]],PROPERTIES[[#This Row],[TE_COEFFICIENT_CALC]]),3)</f>
        <v>0.24</v>
      </c>
      <c r="V856" s="37" cm="1">
        <f t="array" ref="V8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6" s="36">
        <v>0</v>
      </c>
      <c r="X856" s="9">
        <v>0</v>
      </c>
      <c r="Y856" s="10">
        <v>0</v>
      </c>
      <c r="Z856" s="9" t="s">
        <v>871</v>
      </c>
      <c r="AA856" t="s">
        <v>868</v>
      </c>
      <c r="AB856" s="10" t="s">
        <v>886</v>
      </c>
      <c r="AC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6" s="2" t="str">
        <f>SUBSTITUTE(SUBSTITUTE(PROPERTIES[[#This Row],[PURCHASECOST_VALUE]], "PURCHASECOST_", ""), "_VALUE", "")</f>
        <v>DIESELENGINE</v>
      </c>
      <c r="AF856" s="9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  <c r="AH856" s="10" t="b">
        <v>0</v>
      </c>
    </row>
    <row r="857" spans="1:34">
      <c r="A857" s="2" t="s">
        <v>3178</v>
      </c>
      <c r="B857">
        <v>1982</v>
      </c>
      <c r="C857" cm="1">
        <f t="array" ref="C857">_xlfn.IFS(ISNUMBER(SEARCH("wagon",PROPERTIES[[#This Row],[VEHIDCODE]])),0,OR(MID(PROPERTIES[[#This Row],[VEHIDCODE]],2,2)="mu",_xlfn.TEXTBEFORE(PROPERTIES[[#This Row],[VEHIDCODE]],"_")="mtro"),1,1=1,0)</f>
        <v>0</v>
      </c>
      <c r="D857" t="s">
        <v>1719</v>
      </c>
      <c r="E857" t="str">
        <f>_xlfn.XLOOKUP(PROPERTIES[[#This Row],[COUNTRY]],COUNTRIES[COUNTRY_DESCRIPTION],COUNTRIES[COUNTRY_LABEL],"")</f>
        <v>AU</v>
      </c>
      <c r="F857" t="str" cm="1">
        <f t="array" ref="F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7" t="s">
        <v>19</v>
      </c>
      <c r="H857">
        <v>0</v>
      </c>
      <c r="I857">
        <v>8</v>
      </c>
      <c r="J857">
        <v>8</v>
      </c>
      <c r="K857" t="str" cm="1">
        <f t="array" ref="K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7">
        <f>_xlfn.XLOOKUP("LOADINGSPEEDDEF_"&amp;PROPERTIES[[#This Row],[LOADINGSPEED]],LOADINGSPEEDDEF[TYPE],LOADINGSPEEDDEF[SPEED])</f>
        <v>20</v>
      </c>
      <c r="M857" cm="1">
        <f t="array" ref="M8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7">
        <f>IF(ISNUMBER(SEARCH("passenger",PROPERTIES[[#This Row],[CARGODEF]])),1,0)</f>
        <v>0</v>
      </c>
      <c r="O857" s="32">
        <v>129</v>
      </c>
      <c r="P857">
        <v>3300</v>
      </c>
      <c r="Q857">
        <v>115</v>
      </c>
      <c r="R857" s="29">
        <v>370</v>
      </c>
      <c r="S857" s="29">
        <f>IFERROR(PROPERTIES[[#This Row],[TE_STARTING_KN]]/(PROPERTIES[[#This Row],[WEIGHT]]*9.81),0)</f>
        <v>0.29237686587803935</v>
      </c>
      <c r="T857" s="29">
        <v>0</v>
      </c>
      <c r="U857" s="25">
        <f>ROUND(IF(IFERROR(PROPERTIES[[#This Row],[TE_COEFFICIENT_CALC]],0)=0,PROPERTIES[[#This Row],[TE_COEFFICIENT_MANUAL]],PROPERTIES[[#This Row],[TE_COEFFICIENT_CALC]]),3)</f>
        <v>0.29199999999999998</v>
      </c>
      <c r="V857" s="37" cm="1">
        <f t="array" ref="V8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7" s="36">
        <v>0</v>
      </c>
      <c r="X857" s="9">
        <v>0</v>
      </c>
      <c r="Y857" s="10">
        <v>0</v>
      </c>
      <c r="Z857" s="9" t="s">
        <v>871</v>
      </c>
      <c r="AA857" t="s">
        <v>868</v>
      </c>
      <c r="AB857" s="10" t="s">
        <v>886</v>
      </c>
      <c r="AC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7" s="2" t="str">
        <f>SUBSTITUTE(SUBSTITUTE(PROPERTIES[[#This Row],[PURCHASECOST_VALUE]], "PURCHASECOST_", ""), "_VALUE", "")</f>
        <v>DIESELENGINE</v>
      </c>
      <c r="AF857" s="9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  <c r="AH857" s="10" t="b">
        <v>1</v>
      </c>
    </row>
    <row r="858" spans="1:34">
      <c r="A858" s="2" t="s">
        <v>3181</v>
      </c>
      <c r="B858">
        <v>1984</v>
      </c>
      <c r="C858" cm="1">
        <f t="array" ref="C858">_xlfn.IFS(ISNUMBER(SEARCH("wagon",PROPERTIES[[#This Row],[VEHIDCODE]])),0,OR(MID(PROPERTIES[[#This Row],[VEHIDCODE]],2,2)="mu",_xlfn.TEXTBEFORE(PROPERTIES[[#This Row],[VEHIDCODE]],"_")="mtro"),1,1=1,0)</f>
        <v>0</v>
      </c>
      <c r="D858" t="s">
        <v>1719</v>
      </c>
      <c r="E858" t="str">
        <f>_xlfn.XLOOKUP(PROPERTIES[[#This Row],[COUNTRY]],COUNTRIES[COUNTRY_DESCRIPTION],COUNTRIES[COUNTRY_LABEL],"")</f>
        <v>AU</v>
      </c>
      <c r="F858" t="str" cm="1">
        <f t="array" ref="F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8" t="s">
        <v>19</v>
      </c>
      <c r="H858">
        <v>0</v>
      </c>
      <c r="I858">
        <v>8</v>
      </c>
      <c r="J858">
        <v>8</v>
      </c>
      <c r="K858" t="str" cm="1">
        <f t="array" ref="K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8">
        <f>_xlfn.XLOOKUP("LOADINGSPEEDDEF_"&amp;PROPERTIES[[#This Row],[LOADINGSPEED]],LOADINGSPEEDDEF[TYPE],LOADINGSPEEDDEF[SPEED])</f>
        <v>20</v>
      </c>
      <c r="M858" cm="1">
        <f t="array" ref="M8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8">
        <f>IF(ISNUMBER(SEARCH("passenger",PROPERTIES[[#This Row],[CARGODEF]])),1,0)</f>
        <v>0</v>
      </c>
      <c r="O858" s="32">
        <v>127</v>
      </c>
      <c r="P858">
        <v>3000</v>
      </c>
      <c r="Q858">
        <v>115</v>
      </c>
      <c r="R858" s="29">
        <v>337</v>
      </c>
      <c r="S858" s="29">
        <f>IFERROR(PROPERTIES[[#This Row],[TE_STARTING_KN]]/(PROPERTIES[[#This Row],[WEIGHT]]*9.81),0)</f>
        <v>0.27049371122187704</v>
      </c>
      <c r="T858" s="29">
        <v>0</v>
      </c>
      <c r="U858" s="25">
        <f>ROUND(IF(IFERROR(PROPERTIES[[#This Row],[TE_COEFFICIENT_CALC]],0)=0,PROPERTIES[[#This Row],[TE_COEFFICIENT_MANUAL]],PROPERTIES[[#This Row],[TE_COEFFICIENT_CALC]]),3)</f>
        <v>0.27</v>
      </c>
      <c r="V858" s="37" cm="1">
        <f t="array" ref="V8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8" s="36">
        <v>0</v>
      </c>
      <c r="X858" s="9">
        <v>0</v>
      </c>
      <c r="Y858" s="10">
        <v>0</v>
      </c>
      <c r="Z858" s="9" t="s">
        <v>871</v>
      </c>
      <c r="AA858" t="s">
        <v>868</v>
      </c>
      <c r="AB858" s="10" t="s">
        <v>886</v>
      </c>
      <c r="AC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8" s="2" t="str">
        <f>SUBSTITUTE(SUBSTITUTE(PROPERTIES[[#This Row],[PURCHASECOST_VALUE]], "PURCHASECOST_", ""), "_VALUE", "")</f>
        <v>DIESELENGINE</v>
      </c>
      <c r="AF858" s="9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  <c r="AH858" s="10" t="b">
        <v>0</v>
      </c>
    </row>
    <row r="859" spans="1:34">
      <c r="A859" s="2" t="s">
        <v>3183</v>
      </c>
      <c r="B859">
        <v>1982</v>
      </c>
      <c r="C859" cm="1">
        <f t="array" ref="C859">_xlfn.IFS(ISNUMBER(SEARCH("wagon",PROPERTIES[[#This Row],[VEHIDCODE]])),0,OR(MID(PROPERTIES[[#This Row],[VEHIDCODE]],2,2)="mu",_xlfn.TEXTBEFORE(PROPERTIES[[#This Row],[VEHIDCODE]],"_")="mtro"),1,1=1,0)</f>
        <v>0</v>
      </c>
      <c r="D859" t="s">
        <v>1719</v>
      </c>
      <c r="E859" t="str">
        <f>_xlfn.XLOOKUP(PROPERTIES[[#This Row],[COUNTRY]],COUNTRIES[COUNTRY_DESCRIPTION],COUNTRIES[COUNTRY_LABEL],"")</f>
        <v>AU</v>
      </c>
      <c r="F859" t="str" cm="1">
        <f t="array" ref="F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9" t="s">
        <v>19</v>
      </c>
      <c r="H859">
        <v>0</v>
      </c>
      <c r="I859">
        <v>8</v>
      </c>
      <c r="J859">
        <v>8</v>
      </c>
      <c r="K859" t="str" cm="1">
        <f t="array" ref="K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9">
        <f>_xlfn.XLOOKUP("LOADINGSPEEDDEF_"&amp;PROPERTIES[[#This Row],[LOADINGSPEED]],LOADINGSPEEDDEF[TYPE],LOADINGSPEEDDEF[SPEED])</f>
        <v>20</v>
      </c>
      <c r="M859" cm="1">
        <f t="array" ref="M8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9">
        <f>IF(ISNUMBER(SEARCH("passenger",PROPERTIES[[#This Row],[CARGODEF]])),1,0)</f>
        <v>0</v>
      </c>
      <c r="O859" s="32">
        <v>132</v>
      </c>
      <c r="P859">
        <v>3030</v>
      </c>
      <c r="Q859">
        <v>121</v>
      </c>
      <c r="R859" s="29">
        <v>370</v>
      </c>
      <c r="S859" s="29">
        <f>IFERROR(PROPERTIES[[#This Row],[TE_STARTING_KN]]/(PROPERTIES[[#This Row],[WEIGHT]]*9.81),0)</f>
        <v>0.28573193710808387</v>
      </c>
      <c r="T859" s="29">
        <v>0</v>
      </c>
      <c r="U859" s="25">
        <f>ROUND(IF(IFERROR(PROPERTIES[[#This Row],[TE_COEFFICIENT_CALC]],0)=0,PROPERTIES[[#This Row],[TE_COEFFICIENT_MANUAL]],PROPERTIES[[#This Row],[TE_COEFFICIENT_CALC]]),3)</f>
        <v>0.28599999999999998</v>
      </c>
      <c r="V859" s="37" cm="1">
        <f t="array" ref="V8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9" s="36">
        <v>0</v>
      </c>
      <c r="X859" s="9">
        <v>0</v>
      </c>
      <c r="Y859" s="10">
        <v>0</v>
      </c>
      <c r="Z859" s="9" t="s">
        <v>871</v>
      </c>
      <c r="AA859" t="s">
        <v>868</v>
      </c>
      <c r="AB859" s="10" t="s">
        <v>886</v>
      </c>
      <c r="AC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9" s="2" t="str">
        <f>SUBSTITUTE(SUBSTITUTE(PROPERTIES[[#This Row],[PURCHASECOST_VALUE]], "PURCHASECOST_", ""), "_VALUE", "")</f>
        <v>DIESELENGINE</v>
      </c>
      <c r="AF859" s="9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  <c r="AH859" s="10" t="b">
        <v>0</v>
      </c>
    </row>
    <row r="860" spans="1:34">
      <c r="A860" s="2" t="s">
        <v>3189</v>
      </c>
      <c r="B860">
        <v>1998</v>
      </c>
      <c r="C860" cm="1">
        <f t="array" ref="C860">_xlfn.IFS(ISNUMBER(SEARCH("wagon",PROPERTIES[[#This Row],[VEHIDCODE]])),0,OR(MID(PROPERTIES[[#This Row],[VEHIDCODE]],2,2)="mu",_xlfn.TEXTBEFORE(PROPERTIES[[#This Row],[VEHIDCODE]],"_")="mtro"),1,1=1,0)</f>
        <v>0</v>
      </c>
      <c r="D860" t="s">
        <v>1719</v>
      </c>
      <c r="E860" t="str">
        <f>_xlfn.XLOOKUP(PROPERTIES[[#This Row],[COUNTRY]],COUNTRIES[COUNTRY_DESCRIPTION],COUNTRIES[COUNTRY_LABEL],"")</f>
        <v>AU</v>
      </c>
      <c r="F860" t="str" cm="1">
        <f t="array" ref="F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0" t="s">
        <v>19</v>
      </c>
      <c r="H860">
        <v>0</v>
      </c>
      <c r="I860">
        <v>8</v>
      </c>
      <c r="J860">
        <v>8</v>
      </c>
      <c r="K860" t="str" cm="1">
        <f t="array" ref="K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0">
        <f>_xlfn.XLOOKUP("LOADINGSPEEDDEF_"&amp;PROPERTIES[[#This Row],[LOADINGSPEED]],LOADINGSPEEDDEF[TYPE],LOADINGSPEEDDEF[SPEED])</f>
        <v>20</v>
      </c>
      <c r="M860" t="str" cm="1">
        <f t="array" ref="M8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0">
        <f>IF(ISNUMBER(SEARCH("passenger",PROPERTIES[[#This Row],[CARGODEF]])),1,0)</f>
        <v>0</v>
      </c>
      <c r="O860" s="32">
        <v>116</v>
      </c>
      <c r="P860">
        <v>3010</v>
      </c>
      <c r="Q860">
        <v>115</v>
      </c>
      <c r="R860" s="29">
        <v>331</v>
      </c>
      <c r="S860" s="29">
        <f>IFERROR(PROPERTIES[[#This Row],[TE_STARTING_KN]]/(PROPERTIES[[#This Row],[WEIGHT]]*9.81),0)</f>
        <v>0.29087138387992545</v>
      </c>
      <c r="T860" s="29">
        <v>0</v>
      </c>
      <c r="U860" s="25">
        <f>ROUND(IF(IFERROR(PROPERTIES[[#This Row],[TE_COEFFICIENT_CALC]],0)=0,PROPERTIES[[#This Row],[TE_COEFFICIENT_MANUAL]],PROPERTIES[[#This Row],[TE_COEFFICIENT_CALC]]),3)</f>
        <v>0.29099999999999998</v>
      </c>
      <c r="V860" s="37" cm="1">
        <f t="array" ref="V8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0" s="36">
        <v>0</v>
      </c>
      <c r="X860" s="9">
        <v>0</v>
      </c>
      <c r="Y860" s="10">
        <v>0</v>
      </c>
      <c r="Z860" s="9" t="s">
        <v>871</v>
      </c>
      <c r="AA860" t="s">
        <v>868</v>
      </c>
      <c r="AB860" s="10" t="s">
        <v>886</v>
      </c>
      <c r="AC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0" s="2" t="str">
        <f>SUBSTITUTE(SUBSTITUTE(PROPERTIES[[#This Row],[PURCHASECOST_VALUE]], "PURCHASECOST_", ""), "_VALUE", "")</f>
        <v>DIESELENGINE</v>
      </c>
      <c r="AF860" s="9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  <c r="AH860" s="10" t="b">
        <v>0</v>
      </c>
    </row>
    <row r="861" spans="1:34">
      <c r="A861" s="2" t="s">
        <v>3194</v>
      </c>
      <c r="B861">
        <v>1952</v>
      </c>
      <c r="C861" cm="1">
        <f t="array" ref="C861">_xlfn.IFS(ISNUMBER(SEARCH("wagon",PROPERTIES[[#This Row],[VEHIDCODE]])),0,OR(MID(PROPERTIES[[#This Row],[VEHIDCODE]],2,2)="mu",_xlfn.TEXTBEFORE(PROPERTIES[[#This Row],[VEHIDCODE]],"_")="mtro"),1,1=1,0)</f>
        <v>0</v>
      </c>
      <c r="D861" t="s">
        <v>1719</v>
      </c>
      <c r="E861" t="str">
        <f>_xlfn.XLOOKUP(PROPERTIES[[#This Row],[COUNTRY]],COUNTRIES[COUNTRY_DESCRIPTION],COUNTRIES[COUNTRY_LABEL],"")</f>
        <v>AU</v>
      </c>
      <c r="F861" t="str" cm="1">
        <f t="array" ref="F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1" t="s">
        <v>19</v>
      </c>
      <c r="H861">
        <v>0</v>
      </c>
      <c r="I861">
        <v>8</v>
      </c>
      <c r="J861">
        <v>8</v>
      </c>
      <c r="K861" t="str" cm="1">
        <f t="array" ref="K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1">
        <f>_xlfn.XLOOKUP("LOADINGSPEEDDEF_"&amp;PROPERTIES[[#This Row],[LOADINGSPEED]],LOADINGSPEEDDEF[TYPE],LOADINGSPEEDDEF[SPEED])</f>
        <v>20</v>
      </c>
      <c r="M861" cm="1">
        <f t="array" ref="M8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1">
        <f>IF(ISNUMBER(SEARCH("passenger",PROPERTIES[[#This Row],[CARGODEF]])),1,0)</f>
        <v>0</v>
      </c>
      <c r="O861" s="32">
        <v>114</v>
      </c>
      <c r="P861">
        <v>1500</v>
      </c>
      <c r="Q861">
        <v>133</v>
      </c>
      <c r="R861" s="29">
        <v>267</v>
      </c>
      <c r="S861" s="29">
        <f>IFERROR(PROPERTIES[[#This Row],[TE_STARTING_KN]]/(PROPERTIES[[#This Row],[WEIGHT]]*9.81),0)</f>
        <v>0.23874671387949994</v>
      </c>
      <c r="T861" s="29">
        <v>0</v>
      </c>
      <c r="U861" s="25">
        <f>ROUND(IF(IFERROR(PROPERTIES[[#This Row],[TE_COEFFICIENT_CALC]],0)=0,PROPERTIES[[#This Row],[TE_COEFFICIENT_MANUAL]],PROPERTIES[[#This Row],[TE_COEFFICIENT_CALC]]),3)</f>
        <v>0.23899999999999999</v>
      </c>
      <c r="V861" s="37" cm="1">
        <f t="array" ref="V8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1" s="36">
        <v>0</v>
      </c>
      <c r="X861" s="9">
        <v>0</v>
      </c>
      <c r="Y861" s="10">
        <v>0</v>
      </c>
      <c r="Z861" s="9" t="s">
        <v>871</v>
      </c>
      <c r="AA861" t="s">
        <v>868</v>
      </c>
      <c r="AB861" s="10" t="s">
        <v>886</v>
      </c>
      <c r="AC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1" s="2" t="str">
        <f>SUBSTITUTE(SUBSTITUTE(PROPERTIES[[#This Row],[PURCHASECOST_VALUE]], "PURCHASECOST_", ""), "_VALUE", "")</f>
        <v>DIESELENGINE</v>
      </c>
      <c r="AF861" s="9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  <c r="AH861" s="10" t="b">
        <v>0</v>
      </c>
    </row>
    <row r="862" spans="1:34">
      <c r="A862" s="2" t="s">
        <v>3186</v>
      </c>
      <c r="B862">
        <v>1990</v>
      </c>
      <c r="C862" cm="1">
        <f t="array" ref="C862">_xlfn.IFS(ISNUMBER(SEARCH("wagon",PROPERTIES[[#This Row],[VEHIDCODE]])),0,OR(MID(PROPERTIES[[#This Row],[VEHIDCODE]],2,2)="mu",_xlfn.TEXTBEFORE(PROPERTIES[[#This Row],[VEHIDCODE]],"_")="mtro"),1,1=1,0)</f>
        <v>0</v>
      </c>
      <c r="D862" t="s">
        <v>1719</v>
      </c>
      <c r="E862" t="str">
        <f>_xlfn.XLOOKUP(PROPERTIES[[#This Row],[COUNTRY]],COUNTRIES[COUNTRY_DESCRIPTION],COUNTRIES[COUNTRY_LABEL],"")</f>
        <v>AU</v>
      </c>
      <c r="F862" t="str" cm="1">
        <f t="array" ref="F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2" t="s">
        <v>19</v>
      </c>
      <c r="H862">
        <v>0</v>
      </c>
      <c r="I862">
        <v>8</v>
      </c>
      <c r="J862">
        <v>8</v>
      </c>
      <c r="K862" t="str" cm="1">
        <f t="array" ref="K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2">
        <f>_xlfn.XLOOKUP("LOADINGSPEEDDEF_"&amp;PROPERTIES[[#This Row],[LOADINGSPEED]],LOADINGSPEEDDEF[TYPE],LOADINGSPEEDDEF[SPEED])</f>
        <v>20</v>
      </c>
      <c r="M862" cm="1">
        <f t="array" ref="M8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2">
        <f>IF(ISNUMBER(SEARCH("passenger",PROPERTIES[[#This Row],[CARGODEF]])),1,0)</f>
        <v>0</v>
      </c>
      <c r="O862" s="32">
        <v>132</v>
      </c>
      <c r="P862">
        <v>3030</v>
      </c>
      <c r="Q862">
        <v>121</v>
      </c>
      <c r="R862" s="29">
        <v>413</v>
      </c>
      <c r="S862" s="29">
        <f>IFERROR(PROPERTIES[[#This Row],[TE_STARTING_KN]]/(PROPERTIES[[#This Row],[WEIGHT]]*9.81),0)</f>
        <v>0.31893862169091525</v>
      </c>
      <c r="T862" s="29">
        <v>0</v>
      </c>
      <c r="U862" s="25">
        <f>ROUND(IF(IFERROR(PROPERTIES[[#This Row],[TE_COEFFICIENT_CALC]],0)=0,PROPERTIES[[#This Row],[TE_COEFFICIENT_MANUAL]],PROPERTIES[[#This Row],[TE_COEFFICIENT_CALC]]),3)</f>
        <v>0.31900000000000001</v>
      </c>
      <c r="V862" s="37" cm="1">
        <f t="array" ref="V8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2" s="36">
        <v>0</v>
      </c>
      <c r="X862" s="9">
        <v>0</v>
      </c>
      <c r="Y862" s="10">
        <v>0</v>
      </c>
      <c r="Z862" s="9" t="s">
        <v>871</v>
      </c>
      <c r="AA862" t="s">
        <v>868</v>
      </c>
      <c r="AB862" s="10" t="s">
        <v>886</v>
      </c>
      <c r="AC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2" s="2" t="str">
        <f>SUBSTITUTE(SUBSTITUTE(PROPERTIES[[#This Row],[PURCHASECOST_VALUE]], "PURCHASECOST_", ""), "_VALUE", "")</f>
        <v>DIESELENGINE</v>
      </c>
      <c r="AF862" s="9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  <c r="AH862" s="10" t="b">
        <v>0</v>
      </c>
    </row>
    <row r="863" spans="1:34">
      <c r="A863" s="2" t="s">
        <v>3195</v>
      </c>
      <c r="B863">
        <v>1966</v>
      </c>
      <c r="C863" cm="1">
        <f t="array" ref="C863">_xlfn.IFS(ISNUMBER(SEARCH("wagon",PROPERTIES[[#This Row],[VEHIDCODE]])),0,OR(MID(PROPERTIES[[#This Row],[VEHIDCODE]],2,2)="mu",_xlfn.TEXTBEFORE(PROPERTIES[[#This Row],[VEHIDCODE]],"_")="mtro"),1,1=1,0)</f>
        <v>0</v>
      </c>
      <c r="D863" t="s">
        <v>1719</v>
      </c>
      <c r="E863" t="str">
        <f>_xlfn.XLOOKUP(PROPERTIES[[#This Row],[COUNTRY]],COUNTRIES[COUNTRY_DESCRIPTION],COUNTRIES[COUNTRY_LABEL],"")</f>
        <v>AU</v>
      </c>
      <c r="F863" t="str" cm="1">
        <f t="array" ref="F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3" t="s">
        <v>19</v>
      </c>
      <c r="H863">
        <v>0</v>
      </c>
      <c r="I863">
        <v>8</v>
      </c>
      <c r="J863">
        <v>8</v>
      </c>
      <c r="K863" t="str" cm="1">
        <f t="array" ref="K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3">
        <f>_xlfn.XLOOKUP("LOADINGSPEEDDEF_"&amp;PROPERTIES[[#This Row],[LOADINGSPEED]],LOADINGSPEEDDEF[TYPE],LOADINGSPEEDDEF[SPEED])</f>
        <v>20</v>
      </c>
      <c r="M863" cm="1">
        <f t="array" ref="M8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3">
        <f>IF(ISNUMBER(SEARCH("passenger",PROPERTIES[[#This Row],[CARGODEF]])),1,0)</f>
        <v>0</v>
      </c>
      <c r="O863" s="32">
        <v>114</v>
      </c>
      <c r="P863">
        <v>1810</v>
      </c>
      <c r="Q863">
        <v>133</v>
      </c>
      <c r="R863" s="29">
        <v>330</v>
      </c>
      <c r="S863" s="29">
        <f>IFERROR(PROPERTIES[[#This Row],[TE_STARTING_KN]]/(PROPERTIES[[#This Row],[WEIGHT]]*9.81),0)</f>
        <v>0.2950802081656741</v>
      </c>
      <c r="T863" s="29">
        <v>0</v>
      </c>
      <c r="U863" s="25">
        <f>ROUND(IF(IFERROR(PROPERTIES[[#This Row],[TE_COEFFICIENT_CALC]],0)=0,PROPERTIES[[#This Row],[TE_COEFFICIENT_MANUAL]],PROPERTIES[[#This Row],[TE_COEFFICIENT_CALC]]),3)</f>
        <v>0.29499999999999998</v>
      </c>
      <c r="V863" s="37" cm="1">
        <f t="array" ref="V8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3" s="36">
        <v>0</v>
      </c>
      <c r="X863" s="9">
        <v>0</v>
      </c>
      <c r="Y863" s="10">
        <v>0</v>
      </c>
      <c r="Z863" s="9" t="s">
        <v>871</v>
      </c>
      <c r="AA863" t="s">
        <v>868</v>
      </c>
      <c r="AB863" s="10" t="s">
        <v>886</v>
      </c>
      <c r="AC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3" s="2" t="str">
        <f>SUBSTITUTE(SUBSTITUTE(PROPERTIES[[#This Row],[PURCHASECOST_VALUE]], "PURCHASECOST_", ""), "_VALUE", "")</f>
        <v>DIESELENGINE</v>
      </c>
      <c r="AF863" s="9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  <c r="AH863" s="10" t="b">
        <v>0</v>
      </c>
    </row>
    <row r="864" spans="1:34">
      <c r="A864" s="2" t="s">
        <v>3196</v>
      </c>
      <c r="B864">
        <v>1970</v>
      </c>
      <c r="C864" cm="1">
        <f t="array" ref="C864">_xlfn.IFS(ISNUMBER(SEARCH("wagon",PROPERTIES[[#This Row],[VEHIDCODE]])),0,OR(MID(PROPERTIES[[#This Row],[VEHIDCODE]],2,2)="mu",_xlfn.TEXTBEFORE(PROPERTIES[[#This Row],[VEHIDCODE]],"_")="mtro"),1,1=1,0)</f>
        <v>0</v>
      </c>
      <c r="D864" t="s">
        <v>1719</v>
      </c>
      <c r="E864" t="str">
        <f>_xlfn.XLOOKUP(PROPERTIES[[#This Row],[COUNTRY]],COUNTRIES[COUNTRY_DESCRIPTION],COUNTRIES[COUNTRY_LABEL],"")</f>
        <v>AU</v>
      </c>
      <c r="F864" t="str" cm="1">
        <f t="array" ref="F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4" t="s">
        <v>19</v>
      </c>
      <c r="H864">
        <v>0</v>
      </c>
      <c r="I864">
        <v>8</v>
      </c>
      <c r="J864">
        <v>8</v>
      </c>
      <c r="K864" t="str" cm="1">
        <f t="array" ref="K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4">
        <f>_xlfn.XLOOKUP("LOADINGSPEEDDEF_"&amp;PROPERTIES[[#This Row],[LOADINGSPEED]],LOADINGSPEEDDEF[TYPE],LOADINGSPEEDDEF[SPEED])</f>
        <v>20</v>
      </c>
      <c r="M864" cm="1">
        <f t="array" ref="M8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4">
        <f>IF(ISNUMBER(SEARCH("passenger",PROPERTIES[[#This Row],[CARGODEF]])),1,0)</f>
        <v>0</v>
      </c>
      <c r="O864" s="32">
        <v>116</v>
      </c>
      <c r="P864">
        <v>2000</v>
      </c>
      <c r="Q864">
        <v>133</v>
      </c>
      <c r="R864" s="29">
        <v>350</v>
      </c>
      <c r="S864" s="29">
        <f>IFERROR(PROPERTIES[[#This Row],[TE_STARTING_KN]]/(PROPERTIES[[#This Row],[WEIGHT]]*9.81),0)</f>
        <v>0.30756792857393933</v>
      </c>
      <c r="T864" s="29">
        <v>0</v>
      </c>
      <c r="U864" s="25">
        <f>ROUND(IF(IFERROR(PROPERTIES[[#This Row],[TE_COEFFICIENT_CALC]],0)=0,PROPERTIES[[#This Row],[TE_COEFFICIENT_MANUAL]],PROPERTIES[[#This Row],[TE_COEFFICIENT_CALC]]),3)</f>
        <v>0.308</v>
      </c>
      <c r="V864" s="37" cm="1">
        <f t="array" ref="V8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4" s="36">
        <v>0</v>
      </c>
      <c r="X864" s="9">
        <v>0</v>
      </c>
      <c r="Y864" s="10">
        <v>0</v>
      </c>
      <c r="Z864" s="9" t="s">
        <v>871</v>
      </c>
      <c r="AA864" t="s">
        <v>868</v>
      </c>
      <c r="AB864" s="10" t="s">
        <v>886</v>
      </c>
      <c r="AC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4" s="2" t="str">
        <f>SUBSTITUTE(SUBSTITUTE(PROPERTIES[[#This Row],[PURCHASECOST_VALUE]], "PURCHASECOST_", ""), "_VALUE", "")</f>
        <v>DIESELENGINE</v>
      </c>
      <c r="AF864" s="9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  <c r="AH864" s="10" t="b">
        <v>1</v>
      </c>
    </row>
    <row r="865" spans="1:34">
      <c r="A865" s="2" t="s">
        <v>3197</v>
      </c>
      <c r="B865">
        <v>1975</v>
      </c>
      <c r="C865" cm="1">
        <f t="array" ref="C865">_xlfn.IFS(ISNUMBER(SEARCH("wagon",PROPERTIES[[#This Row],[VEHIDCODE]])),0,OR(MID(PROPERTIES[[#This Row],[VEHIDCODE]],2,2)="mu",_xlfn.TEXTBEFORE(PROPERTIES[[#This Row],[VEHIDCODE]],"_")="mtro"),1,1=1,0)</f>
        <v>0</v>
      </c>
      <c r="D865" t="s">
        <v>1719</v>
      </c>
      <c r="E865" t="str">
        <f>_xlfn.XLOOKUP(PROPERTIES[[#This Row],[COUNTRY]],COUNTRIES[COUNTRY_DESCRIPTION],COUNTRIES[COUNTRY_LABEL],"")</f>
        <v>AU</v>
      </c>
      <c r="F865" t="str" cm="1">
        <f t="array" ref="F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5" t="s">
        <v>19</v>
      </c>
      <c r="H865">
        <v>0</v>
      </c>
      <c r="I865">
        <v>8</v>
      </c>
      <c r="J865">
        <v>8</v>
      </c>
      <c r="K865" t="str" cm="1">
        <f t="array" ref="K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5">
        <f>_xlfn.XLOOKUP("LOADINGSPEEDDEF_"&amp;PROPERTIES[[#This Row],[LOADINGSPEED]],LOADINGSPEEDDEF[TYPE],LOADINGSPEEDDEF[SPEED])</f>
        <v>20</v>
      </c>
      <c r="M865" cm="1">
        <f t="array" ref="M8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5">
        <f>IF(ISNUMBER(SEARCH("passenger",PROPERTIES[[#This Row],[CARGODEF]])),1,0)</f>
        <v>0</v>
      </c>
      <c r="O865" s="32">
        <v>116</v>
      </c>
      <c r="P865">
        <v>2200</v>
      </c>
      <c r="Q865">
        <v>133</v>
      </c>
      <c r="R865" s="29">
        <v>370</v>
      </c>
      <c r="S865" s="29">
        <f>IFERROR(PROPERTIES[[#This Row],[TE_STARTING_KN]]/(PROPERTIES[[#This Row],[WEIGHT]]*9.81),0)</f>
        <v>0.32514323877816442</v>
      </c>
      <c r="T865" s="29">
        <v>0</v>
      </c>
      <c r="U865" s="25">
        <f>ROUND(IF(IFERROR(PROPERTIES[[#This Row],[TE_COEFFICIENT_CALC]],0)=0,PROPERTIES[[#This Row],[TE_COEFFICIENT_MANUAL]],PROPERTIES[[#This Row],[TE_COEFFICIENT_CALC]]),3)</f>
        <v>0.32500000000000001</v>
      </c>
      <c r="V865" s="37" cm="1">
        <f t="array" ref="V8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5" s="36">
        <v>0</v>
      </c>
      <c r="X865" s="9">
        <v>0</v>
      </c>
      <c r="Y865" s="10">
        <v>0</v>
      </c>
      <c r="Z865" s="9" t="s">
        <v>871</v>
      </c>
      <c r="AA865" t="s">
        <v>868</v>
      </c>
      <c r="AB865" s="10" t="s">
        <v>886</v>
      </c>
      <c r="AC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5" s="2" t="str">
        <f>SUBSTITUTE(SUBSTITUTE(PROPERTIES[[#This Row],[PURCHASECOST_VALUE]], "PURCHASECOST_", ""), "_VALUE", "")</f>
        <v>DIESELENGINE</v>
      </c>
      <c r="AF865" s="9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  <c r="AH865" s="10" t="b">
        <v>1</v>
      </c>
    </row>
    <row r="866" spans="1:34">
      <c r="A866" s="2" t="s">
        <v>3202</v>
      </c>
      <c r="B866">
        <v>1978</v>
      </c>
      <c r="C866" cm="1">
        <f t="array" ref="C866">_xlfn.IFS(ISNUMBER(SEARCH("wagon",PROPERTIES[[#This Row],[VEHIDCODE]])),0,OR(MID(PROPERTIES[[#This Row],[VEHIDCODE]],2,2)="mu",_xlfn.TEXTBEFORE(PROPERTIES[[#This Row],[VEHIDCODE]],"_")="mtro"),1,1=1,0)</f>
        <v>0</v>
      </c>
      <c r="D866" t="s">
        <v>1719</v>
      </c>
      <c r="E866" t="str">
        <f>_xlfn.XLOOKUP(PROPERTIES[[#This Row],[COUNTRY]],COUNTRIES[COUNTRY_DESCRIPTION],COUNTRIES[COUNTRY_LABEL],"")</f>
        <v>AU</v>
      </c>
      <c r="F866" t="str" cm="1">
        <f t="array" ref="F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6" t="s">
        <v>19</v>
      </c>
      <c r="H866">
        <v>0</v>
      </c>
      <c r="I866">
        <v>8</v>
      </c>
      <c r="J866">
        <v>8</v>
      </c>
      <c r="K866" t="str" cm="1">
        <f t="array" ref="K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6">
        <f>_xlfn.XLOOKUP("LOADINGSPEEDDEF_"&amp;PROPERTIES[[#This Row],[LOADINGSPEED]],LOADINGSPEEDDEF[TYPE],LOADINGSPEEDDEF[SPEED])</f>
        <v>20</v>
      </c>
      <c r="M866" cm="1">
        <f t="array" ref="M8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6">
        <f>IF(ISNUMBER(SEARCH("passenger",PROPERTIES[[#This Row],[CARGODEF]])),1,0)</f>
        <v>0</v>
      </c>
      <c r="O866" s="32">
        <v>122</v>
      </c>
      <c r="P866">
        <v>2150</v>
      </c>
      <c r="Q866">
        <v>120</v>
      </c>
      <c r="R866" s="29">
        <v>356</v>
      </c>
      <c r="S866" s="29">
        <f>IFERROR(PROPERTIES[[#This Row],[TE_STARTING_KN]]/(PROPERTIES[[#This Row],[WEIGHT]]*9.81),0)</f>
        <v>0.2974549222105245</v>
      </c>
      <c r="T866" s="29">
        <v>0</v>
      </c>
      <c r="U866" s="25">
        <f>ROUND(IF(IFERROR(PROPERTIES[[#This Row],[TE_COEFFICIENT_CALC]],0)=0,PROPERTIES[[#This Row],[TE_COEFFICIENT_MANUAL]],PROPERTIES[[#This Row],[TE_COEFFICIENT_CALC]]),3)</f>
        <v>0.29699999999999999</v>
      </c>
      <c r="V866" s="37" cm="1">
        <f t="array" ref="V8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6" s="36">
        <v>0</v>
      </c>
      <c r="X866" s="9">
        <v>0</v>
      </c>
      <c r="Y866" s="10">
        <v>0</v>
      </c>
      <c r="Z866" s="9" t="s">
        <v>871</v>
      </c>
      <c r="AA866" t="s">
        <v>868</v>
      </c>
      <c r="AB866" s="10" t="s">
        <v>886</v>
      </c>
      <c r="AC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6" s="2" t="str">
        <f>SUBSTITUTE(SUBSTITUTE(PROPERTIES[[#This Row],[PURCHASECOST_VALUE]], "PURCHASECOST_", ""), "_VALUE", "")</f>
        <v>DIESELENGINE</v>
      </c>
      <c r="AF866" s="9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  <c r="AH866" s="10" t="b">
        <v>0</v>
      </c>
    </row>
    <row r="867" spans="1:34">
      <c r="A867" t="s">
        <v>3206</v>
      </c>
      <c r="B867">
        <v>1979</v>
      </c>
      <c r="C867" cm="1">
        <f t="array" ref="C867">_xlfn.IFS(ISNUMBER(SEARCH("wagon",PROPERTIES[[#This Row],[VEHIDCODE]])),0,OR(MID(PROPERTIES[[#This Row],[VEHIDCODE]],2,2)="mu",_xlfn.TEXTBEFORE(PROPERTIES[[#This Row],[VEHIDCODE]],"_")="mtro"),1,1=1,0)</f>
        <v>0</v>
      </c>
      <c r="D867" t="s">
        <v>1719</v>
      </c>
      <c r="E867" t="str">
        <f>_xlfn.XLOOKUP(PROPERTIES[[#This Row],[COUNTRY]],COUNTRIES[COUNTRY_DESCRIPTION],COUNTRIES[COUNTRY_LABEL],"")</f>
        <v>AU</v>
      </c>
      <c r="F867" t="str" cm="1">
        <f t="array" ref="F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7" t="s">
        <v>19</v>
      </c>
      <c r="H867">
        <v>0</v>
      </c>
      <c r="I867">
        <v>8</v>
      </c>
      <c r="J867">
        <v>8</v>
      </c>
      <c r="K867" t="str" cm="1">
        <f t="array" ref="K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7">
        <f>_xlfn.XLOOKUP("LOADINGSPEEDDEF_"&amp;PROPERTIES[[#This Row],[LOADINGSPEED]],LOADINGSPEEDDEF[TYPE],LOADINGSPEEDDEF[SPEED])</f>
        <v>20</v>
      </c>
      <c r="M867" cm="1">
        <f t="array" ref="M8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7">
        <f>IF(ISNUMBER(SEARCH("passenger",PROPERTIES[[#This Row],[CARGODEF]])),1,0)</f>
        <v>0</v>
      </c>
      <c r="O867" s="32">
        <v>123</v>
      </c>
      <c r="P867">
        <v>3860</v>
      </c>
      <c r="Q867">
        <v>130</v>
      </c>
      <c r="R867" s="29">
        <v>341</v>
      </c>
      <c r="S867" s="29">
        <f>IFERROR(PROPERTIES[[#This Row],[TE_STARTING_KN]]/(PROPERTIES[[#This Row],[WEIGHT]]*9.81),0)</f>
        <v>0.28260527253590578</v>
      </c>
      <c r="T867" s="29">
        <v>0</v>
      </c>
      <c r="U867" s="25">
        <f>ROUND(IF(IFERROR(PROPERTIES[[#This Row],[TE_COEFFICIENT_CALC]],0)=0,PROPERTIES[[#This Row],[TE_COEFFICIENT_MANUAL]],PROPERTIES[[#This Row],[TE_COEFFICIENT_CALC]]),3)</f>
        <v>0.28299999999999997</v>
      </c>
      <c r="V867" s="37" cm="1">
        <f t="array" ref="V8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7" s="36">
        <v>0</v>
      </c>
      <c r="X867" s="9">
        <v>0</v>
      </c>
      <c r="Y867" s="10">
        <v>0</v>
      </c>
      <c r="Z867" s="9" t="s">
        <v>871</v>
      </c>
      <c r="AA867" t="s">
        <v>868</v>
      </c>
      <c r="AB867" s="10" t="s">
        <v>886</v>
      </c>
      <c r="AC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7" s="2" t="str">
        <f>SUBSTITUTE(SUBSTITUTE(PROPERTIES[[#This Row],[PURCHASECOST_VALUE]], "PURCHASECOST_", ""), "_VALUE", "")</f>
        <v>ELECTRICENGINE</v>
      </c>
      <c r="AF867" s="9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  <c r="AH867" s="10" t="b">
        <v>0</v>
      </c>
    </row>
    <row r="868" spans="1:34">
      <c r="A868" s="2" t="s">
        <v>3209</v>
      </c>
      <c r="B868">
        <v>1987</v>
      </c>
      <c r="C868" cm="1">
        <f t="array" ref="C868">_xlfn.IFS(ISNUMBER(SEARCH("wagon",PROPERTIES[[#This Row],[VEHIDCODE]])),0,OR(MID(PROPERTIES[[#This Row],[VEHIDCODE]],2,2)="mu",_xlfn.TEXTBEFORE(PROPERTIES[[#This Row],[VEHIDCODE]],"_")="mtro"),1,1=1,0)</f>
        <v>0</v>
      </c>
      <c r="D868" t="s">
        <v>1719</v>
      </c>
      <c r="E868" t="str">
        <f>_xlfn.XLOOKUP(PROPERTIES[[#This Row],[COUNTRY]],COUNTRIES[COUNTRY_DESCRIPTION],COUNTRIES[COUNTRY_LABEL],"")</f>
        <v>AU</v>
      </c>
      <c r="F868" t="str" cm="1">
        <f t="array" ref="F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8" t="s">
        <v>19</v>
      </c>
      <c r="H868">
        <v>0</v>
      </c>
      <c r="I868">
        <v>8</v>
      </c>
      <c r="J868">
        <v>8</v>
      </c>
      <c r="K868" t="str" cm="1">
        <f t="array" ref="K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8">
        <f>_xlfn.XLOOKUP("LOADINGSPEEDDEF_"&amp;PROPERTIES[[#This Row],[LOADINGSPEED]],LOADINGSPEEDDEF[TYPE],LOADINGSPEEDDEF[SPEED])</f>
        <v>20</v>
      </c>
      <c r="M868" cm="1">
        <f t="array" ref="M8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8">
        <f>IF(ISNUMBER(SEARCH("passenger",PROPERTIES[[#This Row],[CARGODEF]])),1,0)</f>
        <v>0</v>
      </c>
      <c r="O868" s="32">
        <v>120</v>
      </c>
      <c r="P868">
        <v>5000</v>
      </c>
      <c r="Q868">
        <v>110</v>
      </c>
      <c r="R868" s="29">
        <v>450</v>
      </c>
      <c r="S868" s="29">
        <f>IFERROR(PROPERTIES[[#This Row],[TE_STARTING_KN]]/(PROPERTIES[[#This Row],[WEIGHT]]*9.81),0)</f>
        <v>0.38226299694189603</v>
      </c>
      <c r="T868" s="29">
        <v>0</v>
      </c>
      <c r="U868" s="25">
        <f>ROUND(IF(IFERROR(PROPERTIES[[#This Row],[TE_COEFFICIENT_CALC]],0)=0,PROPERTIES[[#This Row],[TE_COEFFICIENT_MANUAL]],PROPERTIES[[#This Row],[TE_COEFFICIENT_CALC]]),3)</f>
        <v>0.38200000000000001</v>
      </c>
      <c r="V868" s="37" cm="1">
        <f t="array" ref="V8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8" s="36">
        <v>0</v>
      </c>
      <c r="X868" s="9">
        <v>0</v>
      </c>
      <c r="Y868" s="10">
        <v>0</v>
      </c>
      <c r="Z868" s="9" t="s">
        <v>871</v>
      </c>
      <c r="AA868" t="s">
        <v>868</v>
      </c>
      <c r="AB868" s="10" t="s">
        <v>887</v>
      </c>
      <c r="AC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8" s="2" t="str">
        <f>SUBSTITUTE(SUBSTITUTE(PROPERTIES[[#This Row],[PURCHASECOST_VALUE]], "PURCHASECOST_", ""), "_VALUE", "")</f>
        <v>ELECTRICENGINE</v>
      </c>
      <c r="AF868" s="9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  <c r="AH868" s="10" t="b">
        <v>0</v>
      </c>
    </row>
    <row r="869" spans="1:34">
      <c r="A869" s="2" t="s">
        <v>3210</v>
      </c>
      <c r="B869">
        <v>2006</v>
      </c>
      <c r="C869" cm="1">
        <f t="array" ref="C869">_xlfn.IFS(ISNUMBER(SEARCH("wagon",PROPERTIES[[#This Row],[VEHIDCODE]])),0,OR(MID(PROPERTIES[[#This Row],[VEHIDCODE]],2,2)="mu",_xlfn.TEXTBEFORE(PROPERTIES[[#This Row],[VEHIDCODE]],"_")="mtro"),1,1=1,0)</f>
        <v>0</v>
      </c>
      <c r="D869" t="s">
        <v>1719</v>
      </c>
      <c r="E869" t="str">
        <f>_xlfn.XLOOKUP(PROPERTIES[[#This Row],[COUNTRY]],COUNTRIES[COUNTRY_DESCRIPTION],COUNTRIES[COUNTRY_LABEL],"")</f>
        <v>AU</v>
      </c>
      <c r="F869" t="str" cm="1">
        <f t="array" ref="F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9" t="s">
        <v>19</v>
      </c>
      <c r="H869">
        <v>0</v>
      </c>
      <c r="I869">
        <v>8</v>
      </c>
      <c r="J869">
        <v>8</v>
      </c>
      <c r="K869" t="str" cm="1">
        <f t="array" ref="K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9">
        <f>_xlfn.XLOOKUP("LOADINGSPEEDDEF_"&amp;PROPERTIES[[#This Row],[LOADINGSPEED]],LOADINGSPEEDDEF[TYPE],LOADINGSPEEDDEF[SPEED])</f>
        <v>20</v>
      </c>
      <c r="M869" t="str" cm="1">
        <f t="array" ref="M8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9">
        <f>IF(ISNUMBER(SEARCH("passenger",PROPERTIES[[#This Row],[CARGODEF]])),1,0)</f>
        <v>0</v>
      </c>
      <c r="O869" s="32">
        <v>121.1</v>
      </c>
      <c r="P869">
        <v>3845</v>
      </c>
      <c r="Q869">
        <v>165</v>
      </c>
      <c r="R869" s="29">
        <v>390</v>
      </c>
      <c r="S869" s="29">
        <f>IFERROR(PROPERTIES[[#This Row],[TE_STARTING_KN]]/(PROPERTIES[[#This Row],[WEIGHT]]*9.81),0)</f>
        <v>0.32828531529279265</v>
      </c>
      <c r="T869" s="29">
        <v>0</v>
      </c>
      <c r="U869" s="25">
        <f>ROUND(IF(IFERROR(PROPERTIES[[#This Row],[TE_COEFFICIENT_CALC]],0)=0,PROPERTIES[[#This Row],[TE_COEFFICIENT_MANUAL]],PROPERTIES[[#This Row],[TE_COEFFICIENT_CALC]]),3)</f>
        <v>0.32800000000000001</v>
      </c>
      <c r="V869" s="37" cm="1">
        <f t="array" ref="V8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69" s="36">
        <v>0</v>
      </c>
      <c r="X869" s="9">
        <v>0</v>
      </c>
      <c r="Y869" s="10">
        <v>0</v>
      </c>
      <c r="Z869" s="9" t="s">
        <v>871</v>
      </c>
      <c r="AA869" t="s">
        <v>868</v>
      </c>
      <c r="AB869" s="10" t="s">
        <v>886</v>
      </c>
      <c r="AC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9" s="2" t="str">
        <f>SUBSTITUTE(SUBSTITUTE(PROPERTIES[[#This Row],[PURCHASECOST_VALUE]], "PURCHASECOST_", ""), "_VALUE", "")</f>
        <v>DIESELENGINE</v>
      </c>
      <c r="AF869" s="9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  <c r="AH869" s="10" t="b">
        <v>0</v>
      </c>
    </row>
    <row r="870" spans="1:34">
      <c r="A870" s="2" t="s">
        <v>3213</v>
      </c>
      <c r="B870">
        <v>1970</v>
      </c>
      <c r="C870" cm="1">
        <f t="array" ref="C870">_xlfn.IFS(ISNUMBER(SEARCH("wagon",PROPERTIES[[#This Row],[VEHIDCODE]])),0,OR(MID(PROPERTIES[[#This Row],[VEHIDCODE]],2,2)="mu",_xlfn.TEXTBEFORE(PROPERTIES[[#This Row],[VEHIDCODE]],"_")="mtro"),1,1=1,0)</f>
        <v>0</v>
      </c>
      <c r="D870" t="s">
        <v>1719</v>
      </c>
      <c r="E870" t="str">
        <f>_xlfn.XLOOKUP(PROPERTIES[[#This Row],[COUNTRY]],COUNTRIES[COUNTRY_DESCRIPTION],COUNTRIES[COUNTRY_LABEL],"")</f>
        <v>AU</v>
      </c>
      <c r="F870" t="str" cm="1">
        <f t="array" ref="F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0" t="s">
        <v>19</v>
      </c>
      <c r="H870">
        <v>0</v>
      </c>
      <c r="I870">
        <v>8</v>
      </c>
      <c r="J870">
        <v>9</v>
      </c>
      <c r="K870" t="str" cm="1">
        <f t="array" ref="K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0">
        <f>_xlfn.XLOOKUP("LOADINGSPEEDDEF_"&amp;PROPERTIES[[#This Row],[LOADINGSPEED]],LOADINGSPEEDDEF[TYPE],LOADINGSPEEDDEF[SPEED])</f>
        <v>20</v>
      </c>
      <c r="M870" cm="1">
        <f t="array" ref="M8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0">
        <f>IF(ISNUMBER(SEARCH("passenger",PROPERTIES[[#This Row],[CARGODEF]])),1,0)</f>
        <v>0</v>
      </c>
      <c r="O870" s="32">
        <v>200</v>
      </c>
      <c r="P870">
        <v>6600</v>
      </c>
      <c r="Q870">
        <v>115</v>
      </c>
      <c r="R870" s="29">
        <v>600</v>
      </c>
      <c r="S870" s="29">
        <f>IFERROR(PROPERTIES[[#This Row],[TE_STARTING_KN]]/(PROPERTIES[[#This Row],[WEIGHT]]*9.81),0)</f>
        <v>0.3058103975535168</v>
      </c>
      <c r="T870" s="29">
        <v>0</v>
      </c>
      <c r="U870" s="25">
        <f>ROUND(IF(IFERROR(PROPERTIES[[#This Row],[TE_COEFFICIENT_CALC]],0)=0,PROPERTIES[[#This Row],[TE_COEFFICIENT_MANUAL]],PROPERTIES[[#This Row],[TE_COEFFICIENT_CALC]]),3)</f>
        <v>0.30599999999999999</v>
      </c>
      <c r="V870" s="37" cm="1">
        <f t="array" ref="V8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0" s="36">
        <v>0</v>
      </c>
      <c r="X870" s="9">
        <v>1</v>
      </c>
      <c r="Y870" s="10">
        <v>0</v>
      </c>
      <c r="Z870" s="9" t="s">
        <v>871</v>
      </c>
      <c r="AA870" t="s">
        <v>868</v>
      </c>
      <c r="AB870" s="10" t="s">
        <v>887</v>
      </c>
      <c r="AC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0" s="2" t="str">
        <f>SUBSTITUTE(SUBSTITUTE(PROPERTIES[[#This Row],[PURCHASECOST_VALUE]], "PURCHASECOST_", ""), "_VALUE", "")</f>
        <v>DIESELENGINE</v>
      </c>
      <c r="AF870" s="9" t="str" cm="1">
        <f t="array" ref="AF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70" s="2" t="b">
        <v>0</v>
      </c>
      <c r="AH870" s="10" t="b">
        <v>0</v>
      </c>
    </row>
    <row r="871" spans="1:34">
      <c r="A871" s="2" t="s">
        <v>3215</v>
      </c>
      <c r="B871">
        <v>1982</v>
      </c>
      <c r="C871" cm="1">
        <f t="array" ref="C871">_xlfn.IFS(ISNUMBER(SEARCH("wagon",PROPERTIES[[#This Row],[VEHIDCODE]])),0,OR(MID(PROPERTIES[[#This Row],[VEHIDCODE]],2,2)="mu",_xlfn.TEXTBEFORE(PROPERTIES[[#This Row],[VEHIDCODE]],"_")="mtro"),1,1=1,0)</f>
        <v>0</v>
      </c>
      <c r="D871" t="s">
        <v>1719</v>
      </c>
      <c r="E871" t="str">
        <f>_xlfn.XLOOKUP(PROPERTIES[[#This Row],[COUNTRY]],COUNTRIES[COUNTRY_DESCRIPTION],COUNTRIES[COUNTRY_LABEL],"")</f>
        <v>AU</v>
      </c>
      <c r="F871" t="str" cm="1">
        <f t="array" ref="F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1" t="s">
        <v>19</v>
      </c>
      <c r="H871">
        <v>0</v>
      </c>
      <c r="I871">
        <v>7</v>
      </c>
      <c r="J871">
        <v>7</v>
      </c>
      <c r="K871" t="str" cm="1">
        <f t="array" ref="K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1">
        <f>_xlfn.XLOOKUP("LOADINGSPEEDDEF_"&amp;PROPERTIES[[#This Row],[LOADINGSPEED]],LOADINGSPEEDDEF[TYPE],LOADINGSPEEDDEF[SPEED])</f>
        <v>20</v>
      </c>
      <c r="M871" cm="1">
        <f t="array" ref="M8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1">
        <f>IF(ISNUMBER(SEARCH("passenger",PROPERTIES[[#This Row],[CARGODEF]])),1,0)</f>
        <v>0</v>
      </c>
      <c r="O871" s="32">
        <v>97.5</v>
      </c>
      <c r="P871">
        <v>2201</v>
      </c>
      <c r="Q871">
        <v>100</v>
      </c>
      <c r="R871" s="29">
        <v>286</v>
      </c>
      <c r="S871" s="29">
        <f>IFERROR(PROPERTIES[[#This Row],[TE_STARTING_KN]]/(PROPERTIES[[#This Row],[WEIGHT]]*9.81),0)</f>
        <v>0.29901461094121645</v>
      </c>
      <c r="T871" s="29">
        <v>0</v>
      </c>
      <c r="U871" s="25">
        <f>ROUND(IF(IFERROR(PROPERTIES[[#This Row],[TE_COEFFICIENT_CALC]],0)=0,PROPERTIES[[#This Row],[TE_COEFFICIENT_MANUAL]],PROPERTIES[[#This Row],[TE_COEFFICIENT_CALC]]),3)</f>
        <v>0.29899999999999999</v>
      </c>
      <c r="V871" s="37" cm="1">
        <f t="array" ref="V8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1" s="36">
        <v>0</v>
      </c>
      <c r="X871" s="9">
        <v>0</v>
      </c>
      <c r="Y871" s="10">
        <v>0</v>
      </c>
      <c r="Z871" s="9" t="s">
        <v>871</v>
      </c>
      <c r="AA871" t="s">
        <v>868</v>
      </c>
      <c r="AB871" s="10" t="s">
        <v>886</v>
      </c>
      <c r="AC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1" s="2" t="str">
        <f>SUBSTITUTE(SUBSTITUTE(PROPERTIES[[#This Row],[PURCHASECOST_VALUE]], "PURCHASECOST_", ""), "_VALUE", "")</f>
        <v>DIESELENGINE</v>
      </c>
      <c r="AF871" s="9" t="str" cm="1">
        <f t="array" ref="AF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1" s="2" t="b">
        <v>0</v>
      </c>
      <c r="AH871" s="10" t="b">
        <v>0</v>
      </c>
    </row>
    <row r="872" spans="1:34">
      <c r="A872" s="2" t="s">
        <v>3219</v>
      </c>
      <c r="B872">
        <v>1973</v>
      </c>
      <c r="C872" cm="1">
        <f t="array" ref="C872">_xlfn.IFS(ISNUMBER(SEARCH("wagon",PROPERTIES[[#This Row],[VEHIDCODE]])),0,OR(MID(PROPERTIES[[#This Row],[VEHIDCODE]],2,2)="mu",_xlfn.TEXTBEFORE(PROPERTIES[[#This Row],[VEHIDCODE]],"_")="mtro"),1,1=1,0)</f>
        <v>0</v>
      </c>
      <c r="D872" t="s">
        <v>1719</v>
      </c>
      <c r="E872" t="str">
        <f>_xlfn.XLOOKUP(PROPERTIES[[#This Row],[COUNTRY]],COUNTRIES[COUNTRY_DESCRIPTION],COUNTRIES[COUNTRY_LABEL],"")</f>
        <v>AU</v>
      </c>
      <c r="F872" t="str" cm="1">
        <f t="array" ref="F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2" t="s">
        <v>19</v>
      </c>
      <c r="H872">
        <v>0</v>
      </c>
      <c r="I872">
        <v>7</v>
      </c>
      <c r="J872">
        <v>7</v>
      </c>
      <c r="K872" t="str" cm="1">
        <f t="array" ref="K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2">
        <f>_xlfn.XLOOKUP("LOADINGSPEEDDEF_"&amp;PROPERTIES[[#This Row],[LOADINGSPEED]],LOADINGSPEEDDEF[TYPE],LOADINGSPEEDDEF[SPEED])</f>
        <v>20</v>
      </c>
      <c r="M872" cm="1">
        <f t="array" ref="M8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2">
        <f>IF(ISNUMBER(SEARCH("passenger",PROPERTIES[[#This Row],[CARGODEF]])),1,0)</f>
        <v>0</v>
      </c>
      <c r="O872" s="32">
        <v>96</v>
      </c>
      <c r="P872">
        <v>2025</v>
      </c>
      <c r="Q872">
        <v>97</v>
      </c>
      <c r="R872" s="29">
        <f>240*1.3</f>
        <v>312</v>
      </c>
      <c r="S872" s="29">
        <f>IFERROR(PROPERTIES[[#This Row],[TE_STARTING_KN]]/(PROPERTIES[[#This Row],[WEIGHT]]*9.81),0)</f>
        <v>0.33129459734964323</v>
      </c>
      <c r="T872" s="29">
        <v>0</v>
      </c>
      <c r="U872" s="25">
        <f>ROUND(IF(IFERROR(PROPERTIES[[#This Row],[TE_COEFFICIENT_CALC]],0)=0,PROPERTIES[[#This Row],[TE_COEFFICIENT_MANUAL]],PROPERTIES[[#This Row],[TE_COEFFICIENT_CALC]]),3)</f>
        <v>0.33100000000000002</v>
      </c>
      <c r="V872" s="37" cm="1">
        <f t="array" ref="V8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2" s="36">
        <v>0</v>
      </c>
      <c r="X872" s="9">
        <v>0</v>
      </c>
      <c r="Y872" s="10">
        <v>0</v>
      </c>
      <c r="Z872" s="9" t="s">
        <v>871</v>
      </c>
      <c r="AA872" t="s">
        <v>868</v>
      </c>
      <c r="AB872" s="10" t="s">
        <v>886</v>
      </c>
      <c r="AC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2" s="2" t="str">
        <f>SUBSTITUTE(SUBSTITUTE(PROPERTIES[[#This Row],[PURCHASECOST_VALUE]], "PURCHASECOST_", ""), "_VALUE", "")</f>
        <v>DIESELENGINE</v>
      </c>
      <c r="AF872" s="9" t="str" cm="1">
        <f t="array" ref="AF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2" s="2" t="b">
        <v>0</v>
      </c>
      <c r="AH872" s="10" t="b">
        <v>0</v>
      </c>
    </row>
    <row r="873" spans="1:34">
      <c r="A873" s="2" t="s">
        <v>3222</v>
      </c>
      <c r="B873">
        <v>1973</v>
      </c>
      <c r="C873" cm="1">
        <f t="array" ref="C873">_xlfn.IFS(ISNUMBER(SEARCH("wagon",PROPERTIES[[#This Row],[VEHIDCODE]])),0,OR(MID(PROPERTIES[[#This Row],[VEHIDCODE]],2,2)="mu",_xlfn.TEXTBEFORE(PROPERTIES[[#This Row],[VEHIDCODE]],"_")="mtro"),1,1=1,0)</f>
        <v>0</v>
      </c>
      <c r="D873" t="s">
        <v>1719</v>
      </c>
      <c r="E873" t="str">
        <f>_xlfn.XLOOKUP(PROPERTIES[[#This Row],[COUNTRY]],COUNTRIES[COUNTRY_DESCRIPTION],COUNTRIES[COUNTRY_LABEL],"")</f>
        <v>AU</v>
      </c>
      <c r="F873" t="str" cm="1">
        <f t="array" ref="F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3" t="s">
        <v>19</v>
      </c>
      <c r="H873">
        <v>0</v>
      </c>
      <c r="I873">
        <v>7</v>
      </c>
      <c r="J873">
        <v>7</v>
      </c>
      <c r="K873" t="str" cm="1">
        <f t="array" ref="K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3">
        <f>_xlfn.XLOOKUP("LOADINGSPEEDDEF_"&amp;PROPERTIES[[#This Row],[LOADINGSPEED]],LOADINGSPEEDDEF[TYPE],LOADINGSPEEDDEF[SPEED])</f>
        <v>20</v>
      </c>
      <c r="M873" cm="1">
        <f t="array" ref="M8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3">
        <f>IF(ISNUMBER(SEARCH("passenger",PROPERTIES[[#This Row],[CARGODEF]])),1,0)</f>
        <v>0</v>
      </c>
      <c r="O873" s="32">
        <v>91.4</v>
      </c>
      <c r="P873">
        <v>2550</v>
      </c>
      <c r="Q873">
        <v>80</v>
      </c>
      <c r="R873" s="29">
        <v>200</v>
      </c>
      <c r="S873" s="29">
        <f>IFERROR(PROPERTIES[[#This Row],[TE_STARTING_KN]]/(PROPERTIES[[#This Row],[WEIGHT]]*9.81),0)</f>
        <v>0.22305645335778029</v>
      </c>
      <c r="T873" s="29">
        <v>0</v>
      </c>
      <c r="U873" s="25">
        <f>ROUND(IF(IFERROR(PROPERTIES[[#This Row],[TE_COEFFICIENT_CALC]],0)=0,PROPERTIES[[#This Row],[TE_COEFFICIENT_MANUAL]],PROPERTIES[[#This Row],[TE_COEFFICIENT_CALC]]),3)</f>
        <v>0.223</v>
      </c>
      <c r="V873" s="37" cm="1">
        <f t="array" ref="V8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3" s="36">
        <v>0</v>
      </c>
      <c r="X873" s="9">
        <v>0</v>
      </c>
      <c r="Y873" s="10">
        <v>0</v>
      </c>
      <c r="Z873" s="9" t="s">
        <v>871</v>
      </c>
      <c r="AA873" t="s">
        <v>868</v>
      </c>
      <c r="AB873" s="10" t="s">
        <v>886</v>
      </c>
      <c r="AC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3" s="2" t="str">
        <f>SUBSTITUTE(SUBSTITUTE(PROPERTIES[[#This Row],[PURCHASECOST_VALUE]], "PURCHASECOST_", ""), "_VALUE", "")</f>
        <v>DIESELENGINE</v>
      </c>
      <c r="AF873" s="9" t="str" cm="1">
        <f t="array" ref="AF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3" s="2" t="b">
        <v>0</v>
      </c>
      <c r="AH873" s="10" t="b">
        <v>0</v>
      </c>
    </row>
    <row r="874" spans="1:34">
      <c r="A874" s="2" t="s">
        <v>3227</v>
      </c>
      <c r="B874">
        <v>1972</v>
      </c>
      <c r="C874" cm="1">
        <f t="array" ref="C874">_xlfn.IFS(ISNUMBER(SEARCH("wagon",PROPERTIES[[#This Row],[VEHIDCODE]])),0,OR(MID(PROPERTIES[[#This Row],[VEHIDCODE]],2,2)="mu",_xlfn.TEXTBEFORE(PROPERTIES[[#This Row],[VEHIDCODE]],"_")="mtro"),1,1=1,0)</f>
        <v>0</v>
      </c>
      <c r="D874" t="s">
        <v>1876</v>
      </c>
      <c r="E874" t="str">
        <f>_xlfn.XLOOKUP(PROPERTIES[[#This Row],[COUNTRY]],COUNTRIES[COUNTRY_DESCRIPTION],COUNTRIES[COUNTRY_LABEL],"")</f>
        <v>NZ</v>
      </c>
      <c r="F874" t="str" cm="1">
        <f t="array" ref="F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4" t="s">
        <v>19</v>
      </c>
      <c r="H874">
        <v>0</v>
      </c>
      <c r="I874">
        <v>7</v>
      </c>
      <c r="J874">
        <v>7</v>
      </c>
      <c r="K874" t="str" cm="1">
        <f t="array" ref="K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4">
        <f>_xlfn.XLOOKUP("LOADINGSPEEDDEF_"&amp;PROPERTIES[[#This Row],[LOADINGSPEED]],LOADINGSPEEDDEF[TYPE],LOADINGSPEEDDEF[SPEED])</f>
        <v>20</v>
      </c>
      <c r="M874" cm="1">
        <f t="array" ref="M8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4">
        <f>IF(ISNUMBER(SEARCH("passenger",PROPERTIES[[#This Row],[CARGODEF]])),1,0)</f>
        <v>0</v>
      </c>
      <c r="O874" s="32">
        <v>97.5</v>
      </c>
      <c r="P874">
        <v>2750</v>
      </c>
      <c r="Q874">
        <v>105</v>
      </c>
      <c r="R874" s="29">
        <f>259*1.3</f>
        <v>336.7</v>
      </c>
      <c r="S874" s="29">
        <f>IFERROR(PROPERTIES[[#This Row],[TE_STARTING_KN]]/(PROPERTIES[[#This Row],[WEIGHT]]*9.81),0)</f>
        <v>0.35202174651715934</v>
      </c>
      <c r="T874" s="29">
        <v>0</v>
      </c>
      <c r="U874" s="25">
        <f>ROUND(IF(IFERROR(PROPERTIES[[#This Row],[TE_COEFFICIENT_CALC]],0)=0,PROPERTIES[[#This Row],[TE_COEFFICIENT_MANUAL]],PROPERTIES[[#This Row],[TE_COEFFICIENT_CALC]]),3)</f>
        <v>0.35199999999999998</v>
      </c>
      <c r="V874" s="37" cm="1">
        <f t="array" ref="V8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4" s="36">
        <v>0</v>
      </c>
      <c r="X874" s="9">
        <v>0</v>
      </c>
      <c r="Y874" s="10">
        <v>0</v>
      </c>
      <c r="Z874" s="9" t="s">
        <v>871</v>
      </c>
      <c r="AA874" t="s">
        <v>868</v>
      </c>
      <c r="AB874" s="10" t="s">
        <v>886</v>
      </c>
      <c r="AC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4" s="2" t="str">
        <f>SUBSTITUTE(SUBSTITUTE(PROPERTIES[[#This Row],[PURCHASECOST_VALUE]], "PURCHASECOST_", ""), "_VALUE", "")</f>
        <v>DIESELENGINE</v>
      </c>
      <c r="AF874" s="9" t="str" cm="1">
        <f t="array" ref="AF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4" s="2" t="b">
        <v>0</v>
      </c>
      <c r="AH874" s="10" t="b">
        <v>0</v>
      </c>
    </row>
    <row r="875" spans="1:34">
      <c r="A875" s="2" t="s">
        <v>3230</v>
      </c>
      <c r="B875">
        <v>1956</v>
      </c>
      <c r="C875" cm="1">
        <f t="array" ref="C875">_xlfn.IFS(ISNUMBER(SEARCH("wagon",PROPERTIES[[#This Row],[VEHIDCODE]])),0,OR(MID(PROPERTIES[[#This Row],[VEHIDCODE]],2,2)="mu",_xlfn.TEXTBEFORE(PROPERTIES[[#This Row],[VEHIDCODE]],"_")="mtro"),1,1=1,0)</f>
        <v>0</v>
      </c>
      <c r="D875" t="s">
        <v>1719</v>
      </c>
      <c r="E875" t="str">
        <f>_xlfn.XLOOKUP(PROPERTIES[[#This Row],[COUNTRY]],COUNTRIES[COUNTRY_DESCRIPTION],COUNTRIES[COUNTRY_LABEL],"")</f>
        <v>AU</v>
      </c>
      <c r="F875" t="str" cm="1">
        <f t="array" ref="F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75" t="s">
        <v>19</v>
      </c>
      <c r="H875">
        <v>0</v>
      </c>
      <c r="I875">
        <v>7</v>
      </c>
      <c r="J875">
        <v>7</v>
      </c>
      <c r="K875" t="str" cm="1">
        <f t="array" ref="K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5">
        <f>_xlfn.XLOOKUP("LOADINGSPEEDDEF_"&amp;PROPERTIES[[#This Row],[LOADINGSPEED]],LOADINGSPEEDDEF[TYPE],LOADINGSPEEDDEF[SPEED])</f>
        <v>20</v>
      </c>
      <c r="M875" cm="1">
        <f t="array" ref="M8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5">
        <f>IF(ISNUMBER(SEARCH("passenger",PROPERTIES[[#This Row],[CARGODEF]])),1,0)</f>
        <v>0</v>
      </c>
      <c r="O875" s="32">
        <v>112</v>
      </c>
      <c r="P875">
        <v>3400</v>
      </c>
      <c r="Q875">
        <v>113</v>
      </c>
      <c r="R875" s="29">
        <f>181*1.3</f>
        <v>235.3</v>
      </c>
      <c r="S875" s="29">
        <f>IFERROR(PROPERTIES[[#This Row],[TE_STARTING_KN]]/(PROPERTIES[[#This Row],[WEIGHT]]*9.81),0)</f>
        <v>0.21415829328673366</v>
      </c>
      <c r="T875" s="29">
        <v>0</v>
      </c>
      <c r="U875" s="25">
        <f>ROUND(IF(IFERROR(PROPERTIES[[#This Row],[TE_COEFFICIENT_CALC]],0)=0,PROPERTIES[[#This Row],[TE_COEFFICIENT_MANUAL]],PROPERTIES[[#This Row],[TE_COEFFICIENT_CALC]]),3)</f>
        <v>0.214</v>
      </c>
      <c r="V875" s="37" cm="1">
        <f t="array" ref="V8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5" s="36">
        <v>0</v>
      </c>
      <c r="X875" s="9">
        <v>0</v>
      </c>
      <c r="Y875" s="10">
        <v>0</v>
      </c>
      <c r="Z875" s="9" t="s">
        <v>871</v>
      </c>
      <c r="AA875" t="s">
        <v>868</v>
      </c>
      <c r="AB875" s="10" t="s">
        <v>887</v>
      </c>
      <c r="AC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75" s="2" t="str">
        <f>SUBSTITUTE(SUBSTITUTE(PROPERTIES[[#This Row],[PURCHASECOST_VALUE]], "PURCHASECOST_", ""), "_VALUE", "")</f>
        <v>ELECTRICENGINE</v>
      </c>
      <c r="AF875" s="9" t="str" cm="1">
        <f t="array" ref="AF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5" s="2" t="b">
        <v>0</v>
      </c>
      <c r="AH875" s="10" t="b">
        <v>0</v>
      </c>
    </row>
    <row r="876" spans="1:34">
      <c r="A876" s="2" t="s">
        <v>3232</v>
      </c>
      <c r="B876">
        <v>1951</v>
      </c>
      <c r="C876" cm="1">
        <f t="array" ref="C876">_xlfn.IFS(ISNUMBER(SEARCH("wagon",PROPERTIES[[#This Row],[VEHIDCODE]])),0,OR(MID(PROPERTIES[[#This Row],[VEHIDCODE]],2,2)="mu",_xlfn.TEXTBEFORE(PROPERTIES[[#This Row],[VEHIDCODE]],"_")="mtro"),1,1=1,0)</f>
        <v>0</v>
      </c>
      <c r="D876" t="s">
        <v>1719</v>
      </c>
      <c r="E876" t="str">
        <f>_xlfn.XLOOKUP(PROPERTIES[[#This Row],[COUNTRY]],COUNTRIES[COUNTRY_DESCRIPTION],COUNTRIES[COUNTRY_LABEL],"")</f>
        <v>AU</v>
      </c>
      <c r="F876" t="str" cm="1">
        <f t="array" ref="F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6" t="s">
        <v>19</v>
      </c>
      <c r="H876">
        <v>0</v>
      </c>
      <c r="I876">
        <v>7</v>
      </c>
      <c r="J876">
        <v>7</v>
      </c>
      <c r="K876" t="str" cm="1">
        <f t="array" ref="K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6">
        <f>_xlfn.XLOOKUP("LOADINGSPEEDDEF_"&amp;PROPERTIES[[#This Row],[LOADINGSPEED]],LOADINGSPEEDDEF[TYPE],LOADINGSPEEDDEF[SPEED])</f>
        <v>20</v>
      </c>
      <c r="M876" cm="1">
        <f t="array" ref="M8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6">
        <f>IF(ISNUMBER(SEARCH("passenger",PROPERTIES[[#This Row],[CARGODEF]])),1,0)</f>
        <v>0</v>
      </c>
      <c r="O876" s="32">
        <v>111</v>
      </c>
      <c r="P876">
        <v>1750</v>
      </c>
      <c r="Q876">
        <v>75</v>
      </c>
      <c r="R876" s="29">
        <f>204*1.3</f>
        <v>265.2</v>
      </c>
      <c r="S876" s="29">
        <f>IFERROR(PROPERTIES[[#This Row],[TE_STARTING_KN]]/(PROPERTIES[[#This Row],[WEIGHT]]*9.81),0)</f>
        <v>0.24354629859217011</v>
      </c>
      <c r="T876" s="29">
        <v>0</v>
      </c>
      <c r="U876" s="25">
        <f>ROUND(IF(IFERROR(PROPERTIES[[#This Row],[TE_COEFFICIENT_CALC]],0)=0,PROPERTIES[[#This Row],[TE_COEFFICIENT_MANUAL]],PROPERTIES[[#This Row],[TE_COEFFICIENT_CALC]]),3)</f>
        <v>0.24399999999999999</v>
      </c>
      <c r="V876" s="37" cm="1">
        <f t="array" ref="V8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6" s="36">
        <v>0</v>
      </c>
      <c r="X876" s="9">
        <v>0</v>
      </c>
      <c r="Y876" s="10">
        <v>0</v>
      </c>
      <c r="Z876" s="9" t="s">
        <v>871</v>
      </c>
      <c r="AA876" t="s">
        <v>868</v>
      </c>
      <c r="AB876" s="10" t="s">
        <v>886</v>
      </c>
      <c r="AC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6" s="2" t="str">
        <f>SUBSTITUTE(SUBSTITUTE(PROPERTIES[[#This Row],[PURCHASECOST_VALUE]], "PURCHASECOST_", ""), "_VALUE", "")</f>
        <v>DIESELENGINE</v>
      </c>
      <c r="AF876" s="9" t="str" cm="1">
        <f t="array" ref="AF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6" s="2" t="b">
        <v>0</v>
      </c>
      <c r="AH876" s="10" t="b">
        <v>1</v>
      </c>
    </row>
    <row r="877" spans="1:34">
      <c r="A877" s="2" t="s">
        <v>3236</v>
      </c>
      <c r="B877">
        <v>1960</v>
      </c>
      <c r="C877" cm="1">
        <f t="array" ref="C877">_xlfn.IFS(ISNUMBER(SEARCH("wagon",PROPERTIES[[#This Row],[VEHIDCODE]])),0,OR(MID(PROPERTIES[[#This Row],[VEHIDCODE]],2,2)="mu",_xlfn.TEXTBEFORE(PROPERTIES[[#This Row],[VEHIDCODE]],"_")="mtro"),1,1=1,0)</f>
        <v>0</v>
      </c>
      <c r="D877" t="s">
        <v>1719</v>
      </c>
      <c r="E877" t="str">
        <f>_xlfn.XLOOKUP(PROPERTIES[[#This Row],[COUNTRY]],COUNTRIES[COUNTRY_DESCRIPTION],COUNTRIES[COUNTRY_LABEL],"")</f>
        <v>AU</v>
      </c>
      <c r="F877" t="str" cm="1">
        <f t="array" ref="F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7" t="s">
        <v>19</v>
      </c>
      <c r="H877">
        <v>0</v>
      </c>
      <c r="I877">
        <v>6</v>
      </c>
      <c r="J877">
        <v>6</v>
      </c>
      <c r="K877" t="str" cm="1">
        <f t="array" ref="K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7">
        <f>_xlfn.XLOOKUP("LOADINGSPEEDDEF_"&amp;PROPERTIES[[#This Row],[LOADINGSPEED]],LOADINGSPEEDDEF[TYPE],LOADINGSPEEDDEF[SPEED])</f>
        <v>20</v>
      </c>
      <c r="M877" cm="1">
        <f t="array" ref="M8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7">
        <f>IF(ISNUMBER(SEARCH("passenger",PROPERTIES[[#This Row],[CARGODEF]])),1,0)</f>
        <v>0</v>
      </c>
      <c r="O877" s="32">
        <v>80</v>
      </c>
      <c r="P877">
        <v>950</v>
      </c>
      <c r="Q877">
        <v>124</v>
      </c>
      <c r="R877" s="29">
        <f>165*1.3</f>
        <v>214.5</v>
      </c>
      <c r="S877" s="29">
        <f>IFERROR(PROPERTIES[[#This Row],[TE_STARTING_KN]]/(PROPERTIES[[#This Row],[WEIGHT]]*9.81),0)</f>
        <v>0.27331804281345562</v>
      </c>
      <c r="T877" s="29">
        <v>0</v>
      </c>
      <c r="U877" s="25">
        <f>ROUND(IF(IFERROR(PROPERTIES[[#This Row],[TE_COEFFICIENT_CALC]],0)=0,PROPERTIES[[#This Row],[TE_COEFFICIENT_MANUAL]],PROPERTIES[[#This Row],[TE_COEFFICIENT_CALC]]),3)</f>
        <v>0.27300000000000002</v>
      </c>
      <c r="V877" s="37" cm="1">
        <f t="array" ref="V8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7" s="36">
        <v>0</v>
      </c>
      <c r="X877" s="9">
        <v>0</v>
      </c>
      <c r="Y877" s="10">
        <v>0</v>
      </c>
      <c r="Z877" s="9" t="s">
        <v>871</v>
      </c>
      <c r="AA877" t="s">
        <v>868</v>
      </c>
      <c r="AB877" s="10" t="s">
        <v>886</v>
      </c>
      <c r="AC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7" s="2" t="str">
        <f>SUBSTITUTE(SUBSTITUTE(PROPERTIES[[#This Row],[PURCHASECOST_VALUE]], "PURCHASECOST_", ""), "_VALUE", "")</f>
        <v>DIESELENGINE</v>
      </c>
      <c r="AF877" s="9" t="str" cm="1">
        <f t="array" ref="AF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7" s="2" t="b">
        <v>0</v>
      </c>
      <c r="AH877" s="10" t="b">
        <v>0</v>
      </c>
    </row>
    <row r="878" spans="1:34">
      <c r="A878" s="2" t="s">
        <v>3239</v>
      </c>
      <c r="B878">
        <v>1955</v>
      </c>
      <c r="C878" cm="1">
        <f t="array" ref="C878">_xlfn.IFS(ISNUMBER(SEARCH("wagon",PROPERTIES[[#This Row],[VEHIDCODE]])),0,OR(MID(PROPERTIES[[#This Row],[VEHIDCODE]],2,2)="mu",_xlfn.TEXTBEFORE(PROPERTIES[[#This Row],[VEHIDCODE]],"_")="mtro"),1,1=1,0)</f>
        <v>0</v>
      </c>
      <c r="D878" t="s">
        <v>1876</v>
      </c>
      <c r="E878" t="str">
        <f>_xlfn.XLOOKUP(PROPERTIES[[#This Row],[COUNTRY]],COUNTRIES[COUNTRY_DESCRIPTION],COUNTRIES[COUNTRY_LABEL],"")</f>
        <v>NZ</v>
      </c>
      <c r="F878" t="str" cm="1">
        <f t="array" ref="F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8" t="s">
        <v>19</v>
      </c>
      <c r="H878">
        <v>0</v>
      </c>
      <c r="I878">
        <v>6</v>
      </c>
      <c r="J878">
        <v>6</v>
      </c>
      <c r="K878" t="str" cm="1">
        <f t="array" ref="K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8">
        <f>_xlfn.XLOOKUP("LOADINGSPEEDDEF_"&amp;PROPERTIES[[#This Row],[LOADINGSPEED]],LOADINGSPEEDDEF[TYPE],LOADINGSPEEDDEF[SPEED])</f>
        <v>20</v>
      </c>
      <c r="M878" cm="1">
        <f t="array" ref="M8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8">
        <f>IF(ISNUMBER(SEARCH("passenger",PROPERTIES[[#This Row],[CARGODEF]])),1,0)</f>
        <v>0</v>
      </c>
      <c r="O878" s="32">
        <v>79</v>
      </c>
      <c r="P878">
        <v>1420</v>
      </c>
      <c r="Q878">
        <v>100</v>
      </c>
      <c r="R878" s="29">
        <v>140</v>
      </c>
      <c r="S878" s="29">
        <f>IFERROR(PROPERTIES[[#This Row],[TE_STARTING_KN]]/(PROPERTIES[[#This Row],[WEIGHT]]*9.81),0)</f>
        <v>0.18064749222570614</v>
      </c>
      <c r="T878" s="29">
        <v>0</v>
      </c>
      <c r="U878" s="25">
        <f>ROUND(IF(IFERROR(PROPERTIES[[#This Row],[TE_COEFFICIENT_CALC]],0)=0,PROPERTIES[[#This Row],[TE_COEFFICIENT_MANUAL]],PROPERTIES[[#This Row],[TE_COEFFICIENT_CALC]]),3)</f>
        <v>0.18099999999999999</v>
      </c>
      <c r="V878" s="37" cm="1">
        <f t="array" ref="V8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8" s="36">
        <v>0</v>
      </c>
      <c r="X878" s="9">
        <v>0</v>
      </c>
      <c r="Y878" s="10">
        <v>0</v>
      </c>
      <c r="Z878" s="9" t="s">
        <v>871</v>
      </c>
      <c r="AA878" t="s">
        <v>868</v>
      </c>
      <c r="AB878" s="10" t="s">
        <v>886</v>
      </c>
      <c r="AC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8" s="2" t="str">
        <f>SUBSTITUTE(SUBSTITUTE(PROPERTIES[[#This Row],[PURCHASECOST_VALUE]], "PURCHASECOST_", ""), "_VALUE", "")</f>
        <v>DIESELENGINE</v>
      </c>
      <c r="AF878" s="9" t="str" cm="1">
        <f t="array" ref="AF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8" s="2" t="b">
        <v>0</v>
      </c>
      <c r="AH878" s="10" t="b">
        <v>0</v>
      </c>
    </row>
    <row r="879" spans="1:34">
      <c r="A879" s="2" t="s">
        <v>3242</v>
      </c>
      <c r="B879">
        <v>1965</v>
      </c>
      <c r="C879" cm="1">
        <f t="array" ref="C879">_xlfn.IFS(ISNUMBER(SEARCH("wagon",PROPERTIES[[#This Row],[VEHIDCODE]])),0,OR(MID(PROPERTIES[[#This Row],[VEHIDCODE]],2,2)="mu",_xlfn.TEXTBEFORE(PROPERTIES[[#This Row],[VEHIDCODE]],"_")="mtro"),1,1=1,0)</f>
        <v>0</v>
      </c>
      <c r="D879" t="s">
        <v>1876</v>
      </c>
      <c r="E879" t="str">
        <f>_xlfn.XLOOKUP(PROPERTIES[[#This Row],[COUNTRY]],COUNTRIES[COUNTRY_DESCRIPTION],COUNTRIES[COUNTRY_LABEL],"")</f>
        <v>NZ</v>
      </c>
      <c r="F879" t="str" cm="1">
        <f t="array" ref="F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9" t="s">
        <v>19</v>
      </c>
      <c r="H879">
        <v>0</v>
      </c>
      <c r="I879">
        <v>6</v>
      </c>
      <c r="J879">
        <v>6</v>
      </c>
      <c r="K879" t="str" cm="1">
        <f t="array" ref="K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9">
        <f>_xlfn.XLOOKUP("LOADINGSPEEDDEF_"&amp;PROPERTIES[[#This Row],[LOADINGSPEED]],LOADINGSPEEDDEF[TYPE],LOADINGSPEEDDEF[SPEED])</f>
        <v>20</v>
      </c>
      <c r="M879" cm="1">
        <f t="array" ref="M8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9">
        <f>IF(ISNUMBER(SEARCH("passenger",PROPERTIES[[#This Row],[CARGODEF]])),1,0)</f>
        <v>0</v>
      </c>
      <c r="O879" s="32">
        <v>69</v>
      </c>
      <c r="P879">
        <v>951</v>
      </c>
      <c r="Q879">
        <v>100</v>
      </c>
      <c r="R879" s="29">
        <v>100</v>
      </c>
      <c r="S879" s="29">
        <f>IFERROR(PROPERTIES[[#This Row],[TE_STARTING_KN]]/(PROPERTIES[[#This Row],[WEIGHT]]*9.81),0)</f>
        <v>0.14773449157174726</v>
      </c>
      <c r="T879" s="29">
        <v>0</v>
      </c>
      <c r="U879" s="25">
        <f>ROUND(IF(IFERROR(PROPERTIES[[#This Row],[TE_COEFFICIENT_CALC]],0)=0,PROPERTIES[[#This Row],[TE_COEFFICIENT_MANUAL]],PROPERTIES[[#This Row],[TE_COEFFICIENT_CALC]]),3)</f>
        <v>0.14799999999999999</v>
      </c>
      <c r="V879" s="37" cm="1">
        <f t="array" ref="V8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9" s="36">
        <v>0</v>
      </c>
      <c r="X879" s="9">
        <v>0</v>
      </c>
      <c r="Y879" s="10">
        <v>0</v>
      </c>
      <c r="Z879" s="9" t="s">
        <v>871</v>
      </c>
      <c r="AA879" t="s">
        <v>868</v>
      </c>
      <c r="AB879" s="10" t="s">
        <v>886</v>
      </c>
      <c r="AC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9" s="2" t="str">
        <f>SUBSTITUTE(SUBSTITUTE(PROPERTIES[[#This Row],[PURCHASECOST_VALUE]], "PURCHASECOST_", ""), "_VALUE", "")</f>
        <v>DIESELENGINE</v>
      </c>
      <c r="AF879" s="9" t="str" cm="1">
        <f t="array" ref="AF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9" s="2" t="b">
        <v>0</v>
      </c>
      <c r="AH879" s="10" t="b">
        <v>0</v>
      </c>
    </row>
    <row r="880" spans="1:34">
      <c r="A880" s="2" t="s">
        <v>3244</v>
      </c>
      <c r="B880">
        <v>1972</v>
      </c>
      <c r="C880" cm="1">
        <f t="array" ref="C880">_xlfn.IFS(ISNUMBER(SEARCH("wagon",PROPERTIES[[#This Row],[VEHIDCODE]])),0,OR(MID(PROPERTIES[[#This Row],[VEHIDCODE]],2,2)="mu",_xlfn.TEXTBEFORE(PROPERTIES[[#This Row],[VEHIDCODE]],"_")="mtro"),1,1=1,0)</f>
        <v>0</v>
      </c>
      <c r="D880" t="s">
        <v>1719</v>
      </c>
      <c r="E880" t="str">
        <f>_xlfn.XLOOKUP(PROPERTIES[[#This Row],[COUNTRY]],COUNTRIES[COUNTRY_DESCRIPTION],COUNTRIES[COUNTRY_LABEL],"")</f>
        <v>AU</v>
      </c>
      <c r="F880" t="str" cm="1">
        <f t="array" ref="F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80" t="s">
        <v>19</v>
      </c>
      <c r="H880">
        <v>0</v>
      </c>
      <c r="I880">
        <v>6</v>
      </c>
      <c r="J880">
        <v>6</v>
      </c>
      <c r="K880" t="str" cm="1">
        <f t="array" ref="K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0">
        <f>_xlfn.XLOOKUP("LOADINGSPEEDDEF_"&amp;PROPERTIES[[#This Row],[LOADINGSPEED]],LOADINGSPEEDDEF[TYPE],LOADINGSPEEDDEF[SPEED])</f>
        <v>20</v>
      </c>
      <c r="M880" cm="1">
        <f t="array" ref="M8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0">
        <f>IF(ISNUMBER(SEARCH("passenger",PROPERTIES[[#This Row],[CARGODEF]])),1,0)</f>
        <v>0</v>
      </c>
      <c r="O880" s="32">
        <v>85.3</v>
      </c>
      <c r="P880">
        <v>1126</v>
      </c>
      <c r="Q880">
        <v>113</v>
      </c>
      <c r="R880" s="29">
        <f>171*1.3</f>
        <v>222.3</v>
      </c>
      <c r="S880" s="29">
        <f>IFERROR(PROPERTIES[[#This Row],[TE_STARTING_KN]]/(PROPERTIES[[#This Row],[WEIGHT]]*9.81),0)</f>
        <v>0.26565709799197651</v>
      </c>
      <c r="T880" s="29">
        <v>0</v>
      </c>
      <c r="U880" s="25">
        <f>ROUND(IF(IFERROR(PROPERTIES[[#This Row],[TE_COEFFICIENT_CALC]],0)=0,PROPERTIES[[#This Row],[TE_COEFFICIENT_MANUAL]],PROPERTIES[[#This Row],[TE_COEFFICIENT_CALC]]),3)</f>
        <v>0.26600000000000001</v>
      </c>
      <c r="V880" s="37" cm="1">
        <f t="array" ref="V8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80" s="36">
        <v>0</v>
      </c>
      <c r="X880" s="9">
        <v>0</v>
      </c>
      <c r="Y880" s="10">
        <v>0</v>
      </c>
      <c r="Z880" s="9" t="s">
        <v>871</v>
      </c>
      <c r="AA880" t="s">
        <v>868</v>
      </c>
      <c r="AB880" s="10" t="s">
        <v>886</v>
      </c>
      <c r="AC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80" s="2" t="str">
        <f>SUBSTITUTE(SUBSTITUTE(PROPERTIES[[#This Row],[PURCHASECOST_VALUE]], "PURCHASECOST_", ""), "_VALUE", "")</f>
        <v>DIESELENGINE</v>
      </c>
      <c r="AF880" s="9" t="str" cm="1">
        <f t="array" ref="AF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0" s="2" t="b">
        <v>0</v>
      </c>
      <c r="AH880" s="10" t="b">
        <v>0</v>
      </c>
    </row>
    <row r="881" spans="1:34">
      <c r="A881" s="2" t="s">
        <v>3247</v>
      </c>
      <c r="B881">
        <v>1852</v>
      </c>
      <c r="C881" cm="1">
        <f t="array" ref="C881">_xlfn.IFS(ISNUMBER(SEARCH("wagon",PROPERTIES[[#This Row],[VEHIDCODE]])),0,OR(MID(PROPERTIES[[#This Row],[VEHIDCODE]],2,2)="mu",_xlfn.TEXTBEFORE(PROPERTIES[[#This Row],[VEHIDCODE]],"_")="mtro"),1,1=1,0)</f>
        <v>0</v>
      </c>
      <c r="D881" t="s">
        <v>1737</v>
      </c>
      <c r="E881" t="str">
        <f>_xlfn.XLOOKUP(PROPERTIES[[#This Row],[COUNTRY]],COUNTRIES[COUNTRY_DESCRIPTION],COUNTRIES[COUNTRY_LABEL],"")</f>
        <v>BR</v>
      </c>
      <c r="F881" t="str" cm="1">
        <f t="array" ref="F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1" t="s">
        <v>19</v>
      </c>
      <c r="H881">
        <v>0</v>
      </c>
      <c r="I881">
        <v>7</v>
      </c>
      <c r="J881">
        <v>7</v>
      </c>
      <c r="K881" t="str" cm="1">
        <f t="array" ref="K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1">
        <f>_xlfn.XLOOKUP("LOADINGSPEEDDEF_"&amp;PROPERTIES[[#This Row],[LOADINGSPEED]],LOADINGSPEEDDEF[TYPE],LOADINGSPEEDDEF[SPEED])</f>
        <v>20</v>
      </c>
      <c r="M881" cm="1">
        <f t="array" ref="M8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1">
        <f>IF(ISNUMBER(SEARCH("passenger",PROPERTIES[[#This Row],[CARGODEF]])),1,0)</f>
        <v>0</v>
      </c>
      <c r="O881" s="32">
        <v>17</v>
      </c>
      <c r="P881">
        <v>50</v>
      </c>
      <c r="Q881">
        <v>35</v>
      </c>
      <c r="R881" s="29">
        <v>0</v>
      </c>
      <c r="S881" s="28">
        <f>IFERROR(PROPERTIES[[#This Row],[TE_STARTING_KN]]/(PROPERTIES[[#This Row],[WEIGHT]]*9.81),0)</f>
        <v>0</v>
      </c>
      <c r="T881" s="28">
        <v>0.09</v>
      </c>
      <c r="U881" s="25">
        <f>ROUND(IF(IFERROR(PROPERTIES[[#This Row],[TE_COEFFICIENT_CALC]],0)=0,PROPERTIES[[#This Row],[TE_COEFFICIENT_MANUAL]],PROPERTIES[[#This Row],[TE_COEFFICIENT_CALC]]),3)</f>
        <v>0.09</v>
      </c>
      <c r="V881" s="11" cm="1">
        <f t="array" ref="V8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1" s="36">
        <v>0</v>
      </c>
      <c r="X881" s="9">
        <v>0</v>
      </c>
      <c r="Y881" s="10">
        <v>0</v>
      </c>
      <c r="Z881" t="s">
        <v>876</v>
      </c>
      <c r="AA881" t="s">
        <v>868</v>
      </c>
      <c r="AB881" s="2" t="s">
        <v>886</v>
      </c>
      <c r="AC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1" s="2" t="str">
        <f>SUBSTITUTE(SUBSTITUTE(PROPERTIES[[#This Row],[PURCHASECOST_VALUE]], "PURCHASECOST_", ""), "_VALUE", "")</f>
        <v>STEAMENGINE</v>
      </c>
      <c r="AF881" s="9" t="str" cm="1">
        <f t="array" ref="AF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1" s="2" t="b">
        <v>0</v>
      </c>
      <c r="AH881" s="10" t="b">
        <v>0</v>
      </c>
    </row>
    <row r="882" spans="1:34">
      <c r="A882" s="2" t="s">
        <v>3250</v>
      </c>
      <c r="B882">
        <v>1857</v>
      </c>
      <c r="C882" cm="1">
        <f t="array" ref="C882">_xlfn.IFS(ISNUMBER(SEARCH("wagon",PROPERTIES[[#This Row],[VEHIDCODE]])),0,OR(MID(PROPERTIES[[#This Row],[VEHIDCODE]],2,2)="mu",_xlfn.TEXTBEFORE(PROPERTIES[[#This Row],[VEHIDCODE]],"_")="mtro"),1,1=1,0)</f>
        <v>0</v>
      </c>
      <c r="D882" t="s">
        <v>1716</v>
      </c>
      <c r="E882" t="str">
        <f>_xlfn.XLOOKUP(PROPERTIES[[#This Row],[COUNTRY]],COUNTRIES[COUNTRY_DESCRIPTION],COUNTRIES[COUNTRY_LABEL],"")</f>
        <v>AR</v>
      </c>
      <c r="F882" t="str" cm="1">
        <f t="array" ref="F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2" t="s">
        <v>19</v>
      </c>
      <c r="H882">
        <v>0</v>
      </c>
      <c r="I882">
        <v>5</v>
      </c>
      <c r="J882">
        <v>7</v>
      </c>
      <c r="K882" t="str" cm="1">
        <f t="array" ref="K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2">
        <f>_xlfn.XLOOKUP("LOADINGSPEEDDEF_"&amp;PROPERTIES[[#This Row],[LOADINGSPEED]],LOADINGSPEEDDEF[TYPE],LOADINGSPEEDDEF[SPEED])</f>
        <v>20</v>
      </c>
      <c r="M882" cm="1">
        <f t="array" ref="M8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2">
        <f>IF(ISNUMBER(SEARCH("passenger",PROPERTIES[[#This Row],[CARGODEF]])),1,0)</f>
        <v>0</v>
      </c>
      <c r="O882" s="32">
        <v>15.2</v>
      </c>
      <c r="P882">
        <v>100</v>
      </c>
      <c r="Q882">
        <v>25</v>
      </c>
      <c r="R882" s="29">
        <v>27.11</v>
      </c>
      <c r="S882" s="28">
        <f>IFERROR(PROPERTIES[[#This Row],[TE_STARTING_KN]]/(PROPERTIES[[#This Row],[WEIGHT]]*9.81),0)</f>
        <v>0.18180964644025968</v>
      </c>
      <c r="T882" s="28">
        <v>0.18</v>
      </c>
      <c r="U882" s="25">
        <f>ROUND(IF(IFERROR(PROPERTIES[[#This Row],[TE_COEFFICIENT_CALC]],0)=0,PROPERTIES[[#This Row],[TE_COEFFICIENT_MANUAL]],PROPERTIES[[#This Row],[TE_COEFFICIENT_CALC]]),3)</f>
        <v>0.182</v>
      </c>
      <c r="V882" s="11" cm="1">
        <f t="array" ref="V8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2" s="36">
        <v>0</v>
      </c>
      <c r="X882" s="9">
        <v>2</v>
      </c>
      <c r="Y882" s="10">
        <v>0</v>
      </c>
      <c r="Z882" t="s">
        <v>876</v>
      </c>
      <c r="AA882" t="s">
        <v>868</v>
      </c>
      <c r="AB882" s="2" t="s">
        <v>886</v>
      </c>
      <c r="AC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2" s="2" t="str">
        <f>SUBSTITUTE(SUBSTITUTE(PROPERTIES[[#This Row],[PURCHASECOST_VALUE]], "PURCHASECOST_", ""), "_VALUE", "")</f>
        <v>STEAMENGINE</v>
      </c>
      <c r="AF882" s="9" t="str" cm="1">
        <f t="array" ref="AF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2" s="2" t="b">
        <v>0</v>
      </c>
      <c r="AH882" s="10" t="b">
        <v>0</v>
      </c>
    </row>
    <row r="883" spans="1:34">
      <c r="A883" s="2" t="s">
        <v>3254</v>
      </c>
      <c r="B883">
        <v>1885</v>
      </c>
      <c r="C883" cm="1">
        <f t="array" ref="C883">_xlfn.IFS(ISNUMBER(SEARCH("wagon",PROPERTIES[[#This Row],[VEHIDCODE]])),0,OR(MID(PROPERTIES[[#This Row],[VEHIDCODE]],2,2)="mu",_xlfn.TEXTBEFORE(PROPERTIES[[#This Row],[VEHIDCODE]],"_")="mtro"),1,1=1,0)</f>
        <v>0</v>
      </c>
      <c r="D883" t="s">
        <v>1737</v>
      </c>
      <c r="E883" t="str">
        <f>_xlfn.XLOOKUP(PROPERTIES[[#This Row],[COUNTRY]],COUNTRIES[COUNTRY_DESCRIPTION],COUNTRIES[COUNTRY_LABEL],"")</f>
        <v>BR</v>
      </c>
      <c r="F883" t="str" cm="1">
        <f t="array" ref="F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3" t="s">
        <v>19</v>
      </c>
      <c r="H883">
        <v>0</v>
      </c>
      <c r="I883">
        <v>8</v>
      </c>
      <c r="J883">
        <v>11</v>
      </c>
      <c r="K883" t="str" cm="1">
        <f t="array" ref="K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3">
        <f>_xlfn.XLOOKUP("LOADINGSPEEDDEF_"&amp;PROPERTIES[[#This Row],[LOADINGSPEED]],LOADINGSPEEDDEF[TYPE],LOADINGSPEEDDEF[SPEED])</f>
        <v>20</v>
      </c>
      <c r="M883" cm="1">
        <f t="array" ref="M8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3">
        <f>IF(ISNUMBER(SEARCH("passenger",PROPERTIES[[#This Row],[CARGODEF]])),1,0)</f>
        <v>0</v>
      </c>
      <c r="O883" s="32">
        <v>102</v>
      </c>
      <c r="P883">
        <v>1940</v>
      </c>
      <c r="Q883">
        <v>105</v>
      </c>
      <c r="R883" s="29">
        <v>150</v>
      </c>
      <c r="S883" s="28">
        <f>IFERROR(PROPERTIES[[#This Row],[TE_STARTING_KN]]/(PROPERTIES[[#This Row],[WEIGHT]]*9.81),0)</f>
        <v>0.14990705762427295</v>
      </c>
      <c r="T883" s="28">
        <v>0.22</v>
      </c>
      <c r="U883" s="25">
        <f>ROUND(IF(IFERROR(PROPERTIES[[#This Row],[TE_COEFFICIENT_CALC]],0)=0,PROPERTIES[[#This Row],[TE_COEFFICIENT_MANUAL]],PROPERTIES[[#This Row],[TE_COEFFICIENT_CALC]]),3)</f>
        <v>0.15</v>
      </c>
      <c r="V883" s="11" cm="1">
        <f t="array" ref="V8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3" s="36">
        <v>0</v>
      </c>
      <c r="X883" s="9">
        <v>3</v>
      </c>
      <c r="Y883" s="10">
        <v>0</v>
      </c>
      <c r="Z883" t="s">
        <v>876</v>
      </c>
      <c r="AA883" t="s">
        <v>868</v>
      </c>
      <c r="AB883" s="2" t="s">
        <v>886</v>
      </c>
      <c r="AC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3" s="2" t="str">
        <f>SUBSTITUTE(SUBSTITUTE(PROPERTIES[[#This Row],[PURCHASECOST_VALUE]], "PURCHASECOST_", ""), "_VALUE", "")</f>
        <v>STEAMENGINE</v>
      </c>
      <c r="AF883" s="9" t="str" cm="1">
        <f t="array" ref="AF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3" s="2" t="b">
        <v>0</v>
      </c>
      <c r="AH883" s="10" t="b">
        <v>0</v>
      </c>
    </row>
    <row r="884" spans="1:34">
      <c r="A884" s="2" t="s">
        <v>3256</v>
      </c>
      <c r="B884">
        <v>1910</v>
      </c>
      <c r="C884" cm="1">
        <f t="array" ref="C884">_xlfn.IFS(ISNUMBER(SEARCH("wagon",PROPERTIES[[#This Row],[VEHIDCODE]])),0,OR(MID(PROPERTIES[[#This Row],[VEHIDCODE]],2,2)="mu",_xlfn.TEXTBEFORE(PROPERTIES[[#This Row],[VEHIDCODE]],"_")="mtro"),1,1=1,0)</f>
        <v>0</v>
      </c>
      <c r="D884" t="s">
        <v>1879</v>
      </c>
      <c r="E884" t="str">
        <f>_xlfn.XLOOKUP(PROPERTIES[[#This Row],[COUNTRY]],COUNTRIES[COUNTRY_DESCRIPTION],COUNTRIES[COUNTRY_LABEL],"")</f>
        <v>PE</v>
      </c>
      <c r="F884" t="str" cm="1">
        <f t="array" ref="F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4" t="s">
        <v>19</v>
      </c>
      <c r="H884">
        <v>0</v>
      </c>
      <c r="I884">
        <v>7</v>
      </c>
      <c r="J884">
        <v>11</v>
      </c>
      <c r="K884" t="str" cm="1">
        <f t="array" ref="K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4">
        <f>_xlfn.XLOOKUP("LOADINGSPEEDDEF_"&amp;PROPERTIES[[#This Row],[LOADINGSPEED]],LOADINGSPEEDDEF[TYPE],LOADINGSPEEDDEF[SPEED])</f>
        <v>20</v>
      </c>
      <c r="M884" cm="1">
        <f t="array" ref="M8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4">
        <f>IF(ISNUMBER(SEARCH("passenger",PROPERTIES[[#This Row],[CARGODEF]])),1,0)</f>
        <v>0</v>
      </c>
      <c r="O884" s="32">
        <v>44</v>
      </c>
      <c r="P884">
        <v>438</v>
      </c>
      <c r="Q884">
        <v>80</v>
      </c>
      <c r="R884" s="29">
        <v>44</v>
      </c>
      <c r="S884" s="28">
        <f>IFERROR(PROPERTIES[[#This Row],[TE_STARTING_KN]]/(PROPERTIES[[#This Row],[WEIGHT]]*9.81),0)</f>
        <v>0.1019367991845056</v>
      </c>
      <c r="T884" s="28">
        <v>0.17</v>
      </c>
      <c r="U884" s="25">
        <f>ROUND(IF(IFERROR(PROPERTIES[[#This Row],[TE_COEFFICIENT_CALC]],0)=0,PROPERTIES[[#This Row],[TE_COEFFICIENT_MANUAL]],PROPERTIES[[#This Row],[TE_COEFFICIENT_CALC]]),3)</f>
        <v>0.10199999999999999</v>
      </c>
      <c r="V884" s="11" cm="1">
        <f t="array" ref="V8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4" s="36">
        <v>0</v>
      </c>
      <c r="X884" s="9">
        <v>4</v>
      </c>
      <c r="Y884" s="10">
        <v>0</v>
      </c>
      <c r="Z884" t="s">
        <v>876</v>
      </c>
      <c r="AA884" t="s">
        <v>868</v>
      </c>
      <c r="AB884" s="2" t="s">
        <v>886</v>
      </c>
      <c r="AC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4" s="2" t="str">
        <f>SUBSTITUTE(SUBSTITUTE(PROPERTIES[[#This Row],[PURCHASECOST_VALUE]], "PURCHASECOST_", ""), "_VALUE", "")</f>
        <v>STEAMENGINE</v>
      </c>
      <c r="AF884" s="9" t="str" cm="1">
        <f t="array" ref="AF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4" s="2" t="b">
        <v>0</v>
      </c>
      <c r="AH884" s="10" t="b">
        <v>0</v>
      </c>
    </row>
    <row r="885" spans="1:34">
      <c r="A885" s="2" t="s">
        <v>3259</v>
      </c>
      <c r="B885">
        <v>1914</v>
      </c>
      <c r="C885" cm="1">
        <f t="array" ref="C885">_xlfn.IFS(ISNUMBER(SEARCH("wagon",PROPERTIES[[#This Row],[VEHIDCODE]])),0,OR(MID(PROPERTIES[[#This Row],[VEHIDCODE]],2,2)="mu",_xlfn.TEXTBEFORE(PROPERTIES[[#This Row],[VEHIDCODE]],"_")="mtro"),1,1=1,0)</f>
        <v>0</v>
      </c>
      <c r="D885" t="s">
        <v>1891</v>
      </c>
      <c r="E885" t="str">
        <f>_xlfn.XLOOKUP(PROPERTIES[[#This Row],[COUNTRY]],COUNTRIES[COUNTRY_DESCRIPTION],COUNTRIES[COUNTRY_LABEL],"")</f>
        <v>PY</v>
      </c>
      <c r="F885" t="str" cm="1">
        <f t="array" ref="F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5" t="s">
        <v>19</v>
      </c>
      <c r="H885">
        <v>0</v>
      </c>
      <c r="I885">
        <v>5</v>
      </c>
      <c r="J885">
        <v>8</v>
      </c>
      <c r="K885" t="str" cm="1">
        <f t="array" ref="K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5">
        <f>_xlfn.XLOOKUP("LOADINGSPEEDDEF_"&amp;PROPERTIES[[#This Row],[LOADINGSPEED]],LOADINGSPEEDDEF[TYPE],LOADINGSPEEDDEF[SPEED])</f>
        <v>20</v>
      </c>
      <c r="M885" cm="1">
        <f t="array" ref="M8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5">
        <f>IF(ISNUMBER(SEARCH("passenger",PROPERTIES[[#This Row],[CARGODEF]])),1,0)</f>
        <v>0</v>
      </c>
      <c r="O885" s="32">
        <v>84.5</v>
      </c>
      <c r="P885">
        <v>650</v>
      </c>
      <c r="Q885">
        <v>75</v>
      </c>
      <c r="R885" s="29">
        <v>0</v>
      </c>
      <c r="S885" s="28">
        <f>IFERROR(PROPERTIES[[#This Row],[TE_STARTING_KN]]/(PROPERTIES[[#This Row],[WEIGHT]]*9.81),0)</f>
        <v>0</v>
      </c>
      <c r="T885" s="28">
        <v>0.1</v>
      </c>
      <c r="U885" s="25">
        <f>ROUND(IF(IFERROR(PROPERTIES[[#This Row],[TE_COEFFICIENT_CALC]],0)=0,PROPERTIES[[#This Row],[TE_COEFFICIENT_MANUAL]],PROPERTIES[[#This Row],[TE_COEFFICIENT_CALC]]),3)</f>
        <v>0.1</v>
      </c>
      <c r="V885" s="11" cm="1">
        <f t="array" ref="V8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5" s="36">
        <v>0</v>
      </c>
      <c r="X885" s="9">
        <v>3</v>
      </c>
      <c r="Y885" s="10">
        <v>0</v>
      </c>
      <c r="Z885" t="s">
        <v>876</v>
      </c>
      <c r="AA885" t="s">
        <v>868</v>
      </c>
      <c r="AB885" s="2" t="s">
        <v>886</v>
      </c>
      <c r="AC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5" s="2" t="str">
        <f>SUBSTITUTE(SUBSTITUTE(PROPERTIES[[#This Row],[PURCHASECOST_VALUE]], "PURCHASECOST_", ""), "_VALUE", "")</f>
        <v>STEAMENGINE</v>
      </c>
      <c r="AF885" s="9" t="str" cm="1">
        <f t="array" ref="AF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5" s="2" t="b">
        <v>0</v>
      </c>
      <c r="AH885" s="10" t="b">
        <v>0</v>
      </c>
    </row>
    <row r="886" spans="1:34">
      <c r="A886" s="2" t="s">
        <v>3261</v>
      </c>
      <c r="B886">
        <v>1914</v>
      </c>
      <c r="C886" cm="1">
        <f t="array" ref="C886">_xlfn.IFS(ISNUMBER(SEARCH("wagon",PROPERTIES[[#This Row],[VEHIDCODE]])),0,OR(MID(PROPERTIES[[#This Row],[VEHIDCODE]],2,2)="mu",_xlfn.TEXTBEFORE(PROPERTIES[[#This Row],[VEHIDCODE]],"_")="mtro"),1,1=1,0)</f>
        <v>0</v>
      </c>
      <c r="D886" t="s">
        <v>1716</v>
      </c>
      <c r="E886" t="str">
        <f>_xlfn.XLOOKUP(PROPERTIES[[#This Row],[COUNTRY]],COUNTRIES[COUNTRY_DESCRIPTION],COUNTRIES[COUNTRY_LABEL],"")</f>
        <v>AR</v>
      </c>
      <c r="F886" t="str" cm="1">
        <f t="array" ref="F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6" t="s">
        <v>19</v>
      </c>
      <c r="H886">
        <v>0</v>
      </c>
      <c r="I886">
        <v>6</v>
      </c>
      <c r="J886">
        <v>10</v>
      </c>
      <c r="K886" t="str" cm="1">
        <f t="array" ref="K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6">
        <f>_xlfn.XLOOKUP("LOADINGSPEEDDEF_"&amp;PROPERTIES[[#This Row],[LOADINGSPEED]],LOADINGSPEEDDEF[TYPE],LOADINGSPEEDDEF[SPEED])</f>
        <v>20</v>
      </c>
      <c r="M886" cm="1">
        <f t="array" ref="M8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6">
        <f>IF(ISNUMBER(SEARCH("passenger",PROPERTIES[[#This Row],[CARGODEF]])),1,0)</f>
        <v>0</v>
      </c>
      <c r="O886" s="32">
        <v>150</v>
      </c>
      <c r="P886">
        <v>900</v>
      </c>
      <c r="Q886">
        <v>140</v>
      </c>
      <c r="R886" s="29">
        <v>97</v>
      </c>
      <c r="S886" s="28">
        <f>IFERROR(PROPERTIES[[#This Row],[TE_STARTING_KN]]/(PROPERTIES[[#This Row],[WEIGHT]]*9.81),0)</f>
        <v>6.5919130139313623E-2</v>
      </c>
      <c r="T886" s="28">
        <v>0.1</v>
      </c>
      <c r="U886" s="25">
        <f>ROUND(IF(IFERROR(PROPERTIES[[#This Row],[TE_COEFFICIENT_CALC]],0)=0,PROPERTIES[[#This Row],[TE_COEFFICIENT_MANUAL]],PROPERTIES[[#This Row],[TE_COEFFICIENT_CALC]]),3)</f>
        <v>6.6000000000000003E-2</v>
      </c>
      <c r="V886" s="11" cm="1">
        <f t="array" ref="V8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6" s="36">
        <v>0</v>
      </c>
      <c r="X886" s="9">
        <v>4</v>
      </c>
      <c r="Y886" s="10">
        <v>0</v>
      </c>
      <c r="Z886" t="s">
        <v>876</v>
      </c>
      <c r="AA886" t="s">
        <v>868</v>
      </c>
      <c r="AB886" s="2" t="s">
        <v>886</v>
      </c>
      <c r="AC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6" s="2" t="str">
        <f>SUBSTITUTE(SUBSTITUTE(PROPERTIES[[#This Row],[PURCHASECOST_VALUE]], "PURCHASECOST_", ""), "_VALUE", "")</f>
        <v>STEAMENGINE</v>
      </c>
      <c r="AF886" s="9" t="str" cm="1">
        <f t="array" ref="AF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6" s="2" t="b">
        <v>0</v>
      </c>
      <c r="AH886" s="10" t="b">
        <v>0</v>
      </c>
    </row>
    <row r="887" spans="1:34">
      <c r="A887" s="2" t="s">
        <v>3264</v>
      </c>
      <c r="B887">
        <v>1924</v>
      </c>
      <c r="C887" cm="1">
        <f t="array" ref="C887">_xlfn.IFS(ISNUMBER(SEARCH("wagon",PROPERTIES[[#This Row],[VEHIDCODE]])),0,OR(MID(PROPERTIES[[#This Row],[VEHIDCODE]],2,2)="mu",_xlfn.TEXTBEFORE(PROPERTIES[[#This Row],[VEHIDCODE]],"_")="mtro"),1,1=1,0)</f>
        <v>0</v>
      </c>
      <c r="D887" t="s">
        <v>1752</v>
      </c>
      <c r="E887" t="str">
        <f>_xlfn.XLOOKUP(PROPERTIES[[#This Row],[COUNTRY]],COUNTRIES[COUNTRY_DESCRIPTION],COUNTRIES[COUNTRY_LABEL],"")</f>
        <v>CL</v>
      </c>
      <c r="F887" t="str" cm="1">
        <f t="array" ref="F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7" t="s">
        <v>19</v>
      </c>
      <c r="H887">
        <v>0</v>
      </c>
      <c r="I887">
        <v>8</v>
      </c>
      <c r="J887">
        <v>14</v>
      </c>
      <c r="K887" t="str" cm="1">
        <f t="array" ref="K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7">
        <f>_xlfn.XLOOKUP("LOADINGSPEEDDEF_"&amp;PROPERTIES[[#This Row],[LOADINGSPEED]],LOADINGSPEEDDEF[TYPE],LOADINGSPEEDDEF[SPEED])</f>
        <v>20</v>
      </c>
      <c r="M887" cm="1">
        <f t="array" ref="M8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7">
        <f>IF(ISNUMBER(SEARCH("passenger",PROPERTIES[[#This Row],[CARGODEF]])),1,0)</f>
        <v>0</v>
      </c>
      <c r="O887" s="32">
        <v>112</v>
      </c>
      <c r="P887">
        <v>1300</v>
      </c>
      <c r="Q887">
        <v>61</v>
      </c>
      <c r="R887" s="29">
        <v>156.85763828079999</v>
      </c>
      <c r="S887" s="29">
        <f>IFERROR(PROPERTIES[[#This Row],[TE_STARTING_KN]]/(PROPERTIES[[#This Row],[WEIGHT]]*9.81),0)</f>
        <v>0.14276397833915827</v>
      </c>
      <c r="T887" s="29">
        <v>0</v>
      </c>
      <c r="U887" s="25">
        <f>ROUND(IF(IFERROR(PROPERTIES[[#This Row],[TE_COEFFICIENT_CALC]],0)=0,PROPERTIES[[#This Row],[TE_COEFFICIENT_MANUAL]],PROPERTIES[[#This Row],[TE_COEFFICIENT_CALC]]),3)</f>
        <v>0.14299999999999999</v>
      </c>
      <c r="V887" s="37" cm="1">
        <f t="array" ref="V8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7" s="36">
        <v>0</v>
      </c>
      <c r="X887" s="9">
        <v>6</v>
      </c>
      <c r="Y887" s="10">
        <v>0</v>
      </c>
      <c r="Z887" t="s">
        <v>876</v>
      </c>
      <c r="AA887" t="s">
        <v>868</v>
      </c>
      <c r="AB887" s="2" t="s">
        <v>886</v>
      </c>
      <c r="AC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7" s="2" t="str">
        <f>SUBSTITUTE(SUBSTITUTE(PROPERTIES[[#This Row],[PURCHASECOST_VALUE]], "PURCHASECOST_", ""), "_VALUE", "")</f>
        <v>STEAMENGINE</v>
      </c>
      <c r="AF887" s="9" t="str" cm="1">
        <f t="array" ref="AF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7" s="2" t="b">
        <v>0</v>
      </c>
      <c r="AH887" s="10" t="b">
        <v>0</v>
      </c>
    </row>
    <row r="888" spans="1:34">
      <c r="A888" t="s">
        <v>3267</v>
      </c>
      <c r="B888">
        <v>1929</v>
      </c>
      <c r="C888" cm="1">
        <f t="array" ref="C888">_xlfn.IFS(ISNUMBER(SEARCH("wagon",PROPERTIES[[#This Row],[VEHIDCODE]])),0,OR(MID(PROPERTIES[[#This Row],[VEHIDCODE]],2,2)="mu",_xlfn.TEXTBEFORE(PROPERTIES[[#This Row],[VEHIDCODE]],"_")="mtro"),1,1=1,0)</f>
        <v>0</v>
      </c>
      <c r="D888" t="s">
        <v>1737</v>
      </c>
      <c r="E888" t="str">
        <f>_xlfn.XLOOKUP(PROPERTIES[[#This Row],[COUNTRY]],COUNTRIES[COUNTRY_DESCRIPTION],COUNTRIES[COUNTRY_LABEL],"")</f>
        <v>BR</v>
      </c>
      <c r="F888" t="str" cm="1">
        <f t="array" ref="F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8" t="s">
        <v>19</v>
      </c>
      <c r="H888">
        <v>0</v>
      </c>
      <c r="I888">
        <v>7</v>
      </c>
      <c r="J888">
        <v>7</v>
      </c>
      <c r="K888" t="str" cm="1">
        <f t="array" ref="K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8">
        <f>_xlfn.XLOOKUP("LOADINGSPEEDDEF_"&amp;PROPERTIES[[#This Row],[LOADINGSPEED]],LOADINGSPEEDDEF[TYPE],LOADINGSPEEDDEF[SPEED])</f>
        <v>20</v>
      </c>
      <c r="M888" cm="1">
        <f t="array" ref="M8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8">
        <f>IF(ISNUMBER(SEARCH("passenger",PROPERTIES[[#This Row],[CARGODEF]])),1,0)</f>
        <v>0</v>
      </c>
      <c r="O888" s="32">
        <v>123.4</v>
      </c>
      <c r="P888">
        <v>2520</v>
      </c>
      <c r="Q888">
        <v>105</v>
      </c>
      <c r="R888" s="29">
        <v>127</v>
      </c>
      <c r="S888" s="29">
        <f>IFERROR(PROPERTIES[[#This Row],[TE_STARTING_KN]]/(PROPERTIES[[#This Row],[WEIGHT]]*9.81),0)</f>
        <v>0.10491064421744094</v>
      </c>
      <c r="T888" s="29">
        <v>0</v>
      </c>
      <c r="U888" s="25">
        <f>ROUND(IF(IFERROR(PROPERTIES[[#This Row],[TE_COEFFICIENT_CALC]],0)=0,PROPERTIES[[#This Row],[TE_COEFFICIENT_MANUAL]],PROPERTIES[[#This Row],[TE_COEFFICIENT_CALC]]),3)</f>
        <v>0.105</v>
      </c>
      <c r="V888" s="37" cm="1">
        <f t="array" ref="V8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8" s="36">
        <v>0</v>
      </c>
      <c r="X888" s="9">
        <v>0</v>
      </c>
      <c r="Y888" s="10">
        <v>0</v>
      </c>
      <c r="Z888" t="s">
        <v>876</v>
      </c>
      <c r="AA888" t="s">
        <v>868</v>
      </c>
      <c r="AB888" s="2" t="s">
        <v>886</v>
      </c>
      <c r="AC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8" s="2" t="str">
        <f>SUBSTITUTE(SUBSTITUTE(PROPERTIES[[#This Row],[PURCHASECOST_VALUE]], "PURCHASECOST_", ""), "_VALUE", "")</f>
        <v>ELECTRICENGINE</v>
      </c>
      <c r="AF888" s="9" t="str" cm="1">
        <f t="array" ref="AF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8" s="2" t="b">
        <v>0</v>
      </c>
      <c r="AH888" s="10" t="b">
        <v>0</v>
      </c>
    </row>
    <row r="889" spans="1:34">
      <c r="A889" t="s">
        <v>3271</v>
      </c>
      <c r="B889">
        <v>1940</v>
      </c>
      <c r="C889" cm="1">
        <f t="array" ref="C889">_xlfn.IFS(ISNUMBER(SEARCH("wagon",PROPERTIES[[#This Row],[VEHIDCODE]])),0,OR(MID(PROPERTIES[[#This Row],[VEHIDCODE]],2,2)="mu",_xlfn.TEXTBEFORE(PROPERTIES[[#This Row],[VEHIDCODE]],"_")="mtro"),1,1=1,0)</f>
        <v>0</v>
      </c>
      <c r="D889" t="s">
        <v>1737</v>
      </c>
      <c r="E889" t="str">
        <f>_xlfn.XLOOKUP(PROPERTIES[[#This Row],[COUNTRY]],COUNTRIES[COUNTRY_DESCRIPTION],COUNTRIES[COUNTRY_LABEL],"")</f>
        <v>BR</v>
      </c>
      <c r="F889" t="str" cm="1">
        <f t="array" ref="F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9" t="s">
        <v>19</v>
      </c>
      <c r="H889">
        <v>0</v>
      </c>
      <c r="I889">
        <v>8</v>
      </c>
      <c r="J889">
        <v>8</v>
      </c>
      <c r="K889" t="str" cm="1">
        <f t="array" ref="K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9">
        <f>_xlfn.XLOOKUP("LOADINGSPEEDDEF_"&amp;PROPERTIES[[#This Row],[LOADINGSPEED]],LOADINGSPEEDDEF[TYPE],LOADINGSPEEDDEF[SPEED])</f>
        <v>20</v>
      </c>
      <c r="M889" cm="1">
        <f t="array" ref="M8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9">
        <f>IF(ISNUMBER(SEARCH("passenger",PROPERTIES[[#This Row],[CARGODEF]])),1,0)</f>
        <v>0</v>
      </c>
      <c r="O889" s="32">
        <v>165.1</v>
      </c>
      <c r="P889">
        <v>3870</v>
      </c>
      <c r="Q889">
        <v>145</v>
      </c>
      <c r="R889" s="29">
        <v>337</v>
      </c>
      <c r="S889" s="29">
        <f>IFERROR(PROPERTIES[[#This Row],[TE_STARTING_KN]]/(PROPERTIES[[#This Row],[WEIGHT]]*9.81),0)</f>
        <v>0.20807208555529005</v>
      </c>
      <c r="T889" s="29">
        <v>0</v>
      </c>
      <c r="U889" s="25">
        <f>ROUND(IF(IFERROR(PROPERTIES[[#This Row],[TE_COEFFICIENT_CALC]],0)=0,PROPERTIES[[#This Row],[TE_COEFFICIENT_MANUAL]],PROPERTIES[[#This Row],[TE_COEFFICIENT_CALC]]),3)</f>
        <v>0.20799999999999999</v>
      </c>
      <c r="V889" s="37" cm="1">
        <f t="array" ref="V8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9" s="36">
        <v>0</v>
      </c>
      <c r="X889" s="9">
        <v>0</v>
      </c>
      <c r="Y889" s="10">
        <v>0</v>
      </c>
      <c r="Z889" t="s">
        <v>876</v>
      </c>
      <c r="AA889" t="s">
        <v>868</v>
      </c>
      <c r="AB889" s="2" t="s">
        <v>886</v>
      </c>
      <c r="AC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9" s="2" t="str">
        <f>SUBSTITUTE(SUBSTITUTE(PROPERTIES[[#This Row],[PURCHASECOST_VALUE]], "PURCHASECOST_", ""), "_VALUE", "")</f>
        <v>ELECTRICENGINE</v>
      </c>
      <c r="AF889" s="9" t="str" cm="1">
        <f t="array" ref="AF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9" s="2" t="b">
        <v>0</v>
      </c>
      <c r="AH889" s="10" t="b">
        <v>0</v>
      </c>
    </row>
    <row r="890" spans="1:34">
      <c r="A890" s="2" t="s">
        <v>3284</v>
      </c>
      <c r="B890">
        <v>1850</v>
      </c>
      <c r="C890" cm="1">
        <f t="array" ref="C890">_xlfn.IFS(ISNUMBER(SEARCH("wagon",PROPERTIES[[#This Row],[VEHIDCODE]])),0,OR(MID(PROPERTIES[[#This Row],[VEHIDCODE]],2,2)="mu",_xlfn.TEXTBEFORE(PROPERTIES[[#This Row],[VEHIDCODE]],"_")="mtro"),1,1=1,0)</f>
        <v>0</v>
      </c>
      <c r="D890" t="s">
        <v>1752</v>
      </c>
      <c r="E890" t="str">
        <f>_xlfn.XLOOKUP(PROPERTIES[[#This Row],[COUNTRY]],COUNTRIES[COUNTRY_DESCRIPTION],COUNTRIES[COUNTRY_LABEL],"")</f>
        <v>CL</v>
      </c>
      <c r="F890" t="str" cm="1">
        <f t="array" ref="F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0" t="s">
        <v>19</v>
      </c>
      <c r="H890">
        <v>0</v>
      </c>
      <c r="I890">
        <v>5</v>
      </c>
      <c r="J890">
        <v>8</v>
      </c>
      <c r="K890" t="str" cm="1">
        <f t="array" ref="K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0">
        <f>_xlfn.XLOOKUP("LOADINGSPEEDDEF_"&amp;PROPERTIES[[#This Row],[LOADINGSPEED]],LOADINGSPEEDDEF[TYPE],LOADINGSPEEDDEF[SPEED])</f>
        <v>20</v>
      </c>
      <c r="M890" cm="1">
        <f t="array" ref="M8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0">
        <f>IF(ISNUMBER(SEARCH("passenger",PROPERTIES[[#This Row],[CARGODEF]])),1,0)</f>
        <v>0</v>
      </c>
      <c r="O890" s="32">
        <v>40</v>
      </c>
      <c r="P890">
        <v>400</v>
      </c>
      <c r="Q890">
        <v>30</v>
      </c>
      <c r="R890" s="29">
        <v>62.4</v>
      </c>
      <c r="S890" s="29">
        <f>IFERROR(PROPERTIES[[#This Row],[TE_STARTING_KN]]/(PROPERTIES[[#This Row],[WEIGHT]]*9.81),0)</f>
        <v>0.15902140672782872</v>
      </c>
      <c r="T890" s="29">
        <v>0</v>
      </c>
      <c r="U890" s="25">
        <f>ROUND(IF(IFERROR(PROPERTIES[[#This Row],[TE_COEFFICIENT_CALC]],0)=0,PROPERTIES[[#This Row],[TE_COEFFICIENT_MANUAL]],PROPERTIES[[#This Row],[TE_COEFFICIENT_CALC]]),3)</f>
        <v>0.159</v>
      </c>
      <c r="V890" s="37" cm="1">
        <f t="array" ref="V8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0" s="36">
        <v>0</v>
      </c>
      <c r="X890" s="9">
        <v>3</v>
      </c>
      <c r="Y890" s="10">
        <v>0</v>
      </c>
      <c r="Z890" t="s">
        <v>876</v>
      </c>
      <c r="AA890" t="s">
        <v>868</v>
      </c>
      <c r="AB890" s="10" t="s">
        <v>886</v>
      </c>
      <c r="AC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0" s="2" t="str">
        <f>SUBSTITUTE(SUBSTITUTE(PROPERTIES[[#This Row],[PURCHASECOST_VALUE]], "PURCHASECOST_", ""), "_VALUE", "")</f>
        <v>STEAMENGINE</v>
      </c>
      <c r="AF890" s="9" t="str" cm="1">
        <f t="array" ref="AF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0" s="2" t="b">
        <v>0</v>
      </c>
      <c r="AH890" s="10" t="b">
        <v>0</v>
      </c>
    </row>
    <row r="891" spans="1:34">
      <c r="A891" s="2" t="s">
        <v>3278</v>
      </c>
      <c r="B891">
        <v>1930</v>
      </c>
      <c r="C891" cm="1">
        <f t="array" ref="C891">_xlfn.IFS(ISNUMBER(SEARCH("wagon",PROPERTIES[[#This Row],[VEHIDCODE]])),0,OR(MID(PROPERTIES[[#This Row],[VEHIDCODE]],2,2)="mu",_xlfn.TEXTBEFORE(PROPERTIES[[#This Row],[VEHIDCODE]],"_")="mtro"),1,1=1,0)</f>
        <v>0</v>
      </c>
      <c r="D891" t="s">
        <v>1756</v>
      </c>
      <c r="E891" t="str">
        <f>_xlfn.XLOOKUP(PROPERTIES[[#This Row],[COUNTRY]],COUNTRIES[COUNTRY_DESCRIPTION],COUNTRIES[COUNTRY_LABEL],"")</f>
        <v>CR</v>
      </c>
      <c r="F891" t="str" cm="1">
        <f t="array" ref="F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1" t="s">
        <v>19</v>
      </c>
      <c r="H891">
        <v>0</v>
      </c>
      <c r="I891">
        <v>5</v>
      </c>
      <c r="J891">
        <v>5</v>
      </c>
      <c r="K891" t="str" cm="1">
        <f t="array" ref="K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1">
        <f>_xlfn.XLOOKUP("LOADINGSPEEDDEF_"&amp;PROPERTIES[[#This Row],[LOADINGSPEED]],LOADINGSPEEDDEF[TYPE],LOADINGSPEEDDEF[SPEED])</f>
        <v>20</v>
      </c>
      <c r="M891" cm="1">
        <f t="array" ref="M8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1">
        <f>IF(ISNUMBER(SEARCH("passenger",PROPERTIES[[#This Row],[CARGODEF]])),1,0)</f>
        <v>0</v>
      </c>
      <c r="O891" s="32">
        <v>56.8</v>
      </c>
      <c r="P891">
        <v>650</v>
      </c>
      <c r="Q891">
        <v>50</v>
      </c>
      <c r="R891" s="29">
        <v>0</v>
      </c>
      <c r="S891" s="28">
        <f>IFERROR(PROPERTIES[[#This Row],[TE_STARTING_KN]]/(PROPERTIES[[#This Row],[WEIGHT]]*9.81),0)</f>
        <v>0</v>
      </c>
      <c r="T891" s="28">
        <v>0.15</v>
      </c>
      <c r="U891" s="25">
        <f>ROUND(IF(IFERROR(PROPERTIES[[#This Row],[TE_COEFFICIENT_CALC]],0)=0,PROPERTIES[[#This Row],[TE_COEFFICIENT_MANUAL]],PROPERTIES[[#This Row],[TE_COEFFICIENT_CALC]]),3)</f>
        <v>0.15</v>
      </c>
      <c r="V891" s="11" cm="1">
        <f t="array" ref="V8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1" s="36">
        <v>0</v>
      </c>
      <c r="X891" s="9">
        <v>0</v>
      </c>
      <c r="Y891" s="10">
        <v>0</v>
      </c>
      <c r="Z891" t="s">
        <v>874</v>
      </c>
      <c r="AA891" t="s">
        <v>868</v>
      </c>
      <c r="AB891" s="2" t="s">
        <v>886</v>
      </c>
      <c r="AC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91" s="2" t="str">
        <f>SUBSTITUTE(SUBSTITUTE(PROPERTIES[[#This Row],[PURCHASECOST_VALUE]], "PURCHASECOST_", ""), "_VALUE", "")</f>
        <v>ELECTRICENGINE</v>
      </c>
      <c r="AF891" s="9" t="str" cm="1">
        <f t="array" ref="AF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1" s="2" t="b">
        <v>0</v>
      </c>
      <c r="AH891" s="10" t="b">
        <v>0</v>
      </c>
    </row>
    <row r="892" spans="1:34">
      <c r="A892" s="2" t="s">
        <v>3282</v>
      </c>
      <c r="B892">
        <v>1938</v>
      </c>
      <c r="C892" cm="1">
        <f t="array" ref="C892">_xlfn.IFS(ISNUMBER(SEARCH("wagon",PROPERTIES[[#This Row],[VEHIDCODE]])),0,OR(MID(PROPERTIES[[#This Row],[VEHIDCODE]],2,2)="mu",_xlfn.TEXTBEFORE(PROPERTIES[[#This Row],[VEHIDCODE]],"_")="mtro"),1,1=1,0)</f>
        <v>1</v>
      </c>
      <c r="D892" t="s">
        <v>1716</v>
      </c>
      <c r="E892" t="str">
        <f>_xlfn.XLOOKUP(PROPERTIES[[#This Row],[COUNTRY]],COUNTRIES[COUNTRY_DESCRIPTION],COUNTRIES[COUNTRY_LABEL],"")</f>
        <v>AR</v>
      </c>
      <c r="F892" t="str" cm="1">
        <f t="array" ref="F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2" t="s">
        <v>17</v>
      </c>
      <c r="H892">
        <f>110/2</f>
        <v>55</v>
      </c>
      <c r="I892">
        <v>8</v>
      </c>
      <c r="J892">
        <v>8</v>
      </c>
      <c r="K892" t="str" cm="1">
        <f t="array" ref="K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2">
        <f>_xlfn.XLOOKUP("LOADINGSPEEDDEF_"&amp;PROPERTIES[[#This Row],[LOADINGSPEED]],LOADINGSPEEDDEF[TYPE],LOADINGSPEEDDEF[SPEED])</f>
        <v>40</v>
      </c>
      <c r="M892" cm="1">
        <f t="array" ref="M8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2">
        <f>IF(ISNUMBER(SEARCH("passenger",PROPERTIES[[#This Row],[CARGODEF]])),1,0)</f>
        <v>1</v>
      </c>
      <c r="O892" s="32">
        <f>138/3</f>
        <v>46</v>
      </c>
      <c r="P892">
        <v>640</v>
      </c>
      <c r="Q892">
        <v>110</v>
      </c>
      <c r="R892" s="29">
        <v>38</v>
      </c>
      <c r="S892" s="28">
        <f>IFERROR(PROPERTIES[[#This Row],[TE_STARTING_KN]]/(PROPERTIES[[#This Row],[WEIGHT]]*9.81),0)</f>
        <v>8.4208660195895929E-2</v>
      </c>
      <c r="T892" s="28">
        <v>0.19</v>
      </c>
      <c r="U892" s="25">
        <f>ROUND(IF(IFERROR(PROPERTIES[[#This Row],[TE_COEFFICIENT_CALC]],0)=0,PROPERTIES[[#This Row],[TE_COEFFICIENT_MANUAL]],PROPERTIES[[#This Row],[TE_COEFFICIENT_CALC]]),3)</f>
        <v>8.4000000000000005E-2</v>
      </c>
      <c r="V892" s="11" cm="1">
        <f t="array" ref="V8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2" s="36">
        <v>55</v>
      </c>
      <c r="X892" s="9">
        <v>8</v>
      </c>
      <c r="Y892" s="10">
        <v>0</v>
      </c>
      <c r="Z892" t="s">
        <v>876</v>
      </c>
      <c r="AA892" t="s">
        <v>868</v>
      </c>
      <c r="AB892" s="2" t="s">
        <v>886</v>
      </c>
      <c r="AC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2" s="2" t="str">
        <f>SUBSTITUTE(SUBSTITUTE(PROPERTIES[[#This Row],[PURCHASECOST_VALUE]], "PURCHASECOST_", ""), "_VALUE", "")</f>
        <v>DMU</v>
      </c>
      <c r="AF892" s="9" t="str" cm="1">
        <f t="array" ref="AF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2" s="2" t="b">
        <v>0</v>
      </c>
      <c r="AH892" s="10" t="b">
        <v>0</v>
      </c>
    </row>
    <row r="893" spans="1:34">
      <c r="A893" s="2" t="s">
        <v>3285</v>
      </c>
      <c r="B893">
        <v>1867</v>
      </c>
      <c r="C893" cm="1">
        <f t="array" ref="C893">_xlfn.IFS(ISNUMBER(SEARCH("wagon",PROPERTIES[[#This Row],[VEHIDCODE]])),0,OR(MID(PROPERTIES[[#This Row],[VEHIDCODE]],2,2)="mu",_xlfn.TEXTBEFORE(PROPERTIES[[#This Row],[VEHIDCODE]],"_")="mtro"),1,1=1,0)</f>
        <v>0</v>
      </c>
      <c r="D893" t="s">
        <v>1737</v>
      </c>
      <c r="E893" t="str">
        <f>_xlfn.XLOOKUP(PROPERTIES[[#This Row],[COUNTRY]],COUNTRIES[COUNTRY_DESCRIPTION],COUNTRIES[COUNTRY_LABEL],"")</f>
        <v>BR</v>
      </c>
      <c r="F893" t="str" cm="1">
        <f t="array" ref="F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3" t="s">
        <v>19</v>
      </c>
      <c r="H893">
        <v>0</v>
      </c>
      <c r="I893">
        <v>5</v>
      </c>
      <c r="J893">
        <v>7</v>
      </c>
      <c r="K893" t="str" cm="1">
        <f t="array" ref="K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3">
        <f>_xlfn.XLOOKUP("LOADINGSPEEDDEF_"&amp;PROPERTIES[[#This Row],[LOADINGSPEED]],LOADINGSPEEDDEF[TYPE],LOADINGSPEEDDEF[SPEED])</f>
        <v>20</v>
      </c>
      <c r="M893" cm="1">
        <f t="array" ref="M8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3">
        <f>IF(ISNUMBER(SEARCH("passenger",PROPERTIES[[#This Row],[CARGODEF]])),1,0)</f>
        <v>0</v>
      </c>
      <c r="O893" s="32">
        <v>30</v>
      </c>
      <c r="P893">
        <v>275</v>
      </c>
      <c r="Q893">
        <v>25</v>
      </c>
      <c r="R893" s="29">
        <v>58.07</v>
      </c>
      <c r="S893" s="28">
        <f>IFERROR(PROPERTIES[[#This Row],[TE_STARTING_KN]]/(PROPERTIES[[#This Row],[WEIGHT]]*9.81),0)</f>
        <v>0.19731566428814135</v>
      </c>
      <c r="T893" s="28">
        <v>0.18</v>
      </c>
      <c r="U893" s="25">
        <f>ROUND(IF(IFERROR(PROPERTIES[[#This Row],[TE_COEFFICIENT_CALC]],0)=0,PROPERTIES[[#This Row],[TE_COEFFICIENT_MANUAL]],PROPERTIES[[#This Row],[TE_COEFFICIENT_CALC]]),3)</f>
        <v>0.19700000000000001</v>
      </c>
      <c r="V893" s="11" cm="1">
        <f t="array" ref="V8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3" s="36">
        <v>0</v>
      </c>
      <c r="X893" s="9">
        <v>2</v>
      </c>
      <c r="Y893" s="10">
        <v>0</v>
      </c>
      <c r="Z893" t="s">
        <v>876</v>
      </c>
      <c r="AA893" t="s">
        <v>868</v>
      </c>
      <c r="AB893" s="2" t="s">
        <v>886</v>
      </c>
      <c r="AC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3" s="2" t="str">
        <f>SUBSTITUTE(SUBSTITUTE(PROPERTIES[[#This Row],[PURCHASECOST_VALUE]], "PURCHASECOST_", ""), "_VALUE", "")</f>
        <v>STEAMENGINE</v>
      </c>
      <c r="AF893" s="9" t="str" cm="1">
        <f t="array" ref="AF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3" s="2" t="b">
        <v>0</v>
      </c>
      <c r="AH893" s="10" t="b">
        <v>0</v>
      </c>
    </row>
    <row r="894" spans="1:34">
      <c r="A894" s="2" t="s">
        <v>3289</v>
      </c>
      <c r="B894">
        <v>1960</v>
      </c>
      <c r="C894" cm="1">
        <f t="array" ref="C894">_xlfn.IFS(ISNUMBER(SEARCH("wagon",PROPERTIES[[#This Row],[VEHIDCODE]])),0,OR(MID(PROPERTIES[[#This Row],[VEHIDCODE]],2,2)="mu",_xlfn.TEXTBEFORE(PROPERTIES[[#This Row],[VEHIDCODE]],"_")="mtro"),1,1=1,0)</f>
        <v>1</v>
      </c>
      <c r="D894" t="s">
        <v>1716</v>
      </c>
      <c r="E894" t="str">
        <f>_xlfn.XLOOKUP(PROPERTIES[[#This Row],[COUNTRY]],COUNTRIES[COUNTRY_DESCRIPTION],COUNTRIES[COUNTRY_LABEL],"")</f>
        <v>AR</v>
      </c>
      <c r="F894" t="str" cm="1">
        <f t="array" ref="F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4" t="s">
        <v>17</v>
      </c>
      <c r="H894">
        <f>110/2</f>
        <v>55</v>
      </c>
      <c r="I894">
        <v>8</v>
      </c>
      <c r="J894">
        <v>8</v>
      </c>
      <c r="K894" t="str" cm="1">
        <f t="array" ref="K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4">
        <f>_xlfn.XLOOKUP("LOADINGSPEEDDEF_"&amp;PROPERTIES[[#This Row],[LOADINGSPEED]],LOADINGSPEEDDEF[TYPE],LOADINGSPEEDDEF[SPEED])</f>
        <v>40</v>
      </c>
      <c r="M894" cm="1">
        <f t="array" ref="M8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4">
        <f>IF(ISNUMBER(SEARCH("passenger",PROPERTIES[[#This Row],[CARGODEF]])),1,0)</f>
        <v>1</v>
      </c>
      <c r="O894" s="32">
        <f>138/3</f>
        <v>46</v>
      </c>
      <c r="P894">
        <v>1100</v>
      </c>
      <c r="Q894">
        <v>80</v>
      </c>
      <c r="R894" s="29">
        <v>38</v>
      </c>
      <c r="S894" s="28">
        <f>IFERROR(PROPERTIES[[#This Row],[TE_STARTING_KN]]/(PROPERTIES[[#This Row],[WEIGHT]]*9.81),0)</f>
        <v>8.4208660195895929E-2</v>
      </c>
      <c r="T894" s="28">
        <v>0.19</v>
      </c>
      <c r="U894" s="25">
        <f>ROUND(IF(IFERROR(PROPERTIES[[#This Row],[TE_COEFFICIENT_CALC]],0)=0,PROPERTIES[[#This Row],[TE_COEFFICIENT_MANUAL]],PROPERTIES[[#This Row],[TE_COEFFICIENT_CALC]]),3)</f>
        <v>8.4000000000000005E-2</v>
      </c>
      <c r="V894" s="11" cm="1">
        <f t="array" ref="V8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4" s="36">
        <v>55</v>
      </c>
      <c r="X894" s="9">
        <v>8</v>
      </c>
      <c r="Y894" s="10">
        <v>0</v>
      </c>
      <c r="Z894" t="s">
        <v>876</v>
      </c>
      <c r="AA894" t="s">
        <v>868</v>
      </c>
      <c r="AB894" s="2" t="s">
        <v>886</v>
      </c>
      <c r="AC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4" s="2" t="str">
        <f>SUBSTITUTE(SUBSTITUTE(PROPERTIES[[#This Row],[PURCHASECOST_VALUE]], "PURCHASECOST_", ""), "_VALUE", "")</f>
        <v>DMU</v>
      </c>
      <c r="AF894" s="9" t="str" cm="1">
        <f t="array" ref="AF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4" s="2" t="b">
        <v>0</v>
      </c>
      <c r="AH894" s="10" t="b">
        <v>0</v>
      </c>
    </row>
    <row r="895" spans="1:34">
      <c r="A895" s="2" t="s">
        <v>3292</v>
      </c>
      <c r="B895">
        <v>1973</v>
      </c>
      <c r="C895" cm="1">
        <f t="array" ref="C895">_xlfn.IFS(ISNUMBER(SEARCH("wagon",PROPERTIES[[#This Row],[VEHIDCODE]])),0,OR(MID(PROPERTIES[[#This Row],[VEHIDCODE]],2,2)="mu",_xlfn.TEXTBEFORE(PROPERTIES[[#This Row],[VEHIDCODE]],"_")="mtro"),1,1=1,0)</f>
        <v>1</v>
      </c>
      <c r="D895" t="s">
        <v>1752</v>
      </c>
      <c r="E895" t="str">
        <f>_xlfn.XLOOKUP(PROPERTIES[[#This Row],[COUNTRY]],COUNTRIES[COUNTRY_DESCRIPTION],COUNTRIES[COUNTRY_LABEL],"")</f>
        <v>CL</v>
      </c>
      <c r="F895" t="str" cm="1">
        <f t="array" ref="F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5" t="s">
        <v>17</v>
      </c>
      <c r="H895">
        <v>88</v>
      </c>
      <c r="I895">
        <v>7</v>
      </c>
      <c r="J895">
        <v>7</v>
      </c>
      <c r="K895" t="str" cm="1">
        <f t="array" ref="K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5">
        <f>_xlfn.XLOOKUP("LOADINGSPEEDDEF_"&amp;PROPERTIES[[#This Row],[LOADINGSPEED]],LOADINGSPEEDDEF[TYPE],LOADINGSPEEDDEF[SPEED])</f>
        <v>40</v>
      </c>
      <c r="M895" cm="1">
        <f t="array" ref="M8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5">
        <f>IF(ISNUMBER(SEARCH("passenger",PROPERTIES[[#This Row],[CARGODEF]])),1,0)</f>
        <v>1</v>
      </c>
      <c r="O895" s="32">
        <v>52</v>
      </c>
      <c r="P895">
        <f>805*2</f>
        <v>1610</v>
      </c>
      <c r="Q895">
        <v>160</v>
      </c>
      <c r="R895" s="29">
        <v>85</v>
      </c>
      <c r="S895" s="28">
        <f>IFERROR(PROPERTIES[[#This Row],[TE_STARTING_KN]]/(PROPERTIES[[#This Row],[WEIGHT]]*9.81),0)</f>
        <v>0.16662746020544186</v>
      </c>
      <c r="T895" s="28">
        <v>0.21</v>
      </c>
      <c r="U895" s="25">
        <f>ROUND(IF(IFERROR(PROPERTIES[[#This Row],[TE_COEFFICIENT_CALC]],0)=0,PROPERTIES[[#This Row],[TE_COEFFICIENT_MANUAL]],PROPERTIES[[#This Row],[TE_COEFFICIENT_CALC]]),3)</f>
        <v>0.16700000000000001</v>
      </c>
      <c r="V895" s="11" cm="1">
        <f t="array" ref="V8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5" s="36">
        <v>92</v>
      </c>
      <c r="X895" s="9">
        <v>7</v>
      </c>
      <c r="Y895" s="10">
        <v>0</v>
      </c>
      <c r="Z895" t="s">
        <v>876</v>
      </c>
      <c r="AA895" t="s">
        <v>868</v>
      </c>
      <c r="AB895" s="2" t="s">
        <v>886</v>
      </c>
      <c r="AC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5" s="2" t="str">
        <f>SUBSTITUTE(SUBSTITUTE(PROPERTIES[[#This Row],[PURCHASECOST_VALUE]], "PURCHASECOST_", ""), "_VALUE", "")</f>
        <v>EMU</v>
      </c>
      <c r="AF895" s="9" t="str" cm="1">
        <f t="array" ref="AF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5" s="2" t="b">
        <v>0</v>
      </c>
      <c r="AH895" s="10" t="b">
        <v>0</v>
      </c>
    </row>
    <row r="896" spans="1:34">
      <c r="A896" t="s">
        <v>3302</v>
      </c>
      <c r="B896">
        <v>1977</v>
      </c>
      <c r="C896" cm="1">
        <f t="array" ref="C896">_xlfn.IFS(ISNUMBER(SEARCH("wagon",PROPERTIES[[#This Row],[VEHIDCODE]])),0,OR(MID(PROPERTIES[[#This Row],[VEHIDCODE]],2,2)="mu",_xlfn.TEXTBEFORE(PROPERTIES[[#This Row],[VEHIDCODE]],"_")="mtro"),1,1=1,0)</f>
        <v>1</v>
      </c>
      <c r="D896" t="s">
        <v>1876</v>
      </c>
      <c r="E896" t="str">
        <f>_xlfn.XLOOKUP(PROPERTIES[[#This Row],[COUNTRY]],COUNTRIES[COUNTRY_DESCRIPTION],COUNTRIES[COUNTRY_LABEL],"")</f>
        <v>NZ</v>
      </c>
      <c r="F896" t="str" cm="1">
        <f t="array" ref="F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6" t="s">
        <v>17</v>
      </c>
      <c r="H896">
        <v>80</v>
      </c>
      <c r="I896">
        <v>8</v>
      </c>
      <c r="J896">
        <v>8</v>
      </c>
      <c r="K896" t="str" cm="1">
        <f t="array" ref="K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6">
        <f>_xlfn.XLOOKUP("LOADINGSPEEDDEF_"&amp;PROPERTIES[[#This Row],[LOADINGSPEED]],LOADINGSPEEDDEF[TYPE],LOADINGSPEEDDEF[SPEED])</f>
        <v>40</v>
      </c>
      <c r="M896" cm="1">
        <f t="array" ref="M8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6">
        <f>IF(ISNUMBER(SEARCH("passenger",PROPERTIES[[#This Row],[CARGODEF]])),1,0)</f>
        <v>1</v>
      </c>
      <c r="O896" s="32">
        <v>38</v>
      </c>
      <c r="P896">
        <v>1500</v>
      </c>
      <c r="Q896">
        <v>120</v>
      </c>
      <c r="R896" s="29">
        <v>0</v>
      </c>
      <c r="S896" s="29">
        <f>IFERROR(PROPERTIES[[#This Row],[TE_STARTING_KN]]/(PROPERTIES[[#This Row],[WEIGHT]]*9.81),0)</f>
        <v>0</v>
      </c>
      <c r="T896" s="29">
        <v>0.3</v>
      </c>
      <c r="U896" s="25">
        <f>ROUND(IF(IFERROR(PROPERTIES[[#This Row],[TE_COEFFICIENT_CALC]],0)=0,PROPERTIES[[#This Row],[TE_COEFFICIENT_MANUAL]],PROPERTIES[[#This Row],[TE_COEFFICIENT_CALC]]),3)</f>
        <v>0.3</v>
      </c>
      <c r="V896" s="37" cm="1">
        <f t="array" ref="V8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6" s="36">
        <v>80</v>
      </c>
      <c r="X896" s="9">
        <v>8</v>
      </c>
      <c r="Y896" s="10">
        <v>0</v>
      </c>
      <c r="Z896" s="9" t="s">
        <v>871</v>
      </c>
      <c r="AA896" s="10" t="s">
        <v>868</v>
      </c>
      <c r="AB896" s="10" t="s">
        <v>887</v>
      </c>
      <c r="AC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6" s="2" t="str">
        <f>SUBSTITUTE(SUBSTITUTE(PROPERTIES[[#This Row],[PURCHASECOST_VALUE]], "PURCHASECOST_", ""), "_VALUE", "")</f>
        <v>EMU</v>
      </c>
      <c r="AF896" s="9" t="str" cm="1">
        <f t="array" ref="AF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6" s="2" t="b">
        <v>0</v>
      </c>
      <c r="AH896" s="10" t="b">
        <v>0</v>
      </c>
    </row>
    <row r="897" spans="1:34">
      <c r="A897" s="2" t="s">
        <v>3304</v>
      </c>
      <c r="B897">
        <v>1961</v>
      </c>
      <c r="C897" cm="1">
        <f t="array" ref="C897">_xlfn.IFS(ISNUMBER(SEARCH("wagon",PROPERTIES[[#This Row],[VEHIDCODE]])),0,OR(MID(PROPERTIES[[#This Row],[VEHIDCODE]],2,2)="mu",_xlfn.TEXTBEFORE(PROPERTIES[[#This Row],[VEHIDCODE]],"_")="mtro"),1,1=1,0)</f>
        <v>1</v>
      </c>
      <c r="D897" t="s">
        <v>1719</v>
      </c>
      <c r="E897" t="str">
        <f>_xlfn.XLOOKUP(PROPERTIES[[#This Row],[COUNTRY]],COUNTRIES[COUNTRY_DESCRIPTION],COUNTRIES[COUNTRY_LABEL],"")</f>
        <v>AU</v>
      </c>
      <c r="F897" t="str" cm="1">
        <f t="array" ref="F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7" t="s">
        <v>17</v>
      </c>
      <c r="H897">
        <v>72</v>
      </c>
      <c r="I897">
        <v>8</v>
      </c>
      <c r="J897">
        <v>8</v>
      </c>
      <c r="K897" t="str" cm="1">
        <f t="array" ref="K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7">
        <f>_xlfn.XLOOKUP("LOADINGSPEEDDEF_"&amp;PROPERTIES[[#This Row],[LOADINGSPEED]],LOADINGSPEEDDEF[TYPE],LOADINGSPEEDDEF[SPEED])</f>
        <v>40</v>
      </c>
      <c r="M897" cm="1">
        <f t="array" ref="M8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7">
        <f>IF(ISNUMBER(SEARCH("passenger",PROPERTIES[[#This Row],[CARGODEF]])),1,0)</f>
        <v>1</v>
      </c>
      <c r="O897" s="32">
        <v>51</v>
      </c>
      <c r="P897">
        <v>600</v>
      </c>
      <c r="Q897">
        <v>115</v>
      </c>
      <c r="R897" s="29">
        <v>0</v>
      </c>
      <c r="S897" s="29">
        <f>IFERROR(PROPERTIES[[#This Row],[TE_STARTING_KN]]/(PROPERTIES[[#This Row],[WEIGHT]]*9.81),0)</f>
        <v>0</v>
      </c>
      <c r="T897" s="29">
        <v>0.25</v>
      </c>
      <c r="U897" s="25">
        <f>ROUND(IF(IFERROR(PROPERTIES[[#This Row],[TE_COEFFICIENT_CALC]],0)=0,PROPERTIES[[#This Row],[TE_COEFFICIENT_MANUAL]],PROPERTIES[[#This Row],[TE_COEFFICIENT_CALC]]),3)</f>
        <v>0.25</v>
      </c>
      <c r="V897" s="37" cm="1">
        <f t="array" ref="V8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7" s="36">
        <v>72</v>
      </c>
      <c r="X897" s="9">
        <v>8</v>
      </c>
      <c r="Y897" s="10">
        <v>0</v>
      </c>
      <c r="Z897" s="9" t="s">
        <v>871</v>
      </c>
      <c r="AA897" s="10" t="s">
        <v>868</v>
      </c>
      <c r="AB897" s="2" t="s">
        <v>886</v>
      </c>
      <c r="AC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7" s="2" t="str">
        <f>SUBSTITUTE(SUBSTITUTE(PROPERTIES[[#This Row],[PURCHASECOST_VALUE]], "PURCHASECOST_", ""), "_VALUE", "")</f>
        <v>DMU</v>
      </c>
      <c r="AF897" s="9" t="str" cm="1">
        <f t="array" ref="AF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7" s="2" t="b">
        <v>0</v>
      </c>
      <c r="AH897" s="10" t="b">
        <v>0</v>
      </c>
    </row>
    <row r="898" spans="1:34">
      <c r="A898" s="2" t="s">
        <v>3308</v>
      </c>
      <c r="B898">
        <v>1985</v>
      </c>
      <c r="C898" cm="1">
        <f t="array" ref="C898">_xlfn.IFS(ISNUMBER(SEARCH("wagon",PROPERTIES[[#This Row],[VEHIDCODE]])),0,OR(MID(PROPERTIES[[#This Row],[VEHIDCODE]],2,2)="mu",_xlfn.TEXTBEFORE(PROPERTIES[[#This Row],[VEHIDCODE]],"_")="mtro"),1,1=1,0)</f>
        <v>1</v>
      </c>
      <c r="D898" t="s">
        <v>1923</v>
      </c>
      <c r="E898" t="str">
        <f>_xlfn.XLOOKUP(PROPERTIES[[#This Row],[COUNTRY]],COUNTRIES[COUNTRY_DESCRIPTION],COUNTRIES[COUNTRY_LABEL],"")</f>
        <v>TH</v>
      </c>
      <c r="F898" t="str" cm="1">
        <f t="array" ref="F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8" t="s">
        <v>17</v>
      </c>
      <c r="H898">
        <v>0</v>
      </c>
      <c r="I898">
        <v>8</v>
      </c>
      <c r="J898">
        <v>8</v>
      </c>
      <c r="K898" t="str" cm="1">
        <f t="array" ref="K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8">
        <f>_xlfn.XLOOKUP("LOADINGSPEEDDEF_"&amp;PROPERTIES[[#This Row],[LOADINGSPEED]],LOADINGSPEEDDEF[TYPE],LOADINGSPEEDDEF[SPEED])</f>
        <v>40</v>
      </c>
      <c r="M898" cm="1">
        <f t="array" ref="M8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8">
        <f>IF(ISNUMBER(SEARCH("passenger",PROPERTIES[[#This Row],[CARGODEF]])),1,0)</f>
        <v>1</v>
      </c>
      <c r="O898" s="32">
        <v>76</v>
      </c>
      <c r="P898">
        <v>4000</v>
      </c>
      <c r="Q898">
        <v>160</v>
      </c>
      <c r="R898" s="29">
        <f>178/2</f>
        <v>89</v>
      </c>
      <c r="S898" s="29">
        <f>IFERROR(PROPERTIES[[#This Row],[TE_STARTING_KN]]/(PROPERTIES[[#This Row],[WEIGHT]]*9.81),0)</f>
        <v>0.11937335693974997</v>
      </c>
      <c r="T898" s="29">
        <v>0</v>
      </c>
      <c r="U898" s="25">
        <f>ROUND(IF(IFERROR(PROPERTIES[[#This Row],[TE_COEFFICIENT_CALC]],0)=0,PROPERTIES[[#This Row],[TE_COEFFICIENT_MANUAL]],PROPERTIES[[#This Row],[TE_COEFFICIENT_CALC]]),3)</f>
        <v>0.11899999999999999</v>
      </c>
      <c r="V898" s="37" cm="1">
        <f t="array" ref="V8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8" s="36">
        <v>72</v>
      </c>
      <c r="X898" s="9">
        <v>8</v>
      </c>
      <c r="Y898" s="10">
        <v>0</v>
      </c>
      <c r="Z898" s="9" t="s">
        <v>877</v>
      </c>
      <c r="AA898" s="10" t="s">
        <v>868</v>
      </c>
      <c r="AB898" s="10" t="s">
        <v>887</v>
      </c>
      <c r="AC898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8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8" s="2" t="str">
        <f>SUBSTITUTE(SUBSTITUTE(PROPERTIES[[#This Row],[PURCHASECOST_VALUE]], "PURCHASECOST_", ""), "_VALUE", "")</f>
        <v>DMU</v>
      </c>
      <c r="AF898" s="9" t="str" cm="1">
        <f t="array" ref="AF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898" s="2" t="b">
        <v>0</v>
      </c>
      <c r="AH898" s="10" t="b">
        <v>0</v>
      </c>
    </row>
    <row r="899" spans="1:34">
      <c r="A899" s="2" t="s">
        <v>3312</v>
      </c>
      <c r="B899">
        <v>1982</v>
      </c>
      <c r="C899" cm="1">
        <f t="array" ref="C899">_xlfn.IFS(ISNUMBER(SEARCH("wagon",PROPERTIES[[#This Row],[VEHIDCODE]])),0,OR(MID(PROPERTIES[[#This Row],[VEHIDCODE]],2,2)="mu",_xlfn.TEXTBEFORE(PROPERTIES[[#This Row],[VEHIDCODE]],"_")="mtro"),1,1=1,0)</f>
        <v>1</v>
      </c>
      <c r="D899" t="s">
        <v>1719</v>
      </c>
      <c r="E899" t="str">
        <f>_xlfn.XLOOKUP(PROPERTIES[[#This Row],[COUNTRY]],COUNTRIES[COUNTRY_DESCRIPTION],COUNTRIES[COUNTRY_LABEL],"")</f>
        <v>AU</v>
      </c>
      <c r="F899" t="str" cm="1">
        <f t="array" ref="F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9" t="s">
        <v>17</v>
      </c>
      <c r="H899">
        <v>0</v>
      </c>
      <c r="I899">
        <v>8</v>
      </c>
      <c r="J899">
        <v>8</v>
      </c>
      <c r="K899" t="str" cm="1">
        <f t="array" ref="K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9">
        <f>_xlfn.XLOOKUP("LOADINGSPEEDDEF_"&amp;PROPERTIES[[#This Row],[LOADINGSPEED]],LOADINGSPEEDDEF[TYPE],LOADINGSPEEDDEF[SPEED])</f>
        <v>40</v>
      </c>
      <c r="M899" cm="1">
        <f t="array" ref="M8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9">
        <f>IF(ISNUMBER(SEARCH("passenger",PROPERTIES[[#This Row],[CARGODEF]])),1,0)</f>
        <v>1</v>
      </c>
      <c r="O899" s="32">
        <v>76</v>
      </c>
      <c r="P899">
        <v>4000</v>
      </c>
      <c r="Q899">
        <v>160</v>
      </c>
      <c r="R899" s="29">
        <f>178/2</f>
        <v>89</v>
      </c>
      <c r="S899" s="29">
        <f>IFERROR(PROPERTIES[[#This Row],[TE_STARTING_KN]]/(PROPERTIES[[#This Row],[WEIGHT]]*9.81),0)</f>
        <v>0.11937335693974997</v>
      </c>
      <c r="T899" s="29">
        <v>0</v>
      </c>
      <c r="U899" s="25">
        <f>ROUND(IF(IFERROR(PROPERTIES[[#This Row],[TE_COEFFICIENT_CALC]],0)=0,PROPERTIES[[#This Row],[TE_COEFFICIENT_MANUAL]],PROPERTIES[[#This Row],[TE_COEFFICIENT_CALC]]),3)</f>
        <v>0.11899999999999999</v>
      </c>
      <c r="V899" s="37" cm="1">
        <f t="array" ref="V8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9" s="36">
        <v>72</v>
      </c>
      <c r="X899" s="9">
        <v>8</v>
      </c>
      <c r="Y899" s="10">
        <v>0</v>
      </c>
      <c r="Z899" s="9" t="s">
        <v>871</v>
      </c>
      <c r="AA899" s="10" t="s">
        <v>868</v>
      </c>
      <c r="AB899" s="2" t="s">
        <v>886</v>
      </c>
      <c r="AC899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9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9" s="2" t="str">
        <f>SUBSTITUTE(SUBSTITUTE(PROPERTIES[[#This Row],[PURCHASECOST_VALUE]], "PURCHASECOST_", ""), "_VALUE", "")</f>
        <v>DMU</v>
      </c>
      <c r="AF899" s="9" t="str" cm="1">
        <f t="array" ref="AF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99" s="2" t="b">
        <v>0</v>
      </c>
      <c r="AH899" s="10" t="b">
        <v>0</v>
      </c>
    </row>
    <row r="900" spans="1:34">
      <c r="A900" s="2" t="s">
        <v>3314</v>
      </c>
      <c r="B900">
        <v>1988</v>
      </c>
      <c r="C900" cm="1">
        <f t="array" ref="C900">_xlfn.IFS(ISNUMBER(SEARCH("wagon",PROPERTIES[[#This Row],[VEHIDCODE]])),0,OR(MID(PROPERTIES[[#This Row],[VEHIDCODE]],2,2)="mu",_xlfn.TEXTBEFORE(PROPERTIES[[#This Row],[VEHIDCODE]],"_")="mtro"),1,1=1,0)</f>
        <v>1</v>
      </c>
      <c r="D900" t="s">
        <v>1719</v>
      </c>
      <c r="E900" t="str">
        <f>_xlfn.XLOOKUP(PROPERTIES[[#This Row],[COUNTRY]],COUNTRIES[COUNTRY_DESCRIPTION],COUNTRIES[COUNTRY_LABEL],"")</f>
        <v>AU</v>
      </c>
      <c r="F900" t="str" cm="1">
        <f t="array" ref="F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0" t="s">
        <v>17</v>
      </c>
      <c r="H900">
        <v>100</v>
      </c>
      <c r="I900">
        <v>8</v>
      </c>
      <c r="J900">
        <v>8</v>
      </c>
      <c r="K900" t="str" cm="1">
        <f t="array" ref="K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0">
        <f>_xlfn.XLOOKUP("LOADINGSPEEDDEF_"&amp;PROPERTIES[[#This Row],[LOADINGSPEED]],LOADINGSPEEDDEF[TYPE],LOADINGSPEEDDEF[SPEED])</f>
        <v>40</v>
      </c>
      <c r="M900" cm="1">
        <f t="array" ref="M9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0">
        <f>IF(ISNUMBER(SEARCH("passenger",PROPERTIES[[#This Row],[CARGODEF]])),1,0)</f>
        <v>1</v>
      </c>
      <c r="O900" s="32">
        <v>54</v>
      </c>
      <c r="P900">
        <v>1600</v>
      </c>
      <c r="Q900">
        <v>130</v>
      </c>
      <c r="R900" s="29">
        <v>200</v>
      </c>
      <c r="S900" s="29">
        <f>IFERROR(PROPERTIES[[#This Row],[TE_STARTING_KN]]/(PROPERTIES[[#This Row],[WEIGHT]]*9.81),0)</f>
        <v>0.37754370068335408</v>
      </c>
      <c r="T900" s="29">
        <v>0</v>
      </c>
      <c r="U900" s="25">
        <f>ROUND(IF(IFERROR(PROPERTIES[[#This Row],[TE_COEFFICIENT_CALC]],0)=0,PROPERTIES[[#This Row],[TE_COEFFICIENT_MANUAL]],PROPERTIES[[#This Row],[TE_COEFFICIENT_CALC]]),3)</f>
        <v>0.378</v>
      </c>
      <c r="V900" s="37" cm="1">
        <f t="array" ref="V9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0" s="36">
        <v>100</v>
      </c>
      <c r="X900" s="9">
        <v>8</v>
      </c>
      <c r="Y900" s="10">
        <v>0</v>
      </c>
      <c r="Z900" s="9" t="s">
        <v>871</v>
      </c>
      <c r="AA900" s="10" t="s">
        <v>868</v>
      </c>
      <c r="AB900" s="10" t="s">
        <v>887</v>
      </c>
      <c r="AC900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0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0" s="2" t="str">
        <f>SUBSTITUTE(SUBSTITUTE(PROPERTIES[[#This Row],[PURCHASECOST_VALUE]], "PURCHASECOST_", ""), "_VALUE", "")</f>
        <v>EMU</v>
      </c>
      <c r="AF900" s="9" t="str" cm="1">
        <f t="array" ref="AF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0" s="2" t="b">
        <v>0</v>
      </c>
      <c r="AH900" s="10" t="b">
        <v>0</v>
      </c>
    </row>
    <row r="901" spans="1:34">
      <c r="A901" s="2" t="s">
        <v>3315</v>
      </c>
      <c r="B901">
        <v>1951</v>
      </c>
      <c r="C901" cm="1">
        <f t="array" ref="C901">_xlfn.IFS(ISNUMBER(SEARCH("wagon",PROPERTIES[[#This Row],[VEHIDCODE]])),0,OR(MID(PROPERTIES[[#This Row],[VEHIDCODE]],2,2)="mu",_xlfn.TEXTBEFORE(PROPERTIES[[#This Row],[VEHIDCODE]],"_")="mtro"),1,1=1,0)</f>
        <v>1</v>
      </c>
      <c r="D901" t="s">
        <v>1719</v>
      </c>
      <c r="E901" t="str">
        <f>_xlfn.XLOOKUP(PROPERTIES[[#This Row],[COUNTRY]],COUNTRIES[COUNTRY_DESCRIPTION],COUNTRIES[COUNTRY_LABEL],"")</f>
        <v>AU</v>
      </c>
      <c r="F901" t="str" cm="1">
        <f t="array" ref="F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1" t="s">
        <v>17</v>
      </c>
      <c r="H901">
        <v>43</v>
      </c>
      <c r="I901">
        <v>8</v>
      </c>
      <c r="J901">
        <v>8</v>
      </c>
      <c r="K901" t="str" cm="1">
        <f t="array" ref="K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1">
        <f>_xlfn.XLOOKUP("LOADINGSPEEDDEF_"&amp;PROPERTIES[[#This Row],[LOADINGSPEED]],LOADINGSPEEDDEF[TYPE],LOADINGSPEEDDEF[SPEED])</f>
        <v>40</v>
      </c>
      <c r="M901" cm="1">
        <f t="array" ref="M9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1">
        <f>IF(ISNUMBER(SEARCH("passenger",PROPERTIES[[#This Row],[CARGODEF]])),1,0)</f>
        <v>1</v>
      </c>
      <c r="O901" s="32">
        <v>32</v>
      </c>
      <c r="P901">
        <v>480</v>
      </c>
      <c r="Q901">
        <v>115</v>
      </c>
      <c r="R901" s="29">
        <v>26</v>
      </c>
      <c r="S901" s="29">
        <f>IFERROR(PROPERTIES[[#This Row],[TE_STARTING_KN]]/(PROPERTIES[[#This Row],[WEIGHT]]*9.81),0)</f>
        <v>8.2823649337410807E-2</v>
      </c>
      <c r="T901" s="29">
        <v>0</v>
      </c>
      <c r="U901" s="25">
        <f>ROUND(IF(IFERROR(PROPERTIES[[#This Row],[TE_COEFFICIENT_CALC]],0)=0,PROPERTIES[[#This Row],[TE_COEFFICIENT_MANUAL]],PROPERTIES[[#This Row],[TE_COEFFICIENT_CALC]]),3)</f>
        <v>8.3000000000000004E-2</v>
      </c>
      <c r="V901" s="37" cm="1">
        <f t="array" ref="V9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1" s="36">
        <v>38</v>
      </c>
      <c r="X901" s="9">
        <v>8</v>
      </c>
      <c r="Y901" s="10">
        <v>0</v>
      </c>
      <c r="Z901" s="9" t="s">
        <v>871</v>
      </c>
      <c r="AA901" s="10" t="s">
        <v>868</v>
      </c>
      <c r="AB901" s="10" t="s">
        <v>887</v>
      </c>
      <c r="AC901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1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1" s="2" t="str">
        <f>SUBSTITUTE(SUBSTITUTE(PROPERTIES[[#This Row],[PURCHASECOST_VALUE]], "PURCHASECOST_", ""), "_VALUE", "")</f>
        <v>DMU</v>
      </c>
      <c r="AF901" s="9" t="str" cm="1">
        <f t="array" ref="AF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1" s="2" t="b">
        <v>0</v>
      </c>
      <c r="AH901" s="10" t="b">
        <v>0</v>
      </c>
    </row>
    <row r="902" spans="1:34">
      <c r="A902" s="2" t="s">
        <v>3326</v>
      </c>
      <c r="B902">
        <v>1992</v>
      </c>
      <c r="C902" cm="1">
        <f t="array" ref="C902">_xlfn.IFS(ISNUMBER(SEARCH("wagon",PROPERTIES[[#This Row],[VEHIDCODE]])),0,OR(MID(PROPERTIES[[#This Row],[VEHIDCODE]],2,2)="mu",_xlfn.TEXTBEFORE(PROPERTIES[[#This Row],[VEHIDCODE]],"_")="mtro"),1,1=1,0)</f>
        <v>1</v>
      </c>
      <c r="D902" t="s">
        <v>1719</v>
      </c>
      <c r="E902" t="str">
        <f>_xlfn.XLOOKUP(PROPERTIES[[#This Row],[COUNTRY]],COUNTRIES[COUNTRY_DESCRIPTION],COUNTRIES[COUNTRY_LABEL],"")</f>
        <v>AU</v>
      </c>
      <c r="F902" t="str" cm="1">
        <f t="array" ref="F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2" t="s">
        <v>17</v>
      </c>
      <c r="H902">
        <f>INT((346+628)/4)</f>
        <v>243</v>
      </c>
      <c r="I902">
        <v>8</v>
      </c>
      <c r="J902">
        <v>8</v>
      </c>
      <c r="K902" t="str" cm="1">
        <f t="array" ref="K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2">
        <f>_xlfn.XLOOKUP("LOADINGSPEEDDEF_"&amp;PROPERTIES[[#This Row],[LOADINGSPEED]],LOADINGSPEEDDEF[TYPE],LOADINGSPEEDDEF[SPEED])</f>
        <v>40</v>
      </c>
      <c r="M902" cm="1">
        <f t="array" ref="M9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2">
        <f>IF(ISNUMBER(SEARCH("passenger",PROPERTIES[[#This Row],[CARGODEF]])),1,0)</f>
        <v>1</v>
      </c>
      <c r="O902" s="32">
        <f>186/4</f>
        <v>46.5</v>
      </c>
      <c r="P902">
        <v>1824</v>
      </c>
      <c r="Q902">
        <v>130</v>
      </c>
      <c r="R902" s="29">
        <v>0</v>
      </c>
      <c r="S902" s="29">
        <f>IFERROR(PROPERTIES[[#This Row],[TE_STARTING_KN]]/(PROPERTIES[[#This Row],[WEIGHT]]*9.81),0)</f>
        <v>0</v>
      </c>
      <c r="T902" s="29">
        <v>0.25</v>
      </c>
      <c r="U902" s="25">
        <f>ROUND(IF(IFERROR(PROPERTIES[[#This Row],[TE_COEFFICIENT_CALC]],0)=0,PROPERTIES[[#This Row],[TE_COEFFICIENT_MANUAL]],PROPERTIES[[#This Row],[TE_COEFFICIENT_CALC]]),3)</f>
        <v>0.25</v>
      </c>
      <c r="V902" s="37" cm="1">
        <f t="array" ref="V9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2" s="36">
        <v>243</v>
      </c>
      <c r="X902" s="9">
        <v>8</v>
      </c>
      <c r="Y902" s="10">
        <v>0</v>
      </c>
      <c r="Z902" s="9" t="s">
        <v>871</v>
      </c>
      <c r="AA902" s="10" t="s">
        <v>868</v>
      </c>
      <c r="AB902" s="2" t="s">
        <v>886</v>
      </c>
      <c r="AC902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2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2" s="2" t="str">
        <f>SUBSTITUTE(SUBSTITUTE(PROPERTIES[[#This Row],[PURCHASECOST_VALUE]], "PURCHASECOST_", ""), "_VALUE", "")</f>
        <v>EMU</v>
      </c>
      <c r="AF902" s="9" t="str" cm="1">
        <f t="array" ref="AF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2" s="2" t="b">
        <v>0</v>
      </c>
      <c r="AH902" s="10" t="b">
        <v>0</v>
      </c>
    </row>
    <row r="903" spans="1:34">
      <c r="A903" s="2" t="s">
        <v>3325</v>
      </c>
      <c r="B903">
        <v>1988</v>
      </c>
      <c r="C903" cm="1">
        <f t="array" ref="C903">_xlfn.IFS(ISNUMBER(SEARCH("wagon",PROPERTIES[[#This Row],[VEHIDCODE]])),0,OR(MID(PROPERTIES[[#This Row],[VEHIDCODE]],2,2)="mu",_xlfn.TEXTBEFORE(PROPERTIES[[#This Row],[VEHIDCODE]],"_")="mtro"),1,1=1,0)</f>
        <v>1</v>
      </c>
      <c r="D903" t="s">
        <v>1719</v>
      </c>
      <c r="E903" t="str">
        <f>_xlfn.XLOOKUP(PROPERTIES[[#This Row],[COUNTRY]],COUNTRIES[COUNTRY_DESCRIPTION],COUNTRIES[COUNTRY_LABEL],"")</f>
        <v>AU</v>
      </c>
      <c r="F903" t="str" cm="1">
        <f t="array" ref="F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3" t="s">
        <v>17</v>
      </c>
      <c r="H903">
        <v>98</v>
      </c>
      <c r="I903">
        <v>8</v>
      </c>
      <c r="J903">
        <v>8</v>
      </c>
      <c r="K903" t="str" cm="1">
        <f t="array" ref="K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3">
        <f>_xlfn.XLOOKUP("LOADINGSPEEDDEF_"&amp;PROPERTIES[[#This Row],[LOADINGSPEED]],LOADINGSPEEDDEF[TYPE],LOADINGSPEEDDEF[SPEED])</f>
        <v>40</v>
      </c>
      <c r="M903" cm="1">
        <f t="array" ref="M9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3">
        <f>IF(ISNUMBER(SEARCH("passenger",PROPERTIES[[#This Row],[CARGODEF]])),1,0)</f>
        <v>1</v>
      </c>
      <c r="O903" s="32">
        <v>50</v>
      </c>
      <c r="P903">
        <v>1824</v>
      </c>
      <c r="Q903">
        <v>115</v>
      </c>
      <c r="R903" s="29">
        <v>0</v>
      </c>
      <c r="S903" s="29">
        <f>IFERROR(PROPERTIES[[#This Row],[TE_STARTING_KN]]/(PROPERTIES[[#This Row],[WEIGHT]]*9.81),0)</f>
        <v>0</v>
      </c>
      <c r="T903" s="29">
        <v>0.25</v>
      </c>
      <c r="U903" s="25">
        <f>ROUND(IF(IFERROR(PROPERTIES[[#This Row],[TE_COEFFICIENT_CALC]],0)=0,PROPERTIES[[#This Row],[TE_COEFFICIENT_MANUAL]],PROPERTIES[[#This Row],[TE_COEFFICIENT_CALC]]),3)</f>
        <v>0.25</v>
      </c>
      <c r="V903" s="37" cm="1">
        <f t="array" ref="V9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3" s="36">
        <v>112</v>
      </c>
      <c r="X903" s="9">
        <v>8</v>
      </c>
      <c r="Y903" s="10">
        <v>0</v>
      </c>
      <c r="Z903" s="9" t="s">
        <v>871</v>
      </c>
      <c r="AA903" s="10" t="s">
        <v>868</v>
      </c>
      <c r="AB903" s="2" t="s">
        <v>886</v>
      </c>
      <c r="AC903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3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3" s="2" t="str">
        <f>SUBSTITUTE(SUBSTITUTE(PROPERTIES[[#This Row],[PURCHASECOST_VALUE]], "PURCHASECOST_", ""), "_VALUE", "")</f>
        <v>EMU</v>
      </c>
      <c r="AF903" s="9" t="str" cm="1">
        <f t="array" ref="AF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3" s="2" t="b">
        <v>0</v>
      </c>
      <c r="AH903" s="10" t="b">
        <v>0</v>
      </c>
    </row>
    <row r="904" spans="1:34">
      <c r="A904" s="2" t="s">
        <v>3321</v>
      </c>
      <c r="B904">
        <v>1949</v>
      </c>
      <c r="C904" cm="1">
        <f t="array" ref="C904">_xlfn.IFS(ISNUMBER(SEARCH("wagon",PROPERTIES[[#This Row],[VEHIDCODE]])),0,OR(MID(PROPERTIES[[#This Row],[VEHIDCODE]],2,2)="mu",_xlfn.TEXTBEFORE(PROPERTIES[[#This Row],[VEHIDCODE]],"_")="mtro"),1,1=1,0)</f>
        <v>1</v>
      </c>
      <c r="D904" t="s">
        <v>1719</v>
      </c>
      <c r="E904" t="str">
        <f>_xlfn.XLOOKUP(PROPERTIES[[#This Row],[COUNTRY]],COUNTRIES[COUNTRY_DESCRIPTION],COUNTRIES[COUNTRY_LABEL],"")</f>
        <v>AU</v>
      </c>
      <c r="F904" t="str" cm="1">
        <f t="array" ref="F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4" t="s">
        <v>17</v>
      </c>
      <c r="H904">
        <v>32</v>
      </c>
      <c r="I904">
        <v>8</v>
      </c>
      <c r="J904">
        <v>8</v>
      </c>
      <c r="K904" t="str" cm="1">
        <f t="array" ref="K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4">
        <f>_xlfn.XLOOKUP("LOADINGSPEEDDEF_"&amp;PROPERTIES[[#This Row],[LOADINGSPEED]],LOADINGSPEEDDEF[TYPE],LOADINGSPEEDDEF[SPEED])</f>
        <v>40</v>
      </c>
      <c r="M904" cm="1">
        <f t="array" ref="M9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4">
        <f>IF(ISNUMBER(SEARCH("passenger",PROPERTIES[[#This Row],[CARGODEF]])),1,0)</f>
        <v>1</v>
      </c>
      <c r="O904" s="32">
        <v>46</v>
      </c>
      <c r="P904">
        <v>330</v>
      </c>
      <c r="Q904">
        <v>100</v>
      </c>
      <c r="R904" s="29">
        <v>0</v>
      </c>
      <c r="S904" s="29">
        <f>IFERROR(PROPERTIES[[#This Row],[TE_STARTING_KN]]/(PROPERTIES[[#This Row],[WEIGHT]]*9.81),0)</f>
        <v>0</v>
      </c>
      <c r="T904" s="29">
        <v>0.2</v>
      </c>
      <c r="U904" s="25">
        <f>ROUND(IF(IFERROR(PROPERTIES[[#This Row],[TE_COEFFICIENT_CALC]],0)=0,PROPERTIES[[#This Row],[TE_COEFFICIENT_MANUAL]],PROPERTIES[[#This Row],[TE_COEFFICIENT_CALC]]),3)</f>
        <v>0.2</v>
      </c>
      <c r="V904" s="37" cm="1">
        <f t="array" ref="V9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4" s="36">
        <v>24</v>
      </c>
      <c r="X904" s="9">
        <v>8</v>
      </c>
      <c r="Y904" s="10">
        <v>0</v>
      </c>
      <c r="Z904" s="9" t="s">
        <v>871</v>
      </c>
      <c r="AA904" s="10" t="s">
        <v>868</v>
      </c>
      <c r="AB904" s="2" t="s">
        <v>886</v>
      </c>
      <c r="AC904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4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4" s="2" t="str">
        <f>SUBSTITUTE(SUBSTITUTE(PROPERTIES[[#This Row],[PURCHASECOST_VALUE]], "PURCHASECOST_", ""), "_VALUE", "")</f>
        <v>DMU</v>
      </c>
      <c r="AF904" s="9" t="str" cm="1">
        <f t="array" ref="AF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4" s="2" t="b">
        <v>0</v>
      </c>
      <c r="AH904" s="10" t="b">
        <v>0</v>
      </c>
    </row>
    <row r="905" spans="1:34">
      <c r="A905" s="2" t="s">
        <v>3327</v>
      </c>
      <c r="B905">
        <v>1973</v>
      </c>
      <c r="C905" cm="1">
        <f t="array" ref="C905">_xlfn.IFS(ISNUMBER(SEARCH("wagon",PROPERTIES[[#This Row],[VEHIDCODE]])),0,OR(MID(PROPERTIES[[#This Row],[VEHIDCODE]],2,2)="mu",_xlfn.TEXTBEFORE(PROPERTIES[[#This Row],[VEHIDCODE]],"_")="mtro"),1,1=1,0)</f>
        <v>1</v>
      </c>
      <c r="D905" t="s">
        <v>1876</v>
      </c>
      <c r="E905" t="str">
        <f>_xlfn.XLOOKUP(PROPERTIES[[#This Row],[COUNTRY]],COUNTRIES[COUNTRY_DESCRIPTION],COUNTRIES[COUNTRY_LABEL],"")</f>
        <v>NZ</v>
      </c>
      <c r="F905" t="str" cm="1">
        <f t="array" ref="F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5" t="s">
        <v>17</v>
      </c>
      <c r="H905">
        <f>96/3</f>
        <v>32</v>
      </c>
      <c r="I905">
        <v>8</v>
      </c>
      <c r="J905">
        <v>8</v>
      </c>
      <c r="K905" t="str" cm="1">
        <f t="array" ref="K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5">
        <f>_xlfn.XLOOKUP("LOADINGSPEEDDEF_"&amp;PROPERTIES[[#This Row],[LOADINGSPEED]],LOADINGSPEEDDEF[TYPE],LOADINGSPEEDDEF[SPEED])</f>
        <v>40</v>
      </c>
      <c r="M905" cm="1">
        <f t="array" ref="M9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5">
        <f>IF(ISNUMBER(SEARCH("passenger",PROPERTIES[[#This Row],[CARGODEF]])),1,0)</f>
        <v>1</v>
      </c>
      <c r="O905" s="32">
        <f>INT(107/3)</f>
        <v>35</v>
      </c>
      <c r="P905">
        <v>900</v>
      </c>
      <c r="Q905">
        <v>120</v>
      </c>
      <c r="R905" s="29">
        <v>0</v>
      </c>
      <c r="S905" s="29">
        <f>IFERROR(PROPERTIES[[#This Row],[TE_STARTING_KN]]/(PROPERTIES[[#This Row],[WEIGHT]]*9.81),0)</f>
        <v>0</v>
      </c>
      <c r="T905" s="29">
        <v>0.2</v>
      </c>
      <c r="U905" s="25">
        <f>ROUND(IF(IFERROR(PROPERTIES[[#This Row],[TE_COEFFICIENT_CALC]],0)=0,PROPERTIES[[#This Row],[TE_COEFFICIENT_MANUAL]],PROPERTIES[[#This Row],[TE_COEFFICIENT_CALC]]),3)</f>
        <v>0.2</v>
      </c>
      <c r="V905" s="37" cm="1">
        <f t="array" ref="V9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5" s="36">
        <v>32</v>
      </c>
      <c r="X905" s="9">
        <v>8</v>
      </c>
      <c r="Y905" s="10">
        <v>0</v>
      </c>
      <c r="Z905" s="9" t="s">
        <v>871</v>
      </c>
      <c r="AA905" s="10" t="s">
        <v>868</v>
      </c>
      <c r="AB905" s="2" t="s">
        <v>886</v>
      </c>
      <c r="AC905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5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5" s="2" t="str">
        <f>SUBSTITUTE(SUBSTITUTE(PROPERTIES[[#This Row],[PURCHASECOST_VALUE]], "PURCHASECOST_", ""), "_VALUE", "")</f>
        <v>DMU</v>
      </c>
      <c r="AF905" s="9" t="str" cm="1">
        <f t="array" ref="AF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5" s="2" t="b">
        <v>0</v>
      </c>
      <c r="AH905" s="10" t="b">
        <v>0</v>
      </c>
    </row>
    <row r="906" spans="1:34">
      <c r="A906" s="2" t="s">
        <v>3330</v>
      </c>
      <c r="B906">
        <v>1957</v>
      </c>
      <c r="C906" cm="1">
        <f t="array" ref="C906">_xlfn.IFS(ISNUMBER(SEARCH("wagon",PROPERTIES[[#This Row],[VEHIDCODE]])),0,OR(MID(PROPERTIES[[#This Row],[VEHIDCODE]],2,2)="mu",_xlfn.TEXTBEFORE(PROPERTIES[[#This Row],[VEHIDCODE]],"_")="mtro"),1,1=1,0)</f>
        <v>1</v>
      </c>
      <c r="D906" t="s">
        <v>1719</v>
      </c>
      <c r="E906" t="str">
        <f>_xlfn.XLOOKUP(PROPERTIES[[#This Row],[COUNTRY]],COUNTRIES[COUNTRY_DESCRIPTION],COUNTRIES[COUNTRY_LABEL],"")</f>
        <v>AU</v>
      </c>
      <c r="F906" t="str" cm="1">
        <f t="array" ref="F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6" t="s">
        <v>17</v>
      </c>
      <c r="H906">
        <v>59</v>
      </c>
      <c r="I906">
        <v>8</v>
      </c>
      <c r="J906">
        <v>8</v>
      </c>
      <c r="K906" t="str" cm="1">
        <f t="array" ref="K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6">
        <f>_xlfn.XLOOKUP("LOADINGSPEEDDEF_"&amp;PROPERTIES[[#This Row],[LOADINGSPEED]],LOADINGSPEEDDEF[TYPE],LOADINGSPEEDDEF[SPEED])</f>
        <v>40</v>
      </c>
      <c r="M906" cm="1">
        <f t="array" ref="M9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6">
        <f>IF(ISNUMBER(SEARCH("passenger",PROPERTIES[[#This Row],[CARGODEF]])),1,0)</f>
        <v>1</v>
      </c>
      <c r="O906" s="32">
        <v>51.5</v>
      </c>
      <c r="P906">
        <v>760</v>
      </c>
      <c r="Q906">
        <v>120</v>
      </c>
      <c r="R906" s="29">
        <v>0</v>
      </c>
      <c r="S906" s="29">
        <f>IFERROR(PROPERTIES[[#This Row],[TE_STARTING_KN]]/(PROPERTIES[[#This Row],[WEIGHT]]*9.81),0)</f>
        <v>0</v>
      </c>
      <c r="T906" s="29">
        <v>0.2</v>
      </c>
      <c r="U906" s="25">
        <f>ROUND(IF(IFERROR(PROPERTIES[[#This Row],[TE_COEFFICIENT_CALC]],0)=0,PROPERTIES[[#This Row],[TE_COEFFICIENT_MANUAL]],PROPERTIES[[#This Row],[TE_COEFFICIENT_CALC]]),3)</f>
        <v>0.2</v>
      </c>
      <c r="V906" s="37" cm="1">
        <f t="array" ref="V9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6" s="36">
        <v>70</v>
      </c>
      <c r="X906" s="9">
        <v>8</v>
      </c>
      <c r="Y906" s="10">
        <v>0</v>
      </c>
      <c r="Z906" s="9" t="s">
        <v>871</v>
      </c>
      <c r="AA906" s="10" t="s">
        <v>868</v>
      </c>
      <c r="AB906" s="2" t="s">
        <v>886</v>
      </c>
      <c r="AC906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6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6" s="2" t="str">
        <f>SUBSTITUTE(SUBSTITUTE(PROPERTIES[[#This Row],[PURCHASECOST_VALUE]], "PURCHASECOST_", ""), "_VALUE", "")</f>
        <v>EMU</v>
      </c>
      <c r="AF906" s="9" t="str" cm="1">
        <f t="array" ref="AF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6" s="2" t="b">
        <v>0</v>
      </c>
      <c r="AH906" s="10" t="b">
        <v>0</v>
      </c>
    </row>
    <row r="907" spans="1:34">
      <c r="A907" s="2" t="s">
        <v>3339</v>
      </c>
      <c r="B907">
        <v>1925</v>
      </c>
      <c r="C907" cm="1">
        <f t="array" ref="C907">_xlfn.IFS(ISNUMBER(SEARCH("wagon",PROPERTIES[[#This Row],[VEHIDCODE]])),0,OR(MID(PROPERTIES[[#This Row],[VEHIDCODE]],2,2)="mu",_xlfn.TEXTBEFORE(PROPERTIES[[#This Row],[VEHIDCODE]],"_")="mtro"),1,1=1,0)</f>
        <v>1</v>
      </c>
      <c r="D907" t="s">
        <v>1719</v>
      </c>
      <c r="E907" t="str">
        <f>_xlfn.XLOOKUP(PROPERTIES[[#This Row],[COUNTRY]],COUNTRIES[COUNTRY_DESCRIPTION],COUNTRIES[COUNTRY_LABEL],"")</f>
        <v>AU</v>
      </c>
      <c r="F907" t="str" cm="1">
        <f t="array" ref="F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7" t="s">
        <v>17</v>
      </c>
      <c r="H907">
        <v>90</v>
      </c>
      <c r="I907">
        <v>8</v>
      </c>
      <c r="J907">
        <v>8</v>
      </c>
      <c r="K907" t="str" cm="1">
        <f t="array" ref="K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7">
        <f>_xlfn.XLOOKUP("LOADINGSPEEDDEF_"&amp;PROPERTIES[[#This Row],[LOADINGSPEED]],LOADINGSPEEDDEF[TYPE],LOADINGSPEEDDEF[SPEED])</f>
        <v>40</v>
      </c>
      <c r="M907" cm="1">
        <f t="array" ref="M9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7">
        <f>IF(ISNUMBER(SEARCH("passenger",PROPERTIES[[#This Row],[CARGODEF]])),1,0)</f>
        <v>1</v>
      </c>
      <c r="O907" s="32">
        <v>43</v>
      </c>
      <c r="P907">
        <v>360</v>
      </c>
      <c r="Q907">
        <v>80</v>
      </c>
      <c r="R907" s="29">
        <v>0</v>
      </c>
      <c r="S907" s="29">
        <f>IFERROR(PROPERTIES[[#This Row],[TE_STARTING_KN]]/(PROPERTIES[[#This Row],[WEIGHT]]*9.81),0)</f>
        <v>0</v>
      </c>
      <c r="T907" s="29">
        <v>0.2</v>
      </c>
      <c r="U907" s="25">
        <f>ROUND(IF(IFERROR(PROPERTIES[[#This Row],[TE_COEFFICIENT_CALC]],0)=0,PROPERTIES[[#This Row],[TE_COEFFICIENT_MANUAL]],PROPERTIES[[#This Row],[TE_COEFFICIENT_CALC]]),3)</f>
        <v>0.2</v>
      </c>
      <c r="V907" s="37" cm="1">
        <f t="array" ref="V9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7" s="36">
        <v>90</v>
      </c>
      <c r="X907" s="9">
        <v>8</v>
      </c>
      <c r="Y907" s="10">
        <v>0</v>
      </c>
      <c r="Z907" s="9" t="s">
        <v>871</v>
      </c>
      <c r="AA907" s="10" t="s">
        <v>868</v>
      </c>
      <c r="AB907" s="2" t="s">
        <v>886</v>
      </c>
      <c r="AC907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7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7" s="2" t="str">
        <f>SUBSTITUTE(SUBSTITUTE(PROPERTIES[[#This Row],[PURCHASECOST_VALUE]], "PURCHASECOST_", ""), "_VALUE", "")</f>
        <v>EMU</v>
      </c>
      <c r="AF907" s="9" t="str" cm="1">
        <f t="array" ref="AF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7" s="2" t="b">
        <v>0</v>
      </c>
      <c r="AH907" s="10" t="b">
        <v>0</v>
      </c>
    </row>
    <row r="908" spans="1:34">
      <c r="A908" s="2" t="s">
        <v>3342</v>
      </c>
      <c r="B908">
        <v>1940</v>
      </c>
      <c r="C908" cm="1">
        <f t="array" ref="C908">_xlfn.IFS(ISNUMBER(SEARCH("wagon",PROPERTIES[[#This Row],[VEHIDCODE]])),0,OR(MID(PROPERTIES[[#This Row],[VEHIDCODE]],2,2)="mu",_xlfn.TEXTBEFORE(PROPERTIES[[#This Row],[VEHIDCODE]],"_")="mtro"),1,1=1,0)</f>
        <v>1</v>
      </c>
      <c r="D908" t="s">
        <v>1719</v>
      </c>
      <c r="E908" t="str">
        <f>_xlfn.XLOOKUP(PROPERTIES[[#This Row],[COUNTRY]],COUNTRIES[COUNTRY_DESCRIPTION],COUNTRIES[COUNTRY_LABEL],"")</f>
        <v>AU</v>
      </c>
      <c r="F908" t="str" cm="1">
        <f t="array" ref="F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8" t="s">
        <v>17</v>
      </c>
      <c r="H908">
        <v>90</v>
      </c>
      <c r="I908">
        <v>8</v>
      </c>
      <c r="J908">
        <v>8</v>
      </c>
      <c r="K908" t="str" cm="1">
        <f t="array" ref="K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8">
        <f>_xlfn.XLOOKUP("LOADINGSPEEDDEF_"&amp;PROPERTIES[[#This Row],[LOADINGSPEED]],LOADINGSPEEDDEF[TYPE],LOADINGSPEEDDEF[SPEED])</f>
        <v>40</v>
      </c>
      <c r="M908" cm="1">
        <f t="array" ref="M9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8">
        <f>IF(ISNUMBER(SEARCH("passenger",PROPERTIES[[#This Row],[CARGODEF]])),1,0)</f>
        <v>1</v>
      </c>
      <c r="O908" s="32">
        <v>43</v>
      </c>
      <c r="P908">
        <v>360</v>
      </c>
      <c r="Q908">
        <v>110</v>
      </c>
      <c r="R908" s="29">
        <v>0</v>
      </c>
      <c r="S908" s="29">
        <f>IFERROR(PROPERTIES[[#This Row],[TE_STARTING_KN]]/(PROPERTIES[[#This Row],[WEIGHT]]*9.81),0)</f>
        <v>0</v>
      </c>
      <c r="T908" s="29">
        <v>0.22</v>
      </c>
      <c r="U908" s="25">
        <f>ROUND(IF(IFERROR(PROPERTIES[[#This Row],[TE_COEFFICIENT_CALC]],0)=0,PROPERTIES[[#This Row],[TE_COEFFICIENT_MANUAL]],PROPERTIES[[#This Row],[TE_COEFFICIENT_CALC]]),3)</f>
        <v>0.22</v>
      </c>
      <c r="V908" s="37" cm="1">
        <f t="array" ref="V9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8" s="36">
        <v>90</v>
      </c>
      <c r="X908" s="9">
        <v>8</v>
      </c>
      <c r="Y908" s="10">
        <v>0</v>
      </c>
      <c r="Z908" s="9" t="s">
        <v>871</v>
      </c>
      <c r="AA908" s="10" t="s">
        <v>868</v>
      </c>
      <c r="AB908" s="2" t="s">
        <v>886</v>
      </c>
      <c r="AC908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8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8" s="2" t="str">
        <f>SUBSTITUTE(SUBSTITUTE(PROPERTIES[[#This Row],[PURCHASECOST_VALUE]], "PURCHASECOST_", ""), "_VALUE", "")</f>
        <v>EMU</v>
      </c>
      <c r="AF908" s="9" t="str" cm="1">
        <f t="array" ref="AF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8" s="2" t="b">
        <v>0</v>
      </c>
      <c r="AH908" s="10" t="b">
        <v>0</v>
      </c>
    </row>
    <row r="909" spans="1:34">
      <c r="A909" s="2" t="s">
        <v>3345</v>
      </c>
      <c r="B909">
        <v>2003</v>
      </c>
      <c r="C909" cm="1">
        <f t="array" ref="C909">_xlfn.IFS(ISNUMBER(SEARCH("wagon",PROPERTIES[[#This Row],[VEHIDCODE]])),0,OR(MID(PROPERTIES[[#This Row],[VEHIDCODE]],2,2)="mu",_xlfn.TEXTBEFORE(PROPERTIES[[#This Row],[VEHIDCODE]],"_")="mtro"),1,1=1,0)</f>
        <v>1</v>
      </c>
      <c r="D909" t="s">
        <v>1719</v>
      </c>
      <c r="E909" t="str">
        <f>_xlfn.XLOOKUP(PROPERTIES[[#This Row],[COUNTRY]],COUNTRIES[COUNTRY_DESCRIPTION],COUNTRIES[COUNTRY_LABEL],"")</f>
        <v>AU</v>
      </c>
      <c r="F909" t="str" cm="1">
        <f t="array" ref="F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9" t="s">
        <v>17</v>
      </c>
      <c r="H909">
        <f>216/3</f>
        <v>72</v>
      </c>
      <c r="I909">
        <v>8</v>
      </c>
      <c r="J909">
        <v>8</v>
      </c>
      <c r="K909" t="str" cm="1">
        <f t="array" ref="K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9">
        <f>_xlfn.XLOOKUP("LOADINGSPEEDDEF_"&amp;PROPERTIES[[#This Row],[LOADINGSPEED]],LOADINGSPEEDDEF[TYPE],LOADINGSPEEDDEF[SPEED])</f>
        <v>40</v>
      </c>
      <c r="M909" t="str" cm="1">
        <f t="array" ref="M9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09">
        <f>IF(ISNUMBER(SEARCH("passenger",PROPERTIES[[#This Row],[CARGODEF]])),1,0)</f>
        <v>1</v>
      </c>
      <c r="O909" s="32">
        <v>43</v>
      </c>
      <c r="P909">
        <v>1930</v>
      </c>
      <c r="Q909">
        <v>130</v>
      </c>
      <c r="R909" s="29">
        <v>95</v>
      </c>
      <c r="S909" s="28">
        <f>IFERROR(PROPERTIES[[#This Row],[TE_STARTING_KN]]/(PROPERTIES[[#This Row],[WEIGHT]]*9.81),0)</f>
        <v>0.2252092075006519</v>
      </c>
      <c r="T909" s="28">
        <v>0.28999999999999998</v>
      </c>
      <c r="U909" s="25">
        <f>ROUND(IF(IFERROR(PROPERTIES[[#This Row],[TE_COEFFICIENT_CALC]],0)=0,PROPERTIES[[#This Row],[TE_COEFFICIENT_MANUAL]],PROPERTIES[[#This Row],[TE_COEFFICIENT_CALC]]),3)</f>
        <v>0.22500000000000001</v>
      </c>
      <c r="V909" s="37" cm="1">
        <f t="array" ref="V9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09" s="36">
        <v>72</v>
      </c>
      <c r="X909" s="9">
        <v>8</v>
      </c>
      <c r="Y909" s="10">
        <v>0</v>
      </c>
      <c r="Z909" s="9" t="s">
        <v>871</v>
      </c>
      <c r="AA909" s="10" t="s">
        <v>868</v>
      </c>
      <c r="AB909" s="2" t="s">
        <v>886</v>
      </c>
      <c r="AC909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9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9" s="2" t="str">
        <f>SUBSTITUTE(SUBSTITUTE(PROPERTIES[[#This Row],[PURCHASECOST_VALUE]], "PURCHASECOST_", ""), "_VALUE", "")</f>
        <v>EMU</v>
      </c>
      <c r="AF909" s="9" t="str" cm="1">
        <f t="array" ref="AF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9" s="2" t="b">
        <v>0</v>
      </c>
      <c r="AH909" s="10" t="b">
        <v>0</v>
      </c>
    </row>
    <row r="910" spans="1:34">
      <c r="A910" s="2" t="s">
        <v>3348</v>
      </c>
      <c r="B910">
        <v>1877</v>
      </c>
      <c r="C910" cm="1">
        <f t="array" ref="C910">_xlfn.IFS(ISNUMBER(SEARCH("wagon",PROPERTIES[[#This Row],[VEHIDCODE]])),0,OR(MID(PROPERTIES[[#This Row],[VEHIDCODE]],2,2)="mu",_xlfn.TEXTBEFORE(PROPERTIES[[#This Row],[VEHIDCODE]],"_")="mtro"),1,1=1,0)</f>
        <v>0</v>
      </c>
      <c r="E910" t="str">
        <f>_xlfn.XLOOKUP(PROPERTIES[[#This Row],[COUNTRY]],COUNTRIES[COUNTRY_DESCRIPTION],COUNTRIES[COUNTRY_LABEL],"")</f>
        <v/>
      </c>
      <c r="F910" t="str" cm="1">
        <f t="array" ref="F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0" t="s">
        <v>320</v>
      </c>
      <c r="H910">
        <v>42</v>
      </c>
      <c r="I910">
        <v>6</v>
      </c>
      <c r="J910">
        <v>6</v>
      </c>
      <c r="K910" t="str" cm="1">
        <f t="array" ref="K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0">
        <f>_xlfn.XLOOKUP("LOADINGSPEEDDEF_"&amp;PROPERTIES[[#This Row],[LOADINGSPEED]],LOADINGSPEEDDEF[TYPE],LOADINGSPEEDDEF[SPEED])</f>
        <v>40</v>
      </c>
      <c r="M910" cm="1">
        <f t="array" ref="M9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0">
        <f>IF(ISNUMBER(SEARCH("passenger",PROPERTIES[[#This Row],[CARGODEF]])),1,0)</f>
        <v>1</v>
      </c>
      <c r="O910" s="32">
        <v>26</v>
      </c>
      <c r="P910">
        <v>0</v>
      </c>
      <c r="Q910">
        <v>80</v>
      </c>
      <c r="R910" s="29">
        <v>0</v>
      </c>
      <c r="S910" s="28">
        <f>IFERROR(PROPERTIES[[#This Row],[TE_STARTING_KN]]/(PROPERTIES[[#This Row],[WEIGHT]]*9.81),0)</f>
        <v>0</v>
      </c>
      <c r="T910" s="28">
        <v>0.3</v>
      </c>
      <c r="U910" s="25">
        <f>ROUND(IF(IFERROR(PROPERTIES[[#This Row],[TE_COEFFICIENT_CALC]],0)=0,PROPERTIES[[#This Row],[TE_COEFFICIENT_MANUAL]],PROPERTIES[[#This Row],[TE_COEFFICIENT_CALC]]),3)</f>
        <v>0.3</v>
      </c>
      <c r="V910" s="11" cm="1">
        <f t="array" ref="V9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0" s="36">
        <v>0</v>
      </c>
      <c r="X910" s="9">
        <v>0</v>
      </c>
      <c r="Y910" s="10">
        <v>0</v>
      </c>
      <c r="Z910" s="9" t="s">
        <v>871</v>
      </c>
      <c r="AA910" s="10" t="s">
        <v>868</v>
      </c>
      <c r="AB910" s="2" t="s">
        <v>886</v>
      </c>
      <c r="AC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0" s="2" t="str">
        <f>SUBSTITUTE(SUBSTITUTE(PROPERTIES[[#This Row],[PURCHASECOST_VALUE]], "PURCHASECOST_", ""), "_VALUE", "")</f>
        <v>COACH</v>
      </c>
      <c r="AF910" s="9" t="str" cm="1">
        <f t="array" ref="AF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0" s="2" t="b">
        <v>0</v>
      </c>
      <c r="AH910" s="10" t="b">
        <v>0</v>
      </c>
    </row>
    <row r="911" spans="1:34">
      <c r="A911" s="2" t="s">
        <v>3351</v>
      </c>
      <c r="B911">
        <v>1877</v>
      </c>
      <c r="C911" cm="1">
        <f t="array" ref="C911">_xlfn.IFS(ISNUMBER(SEARCH("wagon",PROPERTIES[[#This Row],[VEHIDCODE]])),0,OR(MID(PROPERTIES[[#This Row],[VEHIDCODE]],2,2)="mu",_xlfn.TEXTBEFORE(PROPERTIES[[#This Row],[VEHIDCODE]],"_")="mtro"),1,1=1,0)</f>
        <v>0</v>
      </c>
      <c r="E911" t="str">
        <f>_xlfn.XLOOKUP(PROPERTIES[[#This Row],[COUNTRY]],COUNTRIES[COUNTRY_DESCRIPTION],COUNTRIES[COUNTRY_LABEL],"")</f>
        <v/>
      </c>
      <c r="F911" t="str" cm="1">
        <f t="array" ref="F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1" t="s">
        <v>665</v>
      </c>
      <c r="H911">
        <v>42</v>
      </c>
      <c r="I911">
        <v>6</v>
      </c>
      <c r="J911">
        <v>6</v>
      </c>
      <c r="K911" t="str" cm="1">
        <f t="array" ref="K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1">
        <f>_xlfn.XLOOKUP("LOADINGSPEEDDEF_"&amp;PROPERTIES[[#This Row],[LOADINGSPEED]],LOADINGSPEEDDEF[TYPE],LOADINGSPEEDDEF[SPEED])</f>
        <v>15</v>
      </c>
      <c r="M911" cm="1">
        <f t="array" ref="M9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1">
        <f>IF(ISNUMBER(SEARCH("passenger",PROPERTIES[[#This Row],[CARGODEF]])),1,0)</f>
        <v>0</v>
      </c>
      <c r="O911" s="32">
        <v>26</v>
      </c>
      <c r="P911">
        <v>0</v>
      </c>
      <c r="Q911">
        <v>80</v>
      </c>
      <c r="R911" s="29">
        <v>0</v>
      </c>
      <c r="S911" s="28">
        <f>IFERROR(PROPERTIES[[#This Row],[TE_STARTING_KN]]/(PROPERTIES[[#This Row],[WEIGHT]]*9.81),0)</f>
        <v>0</v>
      </c>
      <c r="T911" s="28">
        <v>0.3</v>
      </c>
      <c r="U911" s="25">
        <f>ROUND(IF(IFERROR(PROPERTIES[[#This Row],[TE_COEFFICIENT_CALC]],0)=0,PROPERTIES[[#This Row],[TE_COEFFICIENT_MANUAL]],PROPERTIES[[#This Row],[TE_COEFFICIENT_CALC]]),3)</f>
        <v>0.3</v>
      </c>
      <c r="V911" s="11" cm="1">
        <f t="array" ref="V9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1" s="36">
        <v>0</v>
      </c>
      <c r="X911" s="9">
        <v>0</v>
      </c>
      <c r="Y911" s="10">
        <v>0</v>
      </c>
      <c r="Z911" s="9" t="s">
        <v>871</v>
      </c>
      <c r="AA911" s="10" t="s">
        <v>868</v>
      </c>
      <c r="AB911" s="2" t="s">
        <v>886</v>
      </c>
      <c r="AC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1" s="2" t="str">
        <f>SUBSTITUTE(SUBSTITUTE(PROPERTIES[[#This Row],[PURCHASECOST_VALUE]], "PURCHASECOST_", ""), "_VALUE", "")</f>
        <v>COACH</v>
      </c>
      <c r="AF911" s="9" t="str" cm="1">
        <f t="array" ref="AF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1" s="2" t="b">
        <v>0</v>
      </c>
      <c r="AH911" s="10" t="b">
        <v>0</v>
      </c>
    </row>
    <row r="912" spans="1:34">
      <c r="A912" s="2" t="s">
        <v>3353</v>
      </c>
      <c r="B912">
        <v>1854</v>
      </c>
      <c r="C912" cm="1">
        <f t="array" ref="C912">_xlfn.IFS(ISNUMBER(SEARCH("wagon",PROPERTIES[[#This Row],[VEHIDCODE]])),0,OR(MID(PROPERTIES[[#This Row],[VEHIDCODE]],2,2)="mu",_xlfn.TEXTBEFORE(PROPERTIES[[#This Row],[VEHIDCODE]],"_")="mtro"),1,1=1,0)</f>
        <v>0</v>
      </c>
      <c r="E912" t="str">
        <f>_xlfn.XLOOKUP(PROPERTIES[[#This Row],[COUNTRY]],COUNTRIES[COUNTRY_DESCRIPTION],COUNTRIES[COUNTRY_LABEL],"")</f>
        <v/>
      </c>
      <c r="F912" t="str" cm="1">
        <f t="array" ref="F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2" t="s">
        <v>320</v>
      </c>
      <c r="H912">
        <v>25</v>
      </c>
      <c r="I912">
        <v>4</v>
      </c>
      <c r="J912">
        <v>4</v>
      </c>
      <c r="K912" t="str" cm="1">
        <f t="array" ref="K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2">
        <f>_xlfn.XLOOKUP("LOADINGSPEEDDEF_"&amp;PROPERTIES[[#This Row],[LOADINGSPEED]],LOADINGSPEEDDEF[TYPE],LOADINGSPEEDDEF[SPEED])</f>
        <v>40</v>
      </c>
      <c r="M912" cm="1">
        <f t="array" ref="M9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2">
        <f>IF(ISNUMBER(SEARCH("passenger",PROPERTIES[[#This Row],[CARGODEF]])),1,0)</f>
        <v>1</v>
      </c>
      <c r="O912" s="32">
        <v>10</v>
      </c>
      <c r="P912">
        <v>0</v>
      </c>
      <c r="Q912">
        <v>60</v>
      </c>
      <c r="R912" s="29">
        <v>0</v>
      </c>
      <c r="S912" s="28">
        <f>IFERROR(PROPERTIES[[#This Row],[TE_STARTING_KN]]/(PROPERTIES[[#This Row],[WEIGHT]]*9.81),0)</f>
        <v>0</v>
      </c>
      <c r="T912" s="28">
        <v>0.3</v>
      </c>
      <c r="U912" s="25">
        <f>ROUND(IF(IFERROR(PROPERTIES[[#This Row],[TE_COEFFICIENT_CALC]],0)=0,PROPERTIES[[#This Row],[TE_COEFFICIENT_MANUAL]],PROPERTIES[[#This Row],[TE_COEFFICIENT_CALC]]),3)</f>
        <v>0.3</v>
      </c>
      <c r="V912" s="11" cm="1">
        <f t="array" ref="V9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2" s="36">
        <v>0</v>
      </c>
      <c r="X912" s="9">
        <v>0</v>
      </c>
      <c r="Y912" s="10">
        <v>0</v>
      </c>
      <c r="Z912" s="9" t="s">
        <v>871</v>
      </c>
      <c r="AA912" s="10" t="s">
        <v>868</v>
      </c>
      <c r="AB912" s="2" t="s">
        <v>886</v>
      </c>
      <c r="AC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2" s="2" t="str">
        <f>SUBSTITUTE(SUBSTITUTE(PROPERTIES[[#This Row],[PURCHASECOST_VALUE]], "PURCHASECOST_", ""), "_VALUE", "")</f>
        <v>COACH</v>
      </c>
      <c r="AF912" s="9" t="str" cm="1">
        <f t="array" ref="AF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2" s="2" t="b">
        <v>0</v>
      </c>
      <c r="AH912" s="10" t="b">
        <v>0</v>
      </c>
    </row>
    <row r="913" spans="1:34">
      <c r="A913" s="2" t="s">
        <v>3354</v>
      </c>
      <c r="B913">
        <v>1854</v>
      </c>
      <c r="C913" cm="1">
        <f t="array" ref="C913">_xlfn.IFS(ISNUMBER(SEARCH("wagon",PROPERTIES[[#This Row],[VEHIDCODE]])),0,OR(MID(PROPERTIES[[#This Row],[VEHIDCODE]],2,2)="mu",_xlfn.TEXTBEFORE(PROPERTIES[[#This Row],[VEHIDCODE]],"_")="mtro"),1,1=1,0)</f>
        <v>0</v>
      </c>
      <c r="E913" t="str">
        <f>_xlfn.XLOOKUP(PROPERTIES[[#This Row],[COUNTRY]],COUNTRIES[COUNTRY_DESCRIPTION],COUNTRIES[COUNTRY_LABEL],"")</f>
        <v/>
      </c>
      <c r="F913" t="str" cm="1">
        <f t="array" ref="F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3" t="s">
        <v>665</v>
      </c>
      <c r="H913">
        <v>25</v>
      </c>
      <c r="I913">
        <v>4</v>
      </c>
      <c r="J913">
        <v>4</v>
      </c>
      <c r="K913" t="str" cm="1">
        <f t="array" ref="K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3">
        <f>_xlfn.XLOOKUP("LOADINGSPEEDDEF_"&amp;PROPERTIES[[#This Row],[LOADINGSPEED]],LOADINGSPEEDDEF[TYPE],LOADINGSPEEDDEF[SPEED])</f>
        <v>15</v>
      </c>
      <c r="M913" cm="1">
        <f t="array" ref="M9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3">
        <f>IF(ISNUMBER(SEARCH("passenger",PROPERTIES[[#This Row],[CARGODEF]])),1,0)</f>
        <v>0</v>
      </c>
      <c r="O913" s="32">
        <v>10</v>
      </c>
      <c r="P913">
        <v>0</v>
      </c>
      <c r="Q913">
        <v>60</v>
      </c>
      <c r="R913" s="29">
        <v>0</v>
      </c>
      <c r="S913" s="28">
        <f>IFERROR(PROPERTIES[[#This Row],[TE_STARTING_KN]]/(PROPERTIES[[#This Row],[WEIGHT]]*9.81),0)</f>
        <v>0</v>
      </c>
      <c r="T913" s="28">
        <v>0.3</v>
      </c>
      <c r="U913" s="25">
        <f>ROUND(IF(IFERROR(PROPERTIES[[#This Row],[TE_COEFFICIENT_CALC]],0)=0,PROPERTIES[[#This Row],[TE_COEFFICIENT_MANUAL]],PROPERTIES[[#This Row],[TE_COEFFICIENT_CALC]]),3)</f>
        <v>0.3</v>
      </c>
      <c r="V913" s="11" cm="1">
        <f t="array" ref="V9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3" s="36">
        <v>0</v>
      </c>
      <c r="X913" s="9">
        <v>0</v>
      </c>
      <c r="Y913" s="10">
        <v>0</v>
      </c>
      <c r="Z913" s="9" t="s">
        <v>871</v>
      </c>
      <c r="AA913" s="10" t="s">
        <v>868</v>
      </c>
      <c r="AB913" s="2" t="s">
        <v>886</v>
      </c>
      <c r="AC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3" s="2" t="str">
        <f>SUBSTITUTE(SUBSTITUTE(PROPERTIES[[#This Row],[PURCHASECOST_VALUE]], "PURCHASECOST_", ""), "_VALUE", "")</f>
        <v>COACH</v>
      </c>
      <c r="AF913" s="9" t="str" cm="1">
        <f t="array" ref="AF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3" s="2" t="b">
        <v>0</v>
      </c>
      <c r="AH913" s="10" t="b">
        <v>0</v>
      </c>
    </row>
    <row r="914" spans="1:34">
      <c r="A914" t="s">
        <v>3357</v>
      </c>
      <c r="B914">
        <v>1877</v>
      </c>
      <c r="C914" cm="1">
        <f t="array" ref="C914">_xlfn.IFS(ISNUMBER(SEARCH("wagon",PROPERTIES[[#This Row],[VEHIDCODE]])),0,OR(MID(PROPERTIES[[#This Row],[VEHIDCODE]],2,2)="mu",_xlfn.TEXTBEFORE(PROPERTIES[[#This Row],[VEHIDCODE]],"_")="mtro"),1,1=1,0)</f>
        <v>0</v>
      </c>
      <c r="E914" t="str">
        <f>_xlfn.XLOOKUP(PROPERTIES[[#This Row],[COUNTRY]],COUNTRIES[COUNTRY_DESCRIPTION],COUNTRIES[COUNTRY_LABEL],"")</f>
        <v/>
      </c>
      <c r="F914" t="str" cm="1">
        <f t="array" ref="F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4" t="s">
        <v>320</v>
      </c>
      <c r="H914">
        <v>35</v>
      </c>
      <c r="I914">
        <v>4</v>
      </c>
      <c r="J914">
        <v>4</v>
      </c>
      <c r="K914" t="str" cm="1">
        <f t="array" ref="K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4">
        <f>_xlfn.XLOOKUP("LOADINGSPEEDDEF_"&amp;PROPERTIES[[#This Row],[LOADINGSPEED]],LOADINGSPEEDDEF[TYPE],LOADINGSPEEDDEF[SPEED])</f>
        <v>40</v>
      </c>
      <c r="M914" cm="1">
        <f t="array" ref="M9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4">
        <f>IF(ISNUMBER(SEARCH("passenger",PROPERTIES[[#This Row],[CARGODEF]])),1,0)</f>
        <v>1</v>
      </c>
      <c r="O914" s="32">
        <v>15</v>
      </c>
      <c r="P914">
        <v>0</v>
      </c>
      <c r="Q914">
        <v>60</v>
      </c>
      <c r="R914" s="29">
        <v>0</v>
      </c>
      <c r="S914" s="29">
        <f>IFERROR(PROPERTIES[[#This Row],[TE_STARTING_KN]]/(PROPERTIES[[#This Row],[WEIGHT]]*9.81),0)</f>
        <v>0</v>
      </c>
      <c r="T914" s="28">
        <v>0.3</v>
      </c>
      <c r="U914" s="25">
        <f>ROUND(IF(IFERROR(PROPERTIES[[#This Row],[TE_COEFFICIENT_CALC]],0)=0,PROPERTIES[[#This Row],[TE_COEFFICIENT_MANUAL]],PROPERTIES[[#This Row],[TE_COEFFICIENT_CALC]]),3)</f>
        <v>0.3</v>
      </c>
      <c r="V914" s="37" cm="1">
        <f t="array" ref="V9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4" s="36">
        <v>0</v>
      </c>
      <c r="X914" s="9">
        <v>0</v>
      </c>
      <c r="Y914" s="10">
        <v>0</v>
      </c>
      <c r="Z914" s="9" t="s">
        <v>871</v>
      </c>
      <c r="AA914" s="10" t="s">
        <v>868</v>
      </c>
      <c r="AB914" s="2" t="s">
        <v>886</v>
      </c>
      <c r="AC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4" s="2" t="str">
        <f>SUBSTITUTE(SUBSTITUTE(PROPERTIES[[#This Row],[PURCHASECOST_VALUE]], "PURCHASECOST_", ""), "_VALUE", "")</f>
        <v>COACH</v>
      </c>
      <c r="AF914" s="9" t="str" cm="1">
        <f t="array" ref="AF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4" s="2" t="b">
        <v>0</v>
      </c>
      <c r="AH914" s="10" t="b">
        <v>0</v>
      </c>
    </row>
    <row r="915" spans="1:34">
      <c r="A915" s="2" t="s">
        <v>3358</v>
      </c>
      <c r="B915">
        <v>1865</v>
      </c>
      <c r="C915" cm="1">
        <f t="array" ref="C915">_xlfn.IFS(ISNUMBER(SEARCH("wagon",PROPERTIES[[#This Row],[VEHIDCODE]])),0,OR(MID(PROPERTIES[[#This Row],[VEHIDCODE]],2,2)="mu",_xlfn.TEXTBEFORE(PROPERTIES[[#This Row],[VEHIDCODE]],"_")="mtro"),1,1=1,0)</f>
        <v>0</v>
      </c>
      <c r="E915" t="str">
        <f>_xlfn.XLOOKUP(PROPERTIES[[#This Row],[COUNTRY]],COUNTRIES[COUNTRY_DESCRIPTION],COUNTRIES[COUNTRY_LABEL],"")</f>
        <v/>
      </c>
      <c r="F915" t="str" cm="1">
        <f t="array" ref="F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5" t="s">
        <v>320</v>
      </c>
      <c r="H915">
        <v>33</v>
      </c>
      <c r="I915">
        <v>4</v>
      </c>
      <c r="J915">
        <v>4</v>
      </c>
      <c r="K915" t="str" cm="1">
        <f t="array" ref="K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5">
        <f>_xlfn.XLOOKUP("LOADINGSPEEDDEF_"&amp;PROPERTIES[[#This Row],[LOADINGSPEED]],LOADINGSPEEDDEF[TYPE],LOADINGSPEEDDEF[SPEED])</f>
        <v>40</v>
      </c>
      <c r="M915" cm="1">
        <f t="array" ref="M9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5">
        <f>IF(ISNUMBER(SEARCH("passenger",PROPERTIES[[#This Row],[CARGODEF]])),1,0)</f>
        <v>1</v>
      </c>
      <c r="O915" s="32">
        <v>14</v>
      </c>
      <c r="P915">
        <v>0</v>
      </c>
      <c r="Q915">
        <v>60</v>
      </c>
      <c r="R915" s="29">
        <v>0</v>
      </c>
      <c r="S915" s="29">
        <f>IFERROR(PROPERTIES[[#This Row],[TE_STARTING_KN]]/(PROPERTIES[[#This Row],[WEIGHT]]*9.81),0)</f>
        <v>0</v>
      </c>
      <c r="T915" s="28">
        <v>0.3</v>
      </c>
      <c r="U915" s="25">
        <f>ROUND(IF(IFERROR(PROPERTIES[[#This Row],[TE_COEFFICIENT_CALC]],0)=0,PROPERTIES[[#This Row],[TE_COEFFICIENT_MANUAL]],PROPERTIES[[#This Row],[TE_COEFFICIENT_CALC]]),3)</f>
        <v>0.3</v>
      </c>
      <c r="V915" s="37" cm="1">
        <f t="array" ref="V9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5" s="36">
        <v>0</v>
      </c>
      <c r="X915" s="9">
        <v>0</v>
      </c>
      <c r="Y915" s="10">
        <v>0</v>
      </c>
      <c r="Z915" s="9" t="s">
        <v>871</v>
      </c>
      <c r="AA915" s="10" t="s">
        <v>868</v>
      </c>
      <c r="AB915" s="2" t="s">
        <v>886</v>
      </c>
      <c r="AC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5" s="2" t="str">
        <f>SUBSTITUTE(SUBSTITUTE(PROPERTIES[[#This Row],[PURCHASECOST_VALUE]], "PURCHASECOST_", ""), "_VALUE", "")</f>
        <v>COACH</v>
      </c>
      <c r="AF915" s="9" t="str" cm="1">
        <f t="array" ref="AF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5" s="2" t="b">
        <v>0</v>
      </c>
      <c r="AH915" s="10" t="b">
        <v>0</v>
      </c>
    </row>
    <row r="916" spans="1:34">
      <c r="A916" s="2" t="s">
        <v>3361</v>
      </c>
      <c r="B916">
        <v>1972</v>
      </c>
      <c r="C916" cm="1">
        <f t="array" ref="C916">_xlfn.IFS(ISNUMBER(SEARCH("wagon",PROPERTIES[[#This Row],[VEHIDCODE]])),0,OR(MID(PROPERTIES[[#This Row],[VEHIDCODE]],2,2)="mu",_xlfn.TEXTBEFORE(PROPERTIES[[#This Row],[VEHIDCODE]],"_")="mtro"),1,1=1,0)</f>
        <v>0</v>
      </c>
      <c r="E916" t="str">
        <f>_xlfn.XLOOKUP(PROPERTIES[[#This Row],[COUNTRY]],COUNTRIES[COUNTRY_DESCRIPTION],COUNTRIES[COUNTRY_LABEL],"")</f>
        <v/>
      </c>
      <c r="F916" t="str" cm="1">
        <f t="array" ref="F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6" t="s">
        <v>320</v>
      </c>
      <c r="H916">
        <v>91</v>
      </c>
      <c r="I916">
        <v>8</v>
      </c>
      <c r="J916">
        <v>8</v>
      </c>
      <c r="K916" t="str" cm="1">
        <f t="array" ref="K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6">
        <f>_xlfn.XLOOKUP("LOADINGSPEEDDEF_"&amp;PROPERTIES[[#This Row],[LOADINGSPEED]],LOADINGSPEEDDEF[TYPE],LOADINGSPEEDDEF[SPEED])</f>
        <v>40</v>
      </c>
      <c r="M916" cm="1">
        <f t="array" ref="M9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6">
        <f>IF(ISNUMBER(SEARCH("passenger",PROPERTIES[[#This Row],[CARGODEF]])),1,0)</f>
        <v>1</v>
      </c>
      <c r="O916" s="32">
        <v>35</v>
      </c>
      <c r="P916">
        <v>0</v>
      </c>
      <c r="Q916">
        <v>160</v>
      </c>
      <c r="R916" s="29">
        <v>0</v>
      </c>
      <c r="S916" s="29">
        <f>IFERROR(PROPERTIES[[#This Row],[TE_STARTING_KN]]/(PROPERTIES[[#This Row],[WEIGHT]]*9.81),0)</f>
        <v>0</v>
      </c>
      <c r="T916" s="29">
        <v>0.3</v>
      </c>
      <c r="U916" s="25">
        <f>ROUND(IF(IFERROR(PROPERTIES[[#This Row],[TE_COEFFICIENT_CALC]],0)=0,PROPERTIES[[#This Row],[TE_COEFFICIENT_MANUAL]],PROPERTIES[[#This Row],[TE_COEFFICIENT_CALC]]),3)</f>
        <v>0.3</v>
      </c>
      <c r="V916" s="37" cm="1">
        <f t="array" ref="V9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6" s="36">
        <v>0</v>
      </c>
      <c r="X916" s="9">
        <v>0</v>
      </c>
      <c r="Y916" s="10">
        <v>0</v>
      </c>
      <c r="Z916" s="9" t="s">
        <v>879</v>
      </c>
      <c r="AA916" s="9" t="s">
        <v>871</v>
      </c>
      <c r="AB916" s="2" t="s">
        <v>886</v>
      </c>
      <c r="AC916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6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6" s="2" t="str">
        <f>SUBSTITUTE(SUBSTITUTE(PROPERTIES[[#This Row],[PURCHASECOST_VALUE]], "PURCHASECOST_", ""), "_VALUE", "")</f>
        <v>COACH</v>
      </c>
      <c r="AF916" s="9" t="str" cm="1">
        <f t="array" ref="AF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16" s="2" t="b">
        <v>0</v>
      </c>
      <c r="AH916" s="10" t="b">
        <v>0</v>
      </c>
    </row>
    <row r="917" spans="1:34">
      <c r="A917" s="2" t="s">
        <v>3362</v>
      </c>
      <c r="B917">
        <v>1972</v>
      </c>
      <c r="C917" cm="1">
        <f t="array" ref="C917">_xlfn.IFS(ISNUMBER(SEARCH("wagon",PROPERTIES[[#This Row],[VEHIDCODE]])),0,OR(MID(PROPERTIES[[#This Row],[VEHIDCODE]],2,2)="mu",_xlfn.TEXTBEFORE(PROPERTIES[[#This Row],[VEHIDCODE]],"_")="mtro"),1,1=1,0)</f>
        <v>0</v>
      </c>
      <c r="E917" t="str">
        <f>_xlfn.XLOOKUP(PROPERTIES[[#This Row],[COUNTRY]],COUNTRIES[COUNTRY_DESCRIPTION],COUNTRIES[COUNTRY_LABEL],"")</f>
        <v/>
      </c>
      <c r="F917" t="str" cm="1">
        <f t="array" ref="F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7" t="s">
        <v>665</v>
      </c>
      <c r="H917">
        <v>91</v>
      </c>
      <c r="I917">
        <v>8</v>
      </c>
      <c r="J917">
        <v>8</v>
      </c>
      <c r="K917" t="str" cm="1">
        <f t="array" ref="K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7">
        <f>_xlfn.XLOOKUP("LOADINGSPEEDDEF_"&amp;PROPERTIES[[#This Row],[LOADINGSPEED]],LOADINGSPEEDDEF[TYPE],LOADINGSPEEDDEF[SPEED])</f>
        <v>15</v>
      </c>
      <c r="M917" cm="1">
        <f t="array" ref="M9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7">
        <f>IF(ISNUMBER(SEARCH("passenger",PROPERTIES[[#This Row],[CARGODEF]])),1,0)</f>
        <v>0</v>
      </c>
      <c r="O917" s="32">
        <v>35</v>
      </c>
      <c r="P917">
        <v>0</v>
      </c>
      <c r="Q917">
        <v>160</v>
      </c>
      <c r="R917" s="29">
        <v>0</v>
      </c>
      <c r="S917" s="29">
        <f>IFERROR(PROPERTIES[[#This Row],[TE_STARTING_KN]]/(PROPERTIES[[#This Row],[WEIGHT]]*9.81),0)</f>
        <v>0</v>
      </c>
      <c r="T917" s="29">
        <v>0.3</v>
      </c>
      <c r="U917" s="25">
        <f>ROUND(IF(IFERROR(PROPERTIES[[#This Row],[TE_COEFFICIENT_CALC]],0)=0,PROPERTIES[[#This Row],[TE_COEFFICIENT_MANUAL]],PROPERTIES[[#This Row],[TE_COEFFICIENT_CALC]]),3)</f>
        <v>0.3</v>
      </c>
      <c r="V917" s="37" cm="1">
        <f t="array" ref="V9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7" s="36">
        <v>0</v>
      </c>
      <c r="X917" s="9">
        <v>0</v>
      </c>
      <c r="Y917" s="10">
        <v>0</v>
      </c>
      <c r="Z917" s="9" t="s">
        <v>879</v>
      </c>
      <c r="AA917" s="9" t="s">
        <v>871</v>
      </c>
      <c r="AB917" s="2" t="s">
        <v>886</v>
      </c>
      <c r="AC917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7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7" s="2" t="str">
        <f>SUBSTITUTE(SUBSTITUTE(PROPERTIES[[#This Row],[PURCHASECOST_VALUE]], "PURCHASECOST_", ""), "_VALUE", "")</f>
        <v>COACH</v>
      </c>
      <c r="AF917" s="9" t="str" cm="1">
        <f t="array" ref="AF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7" s="2" t="b">
        <v>0</v>
      </c>
      <c r="AH917" s="10" t="b">
        <v>0</v>
      </c>
    </row>
    <row r="918" spans="1:34">
      <c r="A918" s="2" t="s">
        <v>3365</v>
      </c>
      <c r="B918">
        <v>1984</v>
      </c>
      <c r="C918" cm="1">
        <f t="array" ref="C918">_xlfn.IFS(ISNUMBER(SEARCH("wagon",PROPERTIES[[#This Row],[VEHIDCODE]])),0,OR(MID(PROPERTIES[[#This Row],[VEHIDCODE]],2,2)="mu",_xlfn.TEXTBEFORE(PROPERTIES[[#This Row],[VEHIDCODE]],"_")="mtro"),1,1=1,0)</f>
        <v>0</v>
      </c>
      <c r="E918" t="str">
        <f>_xlfn.XLOOKUP(PROPERTIES[[#This Row],[COUNTRY]],COUNTRIES[COUNTRY_DESCRIPTION],COUNTRIES[COUNTRY_LABEL],"")</f>
        <v/>
      </c>
      <c r="F918" t="str" cm="1">
        <f t="array" ref="F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8" t="s">
        <v>320</v>
      </c>
      <c r="H918">
        <v>170</v>
      </c>
      <c r="I918">
        <v>8</v>
      </c>
      <c r="J918">
        <v>8</v>
      </c>
      <c r="K918" t="str" cm="1">
        <f t="array" ref="K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8">
        <f>_xlfn.XLOOKUP("LOADINGSPEEDDEF_"&amp;PROPERTIES[[#This Row],[LOADINGSPEED]],LOADINGSPEEDDEF[TYPE],LOADINGSPEEDDEF[SPEED])</f>
        <v>40</v>
      </c>
      <c r="M918" cm="1">
        <f t="array" ref="M9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8">
        <f>IF(ISNUMBER(SEARCH("passenger",PROPERTIES[[#This Row],[CARGODEF]])),1,0)</f>
        <v>1</v>
      </c>
      <c r="O918" s="32">
        <v>48</v>
      </c>
      <c r="P918">
        <v>0</v>
      </c>
      <c r="Q918">
        <v>115</v>
      </c>
      <c r="R918" s="29">
        <v>0</v>
      </c>
      <c r="S918" s="29">
        <f>IFERROR(PROPERTIES[[#This Row],[TE_STARTING_KN]]/(PROPERTIES[[#This Row],[WEIGHT]]*9.81),0)</f>
        <v>0</v>
      </c>
      <c r="T918" s="29">
        <v>0.3</v>
      </c>
      <c r="U918" s="25">
        <f>ROUND(IF(IFERROR(PROPERTIES[[#This Row],[TE_COEFFICIENT_CALC]],0)=0,PROPERTIES[[#This Row],[TE_COEFFICIENT_MANUAL]],PROPERTIES[[#This Row],[TE_COEFFICIENT_CALC]]),3)</f>
        <v>0.3</v>
      </c>
      <c r="V918" s="37" cm="1">
        <f t="array" ref="V9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8" s="36">
        <v>0</v>
      </c>
      <c r="X918" s="9">
        <v>0</v>
      </c>
      <c r="Y918" s="10">
        <v>0</v>
      </c>
      <c r="Z918" s="9" t="s">
        <v>871</v>
      </c>
      <c r="AA918" s="10" t="s">
        <v>868</v>
      </c>
      <c r="AB918" s="2" t="s">
        <v>887</v>
      </c>
      <c r="AC918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8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8" s="2" t="str">
        <f>SUBSTITUTE(SUBSTITUTE(PROPERTIES[[#This Row],[PURCHASECOST_VALUE]], "PURCHASECOST_", ""), "_VALUE", "")</f>
        <v>COACH</v>
      </c>
      <c r="AF918" s="9" t="str" cm="1">
        <f t="array" ref="AF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8" s="2" t="b">
        <v>0</v>
      </c>
      <c r="AH918" s="10" t="b">
        <v>0</v>
      </c>
    </row>
    <row r="919" spans="1:34">
      <c r="A919" s="2" t="s">
        <v>3367</v>
      </c>
      <c r="B919">
        <v>1992</v>
      </c>
      <c r="C919" cm="1">
        <f t="array" ref="C919">_xlfn.IFS(ISNUMBER(SEARCH("wagon",PROPERTIES[[#This Row],[VEHIDCODE]])),0,OR(MID(PROPERTIES[[#This Row],[VEHIDCODE]],2,2)="mu",_xlfn.TEXTBEFORE(PROPERTIES[[#This Row],[VEHIDCODE]],"_")="mtro"),1,1=1,0)</f>
        <v>0</v>
      </c>
      <c r="E919" t="str">
        <f>_xlfn.XLOOKUP(PROPERTIES[[#This Row],[COUNTRY]],COUNTRIES[COUNTRY_DESCRIPTION],COUNTRIES[COUNTRY_LABEL],"")</f>
        <v/>
      </c>
      <c r="F919" t="str" cm="1">
        <f t="array" ref="F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9" t="s">
        <v>320</v>
      </c>
      <c r="H919">
        <v>175</v>
      </c>
      <c r="I919">
        <v>8</v>
      </c>
      <c r="J919">
        <v>8</v>
      </c>
      <c r="K919" t="str" cm="1">
        <f t="array" ref="K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9">
        <f>_xlfn.XLOOKUP("LOADINGSPEEDDEF_"&amp;PROPERTIES[[#This Row],[LOADINGSPEED]],LOADINGSPEEDDEF[TYPE],LOADINGSPEEDDEF[SPEED])</f>
        <v>40</v>
      </c>
      <c r="M919" cm="1">
        <f t="array" ref="M9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9">
        <f>IF(ISNUMBER(SEARCH("passenger",PROPERTIES[[#This Row],[CARGODEF]])),1,0)</f>
        <v>1</v>
      </c>
      <c r="O919" s="32">
        <v>46</v>
      </c>
      <c r="P919">
        <v>0</v>
      </c>
      <c r="Q919">
        <v>115</v>
      </c>
      <c r="R919" s="29">
        <v>0</v>
      </c>
      <c r="S919" s="29">
        <f>IFERROR(PROPERTIES[[#This Row],[TE_STARTING_KN]]/(PROPERTIES[[#This Row],[WEIGHT]]*9.81),0)</f>
        <v>0</v>
      </c>
      <c r="T919" s="29">
        <v>0.3</v>
      </c>
      <c r="U919" s="25">
        <f>ROUND(IF(IFERROR(PROPERTIES[[#This Row],[TE_COEFFICIENT_CALC]],0)=0,PROPERTIES[[#This Row],[TE_COEFFICIENT_MANUAL]],PROPERTIES[[#This Row],[TE_COEFFICIENT_CALC]]),3)</f>
        <v>0.3</v>
      </c>
      <c r="V919" s="37" cm="1">
        <f t="array" ref="V9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9" s="36">
        <v>0</v>
      </c>
      <c r="X919" s="9">
        <v>0</v>
      </c>
      <c r="Y919" s="10">
        <v>0</v>
      </c>
      <c r="Z919" s="9" t="s">
        <v>871</v>
      </c>
      <c r="AA919" s="10" t="s">
        <v>868</v>
      </c>
      <c r="AB919" s="2" t="s">
        <v>887</v>
      </c>
      <c r="AC919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9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9" s="2" t="str">
        <f>SUBSTITUTE(SUBSTITUTE(PROPERTIES[[#This Row],[PURCHASECOST_VALUE]], "PURCHASECOST_", ""), "_VALUE", "")</f>
        <v>COACH</v>
      </c>
      <c r="AF919" s="9" t="str" cm="1">
        <f t="array" ref="AF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9" s="2" t="b">
        <v>0</v>
      </c>
      <c r="AH919" s="10" t="b">
        <v>0</v>
      </c>
    </row>
    <row r="920" spans="1:34">
      <c r="A920" s="2" t="s">
        <v>3369</v>
      </c>
      <c r="B920">
        <v>1989</v>
      </c>
      <c r="C920" cm="1">
        <f t="array" ref="C920">_xlfn.IFS(ISNUMBER(SEARCH("wagon",PROPERTIES[[#This Row],[VEHIDCODE]])),0,OR(MID(PROPERTIES[[#This Row],[VEHIDCODE]],2,2)="mu",_xlfn.TEXTBEFORE(PROPERTIES[[#This Row],[VEHIDCODE]],"_")="mtro"),1,1=1,0)</f>
        <v>0</v>
      </c>
      <c r="E920" t="str">
        <f>_xlfn.XLOOKUP(PROPERTIES[[#This Row],[COUNTRY]],COUNTRIES[COUNTRY_DESCRIPTION],COUNTRIES[COUNTRY_LABEL],"")</f>
        <v/>
      </c>
      <c r="F920" t="str" cm="1">
        <f t="array" ref="F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0" t="s">
        <v>320</v>
      </c>
      <c r="H920">
        <v>173</v>
      </c>
      <c r="I920">
        <v>8</v>
      </c>
      <c r="J920">
        <v>8</v>
      </c>
      <c r="K920" t="str" cm="1">
        <f t="array" ref="K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0">
        <f>_xlfn.XLOOKUP("LOADINGSPEEDDEF_"&amp;PROPERTIES[[#This Row],[LOADINGSPEED]],LOADINGSPEEDDEF[TYPE],LOADINGSPEEDDEF[SPEED])</f>
        <v>40</v>
      </c>
      <c r="M920" cm="1">
        <f t="array" ref="M9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0">
        <f>IF(ISNUMBER(SEARCH("passenger",PROPERTIES[[#This Row],[CARGODEF]])),1,0)</f>
        <v>1</v>
      </c>
      <c r="O920" s="32">
        <v>46</v>
      </c>
      <c r="P920">
        <v>0</v>
      </c>
      <c r="Q920">
        <v>115</v>
      </c>
      <c r="R920" s="29">
        <v>0</v>
      </c>
      <c r="S920" s="29">
        <f>IFERROR(PROPERTIES[[#This Row],[TE_STARTING_KN]]/(PROPERTIES[[#This Row],[WEIGHT]]*9.81),0)</f>
        <v>0</v>
      </c>
      <c r="T920" s="29">
        <v>0.3</v>
      </c>
      <c r="U920" s="25">
        <f>ROUND(IF(IFERROR(PROPERTIES[[#This Row],[TE_COEFFICIENT_CALC]],0)=0,PROPERTIES[[#This Row],[TE_COEFFICIENT_MANUAL]],PROPERTIES[[#This Row],[TE_COEFFICIENT_CALC]]),3)</f>
        <v>0.3</v>
      </c>
      <c r="V920" s="37" cm="1">
        <f t="array" ref="V9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0" s="36">
        <v>0</v>
      </c>
      <c r="X920" s="9">
        <v>0</v>
      </c>
      <c r="Y920" s="10">
        <v>0</v>
      </c>
      <c r="Z920" s="9" t="s">
        <v>871</v>
      </c>
      <c r="AA920" s="10" t="s">
        <v>868</v>
      </c>
      <c r="AB920" s="2" t="s">
        <v>887</v>
      </c>
      <c r="AC920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0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0" s="2" t="str">
        <f>SUBSTITUTE(SUBSTITUTE(PROPERTIES[[#This Row],[PURCHASECOST_VALUE]], "PURCHASECOST_", ""), "_VALUE", "")</f>
        <v>COACH</v>
      </c>
      <c r="AF920" s="9" t="str" cm="1">
        <f t="array" ref="AF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0" s="2" t="b">
        <v>0</v>
      </c>
      <c r="AH920" s="10" t="b">
        <v>0</v>
      </c>
    </row>
    <row r="921" spans="1:34">
      <c r="A921" s="2" t="s">
        <v>3371</v>
      </c>
      <c r="B921">
        <v>1971</v>
      </c>
      <c r="C921" cm="1">
        <f t="array" ref="C921">_xlfn.IFS(ISNUMBER(SEARCH("wagon",PROPERTIES[[#This Row],[VEHIDCODE]])),0,OR(MID(PROPERTIES[[#This Row],[VEHIDCODE]],2,2)="mu",_xlfn.TEXTBEFORE(PROPERTIES[[#This Row],[VEHIDCODE]],"_")="mtro"),1,1=1,0)</f>
        <v>0</v>
      </c>
      <c r="E921" t="str">
        <f>_xlfn.XLOOKUP(PROPERTIES[[#This Row],[COUNTRY]],COUNTRIES[COUNTRY_DESCRIPTION],COUNTRIES[COUNTRY_LABEL],"")</f>
        <v/>
      </c>
      <c r="F921" t="str" cm="1">
        <f t="array" ref="F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1" t="s">
        <v>320</v>
      </c>
      <c r="H921">
        <v>87</v>
      </c>
      <c r="I921">
        <v>8</v>
      </c>
      <c r="J921">
        <v>8</v>
      </c>
      <c r="K921" t="str" cm="1">
        <f t="array" ref="K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1">
        <f>_xlfn.XLOOKUP("LOADINGSPEEDDEF_"&amp;PROPERTIES[[#This Row],[LOADINGSPEED]],LOADINGSPEEDDEF[TYPE],LOADINGSPEEDDEF[SPEED])</f>
        <v>40</v>
      </c>
      <c r="M921" cm="1">
        <f t="array" ref="M9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1">
        <f>IF(ISNUMBER(SEARCH("passenger",PROPERTIES[[#This Row],[CARGODEF]])),1,0)</f>
        <v>1</v>
      </c>
      <c r="O921" s="32">
        <v>38</v>
      </c>
      <c r="P921">
        <v>0</v>
      </c>
      <c r="Q921">
        <v>115</v>
      </c>
      <c r="R921" s="29">
        <v>0</v>
      </c>
      <c r="S921" s="29">
        <f>IFERROR(PROPERTIES[[#This Row],[TE_STARTING_KN]]/(PROPERTIES[[#This Row],[WEIGHT]]*9.81),0)</f>
        <v>0</v>
      </c>
      <c r="T921" s="29">
        <v>0.3</v>
      </c>
      <c r="U921" s="25">
        <f>ROUND(IF(IFERROR(PROPERTIES[[#This Row],[TE_COEFFICIENT_CALC]],0)=0,PROPERTIES[[#This Row],[TE_COEFFICIENT_MANUAL]],PROPERTIES[[#This Row],[TE_COEFFICIENT_CALC]]),3)</f>
        <v>0.3</v>
      </c>
      <c r="V921" s="37" cm="1">
        <f t="array" ref="V9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1" s="36">
        <v>0</v>
      </c>
      <c r="X921" s="9">
        <v>0</v>
      </c>
      <c r="Y921" s="10">
        <v>0</v>
      </c>
      <c r="Z921" s="9" t="s">
        <v>871</v>
      </c>
      <c r="AA921" s="10" t="s">
        <v>868</v>
      </c>
      <c r="AB921" s="2" t="s">
        <v>886</v>
      </c>
      <c r="AC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1" s="2" t="str">
        <f>SUBSTITUTE(SUBSTITUTE(PROPERTIES[[#This Row],[PURCHASECOST_VALUE]], "PURCHASECOST_", ""), "_VALUE", "")</f>
        <v>COACH</v>
      </c>
      <c r="AF921" s="9" t="str" cm="1">
        <f t="array" ref="AF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1" s="2" t="b">
        <v>0</v>
      </c>
      <c r="AH921" s="10" t="b">
        <v>0</v>
      </c>
    </row>
    <row r="922" spans="1:34">
      <c r="A922" s="2" t="s">
        <v>3373</v>
      </c>
      <c r="B922">
        <v>1971</v>
      </c>
      <c r="C922" cm="1">
        <f t="array" ref="C922">_xlfn.IFS(ISNUMBER(SEARCH("wagon",PROPERTIES[[#This Row],[VEHIDCODE]])),0,OR(MID(PROPERTIES[[#This Row],[VEHIDCODE]],2,2)="mu",_xlfn.TEXTBEFORE(PROPERTIES[[#This Row],[VEHIDCODE]],"_")="mtro"),1,1=1,0)</f>
        <v>0</v>
      </c>
      <c r="E922" t="str">
        <f>_xlfn.XLOOKUP(PROPERTIES[[#This Row],[COUNTRY]],COUNTRIES[COUNTRY_DESCRIPTION],COUNTRIES[COUNTRY_LABEL],"")</f>
        <v/>
      </c>
      <c r="F922" t="str" cm="1">
        <f t="array" ref="F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2" t="s">
        <v>665</v>
      </c>
      <c r="H922">
        <v>87</v>
      </c>
      <c r="I922">
        <v>8</v>
      </c>
      <c r="J922">
        <v>8</v>
      </c>
      <c r="K922" t="str" cm="1">
        <f t="array" ref="K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2">
        <f>_xlfn.XLOOKUP("LOADINGSPEEDDEF_"&amp;PROPERTIES[[#This Row],[LOADINGSPEED]],LOADINGSPEEDDEF[TYPE],LOADINGSPEEDDEF[SPEED])</f>
        <v>15</v>
      </c>
      <c r="M922" cm="1">
        <f t="array" ref="M9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2">
        <f>IF(ISNUMBER(SEARCH("passenger",PROPERTIES[[#This Row],[CARGODEF]])),1,0)</f>
        <v>0</v>
      </c>
      <c r="O922" s="32">
        <v>38</v>
      </c>
      <c r="P922">
        <v>0</v>
      </c>
      <c r="Q922">
        <v>115</v>
      </c>
      <c r="R922" s="29">
        <v>0</v>
      </c>
      <c r="S922" s="29">
        <f>IFERROR(PROPERTIES[[#This Row],[TE_STARTING_KN]]/(PROPERTIES[[#This Row],[WEIGHT]]*9.81),0)</f>
        <v>0</v>
      </c>
      <c r="T922" s="29">
        <v>0.3</v>
      </c>
      <c r="U922" s="25">
        <f>ROUND(IF(IFERROR(PROPERTIES[[#This Row],[TE_COEFFICIENT_CALC]],0)=0,PROPERTIES[[#This Row],[TE_COEFFICIENT_MANUAL]],PROPERTIES[[#This Row],[TE_COEFFICIENT_CALC]]),3)</f>
        <v>0.3</v>
      </c>
      <c r="V922" s="37" cm="1">
        <f t="array" ref="V9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2" s="36">
        <v>0</v>
      </c>
      <c r="X922" s="9">
        <v>0</v>
      </c>
      <c r="Y922" s="10">
        <v>0</v>
      </c>
      <c r="Z922" s="9" t="s">
        <v>871</v>
      </c>
      <c r="AA922" s="10" t="s">
        <v>868</v>
      </c>
      <c r="AB922" s="2" t="s">
        <v>886</v>
      </c>
      <c r="AC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2" s="2" t="str">
        <f>SUBSTITUTE(SUBSTITUTE(PROPERTIES[[#This Row],[PURCHASECOST_VALUE]], "PURCHASECOST_", ""), "_VALUE", "")</f>
        <v>COACH</v>
      </c>
      <c r="AF922" s="9" t="str" cm="1">
        <f t="array" ref="AF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2" s="2" t="b">
        <v>0</v>
      </c>
      <c r="AH922" s="10" t="b">
        <v>0</v>
      </c>
    </row>
    <row r="923" spans="1:34">
      <c r="A923" s="2" t="s">
        <v>3375</v>
      </c>
      <c r="B923">
        <v>1981</v>
      </c>
      <c r="C923" cm="1">
        <f t="array" ref="C923">_xlfn.IFS(ISNUMBER(SEARCH("wagon",PROPERTIES[[#This Row],[VEHIDCODE]])),0,OR(MID(PROPERTIES[[#This Row],[VEHIDCODE]],2,2)="mu",_xlfn.TEXTBEFORE(PROPERTIES[[#This Row],[VEHIDCODE]],"_")="mtro"),1,1=1,0)</f>
        <v>0</v>
      </c>
      <c r="E923" t="str">
        <f>_xlfn.XLOOKUP(PROPERTIES[[#This Row],[COUNTRY]],COUNTRIES[COUNTRY_DESCRIPTION],COUNTRIES[COUNTRY_LABEL],"")</f>
        <v/>
      </c>
      <c r="F923" t="str" cm="1">
        <f t="array" ref="F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3" t="s">
        <v>320</v>
      </c>
      <c r="H923">
        <v>91</v>
      </c>
      <c r="I923">
        <v>8</v>
      </c>
      <c r="J923">
        <v>8</v>
      </c>
      <c r="K923" t="str" cm="1">
        <f t="array" ref="K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3">
        <f>_xlfn.XLOOKUP("LOADINGSPEEDDEF_"&amp;PROPERTIES[[#This Row],[LOADINGSPEED]],LOADINGSPEEDDEF[TYPE],LOADINGSPEEDDEF[SPEED])</f>
        <v>40</v>
      </c>
      <c r="M923" cm="1">
        <f t="array" ref="M9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3">
        <f>IF(ISNUMBER(SEARCH("passenger",PROPERTIES[[#This Row],[CARGODEF]])),1,0)</f>
        <v>1</v>
      </c>
      <c r="O923" s="32">
        <v>35</v>
      </c>
      <c r="P923">
        <v>0</v>
      </c>
      <c r="Q923">
        <v>160</v>
      </c>
      <c r="R923" s="29">
        <v>0</v>
      </c>
      <c r="S923" s="29">
        <f>IFERROR(PROPERTIES[[#This Row],[TE_STARTING_KN]]/(PROPERTIES[[#This Row],[WEIGHT]]*9.81),0)</f>
        <v>0</v>
      </c>
      <c r="T923" s="29">
        <v>0.3</v>
      </c>
      <c r="U923" s="25">
        <f>ROUND(IF(IFERROR(PROPERTIES[[#This Row],[TE_COEFFICIENT_CALC]],0)=0,PROPERTIES[[#This Row],[TE_COEFFICIENT_MANUAL]],PROPERTIES[[#This Row],[TE_COEFFICIENT_CALC]]),3)</f>
        <v>0.3</v>
      </c>
      <c r="V923" s="37" cm="1">
        <f t="array" ref="V9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3" s="36">
        <v>0</v>
      </c>
      <c r="X923" s="9">
        <v>0</v>
      </c>
      <c r="Y923" s="10">
        <v>0</v>
      </c>
      <c r="Z923" s="9" t="s">
        <v>871</v>
      </c>
      <c r="AA923" s="10" t="s">
        <v>868</v>
      </c>
      <c r="AB923" s="2" t="s">
        <v>886</v>
      </c>
      <c r="AC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3" s="2" t="str">
        <f>SUBSTITUTE(SUBSTITUTE(PROPERTIES[[#This Row],[PURCHASECOST_VALUE]], "PURCHASECOST_", ""), "_VALUE", "")</f>
        <v>COACH</v>
      </c>
      <c r="AF923" s="9" t="str" cm="1">
        <f t="array" ref="AF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23" s="2" t="b">
        <v>0</v>
      </c>
      <c r="AH923" s="10" t="b">
        <v>0</v>
      </c>
    </row>
    <row r="924" spans="1:34">
      <c r="A924" s="2" t="s">
        <v>3376</v>
      </c>
      <c r="B924">
        <v>1981</v>
      </c>
      <c r="C924" cm="1">
        <f t="array" ref="C924">_xlfn.IFS(ISNUMBER(SEARCH("wagon",PROPERTIES[[#This Row],[VEHIDCODE]])),0,OR(MID(PROPERTIES[[#This Row],[VEHIDCODE]],2,2)="mu",_xlfn.TEXTBEFORE(PROPERTIES[[#This Row],[VEHIDCODE]],"_")="mtro"),1,1=1,0)</f>
        <v>0</v>
      </c>
      <c r="E924" t="str">
        <f>_xlfn.XLOOKUP(PROPERTIES[[#This Row],[COUNTRY]],COUNTRIES[COUNTRY_DESCRIPTION],COUNTRIES[COUNTRY_LABEL],"")</f>
        <v/>
      </c>
      <c r="F924" t="str" cm="1">
        <f t="array" ref="F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4" t="s">
        <v>665</v>
      </c>
      <c r="H924">
        <v>91</v>
      </c>
      <c r="I924">
        <v>8</v>
      </c>
      <c r="J924">
        <v>8</v>
      </c>
      <c r="K924" t="str" cm="1">
        <f t="array" ref="K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4">
        <f>_xlfn.XLOOKUP("LOADINGSPEEDDEF_"&amp;PROPERTIES[[#This Row],[LOADINGSPEED]],LOADINGSPEEDDEF[TYPE],LOADINGSPEEDDEF[SPEED])</f>
        <v>15</v>
      </c>
      <c r="M924" cm="1">
        <f t="array" ref="M9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4">
        <f>IF(ISNUMBER(SEARCH("passenger",PROPERTIES[[#This Row],[CARGODEF]])),1,0)</f>
        <v>0</v>
      </c>
      <c r="O924" s="32">
        <v>35</v>
      </c>
      <c r="P924">
        <v>0</v>
      </c>
      <c r="Q924">
        <v>160</v>
      </c>
      <c r="R924" s="29">
        <v>0</v>
      </c>
      <c r="S924" s="29">
        <f>IFERROR(PROPERTIES[[#This Row],[TE_STARTING_KN]]/(PROPERTIES[[#This Row],[WEIGHT]]*9.81),0)</f>
        <v>0</v>
      </c>
      <c r="T924" s="29">
        <v>0.3</v>
      </c>
      <c r="U924" s="25">
        <f>ROUND(IF(IFERROR(PROPERTIES[[#This Row],[TE_COEFFICIENT_CALC]],0)=0,PROPERTIES[[#This Row],[TE_COEFFICIENT_MANUAL]],PROPERTIES[[#This Row],[TE_COEFFICIENT_CALC]]),3)</f>
        <v>0.3</v>
      </c>
      <c r="V924" s="37" cm="1">
        <f t="array" ref="V9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4" s="36">
        <v>0</v>
      </c>
      <c r="X924" s="9">
        <v>0</v>
      </c>
      <c r="Y924" s="10">
        <v>0</v>
      </c>
      <c r="Z924" s="9" t="s">
        <v>871</v>
      </c>
      <c r="AA924" s="10" t="s">
        <v>868</v>
      </c>
      <c r="AB924" s="2" t="s">
        <v>886</v>
      </c>
      <c r="AC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4" s="2" t="str">
        <f>SUBSTITUTE(SUBSTITUTE(PROPERTIES[[#This Row],[PURCHASECOST_VALUE]], "PURCHASECOST_", ""), "_VALUE", "")</f>
        <v>COACH</v>
      </c>
      <c r="AF924" s="9" t="str" cm="1">
        <f t="array" ref="AF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4" s="2" t="b">
        <v>0</v>
      </c>
      <c r="AH924" s="10" t="b">
        <v>0</v>
      </c>
    </row>
    <row r="925" spans="1:34">
      <c r="A925" s="2" t="s">
        <v>3381</v>
      </c>
      <c r="B925">
        <v>1984</v>
      </c>
      <c r="C925" cm="1">
        <f t="array" ref="C925">_xlfn.IFS(ISNUMBER(SEARCH("wagon",PROPERTIES[[#This Row],[VEHIDCODE]])),0,OR(MID(PROPERTIES[[#This Row],[VEHIDCODE]],2,2)="mu",_xlfn.TEXTBEFORE(PROPERTIES[[#This Row],[VEHIDCODE]],"_")="mtro"),1,1=1,0)</f>
        <v>0</v>
      </c>
      <c r="E925" t="str">
        <f>_xlfn.XLOOKUP(PROPERTIES[[#This Row],[COUNTRY]],COUNTRIES[COUNTRY_DESCRIPTION],COUNTRIES[COUNTRY_LABEL],"")</f>
        <v/>
      </c>
      <c r="F925" t="str" cm="1">
        <f t="array" ref="F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5" t="s">
        <v>320</v>
      </c>
      <c r="H925">
        <v>114</v>
      </c>
      <c r="I925">
        <v>8</v>
      </c>
      <c r="J925">
        <v>8</v>
      </c>
      <c r="K925" t="str" cm="1">
        <f t="array" ref="K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5">
        <f>_xlfn.XLOOKUP("LOADINGSPEEDDEF_"&amp;PROPERTIES[[#This Row],[LOADINGSPEED]],LOADINGSPEEDDEF[TYPE],LOADINGSPEEDDEF[SPEED])</f>
        <v>40</v>
      </c>
      <c r="M925" cm="1">
        <f t="array" ref="M9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5">
        <f>IF(ISNUMBER(SEARCH("passenger",PROPERTIES[[#This Row],[CARGODEF]])),1,0)</f>
        <v>1</v>
      </c>
      <c r="O925" s="32">
        <v>33</v>
      </c>
      <c r="P925">
        <v>0</v>
      </c>
      <c r="Q925">
        <v>115</v>
      </c>
      <c r="R925" s="29">
        <v>0</v>
      </c>
      <c r="S925" s="29">
        <f>IFERROR(PROPERTIES[[#This Row],[TE_STARTING_KN]]/(PROPERTIES[[#This Row],[WEIGHT]]*9.81),0)</f>
        <v>0</v>
      </c>
      <c r="T925" s="29">
        <v>0.3</v>
      </c>
      <c r="U925" s="25">
        <f>ROUND(IF(IFERROR(PROPERTIES[[#This Row],[TE_COEFFICIENT_CALC]],0)=0,PROPERTIES[[#This Row],[TE_COEFFICIENT_MANUAL]],PROPERTIES[[#This Row],[TE_COEFFICIENT_CALC]]),3)</f>
        <v>0.3</v>
      </c>
      <c r="V925" s="37" cm="1">
        <f t="array" ref="V9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5" s="36">
        <v>0</v>
      </c>
      <c r="X925" s="9">
        <v>0</v>
      </c>
      <c r="Y925" s="10">
        <v>0</v>
      </c>
      <c r="Z925" s="9" t="s">
        <v>871</v>
      </c>
      <c r="AA925" s="10" t="s">
        <v>868</v>
      </c>
      <c r="AB925" s="2" t="s">
        <v>886</v>
      </c>
      <c r="AC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5" s="2" t="str">
        <f>SUBSTITUTE(SUBSTITUTE(PROPERTIES[[#This Row],[PURCHASECOST_VALUE]], "PURCHASECOST_", ""), "_VALUE", "")</f>
        <v>COACH</v>
      </c>
      <c r="AF925" s="9" t="str" cm="1">
        <f t="array" ref="AF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5" s="2" t="b">
        <v>0</v>
      </c>
      <c r="AH925" s="10" t="b">
        <v>0</v>
      </c>
    </row>
    <row r="926" spans="1:34">
      <c r="A926" s="2" t="s">
        <v>3383</v>
      </c>
      <c r="B926">
        <v>1948</v>
      </c>
      <c r="C926" cm="1">
        <f t="array" ref="C926">_xlfn.IFS(ISNUMBER(SEARCH("wagon",PROPERTIES[[#This Row],[VEHIDCODE]])),0,OR(MID(PROPERTIES[[#This Row],[VEHIDCODE]],2,2)="mu",_xlfn.TEXTBEFORE(PROPERTIES[[#This Row],[VEHIDCODE]],"_")="mtro"),1,1=1,0)</f>
        <v>0</v>
      </c>
      <c r="E926" t="str">
        <f>_xlfn.XLOOKUP(PROPERTIES[[#This Row],[COUNTRY]],COUNTRIES[COUNTRY_DESCRIPTION],COUNTRIES[COUNTRY_LABEL],"")</f>
        <v/>
      </c>
      <c r="F926" t="str" cm="1">
        <f t="array" ref="F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6" t="s">
        <v>320</v>
      </c>
      <c r="H926">
        <v>79</v>
      </c>
      <c r="I926">
        <v>8</v>
      </c>
      <c r="J926">
        <v>8</v>
      </c>
      <c r="K926" t="str" cm="1">
        <f t="array" ref="K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6">
        <f>_xlfn.XLOOKUP("LOADINGSPEEDDEF_"&amp;PROPERTIES[[#This Row],[LOADINGSPEED]],LOADINGSPEEDDEF[TYPE],LOADINGSPEEDDEF[SPEED])</f>
        <v>40</v>
      </c>
      <c r="M926" cm="1">
        <f t="array" ref="M9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6">
        <f>IF(ISNUMBER(SEARCH("passenger",PROPERTIES[[#This Row],[CARGODEF]])),1,0)</f>
        <v>1</v>
      </c>
      <c r="O926" s="32">
        <v>35</v>
      </c>
      <c r="P926">
        <v>0</v>
      </c>
      <c r="Q926">
        <v>115</v>
      </c>
      <c r="R926" s="29">
        <v>0</v>
      </c>
      <c r="S926" s="29">
        <f>IFERROR(PROPERTIES[[#This Row],[TE_STARTING_KN]]/(PROPERTIES[[#This Row],[WEIGHT]]*9.81),0)</f>
        <v>0</v>
      </c>
      <c r="T926" s="29">
        <v>0.3</v>
      </c>
      <c r="U926" s="25">
        <f>ROUND(IF(IFERROR(PROPERTIES[[#This Row],[TE_COEFFICIENT_CALC]],0)=0,PROPERTIES[[#This Row],[TE_COEFFICIENT_MANUAL]],PROPERTIES[[#This Row],[TE_COEFFICIENT_CALC]]),3)</f>
        <v>0.3</v>
      </c>
      <c r="V926" s="37" cm="1">
        <f t="array" ref="V9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6" s="36">
        <v>0</v>
      </c>
      <c r="X926" s="9">
        <v>0</v>
      </c>
      <c r="Y926" s="10">
        <v>0</v>
      </c>
      <c r="Z926" s="9" t="s">
        <v>871</v>
      </c>
      <c r="AA926" s="10" t="s">
        <v>868</v>
      </c>
      <c r="AB926" s="2" t="s">
        <v>886</v>
      </c>
      <c r="AC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6" s="2" t="str">
        <f>SUBSTITUTE(SUBSTITUTE(PROPERTIES[[#This Row],[PURCHASECOST_VALUE]], "PURCHASECOST_", ""), "_VALUE", "")</f>
        <v>COACH</v>
      </c>
      <c r="AF926" s="9" t="str" cm="1">
        <f t="array" ref="AF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6" s="2" t="b">
        <v>0</v>
      </c>
      <c r="AH926" s="10" t="b">
        <v>0</v>
      </c>
    </row>
    <row r="927" spans="1:34">
      <c r="A927" s="2" t="s">
        <v>3384</v>
      </c>
      <c r="B927">
        <v>1948</v>
      </c>
      <c r="C927" cm="1">
        <f t="array" ref="C927">_xlfn.IFS(ISNUMBER(SEARCH("wagon",PROPERTIES[[#This Row],[VEHIDCODE]])),0,OR(MID(PROPERTIES[[#This Row],[VEHIDCODE]],2,2)="mu",_xlfn.TEXTBEFORE(PROPERTIES[[#This Row],[VEHIDCODE]],"_")="mtro"),1,1=1,0)</f>
        <v>0</v>
      </c>
      <c r="E927" t="str">
        <f>_xlfn.XLOOKUP(PROPERTIES[[#This Row],[COUNTRY]],COUNTRIES[COUNTRY_DESCRIPTION],COUNTRIES[COUNTRY_LABEL],"")</f>
        <v/>
      </c>
      <c r="F927" t="str" cm="1">
        <f t="array" ref="F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7" t="s">
        <v>665</v>
      </c>
      <c r="H927">
        <v>79</v>
      </c>
      <c r="I927">
        <v>8</v>
      </c>
      <c r="J927">
        <v>8</v>
      </c>
      <c r="K927" t="str" cm="1">
        <f t="array" ref="K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7">
        <f>_xlfn.XLOOKUP("LOADINGSPEEDDEF_"&amp;PROPERTIES[[#This Row],[LOADINGSPEED]],LOADINGSPEEDDEF[TYPE],LOADINGSPEEDDEF[SPEED])</f>
        <v>15</v>
      </c>
      <c r="M927" cm="1">
        <f t="array" ref="M9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7">
        <f>IF(ISNUMBER(SEARCH("passenger",PROPERTIES[[#This Row],[CARGODEF]])),1,0)</f>
        <v>0</v>
      </c>
      <c r="O927" s="32">
        <v>35</v>
      </c>
      <c r="P927">
        <v>0</v>
      </c>
      <c r="Q927">
        <v>115</v>
      </c>
      <c r="R927" s="29">
        <v>0</v>
      </c>
      <c r="S927" s="29">
        <f>IFERROR(PROPERTIES[[#This Row],[TE_STARTING_KN]]/(PROPERTIES[[#This Row],[WEIGHT]]*9.81),0)</f>
        <v>0</v>
      </c>
      <c r="T927" s="29">
        <v>0.3</v>
      </c>
      <c r="U927" s="25">
        <f>ROUND(IF(IFERROR(PROPERTIES[[#This Row],[TE_COEFFICIENT_CALC]],0)=0,PROPERTIES[[#This Row],[TE_COEFFICIENT_MANUAL]],PROPERTIES[[#This Row],[TE_COEFFICIENT_CALC]]),3)</f>
        <v>0.3</v>
      </c>
      <c r="V927" s="37" cm="1">
        <f t="array" ref="V9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7" s="36">
        <v>0</v>
      </c>
      <c r="X927" s="9">
        <v>0</v>
      </c>
      <c r="Y927" s="10">
        <v>0</v>
      </c>
      <c r="Z927" s="9" t="s">
        <v>871</v>
      </c>
      <c r="AA927" s="10" t="s">
        <v>868</v>
      </c>
      <c r="AB927" s="2" t="s">
        <v>886</v>
      </c>
      <c r="AC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7" s="2" t="str">
        <f>SUBSTITUTE(SUBSTITUTE(PROPERTIES[[#This Row],[PURCHASECOST_VALUE]], "PURCHASECOST_", ""), "_VALUE", "")</f>
        <v>COACH</v>
      </c>
      <c r="AF927" s="9" t="str" cm="1">
        <f t="array" ref="AF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7" s="2" t="b">
        <v>0</v>
      </c>
      <c r="AH927" s="10" t="b">
        <v>0</v>
      </c>
    </row>
    <row r="928" spans="1:34">
      <c r="A928" s="2" t="s">
        <v>3386</v>
      </c>
      <c r="B928">
        <v>1924</v>
      </c>
      <c r="C928" cm="1">
        <f t="array" ref="C928">_xlfn.IFS(ISNUMBER(SEARCH("wagon",PROPERTIES[[#This Row],[VEHIDCODE]])),0,OR(MID(PROPERTIES[[#This Row],[VEHIDCODE]],2,2)="mu",_xlfn.TEXTBEFORE(PROPERTIES[[#This Row],[VEHIDCODE]],"_")="mtro"),1,1=1,0)</f>
        <v>0</v>
      </c>
      <c r="E928" t="str">
        <f>_xlfn.XLOOKUP(PROPERTIES[[#This Row],[COUNTRY]],COUNTRIES[COUNTRY_DESCRIPTION],COUNTRIES[COUNTRY_LABEL],"")</f>
        <v/>
      </c>
      <c r="F928" t="str" cm="1">
        <f t="array" ref="F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8" t="s">
        <v>320</v>
      </c>
      <c r="H928">
        <v>78</v>
      </c>
      <c r="I928">
        <v>7</v>
      </c>
      <c r="J928">
        <v>7</v>
      </c>
      <c r="K928" t="str" cm="1">
        <f t="array" ref="K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8">
        <f>_xlfn.XLOOKUP("LOADINGSPEEDDEF_"&amp;PROPERTIES[[#This Row],[LOADINGSPEED]],LOADINGSPEEDDEF[TYPE],LOADINGSPEEDDEF[SPEED])</f>
        <v>40</v>
      </c>
      <c r="M928" cm="1">
        <f t="array" ref="M9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8">
        <f>IF(ISNUMBER(SEARCH("passenger",PROPERTIES[[#This Row],[CARGODEF]])),1,0)</f>
        <v>1</v>
      </c>
      <c r="O928" s="32">
        <v>26</v>
      </c>
      <c r="P928">
        <v>0</v>
      </c>
      <c r="Q928">
        <v>80</v>
      </c>
      <c r="R928" s="29">
        <v>0</v>
      </c>
      <c r="S928" s="29">
        <f>IFERROR(PROPERTIES[[#This Row],[TE_STARTING_KN]]/(PROPERTIES[[#This Row],[WEIGHT]]*9.81),0)</f>
        <v>0</v>
      </c>
      <c r="T928" s="29">
        <v>0.3</v>
      </c>
      <c r="U928" s="25">
        <f>ROUND(IF(IFERROR(PROPERTIES[[#This Row],[TE_COEFFICIENT_CALC]],0)=0,PROPERTIES[[#This Row],[TE_COEFFICIENT_MANUAL]],PROPERTIES[[#This Row],[TE_COEFFICIENT_CALC]]),3)</f>
        <v>0.3</v>
      </c>
      <c r="V928" s="37" cm="1">
        <f t="array" ref="V9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8" s="36">
        <v>0</v>
      </c>
      <c r="X928" s="9">
        <v>0</v>
      </c>
      <c r="Y928" s="10">
        <v>0</v>
      </c>
      <c r="Z928" s="9" t="s">
        <v>871</v>
      </c>
      <c r="AA928" s="10" t="s">
        <v>868</v>
      </c>
      <c r="AB928" s="2" t="s">
        <v>886</v>
      </c>
      <c r="AC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8" s="2" t="str">
        <f>SUBSTITUTE(SUBSTITUTE(PROPERTIES[[#This Row],[PURCHASECOST_VALUE]], "PURCHASECOST_", ""), "_VALUE", "")</f>
        <v>COACH</v>
      </c>
      <c r="AF928" s="9" t="str" cm="1">
        <f t="array" ref="AF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8" s="2" t="b">
        <v>0</v>
      </c>
      <c r="AH928" s="10" t="b">
        <v>0</v>
      </c>
    </row>
    <row r="929" spans="1:34">
      <c r="A929" s="2" t="s">
        <v>3388</v>
      </c>
      <c r="B929">
        <v>1937</v>
      </c>
      <c r="C929" cm="1">
        <f t="array" ref="C929">_xlfn.IFS(ISNUMBER(SEARCH("wagon",PROPERTIES[[#This Row],[VEHIDCODE]])),0,OR(MID(PROPERTIES[[#This Row],[VEHIDCODE]],2,2)="mu",_xlfn.TEXTBEFORE(PROPERTIES[[#This Row],[VEHIDCODE]],"_")="mtro"),1,1=1,0)</f>
        <v>0</v>
      </c>
      <c r="E929" t="str">
        <f>_xlfn.XLOOKUP(PROPERTIES[[#This Row],[COUNTRY]],COUNTRIES[COUNTRY_DESCRIPTION],COUNTRIES[COUNTRY_LABEL],"")</f>
        <v/>
      </c>
      <c r="F929" t="str" cm="1">
        <f t="array" ref="F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9" t="s">
        <v>320</v>
      </c>
      <c r="H929">
        <v>56</v>
      </c>
      <c r="I929">
        <v>7</v>
      </c>
      <c r="J929">
        <v>7</v>
      </c>
      <c r="K929" t="str" cm="1">
        <f t="array" ref="K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9">
        <f>_xlfn.XLOOKUP("LOADINGSPEEDDEF_"&amp;PROPERTIES[[#This Row],[LOADINGSPEED]],LOADINGSPEEDDEF[TYPE],LOADINGSPEEDDEF[SPEED])</f>
        <v>40</v>
      </c>
      <c r="M929" cm="1">
        <f t="array" ref="M9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9">
        <f>IF(ISNUMBER(SEARCH("passenger",PROPERTIES[[#This Row],[CARGODEF]])),1,0)</f>
        <v>1</v>
      </c>
      <c r="O929" s="32">
        <v>24</v>
      </c>
      <c r="P929">
        <v>0</v>
      </c>
      <c r="Q929">
        <v>80</v>
      </c>
      <c r="R929" s="29">
        <v>0</v>
      </c>
      <c r="S929" s="29">
        <f>IFERROR(PROPERTIES[[#This Row],[TE_STARTING_KN]]/(PROPERTIES[[#This Row],[WEIGHT]]*9.81),0)</f>
        <v>0</v>
      </c>
      <c r="T929" s="29">
        <v>0.3</v>
      </c>
      <c r="U929" s="25">
        <f>ROUND(IF(IFERROR(PROPERTIES[[#This Row],[TE_COEFFICIENT_CALC]],0)=0,PROPERTIES[[#This Row],[TE_COEFFICIENT_MANUAL]],PROPERTIES[[#This Row],[TE_COEFFICIENT_CALC]]),3)</f>
        <v>0.3</v>
      </c>
      <c r="V929" s="37" cm="1">
        <f t="array" ref="V9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9" s="36">
        <v>0</v>
      </c>
      <c r="X929" s="9">
        <v>0</v>
      </c>
      <c r="Y929" s="10">
        <v>0</v>
      </c>
      <c r="Z929" s="9" t="s">
        <v>871</v>
      </c>
      <c r="AA929" s="10" t="s">
        <v>868</v>
      </c>
      <c r="AB929" s="2" t="s">
        <v>886</v>
      </c>
      <c r="AC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9" s="2" t="str">
        <f>SUBSTITUTE(SUBSTITUTE(PROPERTIES[[#This Row],[PURCHASECOST_VALUE]], "PURCHASECOST_", ""), "_VALUE", "")</f>
        <v>COACH</v>
      </c>
      <c r="AF929" s="9" t="str" cm="1">
        <f t="array" ref="AF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9" s="2" t="b">
        <v>0</v>
      </c>
      <c r="AH929" s="10" t="b">
        <v>0</v>
      </c>
    </row>
    <row r="930" spans="1:34">
      <c r="A930" s="2" t="s">
        <v>3389</v>
      </c>
      <c r="B930">
        <v>1937</v>
      </c>
      <c r="C930" cm="1">
        <f t="array" ref="C930">_xlfn.IFS(ISNUMBER(SEARCH("wagon",PROPERTIES[[#This Row],[VEHIDCODE]])),0,OR(MID(PROPERTIES[[#This Row],[VEHIDCODE]],2,2)="mu",_xlfn.TEXTBEFORE(PROPERTIES[[#This Row],[VEHIDCODE]],"_")="mtro"),1,1=1,0)</f>
        <v>0</v>
      </c>
      <c r="E930" t="str">
        <f>_xlfn.XLOOKUP(PROPERTIES[[#This Row],[COUNTRY]],COUNTRIES[COUNTRY_DESCRIPTION],COUNTRIES[COUNTRY_LABEL],"")</f>
        <v/>
      </c>
      <c r="F930" t="str" cm="1">
        <f t="array" ref="F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0" t="s">
        <v>665</v>
      </c>
      <c r="H930">
        <v>56</v>
      </c>
      <c r="I930">
        <v>7</v>
      </c>
      <c r="J930">
        <v>7</v>
      </c>
      <c r="K930" t="str" cm="1">
        <f t="array" ref="K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0">
        <f>_xlfn.XLOOKUP("LOADINGSPEEDDEF_"&amp;PROPERTIES[[#This Row],[LOADINGSPEED]],LOADINGSPEEDDEF[TYPE],LOADINGSPEEDDEF[SPEED])</f>
        <v>15</v>
      </c>
      <c r="M930" cm="1">
        <f t="array" ref="M9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0">
        <f>IF(ISNUMBER(SEARCH("passenger",PROPERTIES[[#This Row],[CARGODEF]])),1,0)</f>
        <v>0</v>
      </c>
      <c r="O930" s="32">
        <v>24</v>
      </c>
      <c r="P930">
        <v>0</v>
      </c>
      <c r="Q930">
        <v>80</v>
      </c>
      <c r="R930" s="29">
        <v>0</v>
      </c>
      <c r="S930" s="29">
        <f>IFERROR(PROPERTIES[[#This Row],[TE_STARTING_KN]]/(PROPERTIES[[#This Row],[WEIGHT]]*9.81),0)</f>
        <v>0</v>
      </c>
      <c r="T930" s="29">
        <v>0.3</v>
      </c>
      <c r="U930" s="25">
        <f>ROUND(IF(IFERROR(PROPERTIES[[#This Row],[TE_COEFFICIENT_CALC]],0)=0,PROPERTIES[[#This Row],[TE_COEFFICIENT_MANUAL]],PROPERTIES[[#This Row],[TE_COEFFICIENT_CALC]]),3)</f>
        <v>0.3</v>
      </c>
      <c r="V930" s="37" cm="1">
        <f t="array" ref="V9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0" s="36">
        <v>0</v>
      </c>
      <c r="X930" s="9">
        <v>0</v>
      </c>
      <c r="Y930" s="10">
        <v>0</v>
      </c>
      <c r="Z930" s="9" t="s">
        <v>871</v>
      </c>
      <c r="AA930" s="10" t="s">
        <v>868</v>
      </c>
      <c r="AB930" s="2" t="s">
        <v>886</v>
      </c>
      <c r="AC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0" s="2" t="str">
        <f>SUBSTITUTE(SUBSTITUTE(PROPERTIES[[#This Row],[PURCHASECOST_VALUE]], "PURCHASECOST_", ""), "_VALUE", "")</f>
        <v>COACH</v>
      </c>
      <c r="AF930" s="9" t="str" cm="1">
        <f t="array" ref="AF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0" s="2" t="b">
        <v>0</v>
      </c>
      <c r="AH930" s="10" t="b">
        <v>0</v>
      </c>
    </row>
    <row r="931" spans="1:34">
      <c r="A931" s="2" t="s">
        <v>3397</v>
      </c>
      <c r="B931">
        <v>1902</v>
      </c>
      <c r="C931" cm="1">
        <f t="array" ref="C931">_xlfn.IFS(ISNUMBER(SEARCH("wagon",PROPERTIES[[#This Row],[VEHIDCODE]])),0,OR(MID(PROPERTIES[[#This Row],[VEHIDCODE]],2,2)="mu",_xlfn.TEXTBEFORE(PROPERTIES[[#This Row],[VEHIDCODE]],"_")="mtro"),1,1=1,0)</f>
        <v>0</v>
      </c>
      <c r="E931" t="str">
        <f>_xlfn.XLOOKUP(PROPERTIES[[#This Row],[COUNTRY]],COUNTRIES[COUNTRY_DESCRIPTION],COUNTRIES[COUNTRY_LABEL],"")</f>
        <v/>
      </c>
      <c r="F931" t="str" cm="1">
        <f t="array" ref="F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1" t="s">
        <v>320</v>
      </c>
      <c r="H931">
        <v>42</v>
      </c>
      <c r="I931">
        <v>6</v>
      </c>
      <c r="J931">
        <v>6</v>
      </c>
      <c r="K931" t="str" cm="1">
        <f t="array" ref="K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1">
        <f>_xlfn.XLOOKUP("LOADINGSPEEDDEF_"&amp;PROPERTIES[[#This Row],[LOADINGSPEED]],LOADINGSPEEDDEF[TYPE],LOADINGSPEEDDEF[SPEED])</f>
        <v>40</v>
      </c>
      <c r="M931" cm="1">
        <f t="array" ref="M9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1">
        <f>IF(ISNUMBER(SEARCH("passenger",PROPERTIES[[#This Row],[CARGODEF]])),1,0)</f>
        <v>1</v>
      </c>
      <c r="O931" s="32">
        <v>22</v>
      </c>
      <c r="P931">
        <v>0</v>
      </c>
      <c r="Q931">
        <v>80</v>
      </c>
      <c r="R931" s="29">
        <v>0</v>
      </c>
      <c r="S931" s="29">
        <f>IFERROR(PROPERTIES[[#This Row],[TE_STARTING_KN]]/(PROPERTIES[[#This Row],[WEIGHT]]*9.81),0)</f>
        <v>0</v>
      </c>
      <c r="T931" s="29">
        <v>0.3</v>
      </c>
      <c r="U931" s="25">
        <f>ROUND(IF(IFERROR(PROPERTIES[[#This Row],[TE_COEFFICIENT_CALC]],0)=0,PROPERTIES[[#This Row],[TE_COEFFICIENT_MANUAL]],PROPERTIES[[#This Row],[TE_COEFFICIENT_CALC]]),3)</f>
        <v>0.3</v>
      </c>
      <c r="V931" s="37" cm="1">
        <f t="array" ref="V9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1" s="36">
        <v>0</v>
      </c>
      <c r="X931" s="9">
        <v>0</v>
      </c>
      <c r="Y931" s="10">
        <v>0</v>
      </c>
      <c r="Z931" s="9" t="s">
        <v>871</v>
      </c>
      <c r="AA931" s="10" t="s">
        <v>868</v>
      </c>
      <c r="AB931" s="2" t="s">
        <v>886</v>
      </c>
      <c r="AC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1" s="2" t="str">
        <f>SUBSTITUTE(SUBSTITUTE(PROPERTIES[[#This Row],[PURCHASECOST_VALUE]], "PURCHASECOST_", ""), "_VALUE", "")</f>
        <v>COACH</v>
      </c>
      <c r="AF931" s="9" t="str" cm="1">
        <f t="array" ref="AF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1" s="2" t="b">
        <v>0</v>
      </c>
      <c r="AH931" s="10" t="b">
        <v>0</v>
      </c>
    </row>
    <row r="932" spans="1:34">
      <c r="A932" s="2" t="s">
        <v>3398</v>
      </c>
      <c r="B932">
        <v>1902</v>
      </c>
      <c r="C932" cm="1">
        <f t="array" ref="C932">_xlfn.IFS(ISNUMBER(SEARCH("wagon",PROPERTIES[[#This Row],[VEHIDCODE]])),0,OR(MID(PROPERTIES[[#This Row],[VEHIDCODE]],2,2)="mu",_xlfn.TEXTBEFORE(PROPERTIES[[#This Row],[VEHIDCODE]],"_")="mtro"),1,1=1,0)</f>
        <v>0</v>
      </c>
      <c r="E932" t="str">
        <f>_xlfn.XLOOKUP(PROPERTIES[[#This Row],[COUNTRY]],COUNTRIES[COUNTRY_DESCRIPTION],COUNTRIES[COUNTRY_LABEL],"")</f>
        <v/>
      </c>
      <c r="F932" t="str" cm="1">
        <f t="array" ref="F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2" t="s">
        <v>665</v>
      </c>
      <c r="H932">
        <v>42</v>
      </c>
      <c r="I932">
        <v>6</v>
      </c>
      <c r="J932">
        <v>6</v>
      </c>
      <c r="K932" t="str" cm="1">
        <f t="array" ref="K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2">
        <f>_xlfn.XLOOKUP("LOADINGSPEEDDEF_"&amp;PROPERTIES[[#This Row],[LOADINGSPEED]],LOADINGSPEEDDEF[TYPE],LOADINGSPEEDDEF[SPEED])</f>
        <v>15</v>
      </c>
      <c r="M932" cm="1">
        <f t="array" ref="M9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2">
        <f>IF(ISNUMBER(SEARCH("passenger",PROPERTIES[[#This Row],[CARGODEF]])),1,0)</f>
        <v>0</v>
      </c>
      <c r="O932" s="32">
        <v>22</v>
      </c>
      <c r="P932">
        <v>0</v>
      </c>
      <c r="Q932">
        <v>80</v>
      </c>
      <c r="R932" s="29">
        <v>0</v>
      </c>
      <c r="S932" s="29">
        <f>IFERROR(PROPERTIES[[#This Row],[TE_STARTING_KN]]/(PROPERTIES[[#This Row],[WEIGHT]]*9.81),0)</f>
        <v>0</v>
      </c>
      <c r="T932" s="29">
        <v>0.3</v>
      </c>
      <c r="U932" s="25">
        <f>ROUND(IF(IFERROR(PROPERTIES[[#This Row],[TE_COEFFICIENT_CALC]],0)=0,PROPERTIES[[#This Row],[TE_COEFFICIENT_MANUAL]],PROPERTIES[[#This Row],[TE_COEFFICIENT_CALC]]),3)</f>
        <v>0.3</v>
      </c>
      <c r="V932" s="37" cm="1">
        <f t="array" ref="V9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2" s="36">
        <v>0</v>
      </c>
      <c r="X932" s="9">
        <v>0</v>
      </c>
      <c r="Y932" s="10">
        <v>0</v>
      </c>
      <c r="Z932" s="9" t="s">
        <v>871</v>
      </c>
      <c r="AA932" s="10" t="s">
        <v>868</v>
      </c>
      <c r="AB932" s="2" t="s">
        <v>886</v>
      </c>
      <c r="AC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2" s="2" t="str">
        <f>SUBSTITUTE(SUBSTITUTE(PROPERTIES[[#This Row],[PURCHASECOST_VALUE]], "PURCHASECOST_", ""), "_VALUE", "")</f>
        <v>COACH</v>
      </c>
      <c r="AF932" s="9" t="str" cm="1">
        <f t="array" ref="AF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2" s="2" t="b">
        <v>0</v>
      </c>
      <c r="AH932" s="10" t="b">
        <v>0</v>
      </c>
    </row>
    <row r="933" spans="1:34">
      <c r="A933" s="2" t="s">
        <v>3400</v>
      </c>
      <c r="B933">
        <v>1877</v>
      </c>
      <c r="C933" cm="1">
        <f t="array" ref="C933">_xlfn.IFS(ISNUMBER(SEARCH("wagon",PROPERTIES[[#This Row],[VEHIDCODE]])),0,OR(MID(PROPERTIES[[#This Row],[VEHIDCODE]],2,2)="mu",_xlfn.TEXTBEFORE(PROPERTIES[[#This Row],[VEHIDCODE]],"_")="mtro"),1,1=1,0)</f>
        <v>0</v>
      </c>
      <c r="E933" t="str">
        <f>_xlfn.XLOOKUP(PROPERTIES[[#This Row],[COUNTRY]],COUNTRIES[COUNTRY_DESCRIPTION],COUNTRIES[COUNTRY_LABEL],"")</f>
        <v/>
      </c>
      <c r="F933" t="str" cm="1">
        <f t="array" ref="F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3" t="s">
        <v>320</v>
      </c>
      <c r="H933">
        <v>53</v>
      </c>
      <c r="I933">
        <v>6</v>
      </c>
      <c r="J933">
        <v>6</v>
      </c>
      <c r="K933" t="str" cm="1">
        <f t="array" ref="K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3">
        <f>_xlfn.XLOOKUP("LOADINGSPEEDDEF_"&amp;PROPERTIES[[#This Row],[LOADINGSPEED]],LOADINGSPEEDDEF[TYPE],LOADINGSPEEDDEF[SPEED])</f>
        <v>40</v>
      </c>
      <c r="M933" cm="1">
        <f t="array" ref="M9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3">
        <f>IF(ISNUMBER(SEARCH("passenger",PROPERTIES[[#This Row],[CARGODEF]])),1,0)</f>
        <v>1</v>
      </c>
      <c r="O933" s="32">
        <v>18</v>
      </c>
      <c r="P933">
        <v>0</v>
      </c>
      <c r="Q933">
        <v>60</v>
      </c>
      <c r="R933" s="29">
        <v>0</v>
      </c>
      <c r="S933" s="29">
        <f>IFERROR(PROPERTIES[[#This Row],[TE_STARTING_KN]]/(PROPERTIES[[#This Row],[WEIGHT]]*9.81),0)</f>
        <v>0</v>
      </c>
      <c r="T933" s="29">
        <v>0.3</v>
      </c>
      <c r="U933" s="25">
        <f>ROUND(IF(IFERROR(PROPERTIES[[#This Row],[TE_COEFFICIENT_CALC]],0)=0,PROPERTIES[[#This Row],[TE_COEFFICIENT_MANUAL]],PROPERTIES[[#This Row],[TE_COEFFICIENT_CALC]]),3)</f>
        <v>0.3</v>
      </c>
      <c r="V933" s="37" cm="1">
        <f t="array" ref="V9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3" s="36">
        <v>0</v>
      </c>
      <c r="X933" s="9">
        <v>0</v>
      </c>
      <c r="Y933" s="10">
        <v>0</v>
      </c>
      <c r="Z933" s="9" t="s">
        <v>871</v>
      </c>
      <c r="AA933" s="10" t="s">
        <v>868</v>
      </c>
      <c r="AB933" s="2" t="s">
        <v>886</v>
      </c>
      <c r="AC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3" s="2" t="str">
        <f>SUBSTITUTE(SUBSTITUTE(PROPERTIES[[#This Row],[PURCHASECOST_VALUE]], "PURCHASECOST_", ""), "_VALUE", "")</f>
        <v>COACH</v>
      </c>
      <c r="AF933" s="9" t="str" cm="1">
        <f t="array" ref="AF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3" s="2" t="b">
        <v>0</v>
      </c>
      <c r="AH933" s="10" t="b">
        <v>0</v>
      </c>
    </row>
    <row r="934" spans="1:34">
      <c r="A934" s="2" t="s">
        <v>3403</v>
      </c>
      <c r="B934">
        <v>1983</v>
      </c>
      <c r="C934" cm="1">
        <f t="array" ref="C934">_xlfn.IFS(ISNUMBER(SEARCH("wagon",PROPERTIES[[#This Row],[VEHIDCODE]])),0,OR(MID(PROPERTIES[[#This Row],[VEHIDCODE]],2,2)="mu",_xlfn.TEXTBEFORE(PROPERTIES[[#This Row],[VEHIDCODE]],"_")="mtro"),1,1=1,0)</f>
        <v>0</v>
      </c>
      <c r="E934" t="str">
        <f>_xlfn.XLOOKUP(PROPERTIES[[#This Row],[COUNTRY]],COUNTRIES[COUNTRY_DESCRIPTION],COUNTRIES[COUNTRY_LABEL],"")</f>
        <v/>
      </c>
      <c r="F934" t="str" cm="1">
        <f t="array" ref="F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4" t="s">
        <v>19</v>
      </c>
      <c r="H934">
        <v>0</v>
      </c>
      <c r="I934">
        <v>8</v>
      </c>
      <c r="J934">
        <v>8</v>
      </c>
      <c r="K934" t="str" cm="1">
        <f t="array" ref="K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4">
        <f>_xlfn.XLOOKUP("LOADINGSPEEDDEF_"&amp;PROPERTIES[[#This Row],[LOADINGSPEED]],LOADINGSPEEDDEF[TYPE],LOADINGSPEEDDEF[SPEED])</f>
        <v>20</v>
      </c>
      <c r="M934" cm="1">
        <f t="array" ref="M9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4">
        <f>IF(ISNUMBER(SEARCH("passenger",PROPERTIES[[#This Row],[CARGODEF]])),1,0)</f>
        <v>0</v>
      </c>
      <c r="O934" s="32">
        <v>119</v>
      </c>
      <c r="P934">
        <v>3860</v>
      </c>
      <c r="Q934">
        <v>130</v>
      </c>
      <c r="R934" s="29">
        <f>222*1.3</f>
        <v>288.60000000000002</v>
      </c>
      <c r="S934" s="29">
        <f>IFERROR(PROPERTIES[[#This Row],[TE_STARTING_KN]]/(PROPERTIES[[#This Row],[WEIGHT]]*9.81),0)</f>
        <v>0.24721815331637242</v>
      </c>
      <c r="T934" s="29">
        <v>0</v>
      </c>
      <c r="U934" s="25">
        <f>ROUND(IF(IFERROR(PROPERTIES[[#This Row],[TE_COEFFICIENT_CALC]],0)=0,PROPERTIES[[#This Row],[TE_COEFFICIENT_MANUAL]],PROPERTIES[[#This Row],[TE_COEFFICIENT_CALC]]),3)</f>
        <v>0.247</v>
      </c>
      <c r="V934" s="37" cm="1">
        <f t="array" ref="V9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4" s="36">
        <v>0</v>
      </c>
      <c r="X934" s="9">
        <v>0</v>
      </c>
      <c r="Y934" s="10">
        <v>0</v>
      </c>
      <c r="Z934" s="9" t="s">
        <v>871</v>
      </c>
      <c r="AA934" s="10" t="s">
        <v>868</v>
      </c>
      <c r="AB934" s="2" t="s">
        <v>886</v>
      </c>
      <c r="AC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34" s="2" t="str">
        <f>SUBSTITUTE(SUBSTITUTE(PROPERTIES[[#This Row],[PURCHASECOST_VALUE]], "PURCHASECOST_", ""), "_VALUE", "")</f>
        <v>ELECTRICENGINE</v>
      </c>
      <c r="AF934" s="9" t="str" cm="1">
        <f t="array" ref="AF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4" s="2" t="b">
        <v>0</v>
      </c>
      <c r="AH934" s="10" t="b">
        <v>0</v>
      </c>
    </row>
    <row r="935" spans="1:34">
      <c r="A935" s="2" t="s">
        <v>3406</v>
      </c>
      <c r="B935">
        <v>1982</v>
      </c>
      <c r="C935" cm="1">
        <f t="array" ref="C935">_xlfn.IFS(ISNUMBER(SEARCH("wagon",PROPERTIES[[#This Row],[VEHIDCODE]])),0,OR(MID(PROPERTIES[[#This Row],[VEHIDCODE]],2,2)="mu",_xlfn.TEXTBEFORE(PROPERTIES[[#This Row],[VEHIDCODE]],"_")="mtro"),1,1=1,0)</f>
        <v>1</v>
      </c>
      <c r="D935" t="s">
        <v>1876</v>
      </c>
      <c r="E935" t="str">
        <f>_xlfn.XLOOKUP(PROPERTIES[[#This Row],[COUNTRY]],COUNTRIES[COUNTRY_DESCRIPTION],COUNTRIES[COUNTRY_LABEL],"")</f>
        <v>NZ</v>
      </c>
      <c r="F935" t="str" cm="1">
        <f t="array" ref="F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5" t="s">
        <v>17</v>
      </c>
      <c r="H935">
        <v>113</v>
      </c>
      <c r="I935">
        <v>8</v>
      </c>
      <c r="J935">
        <v>8</v>
      </c>
      <c r="K935" t="str" cm="1">
        <f t="array" ref="K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5">
        <f>_xlfn.XLOOKUP("LOADINGSPEEDDEF_"&amp;PROPERTIES[[#This Row],[LOADINGSPEED]],LOADINGSPEEDDEF[TYPE],LOADINGSPEEDDEF[SPEED])</f>
        <v>40</v>
      </c>
      <c r="M935" cm="1">
        <f t="array" ref="M9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5">
        <f>IF(ISNUMBER(SEARCH("passenger",PROPERTIES[[#This Row],[CARGODEF]])),1,0)</f>
        <v>1</v>
      </c>
      <c r="O935" s="32">
        <v>37.6</v>
      </c>
      <c r="P935">
        <v>540</v>
      </c>
      <c r="Q935">
        <v>110</v>
      </c>
      <c r="R935" s="29">
        <v>0</v>
      </c>
      <c r="S935" s="29">
        <f>IFERROR(PROPERTIES[[#This Row],[TE_STARTING_KN]]/(PROPERTIES[[#This Row],[WEIGHT]]*9.81),0)</f>
        <v>0</v>
      </c>
      <c r="T935" s="29">
        <v>0.25</v>
      </c>
      <c r="U935" s="25">
        <f>ROUND(IF(IFERROR(PROPERTIES[[#This Row],[TE_COEFFICIENT_CALC]],0)=0,PROPERTIES[[#This Row],[TE_COEFFICIENT_MANUAL]],PROPERTIES[[#This Row],[TE_COEFFICIENT_CALC]]),3)</f>
        <v>0.25</v>
      </c>
      <c r="V935" s="37" cm="1">
        <f t="array" ref="V9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5" s="36">
        <v>113</v>
      </c>
      <c r="X935" s="9">
        <v>8</v>
      </c>
      <c r="Y935" s="10">
        <v>0</v>
      </c>
      <c r="Z935" s="9" t="s">
        <v>871</v>
      </c>
      <c r="AA935" s="10" t="s">
        <v>868</v>
      </c>
      <c r="AB935" s="2" t="s">
        <v>886</v>
      </c>
      <c r="AC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5" s="2" t="str">
        <f>SUBSTITUTE(SUBSTITUTE(PROPERTIES[[#This Row],[PURCHASECOST_VALUE]], "PURCHASECOST_", ""), "_VALUE", "")</f>
        <v>EMU</v>
      </c>
      <c r="AF935" s="9" t="str" cm="1">
        <f t="array" ref="AF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5" s="2" t="b">
        <v>0</v>
      </c>
      <c r="AH935" s="10" t="b">
        <v>0</v>
      </c>
    </row>
    <row r="936" spans="1:34">
      <c r="A936" s="2" t="s">
        <v>3408</v>
      </c>
      <c r="B936">
        <v>1938</v>
      </c>
      <c r="C936" cm="1">
        <f t="array" ref="C936">_xlfn.IFS(ISNUMBER(SEARCH("wagon",PROPERTIES[[#This Row],[VEHIDCODE]])),0,OR(MID(PROPERTIES[[#This Row],[VEHIDCODE]],2,2)="mu",_xlfn.TEXTBEFORE(PROPERTIES[[#This Row],[VEHIDCODE]],"_")="mtro"),1,1=1,0)</f>
        <v>1</v>
      </c>
      <c r="D936" t="s">
        <v>1876</v>
      </c>
      <c r="E936" t="str">
        <f>_xlfn.XLOOKUP(PROPERTIES[[#This Row],[COUNTRY]],COUNTRIES[COUNTRY_DESCRIPTION],COUNTRIES[COUNTRY_LABEL],"")</f>
        <v>NZ</v>
      </c>
      <c r="F936" t="str" cm="1">
        <f t="array" ref="F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6" t="s">
        <v>17</v>
      </c>
      <c r="H936">
        <f>124/2</f>
        <v>62</v>
      </c>
      <c r="I936">
        <v>8</v>
      </c>
      <c r="J936">
        <v>8</v>
      </c>
      <c r="K936" t="str" cm="1">
        <f t="array" ref="K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6">
        <f>_xlfn.XLOOKUP("LOADINGSPEEDDEF_"&amp;PROPERTIES[[#This Row],[LOADINGSPEED]],LOADINGSPEEDDEF[TYPE],LOADINGSPEEDDEF[SPEED])</f>
        <v>40</v>
      </c>
      <c r="M936" cm="1">
        <f t="array" ref="M9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6">
        <f>IF(ISNUMBER(SEARCH("passenger",PROPERTIES[[#This Row],[CARGODEF]])),1,0)</f>
        <v>1</v>
      </c>
      <c r="O936" s="32">
        <v>43.5</v>
      </c>
      <c r="P936">
        <v>599</v>
      </c>
      <c r="Q936">
        <v>97</v>
      </c>
      <c r="R936" s="29">
        <v>0</v>
      </c>
      <c r="S936" s="29">
        <f>IFERROR(PROPERTIES[[#This Row],[TE_STARTING_KN]]/(PROPERTIES[[#This Row],[WEIGHT]]*9.81),0)</f>
        <v>0</v>
      </c>
      <c r="T936" s="29">
        <v>0.25</v>
      </c>
      <c r="U936" s="25">
        <f>ROUND(IF(IFERROR(PROPERTIES[[#This Row],[TE_COEFFICIENT_CALC]],0)=0,PROPERTIES[[#This Row],[TE_COEFFICIENT_MANUAL]],PROPERTIES[[#This Row],[TE_COEFFICIENT_CALC]]),3)</f>
        <v>0.25</v>
      </c>
      <c r="V936" s="37" cm="1">
        <f t="array" ref="V9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6" s="36">
        <v>62</v>
      </c>
      <c r="X936" s="9">
        <v>8</v>
      </c>
      <c r="Y936" s="10">
        <v>0</v>
      </c>
      <c r="Z936" s="9" t="s">
        <v>871</v>
      </c>
      <c r="AA936" s="10" t="s">
        <v>868</v>
      </c>
      <c r="AB936" s="2" t="s">
        <v>886</v>
      </c>
      <c r="AC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6" s="2" t="str">
        <f>SUBSTITUTE(SUBSTITUTE(PROPERTIES[[#This Row],[PURCHASECOST_VALUE]], "PURCHASECOST_", ""), "_VALUE", "")</f>
        <v>EMU</v>
      </c>
      <c r="AF936" s="9" t="str" cm="1">
        <f t="array" ref="AF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36" s="2" t="b">
        <v>0</v>
      </c>
      <c r="AH936" s="10" t="b">
        <v>0</v>
      </c>
    </row>
    <row r="937" spans="1:34">
      <c r="A937" s="2" t="s">
        <v>3412</v>
      </c>
      <c r="B937">
        <v>2010</v>
      </c>
      <c r="C937" cm="1">
        <f t="array" ref="C937">_xlfn.IFS(ISNUMBER(SEARCH("wagon",PROPERTIES[[#This Row],[VEHIDCODE]])),0,OR(MID(PROPERTIES[[#This Row],[VEHIDCODE]],2,2)="mu",_xlfn.TEXTBEFORE(PROPERTIES[[#This Row],[VEHIDCODE]],"_")="mtro"),1,1=1,0)</f>
        <v>1</v>
      </c>
      <c r="D937" t="s">
        <v>1876</v>
      </c>
      <c r="E937" t="str">
        <f>_xlfn.XLOOKUP(PROPERTIES[[#This Row],[COUNTRY]],COUNTRIES[COUNTRY_DESCRIPTION],COUNTRIES[COUNTRY_LABEL],"")</f>
        <v>NZ</v>
      </c>
      <c r="F937" t="str" cm="1">
        <f t="array" ref="F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7" t="s">
        <v>17</v>
      </c>
      <c r="H937">
        <f>INT((147+230)/2)</f>
        <v>188</v>
      </c>
      <c r="I937">
        <v>8</v>
      </c>
      <c r="J937">
        <v>8</v>
      </c>
      <c r="K937" t="str" cm="1">
        <f t="array" ref="K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7">
        <f>_xlfn.XLOOKUP("LOADINGSPEEDDEF_"&amp;PROPERTIES[[#This Row],[LOADINGSPEED]],LOADINGSPEEDDEF[TYPE],LOADINGSPEEDDEF[SPEED])</f>
        <v>40</v>
      </c>
      <c r="M937" t="str" cm="1">
        <f t="array" ref="M9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37">
        <f>IF(ISNUMBER(SEARCH("passenger",PROPERTIES[[#This Row],[CARGODEF]])),1,0)</f>
        <v>1</v>
      </c>
      <c r="O937" s="32">
        <v>38</v>
      </c>
      <c r="P937">
        <v>910</v>
      </c>
      <c r="Q937">
        <v>120</v>
      </c>
      <c r="R937" s="29">
        <v>0</v>
      </c>
      <c r="S937" s="29">
        <f>IFERROR(PROPERTIES[[#This Row],[TE_STARTING_KN]]/(PROPERTIES[[#This Row],[WEIGHT]]*9.81),0)</f>
        <v>0</v>
      </c>
      <c r="T937" s="29">
        <v>0.3</v>
      </c>
      <c r="U937" s="25">
        <f>ROUND(IF(IFERROR(PROPERTIES[[#This Row],[TE_COEFFICIENT_CALC]],0)=0,PROPERTIES[[#This Row],[TE_COEFFICIENT_MANUAL]],PROPERTIES[[#This Row],[TE_COEFFICIENT_CALC]]),3)</f>
        <v>0.3</v>
      </c>
      <c r="V937" s="37" cm="1">
        <f t="array" ref="V9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37" s="36">
        <v>188</v>
      </c>
      <c r="X937" s="9">
        <v>8</v>
      </c>
      <c r="Y937" s="10">
        <v>0</v>
      </c>
      <c r="Z937" s="9" t="s">
        <v>871</v>
      </c>
      <c r="AA937" s="10" t="s">
        <v>868</v>
      </c>
      <c r="AB937" s="2" t="s">
        <v>886</v>
      </c>
      <c r="AC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7" s="2" t="str">
        <f>SUBSTITUTE(SUBSTITUTE(PROPERTIES[[#This Row],[PURCHASECOST_VALUE]], "PURCHASECOST_", ""), "_VALUE", "")</f>
        <v>EMU</v>
      </c>
      <c r="AF937" s="9" t="str" cm="1">
        <f t="array" ref="AF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7" s="2" t="b">
        <v>0</v>
      </c>
      <c r="AH937" s="10" t="b">
        <v>0</v>
      </c>
    </row>
    <row r="938" spans="1:34">
      <c r="A938" s="2" t="s">
        <v>3416</v>
      </c>
      <c r="B938">
        <v>1990</v>
      </c>
      <c r="C938" cm="1">
        <f t="array" ref="C938">_xlfn.IFS(ISNUMBER(SEARCH("wagon",PROPERTIES[[#This Row],[VEHIDCODE]])),0,OR(MID(PROPERTIES[[#This Row],[VEHIDCODE]],2,2)="mu",_xlfn.TEXTBEFORE(PROPERTIES[[#This Row],[VEHIDCODE]],"_")="mtro"),1,1=1,0)</f>
        <v>1</v>
      </c>
      <c r="D938" t="s">
        <v>1805</v>
      </c>
      <c r="E938" t="str">
        <f>_xlfn.XLOOKUP(PROPERTIES[[#This Row],[COUNTRY]],COUNTRIES[COUNTRY_DESCRIPTION],COUNTRIES[COUNTRY_LABEL],"")</f>
        <v>HU</v>
      </c>
      <c r="F938" t="str" cm="1">
        <f t="array" ref="F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38" t="s">
        <v>320</v>
      </c>
      <c r="H938">
        <v>132</v>
      </c>
      <c r="I938">
        <v>8</v>
      </c>
      <c r="J938">
        <v>8</v>
      </c>
      <c r="K938" t="str" cm="1">
        <f t="array" ref="K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938">
        <f>_xlfn.XLOOKUP("LOADINGSPEEDDEF_"&amp;PROPERTIES[[#This Row],[LOADINGSPEED]],LOADINGSPEEDDEF[TYPE],LOADINGSPEEDDEF[SPEED])</f>
        <v>120</v>
      </c>
      <c r="M938" cm="1">
        <f t="array" ref="M9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8">
        <f>IF(ISNUMBER(SEARCH("passenger",PROPERTIES[[#This Row],[CARGODEF]])),1,0)</f>
        <v>1</v>
      </c>
      <c r="O938" s="32">
        <v>32.5</v>
      </c>
      <c r="P938">
        <f>250*1.3*8</f>
        <v>2600</v>
      </c>
      <c r="Q938">
        <v>90</v>
      </c>
      <c r="R938" s="29">
        <v>0</v>
      </c>
      <c r="S938" s="28">
        <f>IFERROR(PROPERTIES[[#This Row],[TE_STARTING_KN]]/(PROPERTIES[[#This Row],[WEIGHT]]*9.81),0)</f>
        <v>0</v>
      </c>
      <c r="T938" s="28">
        <v>0.25</v>
      </c>
      <c r="U938" s="25">
        <f>ROUND(IF(IFERROR(PROPERTIES[[#This Row],[TE_COEFFICIENT_CALC]],0)=0,PROPERTIES[[#This Row],[TE_COEFFICIENT_MANUAL]],PROPERTIES[[#This Row],[TE_COEFFICIENT_CALC]]),3)</f>
        <v>0.25</v>
      </c>
      <c r="V938" s="11" cm="1">
        <f t="array" ref="V9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938" s="36">
        <v>150</v>
      </c>
      <c r="X938" s="9">
        <v>8</v>
      </c>
      <c r="Y938" s="10">
        <v>0</v>
      </c>
      <c r="Z938" t="s">
        <v>875</v>
      </c>
      <c r="AA938" t="s">
        <v>868</v>
      </c>
      <c r="AB938" s="2" t="s">
        <v>886</v>
      </c>
      <c r="AC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938" s="2" t="str">
        <f>SUBSTITUTE(SUBSTITUTE(PROPERTIES[[#This Row],[PURCHASECOST_VALUE]], "PURCHASECOST_", ""), "_VALUE", "")</f>
        <v>METRO</v>
      </c>
      <c r="AF938" s="9" t="str" cm="1">
        <f t="array" ref="AF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938" s="2" t="b">
        <v>0</v>
      </c>
      <c r="AH938" s="10" t="b">
        <v>0</v>
      </c>
    </row>
    <row r="939" spans="1:34">
      <c r="A939" s="2" t="s">
        <v>3419</v>
      </c>
      <c r="B939">
        <v>1954</v>
      </c>
      <c r="C939" cm="1">
        <f t="array" ref="C939">_xlfn.IFS(ISNUMBER(SEARCH("wagon",PROPERTIES[[#This Row],[VEHIDCODE]])),0,OR(MID(PROPERTIES[[#This Row],[VEHIDCODE]],2,2)="mu",_xlfn.TEXTBEFORE(PROPERTIES[[#This Row],[VEHIDCODE]],"_")="mtro"),1,1=1,0)</f>
        <v>0</v>
      </c>
      <c r="D939" t="s">
        <v>1719</v>
      </c>
      <c r="E939" t="str">
        <f>_xlfn.XLOOKUP(PROPERTIES[[#This Row],[COUNTRY]],COUNTRIES[COUNTRY_DESCRIPTION],COUNTRIES[COUNTRY_LABEL],"")</f>
        <v>AU</v>
      </c>
      <c r="F939" t="str" cm="1">
        <f t="array" ref="F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9" t="s">
        <v>19</v>
      </c>
      <c r="H939">
        <v>0</v>
      </c>
      <c r="I939">
        <v>6</v>
      </c>
      <c r="J939">
        <v>6</v>
      </c>
      <c r="K939" t="str" cm="1">
        <f t="array" ref="K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9">
        <f>_xlfn.XLOOKUP("LOADINGSPEEDDEF_"&amp;PROPERTIES[[#This Row],[LOADINGSPEED]],LOADINGSPEEDDEF[TYPE],LOADINGSPEEDDEF[SPEED])</f>
        <v>20</v>
      </c>
      <c r="M939" cm="1">
        <f t="array" ref="M9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9">
        <f>IF(ISNUMBER(SEARCH("passenger",PROPERTIES[[#This Row],[CARGODEF]])),1,0)</f>
        <v>0</v>
      </c>
      <c r="O939" s="32">
        <v>60</v>
      </c>
      <c r="P939">
        <v>840</v>
      </c>
      <c r="Q939">
        <v>80</v>
      </c>
      <c r="R939" s="29">
        <v>0</v>
      </c>
      <c r="S939" s="29">
        <f>IFERROR(PROPERTIES[[#This Row],[TE_STARTING_KN]]/(PROPERTIES[[#This Row],[WEIGHT]]*9.81),0)</f>
        <v>0</v>
      </c>
      <c r="T939" s="29">
        <v>0.3</v>
      </c>
      <c r="U939" s="25">
        <f>ROUND(IF(IFERROR(PROPERTIES[[#This Row],[TE_COEFFICIENT_CALC]],0)=0,PROPERTIES[[#This Row],[TE_COEFFICIENT_MANUAL]],PROPERTIES[[#This Row],[TE_COEFFICIENT_CALC]]),3)</f>
        <v>0.3</v>
      </c>
      <c r="V939" s="37" cm="1">
        <f t="array" ref="V9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9" s="36">
        <v>0</v>
      </c>
      <c r="X939" s="9">
        <v>0</v>
      </c>
      <c r="Y939" s="10">
        <v>0</v>
      </c>
      <c r="Z939" s="9" t="s">
        <v>871</v>
      </c>
      <c r="AA939" t="s">
        <v>868</v>
      </c>
      <c r="AB939" s="10" t="s">
        <v>886</v>
      </c>
      <c r="AC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39" s="2" t="str">
        <f>SUBSTITUTE(SUBSTITUTE(PROPERTIES[[#This Row],[PURCHASECOST_VALUE]], "PURCHASECOST_", ""), "_VALUE", "")</f>
        <v>DIESELENGINE</v>
      </c>
      <c r="AF939" s="9" t="str" cm="1">
        <f t="array" ref="AF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9" s="2" t="b">
        <v>0</v>
      </c>
      <c r="AH939" s="10" t="b">
        <v>0</v>
      </c>
    </row>
    <row r="940" spans="1:34">
      <c r="A940" s="2" t="s">
        <v>3429</v>
      </c>
      <c r="B940">
        <v>2001</v>
      </c>
      <c r="C940" s="49" cm="1">
        <f t="array" ref="C940">_xlfn.IFS(ISNUMBER(SEARCH("wagon",PROPERTIES[[#This Row],[VEHIDCODE]])),0,OR(MID(PROPERTIES[[#This Row],[VEHIDCODE]],2,2)="mu",_xlfn.TEXTBEFORE(PROPERTIES[[#This Row],[VEHIDCODE]],"_")="mtro"),1,1=1,0)</f>
        <v>1</v>
      </c>
      <c r="D940" s="49" t="s">
        <v>1800</v>
      </c>
      <c r="E940" s="49" t="str">
        <f>_xlfn.XLOOKUP(PROPERTIES[[#This Row],[COUNTRY]],COUNTRIES[COUNTRY_DESCRIPTION],COUNTRIES[COUNTRY_LABEL],"")</f>
        <v>HK</v>
      </c>
      <c r="F940" s="49" t="str" cm="1">
        <f t="array" ref="F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0" t="s">
        <v>320</v>
      </c>
      <c r="H940">
        <v>250</v>
      </c>
      <c r="I940">
        <v>8</v>
      </c>
      <c r="J940" s="49">
        <v>8</v>
      </c>
      <c r="K940" s="49" t="str" cm="1">
        <f t="array" ref="K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40" s="49">
        <f>_xlfn.XLOOKUP("LOADINGSPEEDDEF_"&amp;PROPERTIES[[#This Row],[LOADINGSPEED]],LOADINGSPEEDDEF[TYPE],LOADINGSPEEDDEF[SPEED])</f>
        <v>40</v>
      </c>
      <c r="M940" s="49" t="str" cm="1">
        <f t="array" ref="M9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0">
        <f>IF(ISNUMBER(SEARCH("passenger",PROPERTIES[[#This Row],[CARGODEF]])),1,0)</f>
        <v>1</v>
      </c>
      <c r="O940" s="32">
        <v>37</v>
      </c>
      <c r="P940">
        <v>5149</v>
      </c>
      <c r="Q940">
        <v>130</v>
      </c>
      <c r="R940" s="29">
        <v>0</v>
      </c>
      <c r="S940" s="29">
        <f>IFERROR(PROPERTIES[[#This Row],[TE_STARTING_KN]]/(PROPERTIES[[#This Row],[WEIGHT]]*9.81),0)</f>
        <v>0</v>
      </c>
      <c r="T940" s="29">
        <v>0.3</v>
      </c>
      <c r="U940" s="25">
        <f>ROUND(IF(IFERROR(PROPERTIES[[#This Row],[TE_COEFFICIENT_CALC]],0)=0,PROPERTIES[[#This Row],[TE_COEFFICIENT_MANUAL]],PROPERTIES[[#This Row],[TE_COEFFICIENT_CALC]]),3)</f>
        <v>0.3</v>
      </c>
      <c r="V940" s="37" cm="1">
        <f t="array" ref="V9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0" s="36">
        <v>250</v>
      </c>
      <c r="X940" s="9">
        <v>8</v>
      </c>
      <c r="Y940" s="10">
        <v>0</v>
      </c>
      <c r="Z940" s="9" t="s">
        <v>877</v>
      </c>
      <c r="AA940" t="s">
        <v>868</v>
      </c>
      <c r="AB940" s="10" t="s">
        <v>886</v>
      </c>
      <c r="AC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40" s="2" t="str">
        <f>SUBSTITUTE(SUBSTITUTE(PROPERTIES[[#This Row],[PURCHASECOST_VALUE]], "PURCHASECOST_", ""), "_VALUE", "")</f>
        <v>EMU</v>
      </c>
      <c r="AF940" s="9" t="str" cm="1">
        <f t="array" ref="AF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40" s="2" t="b">
        <v>0</v>
      </c>
      <c r="AH940" s="10" t="b">
        <v>0</v>
      </c>
    </row>
    <row r="941" spans="1:34">
      <c r="A941" t="s">
        <v>3433</v>
      </c>
      <c r="B941">
        <v>2007</v>
      </c>
      <c r="C941" s="49" cm="1">
        <f t="array" ref="C941">_xlfn.IFS(ISNUMBER(SEARCH("wagon",PROPERTIES[[#This Row],[VEHIDCODE]])),0,OR(MID(PROPERTIES[[#This Row],[VEHIDCODE]],2,2)="mu",_xlfn.TEXTBEFORE(PROPERTIES[[#This Row],[VEHIDCODE]],"_")="mtro"),1,1=1,0)</f>
        <v>0</v>
      </c>
      <c r="D941" s="49" t="s">
        <v>1754</v>
      </c>
      <c r="E941" s="49" t="str">
        <f>_xlfn.XLOOKUP(PROPERTIES[[#This Row],[COUNTRY]],COUNTRIES[COUNTRY_DESCRIPTION],COUNTRIES[COUNTRY_LABEL],"")</f>
        <v>CN</v>
      </c>
      <c r="F941" s="49" t="str" cm="1">
        <f t="array" ref="F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1" t="s">
        <v>19</v>
      </c>
      <c r="H941">
        <v>0</v>
      </c>
      <c r="I941">
        <v>7</v>
      </c>
      <c r="J941">
        <v>14</v>
      </c>
      <c r="K941" t="str" cm="1">
        <f t="array" ref="K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1">
        <f>_xlfn.XLOOKUP("LOADINGSPEEDDEF_"&amp;PROPERTIES[[#This Row],[LOADINGSPEED]],LOADINGSPEEDDEF[TYPE],LOADINGSPEEDDEF[SPEED])</f>
        <v>20</v>
      </c>
      <c r="M941" t="str" cm="1">
        <f t="array" ref="M9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1">
        <f>IF(ISNUMBER(SEARCH("passenger",PROPERTIES[[#This Row],[CARGODEF]])),1,0)</f>
        <v>0</v>
      </c>
      <c r="O941" s="32">
        <v>200</v>
      </c>
      <c r="P941">
        <v>13000</v>
      </c>
      <c r="Q941">
        <v>120</v>
      </c>
      <c r="R941" s="29">
        <v>760</v>
      </c>
      <c r="S941" s="28">
        <f>IFERROR(PROPERTIES[[#This Row],[TE_STARTING_KN]]/(PROPERTIES[[#This Row],[WEIGHT]]*9.81),0)</f>
        <v>0.3873598369011213</v>
      </c>
      <c r="T941" s="28">
        <v>0</v>
      </c>
      <c r="U941" s="25">
        <f>ROUND(IF(IFERROR(PROPERTIES[[#This Row],[TE_COEFFICIENT_CALC]],0)=0,PROPERTIES[[#This Row],[TE_COEFFICIENT_MANUAL]],PROPERTIES[[#This Row],[TE_COEFFICIENT_CALC]]),3)</f>
        <v>0.38700000000000001</v>
      </c>
      <c r="V941" s="11" cm="1">
        <f t="array" ref="V9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1" s="36">
        <v>0</v>
      </c>
      <c r="X941" s="9">
        <v>0</v>
      </c>
      <c r="Y941" s="10">
        <v>0</v>
      </c>
      <c r="Z941" t="s">
        <v>877</v>
      </c>
      <c r="AA941" t="s">
        <v>868</v>
      </c>
      <c r="AB941" s="2" t="s">
        <v>886</v>
      </c>
      <c r="AC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1" s="2" t="str">
        <f>SUBSTITUTE(SUBSTITUTE(PROPERTIES[[#This Row],[PURCHASECOST_VALUE]], "PURCHASECOST_", ""), "_VALUE", "")</f>
        <v>ELECTRICENGINE</v>
      </c>
      <c r="AF941" s="9" t="str" cm="1">
        <f t="array" ref="AF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1" s="2" t="b">
        <v>0</v>
      </c>
      <c r="AH941" s="10" t="b">
        <v>0</v>
      </c>
    </row>
    <row r="942" spans="1:34">
      <c r="A942" t="s">
        <v>3436</v>
      </c>
      <c r="B942">
        <v>1992</v>
      </c>
      <c r="C942" s="49" cm="1">
        <f t="array" ref="C942">_xlfn.IFS(ISNUMBER(SEARCH("wagon",PROPERTIES[[#This Row],[VEHIDCODE]])),0,OR(MID(PROPERTIES[[#This Row],[VEHIDCODE]],2,2)="mu",_xlfn.TEXTBEFORE(PROPERTIES[[#This Row],[VEHIDCODE]],"_")="mtro"),1,1=1,0)</f>
        <v>0</v>
      </c>
      <c r="D942" s="49" t="s">
        <v>1754</v>
      </c>
      <c r="E942" s="49" t="str">
        <f>_xlfn.XLOOKUP(PROPERTIES[[#This Row],[COUNTRY]],COUNTRIES[COUNTRY_DESCRIPTION],COUNTRIES[COUNTRY_LABEL],"")</f>
        <v>CN</v>
      </c>
      <c r="F942" s="49" t="str" cm="1">
        <f t="array" ref="F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2" t="s">
        <v>19</v>
      </c>
      <c r="H942">
        <v>0</v>
      </c>
      <c r="I942">
        <v>8</v>
      </c>
      <c r="J942" s="49">
        <v>8</v>
      </c>
      <c r="K942" s="49" t="str" cm="1">
        <f t="array" ref="K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2" s="49">
        <f>_xlfn.XLOOKUP("LOADINGSPEEDDEF_"&amp;PROPERTIES[[#This Row],[LOADINGSPEED]],LOADINGSPEEDDEF[TYPE],LOADINGSPEEDDEF[SPEED])</f>
        <v>20</v>
      </c>
      <c r="M942" s="49" cm="1">
        <f t="array" ref="M9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2">
        <f>IF(ISNUMBER(SEARCH("passenger",PROPERTIES[[#This Row],[CARGODEF]])),1,0)</f>
        <v>0</v>
      </c>
      <c r="O942" s="32">
        <v>138</v>
      </c>
      <c r="P942">
        <v>4840</v>
      </c>
      <c r="Q942">
        <v>170</v>
      </c>
      <c r="R942" s="29">
        <v>245</v>
      </c>
      <c r="S942" s="29">
        <f>IFERROR(PROPERTIES[[#This Row],[TE_STARTING_KN]]/(PROPERTIES[[#This Row],[WEIGHT]]*9.81),0)</f>
        <v>0.18097475217539039</v>
      </c>
      <c r="T942" s="29">
        <v>0</v>
      </c>
      <c r="U942" s="25">
        <f>ROUND(IF(IFERROR(PROPERTIES[[#This Row],[TE_COEFFICIENT_CALC]],0)=0,PROPERTIES[[#This Row],[TE_COEFFICIENT_MANUAL]],PROPERTIES[[#This Row],[TE_COEFFICIENT_CALC]]),3)</f>
        <v>0.18099999999999999</v>
      </c>
      <c r="V942" s="37" cm="1">
        <f t="array" ref="V9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2" s="36">
        <v>0</v>
      </c>
      <c r="X942" s="9">
        <v>0</v>
      </c>
      <c r="Y942" s="10">
        <v>0</v>
      </c>
      <c r="Z942" t="s">
        <v>877</v>
      </c>
      <c r="AA942" t="s">
        <v>868</v>
      </c>
      <c r="AB942" s="2" t="s">
        <v>886</v>
      </c>
      <c r="AC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2" s="2" t="str">
        <f>SUBSTITUTE(SUBSTITUTE(PROPERTIES[[#This Row],[PURCHASECOST_VALUE]], "PURCHASECOST_", ""), "_VALUE", "")</f>
        <v>DIESELENGINE</v>
      </c>
      <c r="AF942" s="9" t="str" cm="1">
        <f t="array" ref="AF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2" s="2" t="b">
        <v>0</v>
      </c>
      <c r="AH942" s="10" t="b">
        <v>0</v>
      </c>
    </row>
    <row r="943" spans="1:34">
      <c r="A943" s="2" t="s">
        <v>3437</v>
      </c>
      <c r="B943">
        <v>1994</v>
      </c>
      <c r="C943" s="49" cm="1">
        <f t="array" ref="C943">_xlfn.IFS(ISNUMBER(SEARCH("wagon",PROPERTIES[[#This Row],[VEHIDCODE]])),0,OR(MID(PROPERTIES[[#This Row],[VEHIDCODE]],2,2)="mu",_xlfn.TEXTBEFORE(PROPERTIES[[#This Row],[VEHIDCODE]],"_")="mtro"),1,1=1,0)</f>
        <v>0</v>
      </c>
      <c r="D943" s="49" t="s">
        <v>1754</v>
      </c>
      <c r="E943" s="49" t="str">
        <f>_xlfn.XLOOKUP(PROPERTIES[[#This Row],[COUNTRY]],COUNTRIES[COUNTRY_DESCRIPTION],COUNTRIES[COUNTRY_LABEL],"")</f>
        <v>CN</v>
      </c>
      <c r="F943" s="49" t="str" cm="1">
        <f t="array" ref="F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3" t="s">
        <v>19</v>
      </c>
      <c r="H943">
        <v>0</v>
      </c>
      <c r="I943">
        <v>7</v>
      </c>
      <c r="J943" s="49">
        <v>7</v>
      </c>
      <c r="K943" s="49" t="str" cm="1">
        <f t="array" ref="K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3" s="49">
        <f>_xlfn.XLOOKUP("LOADINGSPEEDDEF_"&amp;PROPERTIES[[#This Row],[LOADINGSPEED]],LOADINGSPEEDDEF[TYPE],LOADINGSPEEDDEF[SPEED])</f>
        <v>20</v>
      </c>
      <c r="M943" s="49" cm="1">
        <f t="array" ref="M9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3">
        <f>IF(ISNUMBER(SEARCH("passenger",PROPERTIES[[#This Row],[CARGODEF]])),1,0)</f>
        <v>0</v>
      </c>
      <c r="O943" s="32">
        <v>88</v>
      </c>
      <c r="P943">
        <v>4830</v>
      </c>
      <c r="Q943">
        <v>170</v>
      </c>
      <c r="R943" s="29">
        <v>208</v>
      </c>
      <c r="S943" s="29">
        <f>IFERROR(PROPERTIES[[#This Row],[TE_STARTING_KN]]/(PROPERTIES[[#This Row],[WEIGHT]]*9.81),0)</f>
        <v>0.24094152534519506</v>
      </c>
      <c r="T943" s="29">
        <v>0</v>
      </c>
      <c r="U943" s="25">
        <f>ROUND(IF(IFERROR(PROPERTIES[[#This Row],[TE_COEFFICIENT_CALC]],0)=0,PROPERTIES[[#This Row],[TE_COEFFICIENT_MANUAL]],PROPERTIES[[#This Row],[TE_COEFFICIENT_CALC]]),3)</f>
        <v>0.24099999999999999</v>
      </c>
      <c r="V943" s="37" cm="1">
        <f t="array" ref="V9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3" s="36">
        <v>0</v>
      </c>
      <c r="X943" s="9">
        <v>0</v>
      </c>
      <c r="Y943" s="10">
        <v>0</v>
      </c>
      <c r="Z943" t="s">
        <v>877</v>
      </c>
      <c r="AA943" t="s">
        <v>868</v>
      </c>
      <c r="AB943" s="2" t="s">
        <v>886</v>
      </c>
      <c r="AC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3" s="2" t="str">
        <f>SUBSTITUTE(SUBSTITUTE(PROPERTIES[[#This Row],[PURCHASECOST_VALUE]], "PURCHASECOST_", ""), "_VALUE", "")</f>
        <v>ELECTRICENGINE</v>
      </c>
      <c r="AF943" s="9" t="str" cm="1">
        <f t="array" ref="AF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3" s="2" t="b">
        <v>0</v>
      </c>
      <c r="AH943" s="10" t="b">
        <v>0</v>
      </c>
    </row>
    <row r="944" spans="1:34">
      <c r="A944" s="2" t="s">
        <v>3440</v>
      </c>
      <c r="B944">
        <v>2007</v>
      </c>
      <c r="C944" s="49" cm="1">
        <f t="array" ref="C944">_xlfn.IFS(ISNUMBER(SEARCH("wagon",PROPERTIES[[#This Row],[VEHIDCODE]])),0,OR(MID(PROPERTIES[[#This Row],[VEHIDCODE]],2,2)="mu",_xlfn.TEXTBEFORE(PROPERTIES[[#This Row],[VEHIDCODE]],"_")="mtro"),1,1=1,0)</f>
        <v>0</v>
      </c>
      <c r="D944" s="49" t="s">
        <v>1754</v>
      </c>
      <c r="E944" s="49" t="str">
        <f>_xlfn.XLOOKUP(PROPERTIES[[#This Row],[COUNTRY]],COUNTRIES[COUNTRY_DESCRIPTION],COUNTRIES[COUNTRY_LABEL],"")</f>
        <v>CN</v>
      </c>
      <c r="F944" s="49" t="str" cm="1">
        <f t="array" ref="F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4" t="s">
        <v>19</v>
      </c>
      <c r="H944">
        <v>8</v>
      </c>
      <c r="I944">
        <v>8</v>
      </c>
      <c r="J944" s="49">
        <v>8</v>
      </c>
      <c r="K944" s="49" t="str" cm="1">
        <f t="array" ref="K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4" s="49">
        <f>_xlfn.XLOOKUP("LOADINGSPEEDDEF_"&amp;PROPERTIES[[#This Row],[LOADINGSPEED]],LOADINGSPEEDDEF[TYPE],LOADINGSPEEDDEF[SPEED])</f>
        <v>20</v>
      </c>
      <c r="M944" s="49" t="str" cm="1">
        <f t="array" ref="M9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4">
        <f>IF(ISNUMBER(SEARCH("passenger",PROPERTIES[[#This Row],[CARGODEF]])),1,0)</f>
        <v>0</v>
      </c>
      <c r="O944" s="32">
        <v>150</v>
      </c>
      <c r="P944">
        <v>12900</v>
      </c>
      <c r="Q944">
        <v>120</v>
      </c>
      <c r="R944" s="29">
        <v>584</v>
      </c>
      <c r="S944" s="29">
        <f>IFERROR(PROPERTIES[[#This Row],[TE_STARTING_KN]]/(PROPERTIES[[#This Row],[WEIGHT]]*9.81),0)</f>
        <v>0.39687393815834182</v>
      </c>
      <c r="T944" s="29">
        <v>0</v>
      </c>
      <c r="U944" s="25">
        <f>ROUND(IF(IFERROR(PROPERTIES[[#This Row],[TE_COEFFICIENT_CALC]],0)=0,PROPERTIES[[#This Row],[TE_COEFFICIENT_MANUAL]],PROPERTIES[[#This Row],[TE_COEFFICIENT_CALC]]),3)</f>
        <v>0.39700000000000002</v>
      </c>
      <c r="V944" s="37" cm="1">
        <f t="array" ref="V9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4" s="36">
        <v>0</v>
      </c>
      <c r="X944" s="9">
        <v>0</v>
      </c>
      <c r="Y944" s="10">
        <v>0</v>
      </c>
      <c r="Z944" t="s">
        <v>877</v>
      </c>
      <c r="AA944" t="s">
        <v>868</v>
      </c>
      <c r="AB944" s="2" t="s">
        <v>886</v>
      </c>
      <c r="AC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4" s="2" t="str">
        <f>SUBSTITUTE(SUBSTITUTE(PROPERTIES[[#This Row],[PURCHASECOST_VALUE]], "PURCHASECOST_", ""), "_VALUE", "")</f>
        <v>ELECTRICENGINE</v>
      </c>
      <c r="AF944" s="9" t="str" cm="1">
        <f t="array" ref="AF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944" s="2" t="b">
        <v>0</v>
      </c>
      <c r="AH944" s="10" t="b">
        <v>0</v>
      </c>
    </row>
    <row r="945" spans="1:34">
      <c r="A945" s="2" t="s">
        <v>3443</v>
      </c>
      <c r="B945">
        <v>2012</v>
      </c>
      <c r="C945" s="49" cm="1">
        <f t="array" ref="C945">_xlfn.IFS(ISNUMBER(SEARCH("wagon",PROPERTIES[[#This Row],[VEHIDCODE]])),0,OR(MID(PROPERTIES[[#This Row],[VEHIDCODE]],2,2)="mu",_xlfn.TEXTBEFORE(PROPERTIES[[#This Row],[VEHIDCODE]],"_")="mtro"),1,1=1,0)</f>
        <v>0</v>
      </c>
      <c r="D945" s="49" t="s">
        <v>1754</v>
      </c>
      <c r="E945" s="49" t="str">
        <f>_xlfn.XLOOKUP(PROPERTIES[[#This Row],[COUNTRY]],COUNTRIES[COUNTRY_DESCRIPTION],COUNTRIES[COUNTRY_LABEL],"")</f>
        <v>CN</v>
      </c>
      <c r="F945" s="49" t="str" cm="1">
        <f t="array" ref="F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5" t="s">
        <v>19</v>
      </c>
      <c r="H945">
        <v>8</v>
      </c>
      <c r="I945">
        <v>8</v>
      </c>
      <c r="J945" s="49">
        <v>8</v>
      </c>
      <c r="K945" s="49" t="str" cm="1">
        <f t="array" ref="K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5" s="49">
        <f>_xlfn.XLOOKUP("LOADINGSPEEDDEF_"&amp;PROPERTIES[[#This Row],[LOADINGSPEED]],LOADINGSPEEDDEF[TYPE],LOADINGSPEEDDEF[SPEED])</f>
        <v>20</v>
      </c>
      <c r="M945" s="49" t="str" cm="1">
        <f t="array" ref="M9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5">
        <f>IF(ISNUMBER(SEARCH("passenger",PROPERTIES[[#This Row],[CARGODEF]])),1,0)</f>
        <v>0</v>
      </c>
      <c r="O945" s="32">
        <v>128</v>
      </c>
      <c r="P945">
        <v>10058</v>
      </c>
      <c r="Q945">
        <v>160</v>
      </c>
      <c r="R945" s="29">
        <v>420</v>
      </c>
      <c r="S945" s="29">
        <f>IFERROR(PROPERTIES[[#This Row],[TE_STARTING_KN]]/(PROPERTIES[[#This Row],[WEIGHT]]*9.81),0)</f>
        <v>0.33448012232415902</v>
      </c>
      <c r="T945" s="29">
        <v>0</v>
      </c>
      <c r="U945" s="25">
        <f>ROUND(IF(IFERROR(PROPERTIES[[#This Row],[TE_COEFFICIENT_CALC]],0)=0,PROPERTIES[[#This Row],[TE_COEFFICIENT_MANUAL]],PROPERTIES[[#This Row],[TE_COEFFICIENT_CALC]]),3)</f>
        <v>0.33400000000000002</v>
      </c>
      <c r="V945" s="37" cm="1">
        <f t="array" ref="V9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5" s="36">
        <v>0</v>
      </c>
      <c r="X945" s="9">
        <v>0</v>
      </c>
      <c r="Y945" s="10">
        <v>0</v>
      </c>
      <c r="Z945" t="s">
        <v>877</v>
      </c>
      <c r="AA945" t="s">
        <v>868</v>
      </c>
      <c r="AB945" s="2" t="s">
        <v>886</v>
      </c>
      <c r="AC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5" s="2" t="str">
        <f>SUBSTITUTE(SUBSTITUTE(PROPERTIES[[#This Row],[PURCHASECOST_VALUE]], "PURCHASECOST_", ""), "_VALUE", "")</f>
        <v>ELECTRICENGINE</v>
      </c>
      <c r="AF945" s="9" t="str" cm="1">
        <f t="array" ref="AF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945" s="2" t="b">
        <v>0</v>
      </c>
      <c r="AH945" s="10" t="b">
        <v>0</v>
      </c>
    </row>
    <row r="946" spans="1:34">
      <c r="A946" s="2" t="s">
        <v>3445</v>
      </c>
      <c r="B946">
        <v>1984</v>
      </c>
      <c r="C946" s="49" cm="1">
        <f t="array" ref="C946">_xlfn.IFS(ISNUMBER(SEARCH("wagon",PROPERTIES[[#This Row],[VEHIDCODE]])),0,OR(MID(PROPERTIES[[#This Row],[VEHIDCODE]],2,2)="mu",_xlfn.TEXTBEFORE(PROPERTIES[[#This Row],[VEHIDCODE]],"_")="mtro"),1,1=1,0)</f>
        <v>0</v>
      </c>
      <c r="D946" s="49" t="s">
        <v>1754</v>
      </c>
      <c r="E946" s="49" t="str">
        <f>_xlfn.XLOOKUP(PROPERTIES[[#This Row],[COUNTRY]],COUNTRIES[COUNTRY_DESCRIPTION],COUNTRIES[COUNTRY_LABEL],"")</f>
        <v>CN</v>
      </c>
      <c r="F946" s="49" t="str" cm="1">
        <f t="array" ref="F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6" t="s">
        <v>19</v>
      </c>
      <c r="H946">
        <v>0</v>
      </c>
      <c r="I946">
        <v>8</v>
      </c>
      <c r="J946" s="49">
        <v>8</v>
      </c>
      <c r="K946" s="49" t="str" cm="1">
        <f t="array" ref="K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6" s="49">
        <f>_xlfn.XLOOKUP("LOADINGSPEEDDEF_"&amp;PROPERTIES[[#This Row],[LOADINGSPEED]],LOADINGSPEEDDEF[TYPE],LOADINGSPEEDDEF[SPEED])</f>
        <v>20</v>
      </c>
      <c r="M946" s="49" cm="1">
        <f t="array" ref="M9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6">
        <f>IF(ISNUMBER(SEARCH("passenger",PROPERTIES[[#This Row],[CARGODEF]])),1,0)</f>
        <v>0</v>
      </c>
      <c r="O946" s="32">
        <v>138</v>
      </c>
      <c r="P946">
        <v>3550</v>
      </c>
      <c r="Q946">
        <v>120</v>
      </c>
      <c r="R946" s="29">
        <v>243</v>
      </c>
      <c r="S946" s="29">
        <f>IFERROR(PROPERTIES[[#This Row],[TE_STARTING_KN]]/(PROPERTIES[[#This Row],[WEIGHT]]*9.81),0)</f>
        <v>0.17949740725967292</v>
      </c>
      <c r="T946" s="29">
        <v>0</v>
      </c>
      <c r="U946" s="25">
        <f>ROUND(IF(IFERROR(PROPERTIES[[#This Row],[TE_COEFFICIENT_CALC]],0)=0,PROPERTIES[[#This Row],[TE_COEFFICIENT_MANUAL]],PROPERTIES[[#This Row],[TE_COEFFICIENT_CALC]]),3)</f>
        <v>0.17899999999999999</v>
      </c>
      <c r="V946" s="37" cm="1">
        <f t="array" ref="V9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6" s="36">
        <v>0</v>
      </c>
      <c r="X946" s="9">
        <v>0</v>
      </c>
      <c r="Y946" s="10">
        <v>0</v>
      </c>
      <c r="Z946" t="s">
        <v>877</v>
      </c>
      <c r="AA946" t="s">
        <v>868</v>
      </c>
      <c r="AB946" s="2" t="s">
        <v>886</v>
      </c>
      <c r="AC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6" s="2" t="str">
        <f>SUBSTITUTE(SUBSTITUTE(PROPERTIES[[#This Row],[PURCHASECOST_VALUE]], "PURCHASECOST_", ""), "_VALUE", "")</f>
        <v>DIESELENGINE</v>
      </c>
      <c r="AF946" s="9" t="str" cm="1">
        <f t="array" ref="AF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6" s="2" t="b">
        <v>0</v>
      </c>
      <c r="AH946" s="10" t="b">
        <v>0</v>
      </c>
    </row>
    <row r="947" spans="1:34">
      <c r="A947" s="2" t="s">
        <v>3449</v>
      </c>
      <c r="B947">
        <v>1976</v>
      </c>
      <c r="C947" s="49" cm="1">
        <f t="array" ref="C947">_xlfn.IFS(ISNUMBER(SEARCH("wagon",PROPERTIES[[#This Row],[VEHIDCODE]])),0,OR(MID(PROPERTIES[[#This Row],[VEHIDCODE]],2,2)="mu",_xlfn.TEXTBEFORE(PROPERTIES[[#This Row],[VEHIDCODE]],"_")="mtro"),1,1=1,0)</f>
        <v>0</v>
      </c>
      <c r="D947" s="49" t="s">
        <v>1754</v>
      </c>
      <c r="E947" s="49" t="str">
        <f>_xlfn.XLOOKUP(PROPERTIES[[#This Row],[COUNTRY]],COUNTRIES[COUNTRY_DESCRIPTION],COUNTRIES[COUNTRY_LABEL],"")</f>
        <v>CN</v>
      </c>
      <c r="F947" s="49" t="str" cm="1">
        <f t="array" ref="F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7" t="s">
        <v>19</v>
      </c>
      <c r="H947">
        <v>0</v>
      </c>
      <c r="I947">
        <v>8</v>
      </c>
      <c r="J947" s="49">
        <v>8</v>
      </c>
      <c r="K947" s="49" t="str" cm="1">
        <f t="array" ref="K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7" s="49">
        <f>_xlfn.XLOOKUP("LOADINGSPEEDDEF_"&amp;PROPERTIES[[#This Row],[LOADINGSPEED]],LOADINGSPEEDDEF[TYPE],LOADINGSPEEDDEF[SPEED])</f>
        <v>20</v>
      </c>
      <c r="M947" s="49" cm="1">
        <f t="array" ref="M9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7">
        <f>IF(ISNUMBER(SEARCH("passenger",PROPERTIES[[#This Row],[CARGODEF]])),1,0)</f>
        <v>0</v>
      </c>
      <c r="O947" s="32">
        <v>138</v>
      </c>
      <c r="P947">
        <v>1320</v>
      </c>
      <c r="Q947">
        <v>100</v>
      </c>
      <c r="R947" s="29">
        <v>392</v>
      </c>
      <c r="S947" s="29">
        <f>IFERROR(PROPERTIES[[#This Row],[TE_STARTING_KN]]/(PROPERTIES[[#This Row],[WEIGHT]]*9.81),0)</f>
        <v>0.28955960348062465</v>
      </c>
      <c r="T947" s="29">
        <v>0</v>
      </c>
      <c r="U947" s="25">
        <f>ROUND(IF(IFERROR(PROPERTIES[[#This Row],[TE_COEFFICIENT_CALC]],0)=0,PROPERTIES[[#This Row],[TE_COEFFICIENT_MANUAL]],PROPERTIES[[#This Row],[TE_COEFFICIENT_CALC]]),3)</f>
        <v>0.28999999999999998</v>
      </c>
      <c r="V947" s="37" cm="1">
        <f t="array" ref="V9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7" s="36">
        <v>0</v>
      </c>
      <c r="X947" s="9">
        <v>0</v>
      </c>
      <c r="Y947" s="10">
        <v>0</v>
      </c>
      <c r="Z947" t="s">
        <v>877</v>
      </c>
      <c r="AA947" t="s">
        <v>868</v>
      </c>
      <c r="AB947" s="2" t="s">
        <v>886</v>
      </c>
      <c r="AC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7" s="2" t="str">
        <f>SUBSTITUTE(SUBSTITUTE(PROPERTIES[[#This Row],[PURCHASECOST_VALUE]], "PURCHASECOST_", ""), "_VALUE", "")</f>
        <v>DIESELENGINE</v>
      </c>
      <c r="AF947" s="9" t="str" cm="1">
        <f t="array" ref="AF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7" s="2" t="b">
        <v>0</v>
      </c>
      <c r="AH947" s="10" t="b">
        <v>0</v>
      </c>
    </row>
    <row r="948" spans="1:34">
      <c r="A948" s="2" t="s">
        <v>3452</v>
      </c>
      <c r="B948">
        <v>1957</v>
      </c>
      <c r="C948" s="49" cm="1">
        <f t="array" ref="C948">_xlfn.IFS(ISNUMBER(SEARCH("wagon",PROPERTIES[[#This Row],[VEHIDCODE]])),0,OR(MID(PROPERTIES[[#This Row],[VEHIDCODE]],2,2)="mu",_xlfn.TEXTBEFORE(PROPERTIES[[#This Row],[VEHIDCODE]],"_")="mtro"),1,1=1,0)</f>
        <v>0</v>
      </c>
      <c r="D948" s="49" t="s">
        <v>1754</v>
      </c>
      <c r="E948" s="49" t="str">
        <f>_xlfn.XLOOKUP(PROPERTIES[[#This Row],[COUNTRY]],COUNTRIES[COUNTRY_DESCRIPTION],COUNTRIES[COUNTRY_LABEL],"")</f>
        <v>CN</v>
      </c>
      <c r="F948" s="49" t="str" cm="1">
        <f t="array" ref="F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8" t="s">
        <v>19</v>
      </c>
      <c r="H948">
        <v>0</v>
      </c>
      <c r="I948">
        <v>7</v>
      </c>
      <c r="J948" s="49">
        <v>11</v>
      </c>
      <c r="K948" s="49" t="str" cm="1">
        <f t="array" ref="K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8" s="49">
        <f>_xlfn.XLOOKUP("LOADINGSPEEDDEF_"&amp;PROPERTIES[[#This Row],[LOADINGSPEED]],LOADINGSPEEDDEF[TYPE],LOADINGSPEEDDEF[SPEED])</f>
        <v>20</v>
      </c>
      <c r="M948" s="49" cm="1">
        <f t="array" ref="M9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8">
        <f>IF(ISNUMBER(SEARCH("passenger",PROPERTIES[[#This Row],[CARGODEF]])),1,0)</f>
        <v>0</v>
      </c>
      <c r="O948" s="32">
        <v>186</v>
      </c>
      <c r="P948">
        <v>2270</v>
      </c>
      <c r="Q948">
        <v>85</v>
      </c>
      <c r="R948" s="29">
        <v>250</v>
      </c>
      <c r="S948" s="29">
        <f>IFERROR(PROPERTIES[[#This Row],[TE_STARTING_KN]]/(PROPERTIES[[#This Row],[WEIGHT]]*9.81),0)</f>
        <v>0.13701182686089464</v>
      </c>
      <c r="T948" s="29">
        <v>0</v>
      </c>
      <c r="U948" s="25">
        <f>ROUND(IF(IFERROR(PROPERTIES[[#This Row],[TE_COEFFICIENT_CALC]],0)=0,PROPERTIES[[#This Row],[TE_COEFFICIENT_MANUAL]],PROPERTIES[[#This Row],[TE_COEFFICIENT_CALC]]),3)</f>
        <v>0.13700000000000001</v>
      </c>
      <c r="V948" s="37" cm="1">
        <f t="array" ref="V9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8" s="36">
        <v>0</v>
      </c>
      <c r="X948" s="9">
        <v>4</v>
      </c>
      <c r="Y948" s="10">
        <v>0</v>
      </c>
      <c r="Z948" t="s">
        <v>877</v>
      </c>
      <c r="AA948" t="s">
        <v>868</v>
      </c>
      <c r="AB948" s="2" t="s">
        <v>886</v>
      </c>
      <c r="AC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8" s="2" t="str">
        <f>SUBSTITUTE(SUBSTITUTE(PROPERTIES[[#This Row],[PURCHASECOST_VALUE]], "PURCHASECOST_", ""), "_VALUE", "")</f>
        <v>STEAMENGINE</v>
      </c>
      <c r="AF948" s="9" t="str" cm="1">
        <f t="array" ref="AF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8" s="2" t="b">
        <v>0</v>
      </c>
      <c r="AH948" s="10" t="b">
        <v>0</v>
      </c>
    </row>
    <row r="949" spans="1:34">
      <c r="A949" s="2" t="s">
        <v>3453</v>
      </c>
      <c r="B949">
        <v>1958</v>
      </c>
      <c r="C949" s="49" cm="1">
        <f t="array" ref="C949">_xlfn.IFS(ISNUMBER(SEARCH("wagon",PROPERTIES[[#This Row],[VEHIDCODE]])),0,OR(MID(PROPERTIES[[#This Row],[VEHIDCODE]],2,2)="mu",_xlfn.TEXTBEFORE(PROPERTIES[[#This Row],[VEHIDCODE]],"_")="mtro"),1,1=1,0)</f>
        <v>0</v>
      </c>
      <c r="D949" s="49" t="s">
        <v>1754</v>
      </c>
      <c r="E949" s="49" t="str">
        <f>_xlfn.XLOOKUP(PROPERTIES[[#This Row],[COUNTRY]],COUNTRIES[COUNTRY_DESCRIPTION],COUNTRIES[COUNTRY_LABEL],"")</f>
        <v>CN</v>
      </c>
      <c r="F949" s="49" t="str" cm="1">
        <f t="array" ref="F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9" t="s">
        <v>19</v>
      </c>
      <c r="H949">
        <v>0</v>
      </c>
      <c r="I949">
        <v>7</v>
      </c>
      <c r="J949" s="49">
        <v>11</v>
      </c>
      <c r="K949" s="49" t="str" cm="1">
        <f t="array" ref="K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9" s="49">
        <f>_xlfn.XLOOKUP("LOADINGSPEEDDEF_"&amp;PROPERTIES[[#This Row],[LOADINGSPEED]],LOADINGSPEEDDEF[TYPE],LOADINGSPEEDDEF[SPEED])</f>
        <v>20</v>
      </c>
      <c r="M949" s="49" cm="1">
        <f t="array" ref="M9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9">
        <f>IF(ISNUMBER(SEARCH("passenger",PROPERTIES[[#This Row],[CARGODEF]])),1,0)</f>
        <v>0</v>
      </c>
      <c r="O949" s="32">
        <v>180</v>
      </c>
      <c r="P949">
        <v>1397</v>
      </c>
      <c r="Q949">
        <v>110</v>
      </c>
      <c r="R949" s="29">
        <v>180</v>
      </c>
      <c r="S949" s="29">
        <f>IFERROR(PROPERTIES[[#This Row],[TE_STARTING_KN]]/(PROPERTIES[[#This Row],[WEIGHT]]*9.81),0)</f>
        <v>0.1019367991845056</v>
      </c>
      <c r="T949" s="29">
        <v>0</v>
      </c>
      <c r="U949" s="25">
        <f>ROUND(IF(IFERROR(PROPERTIES[[#This Row],[TE_COEFFICIENT_CALC]],0)=0,PROPERTIES[[#This Row],[TE_COEFFICIENT_MANUAL]],PROPERTIES[[#This Row],[TE_COEFFICIENT_CALC]]),3)</f>
        <v>0.10199999999999999</v>
      </c>
      <c r="V949" s="37" cm="1">
        <f t="array" ref="V9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9" s="36">
        <v>0</v>
      </c>
      <c r="X949" s="9">
        <v>4</v>
      </c>
      <c r="Y949" s="10">
        <v>0</v>
      </c>
      <c r="Z949" t="s">
        <v>877</v>
      </c>
      <c r="AA949" t="s">
        <v>868</v>
      </c>
      <c r="AB949" s="2" t="s">
        <v>886</v>
      </c>
      <c r="AC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9" s="2" t="str">
        <f>SUBSTITUTE(SUBSTITUTE(PROPERTIES[[#This Row],[PURCHASECOST_VALUE]], "PURCHASECOST_", ""), "_VALUE", "")</f>
        <v>STEAMENGINE</v>
      </c>
      <c r="AF949" s="9" t="str" cm="1">
        <f t="array" ref="AF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9" s="2" t="b">
        <v>0</v>
      </c>
      <c r="AH949" s="10" t="b">
        <v>0</v>
      </c>
    </row>
  </sheetData>
  <phoneticPr fontId="18" type="noConversion"/>
  <conditionalFormatting sqref="A893:A939">
    <cfRule type="containsText" dxfId="167" priority="22" operator="containsText" text=" ">
      <formula>NOT(ISERROR(SEARCH(" ",A893)))</formula>
    </cfRule>
  </conditionalFormatting>
  <conditionalFormatting sqref="R829:R831">
    <cfRule type="cellIs" dxfId="166" priority="110" operator="equal">
      <formula>0</formula>
    </cfRule>
  </conditionalFormatting>
  <conditionalFormatting sqref="R898:R899">
    <cfRule type="cellIs" dxfId="165" priority="69" operator="equal">
      <formula>0</formula>
    </cfRule>
  </conditionalFormatting>
  <conditionalFormatting sqref="R914:R915">
    <cfRule type="cellIs" dxfId="164" priority="48" operator="equal">
      <formula>0</formula>
    </cfRule>
  </conditionalFormatting>
  <conditionalFormatting sqref="R1:T825 S796:U799 S802:U803 S805:U806 S822:U823 S825:U825 R826:U826 R827:T827 R828:U828 S829:U831 R832:T832 S833:U880 R881:T886 S887:U890 R891:T891 S892:T892 R893:T893 S894:T894 R895:T895 S896:U908 R909:U909 R910:T913 S914:U937 R938:T938 S939:U940 R941:T941 S942:U1048576">
    <cfRule type="cellIs" dxfId="163" priority="156" operator="equal">
      <formula>0</formula>
    </cfRule>
  </conditionalFormatting>
  <conditionalFormatting sqref="Z572:Z586">
    <cfRule type="cellIs" dxfId="162" priority="123" operator="equal">
      <formula>FALSE</formula>
    </cfRule>
  </conditionalFormatting>
  <conditionalFormatting sqref="Z653:Z718">
    <cfRule type="cellIs" dxfId="161" priority="124" operator="equal">
      <formula>FALSE</formula>
    </cfRule>
  </conditionalFormatting>
  <conditionalFormatting sqref="Z825:Z826">
    <cfRule type="cellIs" dxfId="160" priority="115" operator="equal">
      <formula>FALSE</formula>
    </cfRule>
  </conditionalFormatting>
  <conditionalFormatting sqref="Z881:Z882">
    <cfRule type="cellIs" dxfId="159" priority="102" operator="equal">
      <formula>FALSE</formula>
    </cfRule>
  </conditionalFormatting>
  <conditionalFormatting sqref="Z884">
    <cfRule type="cellIs" dxfId="158" priority="97" operator="equal">
      <formula>FALSE</formula>
    </cfRule>
  </conditionalFormatting>
  <conditionalFormatting sqref="Z886:Z890">
    <cfRule type="cellIs" dxfId="157" priority="98" operator="equal">
      <formula>FALSE</formula>
    </cfRule>
  </conditionalFormatting>
  <conditionalFormatting sqref="Z892:Z894">
    <cfRule type="cellIs" dxfId="156" priority="83" operator="equal">
      <formula>FALSE</formula>
    </cfRule>
  </conditionalFormatting>
  <conditionalFormatting sqref="Z1:AB571 AA572:AB586 Z587:AB652 AA653:AB718 Z719:AB798 AO792:AQ1048576">
    <cfRule type="cellIs" dxfId="155" priority="147" operator="equal">
      <formula>FALSE</formula>
    </cfRule>
  </conditionalFormatting>
  <conditionalFormatting sqref="Z800:AB802">
    <cfRule type="cellIs" dxfId="154" priority="143" operator="equal">
      <formula>FALSE</formula>
    </cfRule>
  </conditionalFormatting>
  <conditionalFormatting sqref="Z804:AB821">
    <cfRule type="cellIs" dxfId="153" priority="118" operator="equal">
      <formula>FALSE</formula>
    </cfRule>
  </conditionalFormatting>
  <conditionalFormatting sqref="Z824:AB824">
    <cfRule type="cellIs" dxfId="152" priority="116" operator="equal">
      <formula>FALSE</formula>
    </cfRule>
  </conditionalFormatting>
  <conditionalFormatting sqref="Z827:AB827">
    <cfRule type="cellIs" dxfId="151" priority="112" operator="equal">
      <formula>FALSE</formula>
    </cfRule>
  </conditionalFormatting>
  <conditionalFormatting sqref="Z832:AB833">
    <cfRule type="cellIs" dxfId="150" priority="108" operator="equal">
      <formula>FALSE</formula>
    </cfRule>
  </conditionalFormatting>
  <conditionalFormatting sqref="Z883:AB883">
    <cfRule type="cellIs" dxfId="149" priority="104" operator="equal">
      <formula>FALSE</formula>
    </cfRule>
  </conditionalFormatting>
  <conditionalFormatting sqref="Z885:AB885">
    <cfRule type="cellIs" dxfId="148" priority="100" operator="equal">
      <formula>FALSE</formula>
    </cfRule>
  </conditionalFormatting>
  <conditionalFormatting sqref="Z891:AB891">
    <cfRule type="cellIs" dxfId="147" priority="85" operator="equal">
      <formula>FALSE</formula>
    </cfRule>
  </conditionalFormatting>
  <conditionalFormatting sqref="Z895:AB895">
    <cfRule type="cellIs" dxfId="146" priority="77" operator="equal">
      <formula>FALSE</formula>
    </cfRule>
  </conditionalFormatting>
  <conditionalFormatting sqref="Z938:AB938">
    <cfRule type="cellIs" dxfId="145" priority="23" operator="equal">
      <formula>FALSE</formula>
    </cfRule>
  </conditionalFormatting>
  <conditionalFormatting sqref="AA822:AA823">
    <cfRule type="cellIs" dxfId="144" priority="117" operator="equal">
      <formula>FALSE</formula>
    </cfRule>
  </conditionalFormatting>
  <conditionalFormatting sqref="AA825:AA826">
    <cfRule type="cellIs" dxfId="143" priority="113" operator="equal">
      <formula>FALSE</formula>
    </cfRule>
  </conditionalFormatting>
  <conditionalFormatting sqref="AA828:AA831">
    <cfRule type="cellIs" dxfId="142" priority="111" operator="equal">
      <formula>FALSE</formula>
    </cfRule>
  </conditionalFormatting>
  <conditionalFormatting sqref="AA835:AA840 AA842:AA880">
    <cfRule type="cellIs" dxfId="141" priority="107" operator="equal">
      <formula>FALSE</formula>
    </cfRule>
  </conditionalFormatting>
  <conditionalFormatting sqref="AA890">
    <cfRule type="cellIs" dxfId="140" priority="86" operator="equal">
      <formula>FALSE</formula>
    </cfRule>
  </conditionalFormatting>
  <conditionalFormatting sqref="AA939:AA940">
    <cfRule type="cellIs" dxfId="139" priority="21" operator="equal">
      <formula>FALSE</formula>
    </cfRule>
  </conditionalFormatting>
  <conditionalFormatting sqref="AA803:AB803">
    <cfRule type="cellIs" dxfId="138" priority="142" operator="equal">
      <formula>FALSE</formula>
    </cfRule>
  </conditionalFormatting>
  <conditionalFormatting sqref="AA881:AB882">
    <cfRule type="cellIs" dxfId="137" priority="105" operator="equal">
      <formula>FALSE</formula>
    </cfRule>
  </conditionalFormatting>
  <conditionalFormatting sqref="AA884:AB884">
    <cfRule type="cellIs" dxfId="136" priority="101" operator="equal">
      <formula>FALSE</formula>
    </cfRule>
  </conditionalFormatting>
  <conditionalFormatting sqref="AA886:AB889">
    <cfRule type="cellIs" dxfId="135" priority="88" operator="equal">
      <formula>FALSE</formula>
    </cfRule>
  </conditionalFormatting>
  <conditionalFormatting sqref="AA892:AB894">
    <cfRule type="cellIs" dxfId="134" priority="79" operator="equal">
      <formula>FALSE</formula>
    </cfRule>
  </conditionalFormatting>
  <conditionalFormatting sqref="AB825:AB826">
    <cfRule type="cellIs" dxfId="133" priority="114" operator="equal">
      <formula>FALSE</formula>
    </cfRule>
  </conditionalFormatting>
  <conditionalFormatting sqref="AB897">
    <cfRule type="cellIs" dxfId="132" priority="71" operator="equal">
      <formula>FALSE</formula>
    </cfRule>
  </conditionalFormatting>
  <conditionalFormatting sqref="AB899">
    <cfRule type="cellIs" dxfId="131" priority="67" operator="equal">
      <formula>FALSE</formula>
    </cfRule>
  </conditionalFormatting>
  <conditionalFormatting sqref="AB902:AB937">
    <cfRule type="cellIs" dxfId="130" priority="54" operator="equal">
      <formula>FALSE</formula>
    </cfRule>
  </conditionalFormatting>
  <conditionalFormatting sqref="AC2:AC949">
    <cfRule type="cellIs" dxfId="34" priority="92" operator="equal">
      <formula>FALSE</formula>
    </cfRule>
  </conditionalFormatting>
  <conditionalFormatting sqref="AD2:AD949">
    <cfRule type="cellIs" dxfId="33" priority="76" operator="equal">
      <formula>FALSE</formula>
    </cfRule>
  </conditionalFormatting>
  <conditionalFormatting sqref="AG2:AG949">
    <cfRule type="containsText" dxfId="32" priority="141" operator="containsText" text="FALSE">
      <formula>NOT(ISERROR(SEARCH("FALSE",AG2)))</formula>
    </cfRule>
  </conditionalFormatting>
  <conditionalFormatting sqref="AH2:AH949">
    <cfRule type="cellIs" dxfId="31" priority="20" operator="equal">
      <formula>FALSE</formula>
    </cfRule>
  </conditionalFormatting>
  <conditionalFormatting sqref="AN790:AP791">
    <cfRule type="cellIs" dxfId="129" priority="157" operator="equal">
      <formula>FALSE</formula>
    </cfRule>
  </conditionalFormatting>
  <conditionalFormatting sqref="A940">
    <cfRule type="containsText" dxfId="128" priority="18" operator="containsText" text=" ">
      <formula>NOT(ISERROR(SEARCH(" ",A940)))</formula>
    </cfRule>
  </conditionalFormatting>
  <conditionalFormatting sqref="A940">
    <cfRule type="containsText" dxfId="127" priority="19" operator="containsText" text=" ">
      <formula>NOT(ISERROR(SEARCH(" ",A940)))</formula>
    </cfRule>
  </conditionalFormatting>
  <conditionalFormatting sqref="Z941:AB941">
    <cfRule type="cellIs" dxfId="106" priority="15" operator="equal">
      <formula>FALSE</formula>
    </cfRule>
  </conditionalFormatting>
  <conditionalFormatting sqref="A942">
    <cfRule type="containsText" dxfId="84" priority="13" operator="containsText" text=" ">
      <formula>NOT(ISERROR(SEARCH(" ",A942)))</formula>
    </cfRule>
  </conditionalFormatting>
  <conditionalFormatting sqref="Z942:AB942">
    <cfRule type="cellIs" dxfId="80" priority="12" operator="equal">
      <formula>FALSE</formula>
    </cfRule>
  </conditionalFormatting>
  <conditionalFormatting sqref="A943">
    <cfRule type="containsText" dxfId="78" priority="11" operator="containsText" text=" ">
      <formula>NOT(ISERROR(SEARCH(" ",A943)))</formula>
    </cfRule>
  </conditionalFormatting>
  <conditionalFormatting sqref="Z943:AB943">
    <cfRule type="cellIs" dxfId="77" priority="10" operator="equal">
      <formula>FALSE</formula>
    </cfRule>
  </conditionalFormatting>
  <conditionalFormatting sqref="Z944:AB944">
    <cfRule type="cellIs" dxfId="73" priority="9" operator="equal">
      <formula>FALSE</formula>
    </cfRule>
  </conditionalFormatting>
  <conditionalFormatting sqref="Z945:AB945">
    <cfRule type="cellIs" dxfId="72" priority="8" operator="equal">
      <formula>FALSE</formula>
    </cfRule>
  </conditionalFormatting>
  <conditionalFormatting sqref="A946">
    <cfRule type="containsText" dxfId="68" priority="7" operator="containsText" text=" ">
      <formula>NOT(ISERROR(SEARCH(" ",A946)))</formula>
    </cfRule>
  </conditionalFormatting>
  <conditionalFormatting sqref="Z946:AB946">
    <cfRule type="cellIs" dxfId="30" priority="6" operator="equal">
      <formula>FALSE</formula>
    </cfRule>
  </conditionalFormatting>
  <conditionalFormatting sqref="A947">
    <cfRule type="containsText" dxfId="25" priority="5" operator="containsText" text=" ">
      <formula>NOT(ISERROR(SEARCH(" ",A947)))</formula>
    </cfRule>
  </conditionalFormatting>
  <conditionalFormatting sqref="Z947:AB947">
    <cfRule type="cellIs" dxfId="20" priority="4" operator="equal">
      <formula>FALSE</formula>
    </cfRule>
  </conditionalFormatting>
  <conditionalFormatting sqref="A948:A949">
    <cfRule type="containsText" dxfId="9" priority="3" operator="containsText" text=" ">
      <formula>NOT(ISERROR(SEARCH(" ",A948)))</formula>
    </cfRule>
  </conditionalFormatting>
  <conditionalFormatting sqref="Z948:AB948">
    <cfRule type="cellIs" dxfId="4" priority="2" operator="equal">
      <formula>FALSE</formula>
    </cfRule>
  </conditionalFormatting>
  <conditionalFormatting sqref="Z949:AB949">
    <cfRule type="cellIs" dxfId="3" priority="1" operator="equal">
      <formula>FALSE</formula>
    </cfRule>
  </conditionalFormatting>
  <dataValidations count="16">
    <dataValidation type="whole" operator="greaterThanOrEqual" allowBlank="1" showInputMessage="1" showErrorMessage="1" sqref="N2:N949 H2:H949 P2:Q949 W2:Y949" xr:uid="{699258F9-37E8-437E-9547-ACEA0AFD7DA4}">
      <formula1>0</formula1>
    </dataValidation>
    <dataValidation type="decimal" operator="greaterThanOrEqual" allowBlank="1" showInputMessage="1" showErrorMessage="1" sqref="O2:O949 R2:U949" xr:uid="{F342F512-E760-4CD3-801B-E5B9CF70B7FD}">
      <formula1>0</formula1>
    </dataValidation>
    <dataValidation type="whole" allowBlank="1" showInputMessage="1" showErrorMessage="1" sqref="V2:V832 V881:V886 V891:V895 V910:V913 V938 V941" xr:uid="{125542C7-FF60-46CF-B6C9-00AF04518EEB}">
      <formula1>5</formula1>
      <formula2>100</formula2>
    </dataValidation>
    <dataValidation operator="greaterThanOrEqual" allowBlank="1" showInputMessage="1" showErrorMessage="1" sqref="AJ790:AK791 AK792:AL1048576 V833:V880 V887:V890 V896:V909 V914:V937 V939:V940 V942:V1048576" xr:uid="{2D963A9D-C2E3-4020-ABFA-FD04EDA25119}"/>
    <dataValidation type="whole" allowBlank="1" showInputMessage="1" showErrorMessage="1" sqref="B792 B2:B789 B881 B818 B804" xr:uid="{DEF10C41-55B4-45CA-9782-0B79331628F3}">
      <formula1>1660</formula1>
      <formula2>3000</formula2>
    </dataValidation>
    <dataValidation type="list" allowBlank="1" showInputMessage="1" showErrorMessage="1" sqref="F896" xr:uid="{EB4398F4-10E4-463B-A52E-1F5C116A99EF}">
      <formula1>INDIRECT("VALID_ENGINE_CLASS[ENGINE_CLASS]")</formula1>
    </dataValidation>
    <dataValidation type="list" allowBlank="1" showInputMessage="1" showErrorMessage="1" sqref="D2:D949" xr:uid="{33652263-03A3-437A-966A-BE8C0F8BE076}">
      <formula1>INDIRECT("COUNTRIES[COUNTRY_DESCRIPTION]")</formula1>
    </dataValidation>
    <dataValidation type="list" allowBlank="1" showInputMessage="1" showErrorMessage="1" sqref="E2:E949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H949" xr:uid="{F2DE25A7-EAF4-4DA6-85FD-9F7B7EE18717}">
      <formula1>"TRUE,FALSE"</formula1>
    </dataValidation>
    <dataValidation type="list" allowBlank="1" showInputMessage="1" showErrorMessage="1" sqref="Z2:AA949" xr:uid="{A6AEDF15-D52E-4DEA-AD86-7127D84AEEAD}">
      <formula1>INDIRECT("VALID_REGIONS[VALID_REGIONS]")</formula1>
    </dataValidation>
    <dataValidation type="list" allowBlank="1" showInputMessage="1" showErrorMessage="1" sqref="AB800:AB821 AB824:AB827 AB832:AB833 AB2:AB795 AB797:AB798 AB881:AB889 AB891:AB895 AB897 AB899 AB902:AB938 AB941:AB949" xr:uid="{B551DD41-9C48-4DAD-97B1-4A99C17182E4}">
      <formula1>INDIRECT("VALID_CONCEPTS[VALID_CONCEPTS]")</formula1>
    </dataValidation>
    <dataValidation type="whole" operator="greaterThan" allowBlank="1" showInputMessage="1" showErrorMessage="1" sqref="J2:J949" xr:uid="{870AF9CD-1FF5-4186-831D-7CE6637E02C8}">
      <formula1>1</formula1>
    </dataValidation>
    <dataValidation type="whole" allowBlank="1" showInputMessage="1" showErrorMessage="1" sqref="I2:I949" xr:uid="{607F370E-253D-4A13-94DF-726661E11AFB}">
      <formula1>1</formula1>
      <formula2>8</formula2>
    </dataValidation>
    <dataValidation operator="greaterThan" allowBlank="1" showInputMessage="1" showErrorMessage="1" sqref="K1:K1048576" xr:uid="{62E0D809-8F43-4BE7-A21D-CE73BB7309D3}"/>
    <dataValidation type="list" allowBlank="1" showInputMessage="1" showErrorMessage="1" sqref="G2:G949" xr:uid="{B4C03D86-C7FA-4754-AA46-736C1B535A70}">
      <formula1>INDIRECT("CARGODEF[CARGODEF]")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Z2:AA949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AB800:AB821 AB824:AB827 AB832:AB833 AB2:AB795 AB797:AB798 AB881:AB889 AB891:AB895 AB897 AB899 AB902:AB938 AB941:AB949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49"/>
  <sheetViews>
    <sheetView zoomScaleNormal="100" workbookViewId="0">
      <pane xSplit="1" ySplit="1" topLeftCell="G924" activePane="bottomRight" state="frozen"/>
      <selection pane="topRight" activeCell="B1" sqref="B1"/>
      <selection pane="bottomLeft" activeCell="A2" sqref="A2"/>
      <selection pane="bottomRight" activeCell="A948" sqref="A948:A949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5" t="s">
        <v>889</v>
      </c>
      <c r="AG1" s="15" t="s">
        <v>3067</v>
      </c>
      <c r="AH1" s="15" t="s">
        <v>3068</v>
      </c>
      <c r="AI1" s="15" t="s">
        <v>3069</v>
      </c>
      <c r="AJ1" s="15" t="s">
        <v>3070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3065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560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3333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3334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1700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1702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2748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2885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2887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2889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2891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2904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2906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2908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2911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2913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2915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2917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2921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3048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3049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3021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3016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3017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3018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3019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3020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3056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3032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3050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3053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3057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3060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3074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3075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3078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3082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3083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3086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3090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3092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3094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3096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3099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3101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3104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3107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3110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3113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3115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3118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3121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3124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3127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3130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3134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3135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3137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3139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3144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3147</v>
      </c>
      <c r="J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0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3153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3154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3156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3160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3162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3167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3168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3171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3174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3176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3178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3181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3183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3189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3194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3186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3195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3196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3197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3202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3206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3209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3210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3213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3215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3219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3222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3227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3230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3232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3236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3239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3242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3244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3247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3250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3254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3256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3259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3261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3264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3267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3271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0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0" spans="1:36">
      <c r="A890" s="2" t="s">
        <v>3284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3278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3282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3285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3289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3292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3302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3304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3308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3312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3314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3315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3326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3325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3321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3327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3330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3339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3342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3345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3348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3351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3353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3354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3357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3358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3361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3362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3365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3367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3369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3371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3373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3375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3376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3381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3383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3384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3386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3388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3389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3397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3398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3400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3403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3406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3408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3412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3416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3419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3429</v>
      </c>
      <c r="B940" s="49"/>
      <c r="C940" s="49" t="b">
        <v>1</v>
      </c>
      <c r="D940" s="49"/>
      <c r="E940" s="49"/>
      <c r="F940" s="49"/>
      <c r="G940" s="49"/>
      <c r="H940" s="49"/>
      <c r="I940" s="49"/>
      <c r="J940" s="50"/>
      <c r="K940" s="49"/>
      <c r="L940" s="49"/>
      <c r="M940" s="49"/>
      <c r="N940" s="49"/>
      <c r="O940" s="49"/>
      <c r="P940" s="49"/>
      <c r="Q940" s="49"/>
      <c r="R940" s="49"/>
      <c r="S940" s="50"/>
      <c r="T940" s="49"/>
      <c r="U940" s="49"/>
      <c r="V940" s="49"/>
      <c r="W940" s="49"/>
      <c r="X940" s="49"/>
      <c r="Y940" s="49"/>
      <c r="Z940" s="49"/>
      <c r="AA940" s="49"/>
      <c r="AB940" s="50"/>
      <c r="AC940" s="49"/>
      <c r="AD940" s="49"/>
      <c r="AE940" s="50"/>
      <c r="AF940" s="50" t="b">
        <f>LEN(_xlfn.CONCAT(TRACK_TYPES[[#This Row],[TRACK_TYPE_STANDARD_GAUGE_RAILTYPE_OHLE]:[TRACK_TYPE_MTRO]]))&gt;0</f>
        <v>1</v>
      </c>
      <c r="AG940" s="50" t="b" cm="1">
        <f t="array" ref="AG940">IFERROR(_xlfn.BYROW(TRACK_TYPES[[#This Row],[TRACK_TYPE_STANDARD_GAUGE_RAILTYPE_OHLE]:[TRACK_TYPE_STANDARD_GAUGE_RAILTYPE_NONE]],_xlfn.LAMBDA(_xlpm.r,OR(_xlpm.r))),FALSE)</f>
        <v>1</v>
      </c>
      <c r="AH940" s="50" t="b" cm="1">
        <f t="array" ref="AH940">IFERROR(_xlfn.BYROW(TRACK_TYPES[[#This Row],[TRACK_TYPE_NARROW_GAUGE_RAILTYPE_OHLE]:[TRACK_TYPE_NARROW_GAUGE_RAILTYPE_NONE]],_xlfn.LAMBDA(_xlpm.r,OR(_xlpm.r))),FALSE)</f>
        <v>0</v>
      </c>
      <c r="AI940" s="50" t="b" cm="1">
        <f t="array" ref="AI940">IFERROR(_xlfn.BYROW(TRACK_TYPES[[#This Row],[TRACK_TYPE_BROAD_GAUGE_RAILTYPE_OHLE]:[TRACK_TYPE_BROAD_GAUGE_RAILTYPE_NONE]],_xlfn.LAMBDA(_xlpm.r,OR(_xlpm.r))),FALSE)</f>
        <v>0</v>
      </c>
      <c r="AJ940" s="50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3433</v>
      </c>
      <c r="B941" s="49"/>
      <c r="C941" s="49" t="b">
        <v>1</v>
      </c>
      <c r="D941" s="49"/>
      <c r="E941" s="49"/>
      <c r="F941" s="49"/>
      <c r="G941" s="49"/>
      <c r="H941" s="49"/>
      <c r="I941" s="49"/>
      <c r="J941" s="50"/>
      <c r="K941" s="49"/>
      <c r="L941" s="49"/>
      <c r="M941" s="49"/>
      <c r="N941" s="49"/>
      <c r="O941" s="49"/>
      <c r="P941" s="49"/>
      <c r="Q941" s="49"/>
      <c r="R941" s="49"/>
      <c r="S941" s="50"/>
      <c r="T941" s="49"/>
      <c r="U941" s="49"/>
      <c r="V941" s="49"/>
      <c r="W941" s="49"/>
      <c r="X941" s="49"/>
      <c r="Y941" s="49"/>
      <c r="Z941" s="49"/>
      <c r="AA941" s="49"/>
      <c r="AB941" s="50"/>
      <c r="AC941" s="49"/>
      <c r="AD941" s="49"/>
      <c r="AE941" s="50"/>
      <c r="AF941" s="50" t="b">
        <f>LEN(_xlfn.CONCAT(TRACK_TYPES[[#This Row],[TRACK_TYPE_STANDARD_GAUGE_RAILTYPE_OHLE]:[TRACK_TYPE_MTRO]]))&gt;0</f>
        <v>1</v>
      </c>
      <c r="AG941" s="50" t="b" cm="1">
        <f t="array" ref="AG941">IFERROR(_xlfn.BYROW(TRACK_TYPES[[#This Row],[TRACK_TYPE_STANDARD_GAUGE_RAILTYPE_OHLE]:[TRACK_TYPE_STANDARD_GAUGE_RAILTYPE_NONE]],_xlfn.LAMBDA(_xlpm.r,OR(_xlpm.r))),FALSE)</f>
        <v>1</v>
      </c>
      <c r="AH941" s="50" t="b" cm="1">
        <f t="array" ref="AH941">IFERROR(_xlfn.BYROW(TRACK_TYPES[[#This Row],[TRACK_TYPE_NARROW_GAUGE_RAILTYPE_OHLE]:[TRACK_TYPE_NARROW_GAUGE_RAILTYPE_NONE]],_xlfn.LAMBDA(_xlpm.r,OR(_xlpm.r))),FALSE)</f>
        <v>0</v>
      </c>
      <c r="AI941" s="50" t="b" cm="1">
        <f t="array" ref="AI941">IFERROR(_xlfn.BYROW(TRACK_TYPES[[#This Row],[TRACK_TYPE_BROAD_GAUGE_RAILTYPE_OHLE]:[TRACK_TYPE_BROAD_GAUGE_RAILTYPE_NONE]],_xlfn.LAMBDA(_xlpm.r,OR(_xlpm.r))),FALSE)</f>
        <v>0</v>
      </c>
      <c r="AJ941" s="50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3436</v>
      </c>
      <c r="B942" s="49"/>
      <c r="C942" s="49"/>
      <c r="D942" s="49"/>
      <c r="E942" s="49"/>
      <c r="F942" s="49"/>
      <c r="G942" s="49"/>
      <c r="H942" s="49"/>
      <c r="I942" s="49"/>
      <c r="J942" s="50" t="b">
        <v>1</v>
      </c>
      <c r="K942" s="49"/>
      <c r="L942" s="49"/>
      <c r="M942" s="49"/>
      <c r="N942" s="49"/>
      <c r="O942" s="49"/>
      <c r="P942" s="49"/>
      <c r="Q942" s="49"/>
      <c r="R942" s="49"/>
      <c r="S942" s="50"/>
      <c r="T942" s="49"/>
      <c r="U942" s="49"/>
      <c r="V942" s="49"/>
      <c r="W942" s="49"/>
      <c r="X942" s="49"/>
      <c r="Y942" s="49"/>
      <c r="Z942" s="49"/>
      <c r="AA942" s="49"/>
      <c r="AB942" s="50"/>
      <c r="AC942" s="49"/>
      <c r="AD942" s="49"/>
      <c r="AE942" s="50"/>
      <c r="AF942" s="50" t="b">
        <f>LEN(_xlfn.CONCAT(TRACK_TYPES[[#This Row],[TRACK_TYPE_STANDARD_GAUGE_RAILTYPE_OHLE]:[TRACK_TYPE_MTRO]]))&gt;0</f>
        <v>1</v>
      </c>
      <c r="AG942" s="50" t="b" cm="1">
        <f t="array" ref="AG942">IFERROR(_xlfn.BYROW(TRACK_TYPES[[#This Row],[TRACK_TYPE_STANDARD_GAUGE_RAILTYPE_OHLE]:[TRACK_TYPE_STANDARD_GAUGE_RAILTYPE_NONE]],_xlfn.LAMBDA(_xlpm.r,OR(_xlpm.r))),FALSE)</f>
        <v>1</v>
      </c>
      <c r="AH942" s="50" t="b" cm="1">
        <f t="array" ref="AH942">IFERROR(_xlfn.BYROW(TRACK_TYPES[[#This Row],[TRACK_TYPE_NARROW_GAUGE_RAILTYPE_OHLE]:[TRACK_TYPE_NARROW_GAUGE_RAILTYPE_NONE]],_xlfn.LAMBDA(_xlpm.r,OR(_xlpm.r))),FALSE)</f>
        <v>0</v>
      </c>
      <c r="AI942" s="50" t="b" cm="1">
        <f t="array" ref="AI942">IFERROR(_xlfn.BYROW(TRACK_TYPES[[#This Row],[TRACK_TYPE_BROAD_GAUGE_RAILTYPE_OHLE]:[TRACK_TYPE_BROAD_GAUGE_RAILTYPE_NONE]],_xlfn.LAMBDA(_xlpm.r,OR(_xlpm.r))),FALSE)</f>
        <v>0</v>
      </c>
      <c r="AJ942" s="50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3437</v>
      </c>
      <c r="B943" s="49"/>
      <c r="C943" s="49" t="b">
        <v>1</v>
      </c>
      <c r="D943" s="49"/>
      <c r="E943" s="49"/>
      <c r="F943" s="49"/>
      <c r="G943" s="49"/>
      <c r="H943" s="49"/>
      <c r="I943" s="49"/>
      <c r="J943" s="50"/>
      <c r="K943" s="49"/>
      <c r="L943" s="49"/>
      <c r="M943" s="49"/>
      <c r="N943" s="49"/>
      <c r="O943" s="49"/>
      <c r="P943" s="49"/>
      <c r="Q943" s="49"/>
      <c r="R943" s="49"/>
      <c r="S943" s="50"/>
      <c r="T943" s="49"/>
      <c r="U943" s="49"/>
      <c r="V943" s="49"/>
      <c r="W943" s="49"/>
      <c r="X943" s="49"/>
      <c r="Y943" s="49"/>
      <c r="Z943" s="49"/>
      <c r="AA943" s="49"/>
      <c r="AB943" s="50"/>
      <c r="AC943" s="49"/>
      <c r="AD943" s="49"/>
      <c r="AE943" s="50"/>
      <c r="AF943" s="50" t="b">
        <f>LEN(_xlfn.CONCAT(TRACK_TYPES[[#This Row],[TRACK_TYPE_STANDARD_GAUGE_RAILTYPE_OHLE]:[TRACK_TYPE_MTRO]]))&gt;0</f>
        <v>1</v>
      </c>
      <c r="AG943" s="50" t="b" cm="1">
        <f t="array" ref="AG943">IFERROR(_xlfn.BYROW(TRACK_TYPES[[#This Row],[TRACK_TYPE_STANDARD_GAUGE_RAILTYPE_OHLE]:[TRACK_TYPE_STANDARD_GAUGE_RAILTYPE_NONE]],_xlfn.LAMBDA(_xlpm.r,OR(_xlpm.r))),FALSE)</f>
        <v>1</v>
      </c>
      <c r="AH943" s="50" t="b" cm="1">
        <f t="array" ref="AH943">IFERROR(_xlfn.BYROW(TRACK_TYPES[[#This Row],[TRACK_TYPE_NARROW_GAUGE_RAILTYPE_OHLE]:[TRACK_TYPE_NARROW_GAUGE_RAILTYPE_NONE]],_xlfn.LAMBDA(_xlpm.r,OR(_xlpm.r))),FALSE)</f>
        <v>0</v>
      </c>
      <c r="AI943" s="50" t="b" cm="1">
        <f t="array" ref="AI943">IFERROR(_xlfn.BYROW(TRACK_TYPES[[#This Row],[TRACK_TYPE_BROAD_GAUGE_RAILTYPE_OHLE]:[TRACK_TYPE_BROAD_GAUGE_RAILTYPE_NONE]],_xlfn.LAMBDA(_xlpm.r,OR(_xlpm.r))),FALSE)</f>
        <v>0</v>
      </c>
      <c r="AJ943" s="50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3440</v>
      </c>
      <c r="B944" s="49"/>
      <c r="C944" s="49" t="b">
        <v>1</v>
      </c>
      <c r="D944" s="49"/>
      <c r="E944" s="49"/>
      <c r="F944" s="49"/>
      <c r="G944" s="49"/>
      <c r="H944" s="49"/>
      <c r="I944" s="49"/>
      <c r="J944" s="50"/>
      <c r="K944" s="49"/>
      <c r="L944" s="49"/>
      <c r="M944" s="49"/>
      <c r="N944" s="49"/>
      <c r="O944" s="49"/>
      <c r="P944" s="49"/>
      <c r="Q944" s="49"/>
      <c r="R944" s="49"/>
      <c r="S944" s="50"/>
      <c r="T944" s="49"/>
      <c r="U944" s="49"/>
      <c r="V944" s="49"/>
      <c r="W944" s="49"/>
      <c r="X944" s="49"/>
      <c r="Y944" s="49"/>
      <c r="Z944" s="49"/>
      <c r="AA944" s="49"/>
      <c r="AB944" s="50"/>
      <c r="AC944" s="49"/>
      <c r="AD944" s="49"/>
      <c r="AE944" s="50"/>
      <c r="AF944" s="50" t="b">
        <f>LEN(_xlfn.CONCAT(TRACK_TYPES[[#This Row],[TRACK_TYPE_STANDARD_GAUGE_RAILTYPE_OHLE]:[TRACK_TYPE_MTRO]]))&gt;0</f>
        <v>1</v>
      </c>
      <c r="AG944" s="50" t="b" cm="1">
        <f t="array" ref="AG944">IFERROR(_xlfn.BYROW(TRACK_TYPES[[#This Row],[TRACK_TYPE_STANDARD_GAUGE_RAILTYPE_OHLE]:[TRACK_TYPE_STANDARD_GAUGE_RAILTYPE_NONE]],_xlfn.LAMBDA(_xlpm.r,OR(_xlpm.r))),FALSE)</f>
        <v>1</v>
      </c>
      <c r="AH944" s="50" t="b" cm="1">
        <f t="array" ref="AH944">IFERROR(_xlfn.BYROW(TRACK_TYPES[[#This Row],[TRACK_TYPE_NARROW_GAUGE_RAILTYPE_OHLE]:[TRACK_TYPE_NARROW_GAUGE_RAILTYPE_NONE]],_xlfn.LAMBDA(_xlpm.r,OR(_xlpm.r))),FALSE)</f>
        <v>0</v>
      </c>
      <c r="AI944" s="50" t="b" cm="1">
        <f t="array" ref="AI944">IFERROR(_xlfn.BYROW(TRACK_TYPES[[#This Row],[TRACK_TYPE_BROAD_GAUGE_RAILTYPE_OHLE]:[TRACK_TYPE_BROAD_GAUGE_RAILTYPE_NONE]],_xlfn.LAMBDA(_xlpm.r,OR(_xlpm.r))),FALSE)</f>
        <v>0</v>
      </c>
      <c r="AJ944" s="50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3443</v>
      </c>
      <c r="B945" s="49"/>
      <c r="C945" s="49" t="b">
        <v>1</v>
      </c>
      <c r="D945" s="49"/>
      <c r="E945" s="49"/>
      <c r="F945" s="49"/>
      <c r="G945" s="49"/>
      <c r="H945" s="49"/>
      <c r="I945" s="49"/>
      <c r="J945" s="50"/>
      <c r="K945" s="49"/>
      <c r="L945" s="49"/>
      <c r="M945" s="49"/>
      <c r="N945" s="49"/>
      <c r="O945" s="49"/>
      <c r="P945" s="49"/>
      <c r="Q945" s="49"/>
      <c r="R945" s="49"/>
      <c r="S945" s="50"/>
      <c r="T945" s="49"/>
      <c r="U945" s="49"/>
      <c r="V945" s="49"/>
      <c r="W945" s="49"/>
      <c r="X945" s="49"/>
      <c r="Y945" s="49"/>
      <c r="Z945" s="49"/>
      <c r="AA945" s="49"/>
      <c r="AB945" s="50"/>
      <c r="AC945" s="49"/>
      <c r="AD945" s="49"/>
      <c r="AE945" s="50"/>
      <c r="AF945" s="50" t="b">
        <f>LEN(_xlfn.CONCAT(TRACK_TYPES[[#This Row],[TRACK_TYPE_STANDARD_GAUGE_RAILTYPE_OHLE]:[TRACK_TYPE_MTRO]]))&gt;0</f>
        <v>1</v>
      </c>
      <c r="AG945" s="50" t="b" cm="1">
        <f t="array" ref="AG945">IFERROR(_xlfn.BYROW(TRACK_TYPES[[#This Row],[TRACK_TYPE_STANDARD_GAUGE_RAILTYPE_OHLE]:[TRACK_TYPE_STANDARD_GAUGE_RAILTYPE_NONE]],_xlfn.LAMBDA(_xlpm.r,OR(_xlpm.r))),FALSE)</f>
        <v>1</v>
      </c>
      <c r="AH945" s="50" t="b" cm="1">
        <f t="array" ref="AH945">IFERROR(_xlfn.BYROW(TRACK_TYPES[[#This Row],[TRACK_TYPE_NARROW_GAUGE_RAILTYPE_OHLE]:[TRACK_TYPE_NARROW_GAUGE_RAILTYPE_NONE]],_xlfn.LAMBDA(_xlpm.r,OR(_xlpm.r))),FALSE)</f>
        <v>0</v>
      </c>
      <c r="AI945" s="50" t="b" cm="1">
        <f t="array" ref="AI945">IFERROR(_xlfn.BYROW(TRACK_TYPES[[#This Row],[TRACK_TYPE_BROAD_GAUGE_RAILTYPE_OHLE]:[TRACK_TYPE_BROAD_GAUGE_RAILTYPE_NONE]],_xlfn.LAMBDA(_xlpm.r,OR(_xlpm.r))),FALSE)</f>
        <v>0</v>
      </c>
      <c r="AJ945" s="50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3445</v>
      </c>
      <c r="B946" s="49"/>
      <c r="C946" s="49"/>
      <c r="D946" s="49"/>
      <c r="E946" s="49"/>
      <c r="F946" s="49"/>
      <c r="G946" s="49"/>
      <c r="H946" s="49"/>
      <c r="I946" s="49"/>
      <c r="J946" s="50" t="b">
        <v>1</v>
      </c>
      <c r="K946" s="49"/>
      <c r="L946" s="49"/>
      <c r="M946" s="49"/>
      <c r="N946" s="49"/>
      <c r="O946" s="49"/>
      <c r="P946" s="49"/>
      <c r="Q946" s="49"/>
      <c r="R946" s="49"/>
      <c r="S946" s="50"/>
      <c r="T946" s="49"/>
      <c r="U946" s="49"/>
      <c r="V946" s="49"/>
      <c r="W946" s="49"/>
      <c r="X946" s="49"/>
      <c r="Y946" s="49"/>
      <c r="Z946" s="49"/>
      <c r="AA946" s="49"/>
      <c r="AB946" s="50"/>
      <c r="AC946" s="49"/>
      <c r="AD946" s="49"/>
      <c r="AE946" s="50"/>
      <c r="AF946" s="50" t="b">
        <f>LEN(_xlfn.CONCAT(TRACK_TYPES[[#This Row],[TRACK_TYPE_STANDARD_GAUGE_RAILTYPE_OHLE]:[TRACK_TYPE_MTRO]]))&gt;0</f>
        <v>1</v>
      </c>
      <c r="AG946" s="50" t="b" cm="1">
        <f t="array" ref="AG946">IFERROR(_xlfn.BYROW(TRACK_TYPES[[#This Row],[TRACK_TYPE_STANDARD_GAUGE_RAILTYPE_OHLE]:[TRACK_TYPE_STANDARD_GAUGE_RAILTYPE_NONE]],_xlfn.LAMBDA(_xlpm.r,OR(_xlpm.r))),FALSE)</f>
        <v>1</v>
      </c>
      <c r="AH946" s="50" t="b" cm="1">
        <f t="array" ref="AH946">IFERROR(_xlfn.BYROW(TRACK_TYPES[[#This Row],[TRACK_TYPE_NARROW_GAUGE_RAILTYPE_OHLE]:[TRACK_TYPE_NARROW_GAUGE_RAILTYPE_NONE]],_xlfn.LAMBDA(_xlpm.r,OR(_xlpm.r))),FALSE)</f>
        <v>0</v>
      </c>
      <c r="AI946" s="50" t="b" cm="1">
        <f t="array" ref="AI946">IFERROR(_xlfn.BYROW(TRACK_TYPES[[#This Row],[TRACK_TYPE_BROAD_GAUGE_RAILTYPE_OHLE]:[TRACK_TYPE_BROAD_GAUGE_RAILTYPE_NONE]],_xlfn.LAMBDA(_xlpm.r,OR(_xlpm.r))),FALSE)</f>
        <v>0</v>
      </c>
      <c r="AJ946" s="50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3449</v>
      </c>
      <c r="B947" s="49"/>
      <c r="C947" s="49"/>
      <c r="D947" s="49"/>
      <c r="E947" s="49"/>
      <c r="F947" s="49"/>
      <c r="G947" s="49"/>
      <c r="H947" s="49"/>
      <c r="I947" s="49"/>
      <c r="J947" s="50" t="b">
        <v>1</v>
      </c>
      <c r="K947" s="49"/>
      <c r="L947" s="49"/>
      <c r="M947" s="49"/>
      <c r="N947" s="49"/>
      <c r="O947" s="49"/>
      <c r="P947" s="49"/>
      <c r="Q947" s="49"/>
      <c r="R947" s="49"/>
      <c r="S947" s="50"/>
      <c r="T947" s="49"/>
      <c r="U947" s="49"/>
      <c r="V947" s="49"/>
      <c r="W947" s="49"/>
      <c r="X947" s="49"/>
      <c r="Y947" s="49"/>
      <c r="Z947" s="49"/>
      <c r="AA947" s="49"/>
      <c r="AB947" s="50"/>
      <c r="AC947" s="49"/>
      <c r="AD947" s="49"/>
      <c r="AE947" s="50"/>
      <c r="AF947" s="50" t="b">
        <f>LEN(_xlfn.CONCAT(TRACK_TYPES[[#This Row],[TRACK_TYPE_STANDARD_GAUGE_RAILTYPE_OHLE]:[TRACK_TYPE_MTRO]]))&gt;0</f>
        <v>1</v>
      </c>
      <c r="AG947" s="50" t="b" cm="1">
        <f t="array" ref="AG947">IFERROR(_xlfn.BYROW(TRACK_TYPES[[#This Row],[TRACK_TYPE_STANDARD_GAUGE_RAILTYPE_OHLE]:[TRACK_TYPE_STANDARD_GAUGE_RAILTYPE_NONE]],_xlfn.LAMBDA(_xlpm.r,OR(_xlpm.r))),FALSE)</f>
        <v>1</v>
      </c>
      <c r="AH947" s="50" t="b" cm="1">
        <f t="array" ref="AH947">IFERROR(_xlfn.BYROW(TRACK_TYPES[[#This Row],[TRACK_TYPE_NARROW_GAUGE_RAILTYPE_OHLE]:[TRACK_TYPE_NARROW_GAUGE_RAILTYPE_NONE]],_xlfn.LAMBDA(_xlpm.r,OR(_xlpm.r))),FALSE)</f>
        <v>0</v>
      </c>
      <c r="AI947" s="50" t="b" cm="1">
        <f t="array" ref="AI947">IFERROR(_xlfn.BYROW(TRACK_TYPES[[#This Row],[TRACK_TYPE_BROAD_GAUGE_RAILTYPE_OHLE]:[TRACK_TYPE_BROAD_GAUGE_RAILTYPE_NONE]],_xlfn.LAMBDA(_xlpm.r,OR(_xlpm.r))),FALSE)</f>
        <v>0</v>
      </c>
      <c r="AJ947" s="50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3452</v>
      </c>
      <c r="B948" s="49"/>
      <c r="C948" s="49"/>
      <c r="D948" s="49"/>
      <c r="E948" s="49"/>
      <c r="F948" s="49"/>
      <c r="G948" s="49"/>
      <c r="H948" s="49"/>
      <c r="I948" s="49"/>
      <c r="J948" s="50" t="b">
        <v>1</v>
      </c>
      <c r="K948" s="49"/>
      <c r="L948" s="49"/>
      <c r="M948" s="49"/>
      <c r="N948" s="49"/>
      <c r="O948" s="49"/>
      <c r="P948" s="49"/>
      <c r="Q948" s="49"/>
      <c r="R948" s="49"/>
      <c r="S948" s="50"/>
      <c r="T948" s="49"/>
      <c r="U948" s="49"/>
      <c r="V948" s="49"/>
      <c r="W948" s="49"/>
      <c r="X948" s="49"/>
      <c r="Y948" s="49"/>
      <c r="Z948" s="49"/>
      <c r="AA948" s="49"/>
      <c r="AB948" s="50"/>
      <c r="AC948" s="49"/>
      <c r="AD948" s="49"/>
      <c r="AE948" s="50"/>
      <c r="AF948" s="50" t="b">
        <f>LEN(_xlfn.CONCAT(TRACK_TYPES[[#This Row],[TRACK_TYPE_STANDARD_GAUGE_RAILTYPE_OHLE]:[TRACK_TYPE_MTRO]]))&gt;0</f>
        <v>1</v>
      </c>
      <c r="AG948" s="50" t="b" cm="1">
        <f t="array" ref="AG948">IFERROR(_xlfn.BYROW(TRACK_TYPES[[#This Row],[TRACK_TYPE_STANDARD_GAUGE_RAILTYPE_OHLE]:[TRACK_TYPE_STANDARD_GAUGE_RAILTYPE_NONE]],_xlfn.LAMBDA(_xlpm.r,OR(_xlpm.r))),FALSE)</f>
        <v>1</v>
      </c>
      <c r="AH948" s="50" t="b" cm="1">
        <f t="array" ref="AH948">IFERROR(_xlfn.BYROW(TRACK_TYPES[[#This Row],[TRACK_TYPE_NARROW_GAUGE_RAILTYPE_OHLE]:[TRACK_TYPE_NARROW_GAUGE_RAILTYPE_NONE]],_xlfn.LAMBDA(_xlpm.r,OR(_xlpm.r))),FALSE)</f>
        <v>0</v>
      </c>
      <c r="AI948" s="50" t="b" cm="1">
        <f t="array" ref="AI948">IFERROR(_xlfn.BYROW(TRACK_TYPES[[#This Row],[TRACK_TYPE_BROAD_GAUGE_RAILTYPE_OHLE]:[TRACK_TYPE_BROAD_GAUGE_RAILTYPE_NONE]],_xlfn.LAMBDA(_xlpm.r,OR(_xlpm.r))),FALSE)</f>
        <v>0</v>
      </c>
      <c r="AJ948" s="50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3453</v>
      </c>
      <c r="B949" s="49"/>
      <c r="C949" s="49"/>
      <c r="D949" s="49"/>
      <c r="E949" s="49"/>
      <c r="F949" s="49"/>
      <c r="G949" s="49"/>
      <c r="H949" s="49"/>
      <c r="I949" s="49"/>
      <c r="J949" s="50" t="b">
        <v>1</v>
      </c>
      <c r="K949" s="49"/>
      <c r="L949" s="49"/>
      <c r="M949" s="49"/>
      <c r="N949" s="49"/>
      <c r="O949" s="49"/>
      <c r="P949" s="49"/>
      <c r="Q949" s="49"/>
      <c r="R949" s="49"/>
      <c r="S949" s="50"/>
      <c r="T949" s="49"/>
      <c r="U949" s="49"/>
      <c r="V949" s="49"/>
      <c r="W949" s="49"/>
      <c r="X949" s="49"/>
      <c r="Y949" s="49"/>
      <c r="Z949" s="49"/>
      <c r="AA949" s="49"/>
      <c r="AB949" s="50"/>
      <c r="AC949" s="49"/>
      <c r="AD949" s="49"/>
      <c r="AE949" s="50"/>
      <c r="AF949" s="50" t="b">
        <f>LEN(_xlfn.CONCAT(TRACK_TYPES[[#This Row],[TRACK_TYPE_STANDARD_GAUGE_RAILTYPE_OHLE]:[TRACK_TYPE_MTRO]]))&gt;0</f>
        <v>1</v>
      </c>
      <c r="AG949" s="50" t="b" cm="1">
        <f t="array" ref="AG949">IFERROR(_xlfn.BYROW(TRACK_TYPES[[#This Row],[TRACK_TYPE_STANDARD_GAUGE_RAILTYPE_OHLE]:[TRACK_TYPE_STANDARD_GAUGE_RAILTYPE_NONE]],_xlfn.LAMBDA(_xlpm.r,OR(_xlpm.r))),FALSE)</f>
        <v>1</v>
      </c>
      <c r="AH949" s="50" t="b" cm="1">
        <f t="array" ref="AH949">IFERROR(_xlfn.BYROW(TRACK_TYPES[[#This Row],[TRACK_TYPE_NARROW_GAUGE_RAILTYPE_OHLE]:[TRACK_TYPE_NARROW_GAUGE_RAILTYPE_NONE]],_xlfn.LAMBDA(_xlpm.r,OR(_xlpm.r))),FALSE)</f>
        <v>0</v>
      </c>
      <c r="AI949" s="50" t="b" cm="1">
        <f t="array" ref="AI949">IFERROR(_xlfn.BYROW(TRACK_TYPES[[#This Row],[TRACK_TYPE_BROAD_GAUGE_RAILTYPE_OHLE]:[TRACK_TYPE_BROAD_GAUGE_RAILTYPE_NONE]],_xlfn.LAMBDA(_xlpm.r,OR(_xlpm.r))),FALSE)</f>
        <v>0</v>
      </c>
      <c r="AJ949" s="50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39">
    <cfRule type="containsText" dxfId="124" priority="8" operator="containsText" text=" ">
      <formula>NOT(ISERROR(SEARCH(" ",A893)))</formula>
    </cfRule>
  </conditionalFormatting>
  <conditionalFormatting sqref="AF1:AF1048576 AH790:AJ1048576">
    <cfRule type="cellIs" dxfId="123" priority="61" operator="equal">
      <formula>FALSE</formula>
    </cfRule>
  </conditionalFormatting>
  <conditionalFormatting sqref="AG1:AI1">
    <cfRule type="cellIs" dxfId="122" priority="56" operator="equal">
      <formula>FALSE</formula>
    </cfRule>
  </conditionalFormatting>
  <conditionalFormatting sqref="AJ1">
    <cfRule type="cellIs" dxfId="121" priority="55" operator="equal">
      <formula>FALSE</formula>
    </cfRule>
  </conditionalFormatting>
  <conditionalFormatting sqref="A940">
    <cfRule type="containsText" dxfId="120" priority="6" operator="containsText" text=" ">
      <formula>NOT(ISERROR(SEARCH(" ",A940)))</formula>
    </cfRule>
  </conditionalFormatting>
  <conditionalFormatting sqref="A940">
    <cfRule type="containsText" dxfId="119" priority="7" operator="containsText" text=" ">
      <formula>NOT(ISERROR(SEARCH(" ",A940)))</formula>
    </cfRule>
  </conditionalFormatting>
  <conditionalFormatting sqref="A942">
    <cfRule type="containsText" dxfId="83" priority="5" operator="containsText" text=" ">
      <formula>NOT(ISERROR(SEARCH(" ",A942)))</formula>
    </cfRule>
  </conditionalFormatting>
  <conditionalFormatting sqref="A943">
    <cfRule type="containsText" dxfId="76" priority="4" operator="containsText" text=" ">
      <formula>NOT(ISERROR(SEARCH(" ",A943)))</formula>
    </cfRule>
  </conditionalFormatting>
  <conditionalFormatting sqref="A946">
    <cfRule type="containsText" dxfId="29" priority="3" operator="containsText" text=" ">
      <formula>NOT(ISERROR(SEARCH(" ",A946)))</formula>
    </cfRule>
  </conditionalFormatting>
  <conditionalFormatting sqref="A947">
    <cfRule type="containsText" dxfId="19" priority="2" operator="containsText" text=" ">
      <formula>NOT(ISERROR(SEARCH(" ",A947)))</formula>
    </cfRule>
  </conditionalFormatting>
  <conditionalFormatting sqref="A948:A949">
    <cfRule type="containsText" dxfId="2" priority="1" operator="containsText" text=" ">
      <formula>NOT(ISERROR(SEARCH(" ",A948)))</formula>
    </cfRule>
  </conditionalFormatting>
  <dataValidations count="1">
    <dataValidation type="list" allowBlank="1" showInputMessage="1" showErrorMessage="1" sqref="AO790:AS1048576 AH790:AK1048576 K814:R1048576 J2:S911 J912:J917 K912:S912 J913:S913 K914:S916 J933 AB926:AB1048576 T2:AA1048576 AC2:AF1048576 AB2:AB922 S917:S1048576 B2:I949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I969"/>
  <sheetViews>
    <sheetView zoomScale="85" zoomScaleNormal="85" workbookViewId="0">
      <pane xSplit="1" ySplit="1" topLeftCell="B919" activePane="bottomRight" state="frozen"/>
      <selection pane="topRight" activeCell="B1" sqref="B1"/>
      <selection pane="bottomLeft" activeCell="A2" sqref="A2"/>
      <selection pane="bottomRight" activeCell="A948" sqref="A948:A949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6" width="10.84375" bestFit="1" customWidth="1"/>
    <col min="7" max="7" width="10.84375" style="9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bestFit="1" customWidth="1"/>
    <col min="21" max="21" width="17.4609375" bestFit="1" customWidth="1"/>
    <col min="22" max="22" width="10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9" ht="44.15" customHeight="1">
      <c r="A1" s="1" t="s">
        <v>0</v>
      </c>
      <c r="B1" s="20" t="s">
        <v>682</v>
      </c>
      <c r="C1" s="20" t="s">
        <v>683</v>
      </c>
      <c r="D1" s="4" t="s">
        <v>684</v>
      </c>
      <c r="E1" s="4" t="s">
        <v>2969</v>
      </c>
      <c r="F1" s="1" t="s">
        <v>685</v>
      </c>
      <c r="G1" s="8" t="s">
        <v>705</v>
      </c>
      <c r="H1" s="7" t="s">
        <v>706</v>
      </c>
      <c r="I1" s="1"/>
    </row>
    <row r="2" spans="1:9">
      <c r="A2" s="2" t="s">
        <v>709</v>
      </c>
      <c r="B2" t="b">
        <v>1</v>
      </c>
      <c r="C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 s="9">
        <v>0</v>
      </c>
      <c r="H2" t="s">
        <v>707</v>
      </c>
    </row>
    <row r="3" spans="1:9">
      <c r="A3" s="2" t="s">
        <v>710</v>
      </c>
      <c r="B3" t="b">
        <v>1</v>
      </c>
      <c r="C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 s="9">
        <v>0</v>
      </c>
      <c r="H3" t="s">
        <v>707</v>
      </c>
    </row>
    <row r="4" spans="1:9">
      <c r="A4" s="2" t="s">
        <v>20</v>
      </c>
      <c r="B4" t="b">
        <v>1</v>
      </c>
      <c r="C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 s="9">
        <v>-3</v>
      </c>
      <c r="H4" t="s">
        <v>707</v>
      </c>
    </row>
    <row r="5" spans="1:9">
      <c r="A5" s="2" t="s">
        <v>22</v>
      </c>
      <c r="B5" t="b">
        <v>1</v>
      </c>
      <c r="C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 s="9">
        <v>-3</v>
      </c>
      <c r="H5" t="s">
        <v>707</v>
      </c>
    </row>
    <row r="6" spans="1:9">
      <c r="A6" s="2" t="s">
        <v>23</v>
      </c>
      <c r="B6" t="b">
        <v>1</v>
      </c>
      <c r="C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 s="9">
        <v>0</v>
      </c>
      <c r="H6" t="s">
        <v>707</v>
      </c>
    </row>
    <row r="7" spans="1:9">
      <c r="A7" s="2" t="s">
        <v>24</v>
      </c>
      <c r="B7" t="b">
        <v>1</v>
      </c>
      <c r="C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 s="9">
        <v>0</v>
      </c>
      <c r="H7" t="s">
        <v>707</v>
      </c>
    </row>
    <row r="8" spans="1:9">
      <c r="A8" s="2" t="s">
        <v>25</v>
      </c>
      <c r="B8" t="b">
        <v>1</v>
      </c>
      <c r="C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 s="9">
        <v>0</v>
      </c>
      <c r="H8" t="s">
        <v>707</v>
      </c>
    </row>
    <row r="9" spans="1:9">
      <c r="A9" s="2" t="s">
        <v>26</v>
      </c>
      <c r="B9" t="b">
        <v>1</v>
      </c>
      <c r="C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 s="9">
        <v>0</v>
      </c>
      <c r="H9" t="s">
        <v>707</v>
      </c>
    </row>
    <row r="10" spans="1:9">
      <c r="A10" s="2" t="s">
        <v>27</v>
      </c>
      <c r="B10" t="b">
        <v>1</v>
      </c>
      <c r="C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 s="9">
        <v>0</v>
      </c>
      <c r="H10" t="s">
        <v>707</v>
      </c>
    </row>
    <row r="11" spans="1:9">
      <c r="A11" s="2" t="s">
        <v>28</v>
      </c>
      <c r="B11" t="b">
        <v>1</v>
      </c>
      <c r="C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 s="9">
        <v>-3</v>
      </c>
      <c r="H11" t="s">
        <v>707</v>
      </c>
    </row>
    <row r="12" spans="1:9">
      <c r="A12" s="2" t="s">
        <v>30</v>
      </c>
      <c r="B12" t="b">
        <v>1</v>
      </c>
      <c r="C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 s="9">
        <v>-3</v>
      </c>
      <c r="H12" t="s">
        <v>707</v>
      </c>
    </row>
    <row r="13" spans="1:9">
      <c r="A13" s="2" t="s">
        <v>32</v>
      </c>
      <c r="B13" t="b">
        <v>1</v>
      </c>
      <c r="C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 s="9">
        <v>-3</v>
      </c>
      <c r="H13" t="s">
        <v>707</v>
      </c>
    </row>
    <row r="14" spans="1:9">
      <c r="A14" s="2" t="s">
        <v>33</v>
      </c>
      <c r="B14" t="b">
        <v>1</v>
      </c>
      <c r="C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 s="9">
        <v>-3</v>
      </c>
      <c r="H14" t="s">
        <v>707</v>
      </c>
    </row>
    <row r="15" spans="1:9">
      <c r="A15" s="2" t="s">
        <v>34</v>
      </c>
      <c r="B15" t="b">
        <v>1</v>
      </c>
      <c r="C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 s="9">
        <v>-3</v>
      </c>
      <c r="H15" t="s">
        <v>707</v>
      </c>
    </row>
    <row r="16" spans="1:9">
      <c r="A16" s="2" t="s">
        <v>35</v>
      </c>
      <c r="B16" t="b">
        <v>1</v>
      </c>
      <c r="C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 s="9">
        <v>-3</v>
      </c>
      <c r="H16" t="s">
        <v>707</v>
      </c>
    </row>
    <row r="17" spans="1:8">
      <c r="A17" s="2" t="s">
        <v>36</v>
      </c>
      <c r="B17" t="b">
        <v>1</v>
      </c>
      <c r="C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 s="9">
        <v>-3</v>
      </c>
      <c r="H17" t="s">
        <v>707</v>
      </c>
    </row>
    <row r="18" spans="1:8">
      <c r="A18" s="2" t="s">
        <v>37</v>
      </c>
      <c r="B18" t="b">
        <v>1</v>
      </c>
      <c r="C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 s="9">
        <v>-3</v>
      </c>
      <c r="H18" t="s">
        <v>707</v>
      </c>
    </row>
    <row r="19" spans="1:8">
      <c r="A19" s="2" t="s">
        <v>38</v>
      </c>
      <c r="B19" t="b">
        <v>1</v>
      </c>
      <c r="C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 s="9">
        <v>-3</v>
      </c>
      <c r="H19" t="s">
        <v>707</v>
      </c>
    </row>
    <row r="20" spans="1:8">
      <c r="A20" s="2" t="s">
        <v>39</v>
      </c>
      <c r="B20" t="b">
        <v>1</v>
      </c>
      <c r="C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 s="9">
        <v>-3</v>
      </c>
      <c r="H20" t="s">
        <v>707</v>
      </c>
    </row>
    <row r="21" spans="1:8">
      <c r="A21" s="2" t="s">
        <v>40</v>
      </c>
      <c r="B21" t="b">
        <v>1</v>
      </c>
      <c r="C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 s="9">
        <v>-3</v>
      </c>
      <c r="H21" t="s">
        <v>707</v>
      </c>
    </row>
    <row r="22" spans="1:8">
      <c r="A22" s="2" t="s">
        <v>41</v>
      </c>
      <c r="B22" t="b">
        <v>1</v>
      </c>
      <c r="C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 s="9">
        <v>-3</v>
      </c>
      <c r="H22" t="s">
        <v>707</v>
      </c>
    </row>
    <row r="23" spans="1:8">
      <c r="A23" s="2" t="s">
        <v>42</v>
      </c>
      <c r="B23" t="b">
        <v>1</v>
      </c>
      <c r="C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 s="9">
        <v>-3</v>
      </c>
      <c r="H23" t="s">
        <v>707</v>
      </c>
    </row>
    <row r="24" spans="1:8">
      <c r="A24" s="2" t="s">
        <v>43</v>
      </c>
      <c r="B24" t="b">
        <v>1</v>
      </c>
      <c r="C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 s="9">
        <v>-3</v>
      </c>
      <c r="H24" t="s">
        <v>707</v>
      </c>
    </row>
    <row r="25" spans="1:8">
      <c r="A25" s="2" t="s">
        <v>44</v>
      </c>
      <c r="B25" t="b">
        <v>1</v>
      </c>
      <c r="C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 s="9">
        <v>-3</v>
      </c>
      <c r="H25" t="s">
        <v>707</v>
      </c>
    </row>
    <row r="26" spans="1:8">
      <c r="A26" s="2" t="s">
        <v>45</v>
      </c>
      <c r="B26" t="b">
        <v>1</v>
      </c>
      <c r="C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 s="9">
        <v>-3</v>
      </c>
      <c r="H26" t="s">
        <v>707</v>
      </c>
    </row>
    <row r="27" spans="1:8">
      <c r="A27" s="2" t="s">
        <v>46</v>
      </c>
      <c r="B27" t="b">
        <v>1</v>
      </c>
      <c r="C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 s="9">
        <v>-3</v>
      </c>
      <c r="H27" t="s">
        <v>707</v>
      </c>
    </row>
    <row r="28" spans="1:8">
      <c r="A28" s="2" t="s">
        <v>47</v>
      </c>
      <c r="B28" t="b">
        <v>1</v>
      </c>
      <c r="C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 s="9">
        <v>0</v>
      </c>
      <c r="H28" t="s">
        <v>707</v>
      </c>
    </row>
    <row r="29" spans="1:8">
      <c r="A29" s="2" t="s">
        <v>48</v>
      </c>
      <c r="B29" t="b">
        <v>1</v>
      </c>
      <c r="C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 s="9">
        <v>0</v>
      </c>
      <c r="H29" t="s">
        <v>707</v>
      </c>
    </row>
    <row r="30" spans="1:8">
      <c r="A30" s="2" t="s">
        <v>49</v>
      </c>
      <c r="B30" t="b">
        <v>1</v>
      </c>
      <c r="C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 s="9">
        <v>0</v>
      </c>
      <c r="H30" t="s">
        <v>707</v>
      </c>
    </row>
    <row r="31" spans="1:8">
      <c r="A31" s="2" t="s">
        <v>50</v>
      </c>
      <c r="B31" t="b">
        <v>1</v>
      </c>
      <c r="C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 s="9">
        <v>0</v>
      </c>
      <c r="H31" t="s">
        <v>707</v>
      </c>
    </row>
    <row r="32" spans="1:8">
      <c r="A32" s="2" t="s">
        <v>51</v>
      </c>
      <c r="B32" t="b">
        <v>1</v>
      </c>
      <c r="C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 s="9">
        <v>0</v>
      </c>
      <c r="H32" t="s">
        <v>707</v>
      </c>
    </row>
    <row r="33" spans="1:8">
      <c r="A33" s="2" t="s">
        <v>52</v>
      </c>
      <c r="B33" t="b">
        <v>1</v>
      </c>
      <c r="C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 s="9">
        <v>0</v>
      </c>
      <c r="H33" t="s">
        <v>707</v>
      </c>
    </row>
    <row r="34" spans="1:8">
      <c r="A34" s="2" t="s">
        <v>53</v>
      </c>
      <c r="B34" t="b">
        <v>1</v>
      </c>
      <c r="C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 s="9">
        <v>0</v>
      </c>
      <c r="H34" t="s">
        <v>707</v>
      </c>
    </row>
    <row r="35" spans="1:8">
      <c r="A35" s="2" t="s">
        <v>54</v>
      </c>
      <c r="B35" t="b">
        <v>1</v>
      </c>
      <c r="C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 s="9">
        <v>0</v>
      </c>
      <c r="H35" t="s">
        <v>707</v>
      </c>
    </row>
    <row r="36" spans="1:8">
      <c r="A36" s="2" t="s">
        <v>55</v>
      </c>
      <c r="B36" t="b">
        <v>1</v>
      </c>
      <c r="C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 s="9">
        <v>0</v>
      </c>
      <c r="H36" t="s">
        <v>707</v>
      </c>
    </row>
    <row r="37" spans="1:8">
      <c r="A37" s="2" t="s">
        <v>56</v>
      </c>
      <c r="B37" t="b">
        <v>1</v>
      </c>
      <c r="C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 s="9">
        <v>0</v>
      </c>
      <c r="H37" t="s">
        <v>707</v>
      </c>
    </row>
    <row r="38" spans="1:8">
      <c r="A38" s="2" t="s">
        <v>57</v>
      </c>
      <c r="B38" t="b">
        <v>1</v>
      </c>
      <c r="C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 s="9">
        <v>0</v>
      </c>
      <c r="H38" t="s">
        <v>707</v>
      </c>
    </row>
    <row r="39" spans="1:8">
      <c r="A39" s="2" t="s">
        <v>58</v>
      </c>
      <c r="B39" t="b">
        <v>1</v>
      </c>
      <c r="C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 s="9">
        <v>0</v>
      </c>
      <c r="H39" t="s">
        <v>707</v>
      </c>
    </row>
    <row r="40" spans="1:8">
      <c r="A40" s="2" t="s">
        <v>59</v>
      </c>
      <c r="B40" t="b">
        <v>1</v>
      </c>
      <c r="C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 s="9">
        <v>0</v>
      </c>
      <c r="H40" t="s">
        <v>707</v>
      </c>
    </row>
    <row r="41" spans="1:8">
      <c r="A41" s="2" t="s">
        <v>60</v>
      </c>
      <c r="B41" t="b">
        <v>1</v>
      </c>
      <c r="C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 s="9">
        <v>0</v>
      </c>
      <c r="H41" t="s">
        <v>707</v>
      </c>
    </row>
    <row r="42" spans="1:8">
      <c r="A42" s="2" t="s">
        <v>61</v>
      </c>
      <c r="B42" t="b">
        <v>1</v>
      </c>
      <c r="C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 s="9">
        <v>0</v>
      </c>
      <c r="H42" t="s">
        <v>707</v>
      </c>
    </row>
    <row r="43" spans="1:8">
      <c r="A43" s="2" t="s">
        <v>62</v>
      </c>
      <c r="B43" t="b">
        <v>1</v>
      </c>
      <c r="C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 s="9">
        <v>0</v>
      </c>
      <c r="H43" t="s">
        <v>707</v>
      </c>
    </row>
    <row r="44" spans="1:8">
      <c r="A44" s="2" t="s">
        <v>63</v>
      </c>
      <c r="B44" t="b">
        <v>1</v>
      </c>
      <c r="C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 s="9">
        <v>0</v>
      </c>
      <c r="H44" t="s">
        <v>707</v>
      </c>
    </row>
    <row r="45" spans="1:8">
      <c r="A45" s="2" t="s">
        <v>64</v>
      </c>
      <c r="B45" t="b">
        <v>1</v>
      </c>
      <c r="C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 s="9">
        <v>0</v>
      </c>
      <c r="H45" t="s">
        <v>707</v>
      </c>
    </row>
    <row r="46" spans="1:8">
      <c r="A46" s="2" t="s">
        <v>65</v>
      </c>
      <c r="B46" t="b">
        <v>1</v>
      </c>
      <c r="C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 s="9">
        <v>0</v>
      </c>
      <c r="H46" t="s">
        <v>707</v>
      </c>
    </row>
    <row r="47" spans="1:8">
      <c r="A47" s="2" t="s">
        <v>66</v>
      </c>
      <c r="B47" t="b">
        <v>1</v>
      </c>
      <c r="C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 s="9">
        <v>0</v>
      </c>
      <c r="H47" t="s">
        <v>707</v>
      </c>
    </row>
    <row r="48" spans="1:8">
      <c r="A48" s="2" t="s">
        <v>67</v>
      </c>
      <c r="B48" t="b">
        <v>1</v>
      </c>
      <c r="C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 s="9">
        <v>0</v>
      </c>
      <c r="H48" t="s">
        <v>707</v>
      </c>
    </row>
    <row r="49" spans="1:8">
      <c r="A49" s="2" t="s">
        <v>68</v>
      </c>
      <c r="B49" t="b">
        <v>1</v>
      </c>
      <c r="C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 s="9">
        <v>0</v>
      </c>
      <c r="H49" t="s">
        <v>707</v>
      </c>
    </row>
    <row r="50" spans="1:8">
      <c r="A50" s="2" t="s">
        <v>69</v>
      </c>
      <c r="B50" t="b">
        <v>1</v>
      </c>
      <c r="C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 s="9">
        <v>0</v>
      </c>
      <c r="H50" t="s">
        <v>707</v>
      </c>
    </row>
    <row r="51" spans="1:8">
      <c r="A51" s="2" t="s">
        <v>71</v>
      </c>
      <c r="B51" t="b">
        <v>1</v>
      </c>
      <c r="C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 s="9">
        <v>0</v>
      </c>
      <c r="H51" t="s">
        <v>707</v>
      </c>
    </row>
    <row r="52" spans="1:8">
      <c r="A52" s="2" t="s">
        <v>72</v>
      </c>
      <c r="B52" t="b">
        <v>1</v>
      </c>
      <c r="C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 s="9">
        <v>-3</v>
      </c>
      <c r="H52" t="s">
        <v>707</v>
      </c>
    </row>
    <row r="53" spans="1:8">
      <c r="A53" s="2" t="s">
        <v>73</v>
      </c>
      <c r="B53" t="b">
        <v>1</v>
      </c>
      <c r="C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 s="9">
        <v>-3</v>
      </c>
      <c r="H53" t="s">
        <v>707</v>
      </c>
    </row>
    <row r="54" spans="1:8">
      <c r="A54" s="2" t="s">
        <v>74</v>
      </c>
      <c r="B54" t="b">
        <v>1</v>
      </c>
      <c r="C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 s="9">
        <v>0</v>
      </c>
      <c r="H54" t="s">
        <v>707</v>
      </c>
    </row>
    <row r="55" spans="1:8">
      <c r="A55" s="2" t="s">
        <v>75</v>
      </c>
      <c r="B55" t="b">
        <v>1</v>
      </c>
      <c r="C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 s="9">
        <v>-3</v>
      </c>
      <c r="H55" t="s">
        <v>707</v>
      </c>
    </row>
    <row r="56" spans="1:8">
      <c r="A56" s="2" t="s">
        <v>76</v>
      </c>
      <c r="B56" t="b">
        <v>1</v>
      </c>
      <c r="C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 s="9">
        <v>0</v>
      </c>
      <c r="H56" t="s">
        <v>707</v>
      </c>
    </row>
    <row r="57" spans="1:8">
      <c r="A57" s="2" t="s">
        <v>77</v>
      </c>
      <c r="B57" t="b">
        <v>1</v>
      </c>
      <c r="C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 s="9">
        <v>0</v>
      </c>
      <c r="H57" t="s">
        <v>707</v>
      </c>
    </row>
    <row r="58" spans="1:8">
      <c r="A58" s="2" t="s">
        <v>78</v>
      </c>
      <c r="B58" t="b">
        <v>1</v>
      </c>
      <c r="C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 s="9">
        <v>-3</v>
      </c>
      <c r="H58" t="s">
        <v>707</v>
      </c>
    </row>
    <row r="59" spans="1:8">
      <c r="A59" s="2" t="s">
        <v>79</v>
      </c>
      <c r="B59" t="b">
        <v>1</v>
      </c>
      <c r="C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 s="9">
        <v>0</v>
      </c>
      <c r="H59" t="s">
        <v>707</v>
      </c>
    </row>
    <row r="60" spans="1:8">
      <c r="A60" s="2" t="s">
        <v>80</v>
      </c>
      <c r="B60" t="b">
        <v>1</v>
      </c>
      <c r="C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 s="9">
        <v>0</v>
      </c>
      <c r="H60" t="s">
        <v>707</v>
      </c>
    </row>
    <row r="61" spans="1:8">
      <c r="A61" s="2" t="s">
        <v>81</v>
      </c>
      <c r="B61" t="b">
        <v>1</v>
      </c>
      <c r="C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 s="9">
        <v>0</v>
      </c>
      <c r="H61" t="s">
        <v>707</v>
      </c>
    </row>
    <row r="62" spans="1:8">
      <c r="A62" s="2" t="s">
        <v>82</v>
      </c>
      <c r="B62" t="b">
        <v>1</v>
      </c>
      <c r="C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 s="9">
        <v>-3</v>
      </c>
      <c r="H62" t="s">
        <v>707</v>
      </c>
    </row>
    <row r="63" spans="1:8">
      <c r="A63" s="2" t="s">
        <v>83</v>
      </c>
      <c r="B63" t="b">
        <v>1</v>
      </c>
      <c r="C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 s="9">
        <v>0</v>
      </c>
      <c r="H63" t="s">
        <v>707</v>
      </c>
    </row>
    <row r="64" spans="1:8">
      <c r="A64" s="2" t="s">
        <v>84</v>
      </c>
      <c r="B64" t="b">
        <v>1</v>
      </c>
      <c r="C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 s="9">
        <v>0</v>
      </c>
      <c r="H64" t="s">
        <v>707</v>
      </c>
    </row>
    <row r="65" spans="1:8">
      <c r="A65" s="2" t="s">
        <v>85</v>
      </c>
      <c r="B65" t="b">
        <v>1</v>
      </c>
      <c r="C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 s="9">
        <v>0</v>
      </c>
      <c r="H65" t="s">
        <v>707</v>
      </c>
    </row>
    <row r="66" spans="1:8">
      <c r="A66" s="2" t="s">
        <v>86</v>
      </c>
      <c r="B66" t="b">
        <v>1</v>
      </c>
      <c r="C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 s="9">
        <v>-3</v>
      </c>
      <c r="H66" t="s">
        <v>707</v>
      </c>
    </row>
    <row r="67" spans="1:8">
      <c r="A67" s="2" t="s">
        <v>87</v>
      </c>
      <c r="B67" t="b">
        <v>1</v>
      </c>
      <c r="C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 s="9">
        <v>0</v>
      </c>
      <c r="H67" t="s">
        <v>707</v>
      </c>
    </row>
    <row r="68" spans="1:8">
      <c r="A68" s="2" t="s">
        <v>88</v>
      </c>
      <c r="B68" t="b">
        <v>1</v>
      </c>
      <c r="C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 s="9">
        <v>-3</v>
      </c>
      <c r="H68" t="s">
        <v>707</v>
      </c>
    </row>
    <row r="69" spans="1:8">
      <c r="A69" s="2" t="s">
        <v>89</v>
      </c>
      <c r="B69" t="b">
        <v>1</v>
      </c>
      <c r="C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 s="9">
        <v>0</v>
      </c>
      <c r="H69" t="s">
        <v>707</v>
      </c>
    </row>
    <row r="70" spans="1:8">
      <c r="A70" s="2" t="s">
        <v>90</v>
      </c>
      <c r="B70" t="b">
        <v>1</v>
      </c>
      <c r="C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 s="9">
        <v>0</v>
      </c>
      <c r="H70" t="s">
        <v>707</v>
      </c>
    </row>
    <row r="71" spans="1:8">
      <c r="A71" s="2" t="s">
        <v>91</v>
      </c>
      <c r="B71" t="b">
        <v>1</v>
      </c>
      <c r="C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 s="9">
        <v>-3</v>
      </c>
      <c r="H71" t="s">
        <v>707</v>
      </c>
    </row>
    <row r="72" spans="1:8">
      <c r="A72" s="2" t="s">
        <v>92</v>
      </c>
      <c r="B72" t="b">
        <v>1</v>
      </c>
      <c r="C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 s="9">
        <v>-3</v>
      </c>
      <c r="H72" t="s">
        <v>707</v>
      </c>
    </row>
    <row r="73" spans="1:8">
      <c r="A73" s="2" t="s">
        <v>93</v>
      </c>
      <c r="B73" t="b">
        <v>1</v>
      </c>
      <c r="C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 s="9">
        <v>-3</v>
      </c>
      <c r="H73" t="s">
        <v>707</v>
      </c>
    </row>
    <row r="74" spans="1:8">
      <c r="A74" s="2" t="s">
        <v>94</v>
      </c>
      <c r="B74" t="b">
        <v>1</v>
      </c>
      <c r="C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 s="9">
        <v>0</v>
      </c>
      <c r="H74" t="s">
        <v>707</v>
      </c>
    </row>
    <row r="75" spans="1:8">
      <c r="A75" s="2" t="s">
        <v>95</v>
      </c>
      <c r="B75" t="b">
        <v>1</v>
      </c>
      <c r="C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 s="9">
        <v>0</v>
      </c>
      <c r="H75" t="s">
        <v>707</v>
      </c>
    </row>
    <row r="76" spans="1:8">
      <c r="A76" s="2" t="s">
        <v>96</v>
      </c>
      <c r="B76" t="b">
        <v>1</v>
      </c>
      <c r="C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 s="9">
        <v>0</v>
      </c>
      <c r="H76" t="s">
        <v>707</v>
      </c>
    </row>
    <row r="77" spans="1:8">
      <c r="A77" s="2" t="s">
        <v>97</v>
      </c>
      <c r="B77" t="b">
        <v>1</v>
      </c>
      <c r="C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 s="9">
        <v>0</v>
      </c>
      <c r="H77" t="s">
        <v>707</v>
      </c>
    </row>
    <row r="78" spans="1:8">
      <c r="A78" s="2" t="s">
        <v>98</v>
      </c>
      <c r="B78" t="b">
        <v>1</v>
      </c>
      <c r="C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 s="9">
        <v>-3</v>
      </c>
      <c r="H78" t="s">
        <v>707</v>
      </c>
    </row>
    <row r="79" spans="1:8">
      <c r="A79" s="2" t="s">
        <v>99</v>
      </c>
      <c r="B79" t="b">
        <v>1</v>
      </c>
      <c r="C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 s="9">
        <v>-3</v>
      </c>
      <c r="H79" t="s">
        <v>707</v>
      </c>
    </row>
    <row r="80" spans="1:8">
      <c r="A80" s="2" t="s">
        <v>100</v>
      </c>
      <c r="B80" t="b">
        <v>1</v>
      </c>
      <c r="C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 s="9">
        <v>0</v>
      </c>
      <c r="H80" t="s">
        <v>707</v>
      </c>
    </row>
    <row r="81" spans="1:8">
      <c r="A81" s="2" t="s">
        <v>101</v>
      </c>
      <c r="B81" t="b">
        <v>1</v>
      </c>
      <c r="C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 s="9">
        <v>0</v>
      </c>
      <c r="H81" t="s">
        <v>707</v>
      </c>
    </row>
    <row r="82" spans="1:8">
      <c r="A82" s="2" t="s">
        <v>102</v>
      </c>
      <c r="B82" t="b">
        <v>1</v>
      </c>
      <c r="C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 s="9">
        <v>-3</v>
      </c>
      <c r="H82" t="s">
        <v>707</v>
      </c>
    </row>
    <row r="83" spans="1:8">
      <c r="A83" s="2" t="s">
        <v>103</v>
      </c>
      <c r="B83" t="b">
        <v>1</v>
      </c>
      <c r="C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 s="9">
        <v>0</v>
      </c>
      <c r="H83" t="s">
        <v>707</v>
      </c>
    </row>
    <row r="84" spans="1:8">
      <c r="A84" s="2" t="s">
        <v>104</v>
      </c>
      <c r="B84" t="b">
        <v>1</v>
      </c>
      <c r="C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 s="9">
        <v>-3</v>
      </c>
      <c r="H84" t="s">
        <v>707</v>
      </c>
    </row>
    <row r="85" spans="1:8">
      <c r="A85" s="2" t="s">
        <v>105</v>
      </c>
      <c r="B85" t="b">
        <v>1</v>
      </c>
      <c r="C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 s="9">
        <v>0</v>
      </c>
      <c r="H85" t="s">
        <v>707</v>
      </c>
    </row>
    <row r="86" spans="1:8">
      <c r="A86" s="2" t="s">
        <v>106</v>
      </c>
      <c r="B86" t="b">
        <v>1</v>
      </c>
      <c r="C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 s="9">
        <v>0</v>
      </c>
      <c r="H86" t="s">
        <v>707</v>
      </c>
    </row>
    <row r="87" spans="1:8">
      <c r="A87" s="2" t="s">
        <v>107</v>
      </c>
      <c r="B87" t="b">
        <v>1</v>
      </c>
      <c r="C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 s="9">
        <v>0</v>
      </c>
      <c r="H87" t="s">
        <v>707</v>
      </c>
    </row>
    <row r="88" spans="1:8">
      <c r="A88" s="2" t="s">
        <v>108</v>
      </c>
      <c r="B88" t="b">
        <v>1</v>
      </c>
      <c r="C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 s="9">
        <v>0</v>
      </c>
      <c r="H88" t="s">
        <v>707</v>
      </c>
    </row>
    <row r="89" spans="1:8">
      <c r="A89" s="2" t="s">
        <v>109</v>
      </c>
      <c r="B89" t="b">
        <v>1</v>
      </c>
      <c r="C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 s="9">
        <v>-3</v>
      </c>
      <c r="H89" t="s">
        <v>707</v>
      </c>
    </row>
    <row r="90" spans="1:8">
      <c r="A90" s="2" t="s">
        <v>110</v>
      </c>
      <c r="B90" t="b">
        <v>1</v>
      </c>
      <c r="C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 s="9">
        <v>0</v>
      </c>
      <c r="H90" t="s">
        <v>707</v>
      </c>
    </row>
    <row r="91" spans="1:8">
      <c r="A91" s="2" t="s">
        <v>111</v>
      </c>
      <c r="B91" t="b">
        <v>1</v>
      </c>
      <c r="C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 s="9">
        <v>0</v>
      </c>
      <c r="H91" t="s">
        <v>707</v>
      </c>
    </row>
    <row r="92" spans="1:8">
      <c r="A92" s="2" t="s">
        <v>112</v>
      </c>
      <c r="B92" t="b">
        <v>1</v>
      </c>
      <c r="C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 s="9">
        <v>-3</v>
      </c>
      <c r="H92" t="s">
        <v>707</v>
      </c>
    </row>
    <row r="93" spans="1:8">
      <c r="A93" s="2" t="s">
        <v>113</v>
      </c>
      <c r="B93" t="b">
        <v>1</v>
      </c>
      <c r="C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 s="9">
        <v>0</v>
      </c>
      <c r="H93" t="s">
        <v>707</v>
      </c>
    </row>
    <row r="94" spans="1:8">
      <c r="A94" s="2" t="s">
        <v>114</v>
      </c>
      <c r="B94" t="b">
        <v>1</v>
      </c>
      <c r="C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 s="9">
        <v>0</v>
      </c>
      <c r="H94" t="s">
        <v>707</v>
      </c>
    </row>
    <row r="95" spans="1:8">
      <c r="A95" s="2" t="s">
        <v>115</v>
      </c>
      <c r="B95" t="b">
        <v>1</v>
      </c>
      <c r="C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 s="9">
        <v>0</v>
      </c>
      <c r="H95" t="s">
        <v>707</v>
      </c>
    </row>
    <row r="96" spans="1:8">
      <c r="A96" s="2" t="s">
        <v>116</v>
      </c>
      <c r="B96" t="b">
        <v>1</v>
      </c>
      <c r="C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 s="9">
        <v>0</v>
      </c>
      <c r="H96" t="s">
        <v>707</v>
      </c>
    </row>
    <row r="97" spans="1:8">
      <c r="A97" s="2" t="s">
        <v>117</v>
      </c>
      <c r="B97" t="b">
        <v>1</v>
      </c>
      <c r="C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 s="9">
        <v>0</v>
      </c>
      <c r="H97" t="s">
        <v>707</v>
      </c>
    </row>
    <row r="98" spans="1:8">
      <c r="A98" s="2" t="s">
        <v>118</v>
      </c>
      <c r="B98" t="b">
        <v>1</v>
      </c>
      <c r="C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 s="9">
        <v>-3</v>
      </c>
      <c r="H98" t="s">
        <v>707</v>
      </c>
    </row>
    <row r="99" spans="1:8">
      <c r="A99" s="2" t="s">
        <v>119</v>
      </c>
      <c r="B99" t="b">
        <v>1</v>
      </c>
      <c r="C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 s="9">
        <v>-3</v>
      </c>
      <c r="H99" t="s">
        <v>707</v>
      </c>
    </row>
    <row r="100" spans="1:8">
      <c r="A100" s="2" t="s">
        <v>120</v>
      </c>
      <c r="B100" t="b">
        <v>1</v>
      </c>
      <c r="C1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 s="9">
        <v>0</v>
      </c>
      <c r="H100" t="s">
        <v>707</v>
      </c>
    </row>
    <row r="101" spans="1:8">
      <c r="A101" s="2" t="s">
        <v>121</v>
      </c>
      <c r="B101" t="b">
        <v>1</v>
      </c>
      <c r="C1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 s="9">
        <v>0</v>
      </c>
      <c r="H101" t="s">
        <v>707</v>
      </c>
    </row>
    <row r="102" spans="1:8">
      <c r="A102" s="2" t="s">
        <v>122</v>
      </c>
      <c r="B102" t="b">
        <v>1</v>
      </c>
      <c r="C1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 s="9">
        <v>0</v>
      </c>
      <c r="H102" t="s">
        <v>707</v>
      </c>
    </row>
    <row r="103" spans="1:8">
      <c r="A103" s="2" t="s">
        <v>123</v>
      </c>
      <c r="B103" t="b">
        <v>1</v>
      </c>
      <c r="C1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 s="9">
        <v>0</v>
      </c>
      <c r="H103" t="s">
        <v>707</v>
      </c>
    </row>
    <row r="104" spans="1:8">
      <c r="A104" s="2" t="s">
        <v>124</v>
      </c>
      <c r="B104" t="b">
        <v>1</v>
      </c>
      <c r="C1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 s="9">
        <v>0</v>
      </c>
      <c r="H104" t="s">
        <v>707</v>
      </c>
    </row>
    <row r="105" spans="1:8">
      <c r="A105" s="2" t="s">
        <v>125</v>
      </c>
      <c r="B105" t="b">
        <v>1</v>
      </c>
      <c r="C1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 s="9">
        <v>0</v>
      </c>
      <c r="H105" t="s">
        <v>707</v>
      </c>
    </row>
    <row r="106" spans="1:8">
      <c r="A106" s="2" t="s">
        <v>126</v>
      </c>
      <c r="B106" t="b">
        <v>1</v>
      </c>
      <c r="C1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 s="9">
        <v>0</v>
      </c>
      <c r="H106" t="s">
        <v>707</v>
      </c>
    </row>
    <row r="107" spans="1:8">
      <c r="A107" s="2" t="s">
        <v>127</v>
      </c>
      <c r="B107" t="b">
        <v>1</v>
      </c>
      <c r="C1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 s="9">
        <v>0</v>
      </c>
      <c r="H107" t="s">
        <v>707</v>
      </c>
    </row>
    <row r="108" spans="1:8">
      <c r="A108" s="2" t="s">
        <v>128</v>
      </c>
      <c r="B108" t="b">
        <v>1</v>
      </c>
      <c r="C1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 s="9">
        <v>0</v>
      </c>
      <c r="H108" t="s">
        <v>707</v>
      </c>
    </row>
    <row r="109" spans="1:8">
      <c r="A109" s="2" t="s">
        <v>129</v>
      </c>
      <c r="B109" t="b">
        <v>1</v>
      </c>
      <c r="C1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 s="9">
        <v>0</v>
      </c>
      <c r="H109" t="s">
        <v>707</v>
      </c>
    </row>
    <row r="110" spans="1:8">
      <c r="A110" s="2" t="s">
        <v>130</v>
      </c>
      <c r="B110" t="b">
        <v>1</v>
      </c>
      <c r="C1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 s="9">
        <v>0</v>
      </c>
      <c r="H110" t="s">
        <v>707</v>
      </c>
    </row>
    <row r="111" spans="1:8">
      <c r="A111" s="2" t="s">
        <v>131</v>
      </c>
      <c r="B111" t="b">
        <v>1</v>
      </c>
      <c r="C1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 s="9">
        <v>0</v>
      </c>
      <c r="H111" t="s">
        <v>707</v>
      </c>
    </row>
    <row r="112" spans="1:8">
      <c r="A112" s="2" t="s">
        <v>132</v>
      </c>
      <c r="B112" t="b">
        <v>1</v>
      </c>
      <c r="C1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 s="9">
        <v>0</v>
      </c>
      <c r="H112" t="s">
        <v>707</v>
      </c>
    </row>
    <row r="113" spans="1:8">
      <c r="A113" s="2" t="s">
        <v>133</v>
      </c>
      <c r="B113" t="b">
        <v>1</v>
      </c>
      <c r="C1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 s="9">
        <v>0</v>
      </c>
      <c r="H113" t="s">
        <v>707</v>
      </c>
    </row>
    <row r="114" spans="1:8">
      <c r="A114" s="2" t="s">
        <v>134</v>
      </c>
      <c r="B114" t="b">
        <v>1</v>
      </c>
      <c r="C1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 s="9">
        <v>0</v>
      </c>
      <c r="H114" t="s">
        <v>707</v>
      </c>
    </row>
    <row r="115" spans="1:8">
      <c r="A115" s="2" t="s">
        <v>135</v>
      </c>
      <c r="B115" t="b">
        <v>1</v>
      </c>
      <c r="C1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 s="9">
        <v>0</v>
      </c>
      <c r="H115" t="s">
        <v>707</v>
      </c>
    </row>
    <row r="116" spans="1:8">
      <c r="A116" s="2" t="s">
        <v>136</v>
      </c>
      <c r="B116" t="b">
        <v>1</v>
      </c>
      <c r="C1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 s="9">
        <v>0</v>
      </c>
      <c r="H116" t="s">
        <v>707</v>
      </c>
    </row>
    <row r="117" spans="1:8">
      <c r="A117" s="2" t="s">
        <v>137</v>
      </c>
      <c r="B117" t="b">
        <v>1</v>
      </c>
      <c r="C1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 s="9">
        <v>0</v>
      </c>
      <c r="H117" t="s">
        <v>707</v>
      </c>
    </row>
    <row r="118" spans="1:8">
      <c r="A118" s="2" t="s">
        <v>138</v>
      </c>
      <c r="B118" t="b">
        <v>1</v>
      </c>
      <c r="C1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 s="9">
        <v>0</v>
      </c>
      <c r="H118" t="s">
        <v>707</v>
      </c>
    </row>
    <row r="119" spans="1:8">
      <c r="A119" s="2" t="s">
        <v>139</v>
      </c>
      <c r="B119" t="b">
        <v>1</v>
      </c>
      <c r="C1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 s="9">
        <v>0</v>
      </c>
      <c r="H119" t="s">
        <v>707</v>
      </c>
    </row>
    <row r="120" spans="1:8">
      <c r="A120" s="2" t="s">
        <v>140</v>
      </c>
      <c r="B120" t="b">
        <v>1</v>
      </c>
      <c r="C1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 s="9">
        <v>0</v>
      </c>
      <c r="H120" t="s">
        <v>707</v>
      </c>
    </row>
    <row r="121" spans="1:8">
      <c r="A121" s="2" t="s">
        <v>141</v>
      </c>
      <c r="B121" t="b">
        <v>1</v>
      </c>
      <c r="C1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 s="9">
        <v>0</v>
      </c>
      <c r="H121" t="s">
        <v>707</v>
      </c>
    </row>
    <row r="122" spans="1:8">
      <c r="A122" s="2" t="s">
        <v>142</v>
      </c>
      <c r="B122" t="b">
        <v>1</v>
      </c>
      <c r="C1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 s="9">
        <v>0</v>
      </c>
      <c r="H122" t="s">
        <v>707</v>
      </c>
    </row>
    <row r="123" spans="1:8">
      <c r="A123" s="2" t="s">
        <v>143</v>
      </c>
      <c r="B123" t="b">
        <v>1</v>
      </c>
      <c r="C1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 s="9">
        <v>0</v>
      </c>
      <c r="H123" t="s">
        <v>707</v>
      </c>
    </row>
    <row r="124" spans="1:8">
      <c r="A124" s="2" t="s">
        <v>144</v>
      </c>
      <c r="B124" t="b">
        <v>1</v>
      </c>
      <c r="C1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 s="9">
        <v>0</v>
      </c>
      <c r="H124" t="s">
        <v>707</v>
      </c>
    </row>
    <row r="125" spans="1:8">
      <c r="A125" s="2" t="s">
        <v>145</v>
      </c>
      <c r="B125" t="b">
        <v>1</v>
      </c>
      <c r="C1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 s="9">
        <v>0</v>
      </c>
      <c r="H125" t="s">
        <v>707</v>
      </c>
    </row>
    <row r="126" spans="1:8">
      <c r="A126" s="2" t="s">
        <v>146</v>
      </c>
      <c r="B126" t="b">
        <v>1</v>
      </c>
      <c r="C1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 s="9">
        <v>0</v>
      </c>
      <c r="H126" t="s">
        <v>707</v>
      </c>
    </row>
    <row r="127" spans="1:8">
      <c r="A127" s="2" t="s">
        <v>147</v>
      </c>
      <c r="B127" t="b">
        <v>1</v>
      </c>
      <c r="C1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 s="9">
        <v>0</v>
      </c>
      <c r="H127" t="s">
        <v>707</v>
      </c>
    </row>
    <row r="128" spans="1:8">
      <c r="A128" s="2" t="s">
        <v>148</v>
      </c>
      <c r="B128" t="b">
        <v>1</v>
      </c>
      <c r="C1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 s="9">
        <v>0</v>
      </c>
      <c r="H128" t="s">
        <v>707</v>
      </c>
    </row>
    <row r="129" spans="1:8">
      <c r="A129" s="2" t="s">
        <v>149</v>
      </c>
      <c r="B129" t="b">
        <v>1</v>
      </c>
      <c r="C1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 s="9">
        <v>0</v>
      </c>
      <c r="H129" t="s">
        <v>707</v>
      </c>
    </row>
    <row r="130" spans="1:8">
      <c r="A130" s="2" t="s">
        <v>150</v>
      </c>
      <c r="B130" t="b">
        <v>1</v>
      </c>
      <c r="C1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 s="9">
        <v>0</v>
      </c>
      <c r="H130" t="s">
        <v>707</v>
      </c>
    </row>
    <row r="131" spans="1:8">
      <c r="A131" s="2" t="s">
        <v>151</v>
      </c>
      <c r="B131" t="b">
        <v>1</v>
      </c>
      <c r="C1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 s="9">
        <v>0</v>
      </c>
      <c r="H131" t="s">
        <v>707</v>
      </c>
    </row>
    <row r="132" spans="1:8">
      <c r="A132" s="2" t="s">
        <v>152</v>
      </c>
      <c r="B132" t="b">
        <v>1</v>
      </c>
      <c r="C1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 s="9">
        <v>0</v>
      </c>
      <c r="H132" t="s">
        <v>707</v>
      </c>
    </row>
    <row r="133" spans="1:8">
      <c r="A133" s="2" t="s">
        <v>153</v>
      </c>
      <c r="B133" t="b">
        <v>1</v>
      </c>
      <c r="C1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 s="9">
        <v>0</v>
      </c>
      <c r="H133" t="s">
        <v>707</v>
      </c>
    </row>
    <row r="134" spans="1:8">
      <c r="A134" s="2" t="s">
        <v>154</v>
      </c>
      <c r="B134" t="b">
        <v>1</v>
      </c>
      <c r="C1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 s="9">
        <v>0</v>
      </c>
      <c r="H134" t="s">
        <v>707</v>
      </c>
    </row>
    <row r="135" spans="1:8">
      <c r="A135" s="2" t="s">
        <v>155</v>
      </c>
      <c r="B135" t="b">
        <v>1</v>
      </c>
      <c r="C1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 s="9">
        <v>0</v>
      </c>
      <c r="H135" t="s">
        <v>707</v>
      </c>
    </row>
    <row r="136" spans="1:8">
      <c r="A136" s="2" t="s">
        <v>156</v>
      </c>
      <c r="B136" t="b">
        <v>1</v>
      </c>
      <c r="C1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 s="9">
        <v>0</v>
      </c>
      <c r="H136" t="s">
        <v>707</v>
      </c>
    </row>
    <row r="137" spans="1:8">
      <c r="A137" s="2" t="s">
        <v>157</v>
      </c>
      <c r="B137" t="b">
        <v>1</v>
      </c>
      <c r="C1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 s="9">
        <v>0</v>
      </c>
      <c r="H137" t="s">
        <v>707</v>
      </c>
    </row>
    <row r="138" spans="1:8">
      <c r="A138" s="2" t="s">
        <v>158</v>
      </c>
      <c r="B138" t="b">
        <v>1</v>
      </c>
      <c r="C1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 s="9">
        <v>0</v>
      </c>
      <c r="H138" t="s">
        <v>707</v>
      </c>
    </row>
    <row r="139" spans="1:8">
      <c r="A139" s="2" t="s">
        <v>159</v>
      </c>
      <c r="B139" t="b">
        <v>1</v>
      </c>
      <c r="C1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 s="9">
        <v>0</v>
      </c>
      <c r="H139" t="s">
        <v>707</v>
      </c>
    </row>
    <row r="140" spans="1:8">
      <c r="A140" s="2" t="s">
        <v>160</v>
      </c>
      <c r="B140" t="b">
        <v>1</v>
      </c>
      <c r="C1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 s="9">
        <v>0</v>
      </c>
      <c r="H140" t="s">
        <v>707</v>
      </c>
    </row>
    <row r="141" spans="1:8">
      <c r="A141" s="2" t="s">
        <v>161</v>
      </c>
      <c r="B141" t="b">
        <v>1</v>
      </c>
      <c r="C1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 s="9">
        <v>0</v>
      </c>
      <c r="H141" t="s">
        <v>707</v>
      </c>
    </row>
    <row r="142" spans="1:8">
      <c r="A142" s="2" t="s">
        <v>162</v>
      </c>
      <c r="B142" t="b">
        <v>1</v>
      </c>
      <c r="C1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 s="9">
        <v>0</v>
      </c>
      <c r="H142" t="s">
        <v>707</v>
      </c>
    </row>
    <row r="143" spans="1:8">
      <c r="A143" s="2" t="s">
        <v>163</v>
      </c>
      <c r="B143" t="b">
        <v>1</v>
      </c>
      <c r="C1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 s="9">
        <v>0</v>
      </c>
      <c r="H143" t="s">
        <v>707</v>
      </c>
    </row>
    <row r="144" spans="1:8">
      <c r="A144" s="2" t="s">
        <v>164</v>
      </c>
      <c r="B144" t="b">
        <v>1</v>
      </c>
      <c r="C1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 s="9">
        <v>0</v>
      </c>
      <c r="H144" t="s">
        <v>707</v>
      </c>
    </row>
    <row r="145" spans="1:8">
      <c r="A145" s="2" t="s">
        <v>165</v>
      </c>
      <c r="B145" t="b">
        <v>1</v>
      </c>
      <c r="C1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 s="9">
        <v>0</v>
      </c>
      <c r="H145" t="s">
        <v>707</v>
      </c>
    </row>
    <row r="146" spans="1:8">
      <c r="A146" s="2" t="s">
        <v>166</v>
      </c>
      <c r="B146" t="b">
        <v>1</v>
      </c>
      <c r="C1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 s="9">
        <v>0</v>
      </c>
      <c r="H146" t="s">
        <v>707</v>
      </c>
    </row>
    <row r="147" spans="1:8">
      <c r="A147" s="2" t="s">
        <v>167</v>
      </c>
      <c r="B147" t="b">
        <v>1</v>
      </c>
      <c r="C1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 s="9">
        <v>0</v>
      </c>
      <c r="H147" t="s">
        <v>707</v>
      </c>
    </row>
    <row r="148" spans="1:8">
      <c r="A148" s="2" t="s">
        <v>168</v>
      </c>
      <c r="B148" t="b">
        <v>1</v>
      </c>
      <c r="C1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 s="9">
        <v>0</v>
      </c>
      <c r="H148" t="s">
        <v>707</v>
      </c>
    </row>
    <row r="149" spans="1:8">
      <c r="A149" s="2" t="s">
        <v>169</v>
      </c>
      <c r="B149" t="b">
        <v>1</v>
      </c>
      <c r="C1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 s="9">
        <v>0</v>
      </c>
      <c r="H149" t="s">
        <v>707</v>
      </c>
    </row>
    <row r="150" spans="1:8">
      <c r="A150" s="2" t="s">
        <v>170</v>
      </c>
      <c r="B150" t="b">
        <v>1</v>
      </c>
      <c r="C1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 s="9">
        <v>0</v>
      </c>
      <c r="H150" t="s">
        <v>707</v>
      </c>
    </row>
    <row r="151" spans="1:8">
      <c r="A151" s="2" t="s">
        <v>171</v>
      </c>
      <c r="B151" t="b">
        <v>1</v>
      </c>
      <c r="C1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 s="9">
        <v>0</v>
      </c>
      <c r="H151" t="s">
        <v>707</v>
      </c>
    </row>
    <row r="152" spans="1:8">
      <c r="A152" s="2" t="s">
        <v>172</v>
      </c>
      <c r="B152" t="b">
        <v>1</v>
      </c>
      <c r="C1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 s="9">
        <v>0</v>
      </c>
      <c r="H152" t="s">
        <v>707</v>
      </c>
    </row>
    <row r="153" spans="1:8">
      <c r="A153" s="2" t="s">
        <v>173</v>
      </c>
      <c r="B153" t="b">
        <v>1</v>
      </c>
      <c r="C1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 s="9">
        <v>0</v>
      </c>
      <c r="H153" t="s">
        <v>707</v>
      </c>
    </row>
    <row r="154" spans="1:8">
      <c r="A154" s="2" t="s">
        <v>174</v>
      </c>
      <c r="B154" t="b">
        <v>1</v>
      </c>
      <c r="C1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 s="9">
        <v>0</v>
      </c>
      <c r="H154" t="s">
        <v>707</v>
      </c>
    </row>
    <row r="155" spans="1:8">
      <c r="A155" s="2" t="s">
        <v>175</v>
      </c>
      <c r="B155" t="b">
        <v>1</v>
      </c>
      <c r="C1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 s="9">
        <v>0</v>
      </c>
      <c r="H155" t="s">
        <v>707</v>
      </c>
    </row>
    <row r="156" spans="1:8">
      <c r="A156" s="2" t="s">
        <v>176</v>
      </c>
      <c r="B156" t="b">
        <v>1</v>
      </c>
      <c r="C1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 s="9">
        <v>0</v>
      </c>
      <c r="H156" t="s">
        <v>707</v>
      </c>
    </row>
    <row r="157" spans="1:8">
      <c r="A157" s="2" t="s">
        <v>177</v>
      </c>
      <c r="B157" t="b">
        <v>1</v>
      </c>
      <c r="C1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 s="9">
        <v>0</v>
      </c>
      <c r="H157" t="s">
        <v>707</v>
      </c>
    </row>
    <row r="158" spans="1:8">
      <c r="A158" s="2" t="s">
        <v>178</v>
      </c>
      <c r="B158" t="b">
        <v>1</v>
      </c>
      <c r="C1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 s="9">
        <v>0</v>
      </c>
      <c r="H158" t="s">
        <v>707</v>
      </c>
    </row>
    <row r="159" spans="1:8">
      <c r="A159" s="2" t="s">
        <v>179</v>
      </c>
      <c r="B159" t="b">
        <v>1</v>
      </c>
      <c r="C1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 s="9">
        <v>0</v>
      </c>
      <c r="H159" t="s">
        <v>707</v>
      </c>
    </row>
    <row r="160" spans="1:8">
      <c r="A160" s="2" t="s">
        <v>180</v>
      </c>
      <c r="B160" t="b">
        <v>1</v>
      </c>
      <c r="C1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 s="9">
        <v>0</v>
      </c>
      <c r="H160" t="s">
        <v>707</v>
      </c>
    </row>
    <row r="161" spans="1:8">
      <c r="A161" s="2" t="s">
        <v>181</v>
      </c>
      <c r="B161" t="b">
        <v>1</v>
      </c>
      <c r="C1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 s="9">
        <v>0</v>
      </c>
      <c r="H161" t="s">
        <v>707</v>
      </c>
    </row>
    <row r="162" spans="1:8">
      <c r="A162" s="2" t="s">
        <v>182</v>
      </c>
      <c r="B162" t="b">
        <v>1</v>
      </c>
      <c r="C1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 s="9">
        <v>0</v>
      </c>
      <c r="H162" t="s">
        <v>707</v>
      </c>
    </row>
    <row r="163" spans="1:8">
      <c r="A163" s="2" t="s">
        <v>183</v>
      </c>
      <c r="B163" t="b">
        <v>1</v>
      </c>
      <c r="C1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 s="9">
        <v>0</v>
      </c>
      <c r="H163" t="s">
        <v>707</v>
      </c>
    </row>
    <row r="164" spans="1:8">
      <c r="A164" s="2" t="s">
        <v>184</v>
      </c>
      <c r="B164" t="b">
        <v>1</v>
      </c>
      <c r="C1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 s="9">
        <v>0</v>
      </c>
      <c r="H164" t="s">
        <v>707</v>
      </c>
    </row>
    <row r="165" spans="1:8">
      <c r="A165" s="2" t="s">
        <v>185</v>
      </c>
      <c r="B165" t="b">
        <v>1</v>
      </c>
      <c r="C1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 s="9">
        <v>0</v>
      </c>
      <c r="H165" t="s">
        <v>707</v>
      </c>
    </row>
    <row r="166" spans="1:8">
      <c r="A166" s="2" t="s">
        <v>186</v>
      </c>
      <c r="B166" t="b">
        <v>1</v>
      </c>
      <c r="C1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 s="9">
        <v>0</v>
      </c>
      <c r="H166" t="s">
        <v>707</v>
      </c>
    </row>
    <row r="167" spans="1:8">
      <c r="A167" s="2" t="s">
        <v>187</v>
      </c>
      <c r="B167" t="b">
        <v>1</v>
      </c>
      <c r="C1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 s="9">
        <v>0</v>
      </c>
      <c r="H167" t="s">
        <v>707</v>
      </c>
    </row>
    <row r="168" spans="1:8">
      <c r="A168" s="2" t="s">
        <v>188</v>
      </c>
      <c r="B168" t="b">
        <v>1</v>
      </c>
      <c r="C1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 s="9">
        <v>0</v>
      </c>
      <c r="H168" t="s">
        <v>707</v>
      </c>
    </row>
    <row r="169" spans="1:8">
      <c r="A169" s="2" t="s">
        <v>189</v>
      </c>
      <c r="B169" t="b">
        <v>1</v>
      </c>
      <c r="C1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 s="9">
        <v>0</v>
      </c>
      <c r="H169" t="s">
        <v>707</v>
      </c>
    </row>
    <row r="170" spans="1:8">
      <c r="A170" s="2" t="s">
        <v>190</v>
      </c>
      <c r="B170" t="b">
        <v>1</v>
      </c>
      <c r="C1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 s="9">
        <v>0</v>
      </c>
      <c r="H170" t="s">
        <v>707</v>
      </c>
    </row>
    <row r="171" spans="1:8">
      <c r="A171" s="2" t="s">
        <v>191</v>
      </c>
      <c r="B171" t="b">
        <v>1</v>
      </c>
      <c r="C1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 s="9">
        <v>0</v>
      </c>
      <c r="H171" t="s">
        <v>707</v>
      </c>
    </row>
    <row r="172" spans="1:8">
      <c r="A172" s="2" t="s">
        <v>192</v>
      </c>
      <c r="B172" t="b">
        <v>1</v>
      </c>
      <c r="C1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 s="9">
        <v>0</v>
      </c>
      <c r="H172" t="s">
        <v>707</v>
      </c>
    </row>
    <row r="173" spans="1:8">
      <c r="A173" s="2" t="s">
        <v>193</v>
      </c>
      <c r="B173" t="b">
        <v>1</v>
      </c>
      <c r="C1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 s="9">
        <v>0</v>
      </c>
      <c r="H173" t="s">
        <v>707</v>
      </c>
    </row>
    <row r="174" spans="1:8">
      <c r="A174" s="2" t="s">
        <v>194</v>
      </c>
      <c r="B174" t="b">
        <v>1</v>
      </c>
      <c r="C1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 s="9">
        <v>0</v>
      </c>
      <c r="H174" t="s">
        <v>707</v>
      </c>
    </row>
    <row r="175" spans="1:8">
      <c r="A175" s="2" t="s">
        <v>195</v>
      </c>
      <c r="B175" t="b">
        <v>1</v>
      </c>
      <c r="C1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 s="9">
        <v>0</v>
      </c>
      <c r="H175" t="s">
        <v>707</v>
      </c>
    </row>
    <row r="176" spans="1:8">
      <c r="A176" s="2" t="s">
        <v>196</v>
      </c>
      <c r="B176" t="b">
        <v>1</v>
      </c>
      <c r="C1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 s="9">
        <v>0</v>
      </c>
      <c r="H176" t="s">
        <v>707</v>
      </c>
    </row>
    <row r="177" spans="1:8">
      <c r="A177" s="2" t="s">
        <v>197</v>
      </c>
      <c r="B177" t="b">
        <v>1</v>
      </c>
      <c r="C1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 s="9">
        <v>0</v>
      </c>
      <c r="H177" t="s">
        <v>707</v>
      </c>
    </row>
    <row r="178" spans="1:8">
      <c r="A178" s="2" t="s">
        <v>198</v>
      </c>
      <c r="B178" t="b">
        <v>1</v>
      </c>
      <c r="C1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 s="9">
        <v>0</v>
      </c>
      <c r="H178" t="s">
        <v>707</v>
      </c>
    </row>
    <row r="179" spans="1:8">
      <c r="A179" s="2" t="s">
        <v>199</v>
      </c>
      <c r="B179" t="b">
        <v>1</v>
      </c>
      <c r="C1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 s="9">
        <v>-3</v>
      </c>
      <c r="H179" t="s">
        <v>707</v>
      </c>
    </row>
    <row r="180" spans="1:8">
      <c r="A180" s="2" t="s">
        <v>200</v>
      </c>
      <c r="B180" t="b">
        <v>1</v>
      </c>
      <c r="C1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 s="9">
        <v>-3</v>
      </c>
      <c r="H180" t="s">
        <v>707</v>
      </c>
    </row>
    <row r="181" spans="1:8">
      <c r="A181" s="2" t="s">
        <v>201</v>
      </c>
      <c r="B181" t="b">
        <v>1</v>
      </c>
      <c r="C1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 s="9">
        <v>0</v>
      </c>
      <c r="H181" t="s">
        <v>707</v>
      </c>
    </row>
    <row r="182" spans="1:8">
      <c r="A182" s="2" t="s">
        <v>202</v>
      </c>
      <c r="B182" t="b">
        <v>1</v>
      </c>
      <c r="C1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 s="9">
        <v>0</v>
      </c>
      <c r="H182" t="s">
        <v>707</v>
      </c>
    </row>
    <row r="183" spans="1:8">
      <c r="A183" s="2" t="s">
        <v>203</v>
      </c>
      <c r="B183" t="b">
        <v>1</v>
      </c>
      <c r="C1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 s="9">
        <v>-3</v>
      </c>
      <c r="H183" t="s">
        <v>707</v>
      </c>
    </row>
    <row r="184" spans="1:8">
      <c r="A184" s="2" t="s">
        <v>204</v>
      </c>
      <c r="B184" t="b">
        <v>1</v>
      </c>
      <c r="C1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 s="9">
        <v>0</v>
      </c>
      <c r="H184" t="s">
        <v>707</v>
      </c>
    </row>
    <row r="185" spans="1:8">
      <c r="A185" s="2" t="s">
        <v>205</v>
      </c>
      <c r="B185" t="b">
        <v>1</v>
      </c>
      <c r="C1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 s="9">
        <v>0</v>
      </c>
      <c r="H185" t="s">
        <v>707</v>
      </c>
    </row>
    <row r="186" spans="1:8">
      <c r="A186" s="2" t="s">
        <v>206</v>
      </c>
      <c r="B186" t="b">
        <v>1</v>
      </c>
      <c r="C1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 s="9">
        <v>0</v>
      </c>
      <c r="H186" t="s">
        <v>707</v>
      </c>
    </row>
    <row r="187" spans="1:8">
      <c r="A187" s="2" t="s">
        <v>207</v>
      </c>
      <c r="B187" t="b">
        <v>1</v>
      </c>
      <c r="C1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 s="9">
        <v>0</v>
      </c>
      <c r="H187" t="s">
        <v>707</v>
      </c>
    </row>
    <row r="188" spans="1:8">
      <c r="A188" s="2" t="s">
        <v>208</v>
      </c>
      <c r="B188" t="b">
        <v>1</v>
      </c>
      <c r="C1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 s="9">
        <v>0</v>
      </c>
      <c r="H188" t="s">
        <v>707</v>
      </c>
    </row>
    <row r="189" spans="1:8">
      <c r="A189" s="2" t="s">
        <v>209</v>
      </c>
      <c r="B189" t="b">
        <v>1</v>
      </c>
      <c r="C1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 s="9">
        <v>-3</v>
      </c>
      <c r="H189" t="s">
        <v>707</v>
      </c>
    </row>
    <row r="190" spans="1:8">
      <c r="A190" s="2" t="s">
        <v>210</v>
      </c>
      <c r="B190" t="b">
        <v>1</v>
      </c>
      <c r="C1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 s="9">
        <v>0</v>
      </c>
      <c r="H190" t="s">
        <v>707</v>
      </c>
    </row>
    <row r="191" spans="1:8">
      <c r="A191" s="2" t="s">
        <v>211</v>
      </c>
      <c r="B191" t="b">
        <v>1</v>
      </c>
      <c r="C1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 s="9">
        <v>0</v>
      </c>
      <c r="H191" t="s">
        <v>707</v>
      </c>
    </row>
    <row r="192" spans="1:8">
      <c r="A192" s="2" t="s">
        <v>212</v>
      </c>
      <c r="B192" t="b">
        <v>1</v>
      </c>
      <c r="C1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 s="9">
        <v>0</v>
      </c>
      <c r="H192" t="s">
        <v>707</v>
      </c>
    </row>
    <row r="193" spans="1:8">
      <c r="A193" s="2" t="s">
        <v>213</v>
      </c>
      <c r="B193" t="b">
        <v>1</v>
      </c>
      <c r="C1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 s="9">
        <v>0</v>
      </c>
      <c r="H193" t="s">
        <v>707</v>
      </c>
    </row>
    <row r="194" spans="1:8">
      <c r="A194" s="2" t="s">
        <v>214</v>
      </c>
      <c r="B194" t="b">
        <v>1</v>
      </c>
      <c r="C1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 s="9">
        <v>0</v>
      </c>
      <c r="H194" t="s">
        <v>707</v>
      </c>
    </row>
    <row r="195" spans="1:8">
      <c r="A195" s="2" t="s">
        <v>215</v>
      </c>
      <c r="B195" t="b">
        <v>1</v>
      </c>
      <c r="C1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 s="9">
        <v>0</v>
      </c>
      <c r="H195" t="s">
        <v>707</v>
      </c>
    </row>
    <row r="196" spans="1:8">
      <c r="A196" s="2" t="s">
        <v>216</v>
      </c>
      <c r="B196" t="b">
        <v>1</v>
      </c>
      <c r="C1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 s="9">
        <v>0</v>
      </c>
      <c r="H196" t="s">
        <v>707</v>
      </c>
    </row>
    <row r="197" spans="1:8">
      <c r="A197" s="2" t="s">
        <v>217</v>
      </c>
      <c r="B197" t="b">
        <v>1</v>
      </c>
      <c r="C1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 s="9">
        <v>0</v>
      </c>
      <c r="H197" t="s">
        <v>707</v>
      </c>
    </row>
    <row r="198" spans="1:8">
      <c r="A198" s="2" t="s">
        <v>218</v>
      </c>
      <c r="B198" t="b">
        <v>1</v>
      </c>
      <c r="C1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 s="9">
        <v>0</v>
      </c>
      <c r="H198" t="s">
        <v>707</v>
      </c>
    </row>
    <row r="199" spans="1:8">
      <c r="A199" s="2" t="s">
        <v>219</v>
      </c>
      <c r="B199" t="b">
        <v>1</v>
      </c>
      <c r="C1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 s="9">
        <v>0</v>
      </c>
      <c r="H199" t="s">
        <v>707</v>
      </c>
    </row>
    <row r="200" spans="1:8">
      <c r="A200" s="2" t="s">
        <v>220</v>
      </c>
      <c r="B200" t="b">
        <v>1</v>
      </c>
      <c r="C2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 s="9">
        <v>0</v>
      </c>
      <c r="H200" t="s">
        <v>707</v>
      </c>
    </row>
    <row r="201" spans="1:8">
      <c r="A201" s="2" t="s">
        <v>221</v>
      </c>
      <c r="B201" t="b">
        <v>1</v>
      </c>
      <c r="C2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 s="9">
        <v>0</v>
      </c>
      <c r="H201" t="s">
        <v>707</v>
      </c>
    </row>
    <row r="202" spans="1:8">
      <c r="A202" s="2" t="s">
        <v>222</v>
      </c>
      <c r="B202" t="b">
        <v>1</v>
      </c>
      <c r="C2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 s="9">
        <v>0</v>
      </c>
      <c r="H202" t="s">
        <v>707</v>
      </c>
    </row>
    <row r="203" spans="1:8">
      <c r="A203" s="2" t="s">
        <v>223</v>
      </c>
      <c r="B203" t="b">
        <v>1</v>
      </c>
      <c r="C2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 s="9">
        <v>0</v>
      </c>
      <c r="H203" t="s">
        <v>707</v>
      </c>
    </row>
    <row r="204" spans="1:8">
      <c r="A204" s="2" t="s">
        <v>224</v>
      </c>
      <c r="B204" t="b">
        <v>1</v>
      </c>
      <c r="C2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 s="9">
        <v>0</v>
      </c>
      <c r="H204" t="s">
        <v>707</v>
      </c>
    </row>
    <row r="205" spans="1:8">
      <c r="A205" s="2" t="s">
        <v>225</v>
      </c>
      <c r="B205" t="b">
        <v>1</v>
      </c>
      <c r="C2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 s="9">
        <v>0</v>
      </c>
      <c r="H205" t="s">
        <v>707</v>
      </c>
    </row>
    <row r="206" spans="1:8">
      <c r="A206" s="2" t="s">
        <v>226</v>
      </c>
      <c r="B206" t="b">
        <v>1</v>
      </c>
      <c r="C2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 s="9">
        <v>0</v>
      </c>
      <c r="H206" t="s">
        <v>707</v>
      </c>
    </row>
    <row r="207" spans="1:8">
      <c r="A207" s="2" t="s">
        <v>227</v>
      </c>
      <c r="B207" t="b">
        <v>1</v>
      </c>
      <c r="C2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 s="9">
        <v>0</v>
      </c>
      <c r="H207" t="s">
        <v>707</v>
      </c>
    </row>
    <row r="208" spans="1:8">
      <c r="A208" s="2" t="s">
        <v>228</v>
      </c>
      <c r="B208" t="b">
        <v>1</v>
      </c>
      <c r="C2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 s="9">
        <v>0</v>
      </c>
      <c r="H208" t="s">
        <v>707</v>
      </c>
    </row>
    <row r="209" spans="1:8">
      <c r="A209" s="2" t="s">
        <v>229</v>
      </c>
      <c r="B209" t="b">
        <v>1</v>
      </c>
      <c r="C2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 s="9">
        <v>0</v>
      </c>
      <c r="H209" t="s">
        <v>707</v>
      </c>
    </row>
    <row r="210" spans="1:8">
      <c r="A210" s="2" t="s">
        <v>230</v>
      </c>
      <c r="B210" t="b">
        <v>1</v>
      </c>
      <c r="C2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 s="9">
        <v>0</v>
      </c>
      <c r="H210" t="s">
        <v>707</v>
      </c>
    </row>
    <row r="211" spans="1:8">
      <c r="A211" s="2" t="s">
        <v>231</v>
      </c>
      <c r="B211" t="b">
        <v>1</v>
      </c>
      <c r="C2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 s="9">
        <v>0</v>
      </c>
      <c r="H211" t="s">
        <v>707</v>
      </c>
    </row>
    <row r="212" spans="1:8">
      <c r="A212" s="2" t="s">
        <v>232</v>
      </c>
      <c r="B212" t="b">
        <v>1</v>
      </c>
      <c r="C2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 s="9">
        <v>0</v>
      </c>
      <c r="H212" t="s">
        <v>707</v>
      </c>
    </row>
    <row r="213" spans="1:8">
      <c r="A213" s="2" t="s">
        <v>233</v>
      </c>
      <c r="B213" t="b">
        <v>1</v>
      </c>
      <c r="C2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 s="9">
        <v>0</v>
      </c>
      <c r="H213" t="s">
        <v>707</v>
      </c>
    </row>
    <row r="214" spans="1:8">
      <c r="A214" s="2" t="s">
        <v>234</v>
      </c>
      <c r="B214" t="b">
        <v>1</v>
      </c>
      <c r="C2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 s="9">
        <v>0</v>
      </c>
      <c r="H214" t="s">
        <v>707</v>
      </c>
    </row>
    <row r="215" spans="1:8">
      <c r="A215" s="2" t="s">
        <v>892</v>
      </c>
      <c r="B215" t="b">
        <v>1</v>
      </c>
      <c r="C2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 s="9">
        <v>-3</v>
      </c>
      <c r="H215" t="s">
        <v>707</v>
      </c>
    </row>
    <row r="216" spans="1:8">
      <c r="A216" s="2" t="s">
        <v>235</v>
      </c>
      <c r="B216" t="b">
        <v>1</v>
      </c>
      <c r="C2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 s="9">
        <v>0</v>
      </c>
      <c r="H216" t="s">
        <v>707</v>
      </c>
    </row>
    <row r="217" spans="1:8">
      <c r="A217" s="2" t="s">
        <v>236</v>
      </c>
      <c r="B217" t="b">
        <v>1</v>
      </c>
      <c r="C2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 s="9">
        <v>0</v>
      </c>
      <c r="H217" t="s">
        <v>707</v>
      </c>
    </row>
    <row r="218" spans="1:8">
      <c r="A218" s="2" t="s">
        <v>237</v>
      </c>
      <c r="B218" t="b">
        <v>1</v>
      </c>
      <c r="C2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 s="9">
        <v>0</v>
      </c>
      <c r="H218" t="s">
        <v>707</v>
      </c>
    </row>
    <row r="219" spans="1:8">
      <c r="A219" s="2" t="s">
        <v>238</v>
      </c>
      <c r="B219" t="b">
        <v>1</v>
      </c>
      <c r="C2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 s="9">
        <v>0</v>
      </c>
      <c r="H219" t="s">
        <v>707</v>
      </c>
    </row>
    <row r="220" spans="1:8">
      <c r="A220" s="2" t="s">
        <v>239</v>
      </c>
      <c r="B220" t="b">
        <v>1</v>
      </c>
      <c r="C2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 s="9">
        <v>0</v>
      </c>
      <c r="H220" t="s">
        <v>707</v>
      </c>
    </row>
    <row r="221" spans="1:8">
      <c r="A221" s="2" t="s">
        <v>240</v>
      </c>
      <c r="B221" t="b">
        <v>1</v>
      </c>
      <c r="C2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 s="9">
        <v>0</v>
      </c>
      <c r="H221" t="s">
        <v>707</v>
      </c>
    </row>
    <row r="222" spans="1:8">
      <c r="A222" s="2" t="s">
        <v>241</v>
      </c>
      <c r="B222" t="b">
        <v>1</v>
      </c>
      <c r="C2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 s="9">
        <v>0</v>
      </c>
      <c r="H222" t="s">
        <v>707</v>
      </c>
    </row>
    <row r="223" spans="1:8">
      <c r="A223" s="2" t="s">
        <v>242</v>
      </c>
      <c r="B223" t="b">
        <v>1</v>
      </c>
      <c r="C2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 s="9">
        <v>0</v>
      </c>
      <c r="H223" t="s">
        <v>707</v>
      </c>
    </row>
    <row r="224" spans="1:8">
      <c r="A224" s="2" t="s">
        <v>243</v>
      </c>
      <c r="B224" t="b">
        <v>1</v>
      </c>
      <c r="C2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 s="9">
        <v>0</v>
      </c>
      <c r="H224" t="s">
        <v>707</v>
      </c>
    </row>
    <row r="225" spans="1:8">
      <c r="A225" s="2" t="s">
        <v>244</v>
      </c>
      <c r="B225" t="b">
        <v>1</v>
      </c>
      <c r="C2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 s="9">
        <v>0</v>
      </c>
      <c r="H225" t="s">
        <v>707</v>
      </c>
    </row>
    <row r="226" spans="1:8">
      <c r="A226" s="2" t="s">
        <v>245</v>
      </c>
      <c r="B226" t="b">
        <v>1</v>
      </c>
      <c r="C2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 s="9">
        <v>0</v>
      </c>
      <c r="H226" t="s">
        <v>707</v>
      </c>
    </row>
    <row r="227" spans="1:8">
      <c r="A227" s="2" t="s">
        <v>246</v>
      </c>
      <c r="B227" t="b">
        <v>1</v>
      </c>
      <c r="C2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 s="9">
        <v>0</v>
      </c>
      <c r="H227" t="s">
        <v>707</v>
      </c>
    </row>
    <row r="228" spans="1:8">
      <c r="A228" s="2" t="s">
        <v>247</v>
      </c>
      <c r="B228" t="b">
        <v>1</v>
      </c>
      <c r="C2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 s="9">
        <v>0</v>
      </c>
      <c r="H228" t="s">
        <v>707</v>
      </c>
    </row>
    <row r="229" spans="1:8">
      <c r="A229" s="2" t="s">
        <v>248</v>
      </c>
      <c r="B229" t="b">
        <v>1</v>
      </c>
      <c r="C2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 s="9">
        <v>0</v>
      </c>
      <c r="H229" t="s">
        <v>707</v>
      </c>
    </row>
    <row r="230" spans="1:8">
      <c r="A230" s="2" t="s">
        <v>249</v>
      </c>
      <c r="B230" t="b">
        <v>1</v>
      </c>
      <c r="C2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 s="9">
        <v>0</v>
      </c>
      <c r="H230" t="s">
        <v>707</v>
      </c>
    </row>
    <row r="231" spans="1:8">
      <c r="A231" s="2" t="s">
        <v>250</v>
      </c>
      <c r="B231" t="b">
        <v>1</v>
      </c>
      <c r="C2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 s="9">
        <v>0</v>
      </c>
      <c r="H231" t="s">
        <v>707</v>
      </c>
    </row>
    <row r="232" spans="1:8">
      <c r="A232" s="2" t="s">
        <v>251</v>
      </c>
      <c r="B232" t="b">
        <v>1</v>
      </c>
      <c r="C2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 s="9">
        <v>0</v>
      </c>
      <c r="H232" t="s">
        <v>707</v>
      </c>
    </row>
    <row r="233" spans="1:8">
      <c r="A233" s="2" t="s">
        <v>252</v>
      </c>
      <c r="B233" t="b">
        <v>1</v>
      </c>
      <c r="C2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 s="9">
        <v>0</v>
      </c>
      <c r="H233" t="s">
        <v>707</v>
      </c>
    </row>
    <row r="234" spans="1:8">
      <c r="A234" s="2" t="s">
        <v>253</v>
      </c>
      <c r="B234" t="b">
        <v>1</v>
      </c>
      <c r="C2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 s="9">
        <v>0</v>
      </c>
      <c r="H234" t="s">
        <v>707</v>
      </c>
    </row>
    <row r="235" spans="1:8">
      <c r="A235" s="2" t="s">
        <v>254</v>
      </c>
      <c r="B235" t="b">
        <v>1</v>
      </c>
      <c r="C2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 s="9">
        <v>0</v>
      </c>
      <c r="H235" t="s">
        <v>707</v>
      </c>
    </row>
    <row r="236" spans="1:8">
      <c r="A236" s="2" t="s">
        <v>255</v>
      </c>
      <c r="B236" t="b">
        <v>1</v>
      </c>
      <c r="C2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 s="9">
        <v>0</v>
      </c>
      <c r="H236" t="s">
        <v>707</v>
      </c>
    </row>
    <row r="237" spans="1:8">
      <c r="A237" s="2" t="s">
        <v>3065</v>
      </c>
      <c r="B237" t="b">
        <v>1</v>
      </c>
      <c r="C2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 s="9">
        <v>0</v>
      </c>
      <c r="H237" t="s">
        <v>707</v>
      </c>
    </row>
    <row r="238" spans="1:8">
      <c r="A238" s="2" t="s">
        <v>256</v>
      </c>
      <c r="B238" t="b">
        <v>1</v>
      </c>
      <c r="C2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 s="9">
        <v>0</v>
      </c>
      <c r="H238" t="s">
        <v>707</v>
      </c>
    </row>
    <row r="239" spans="1:8">
      <c r="A239" s="2" t="s">
        <v>257</v>
      </c>
      <c r="B239" t="b">
        <v>1</v>
      </c>
      <c r="C2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 s="9">
        <v>0</v>
      </c>
      <c r="H239" t="s">
        <v>707</v>
      </c>
    </row>
    <row r="240" spans="1:8">
      <c r="A240" s="2" t="s">
        <v>258</v>
      </c>
      <c r="B240" t="b">
        <v>1</v>
      </c>
      <c r="C2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 s="9">
        <v>0</v>
      </c>
      <c r="H240" t="s">
        <v>707</v>
      </c>
    </row>
    <row r="241" spans="1:8">
      <c r="A241" s="2" t="s">
        <v>259</v>
      </c>
      <c r="B241" t="b">
        <v>1</v>
      </c>
      <c r="C2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 s="9">
        <v>0</v>
      </c>
      <c r="H241" t="s">
        <v>707</v>
      </c>
    </row>
    <row r="242" spans="1:8">
      <c r="A242" s="2" t="s">
        <v>260</v>
      </c>
      <c r="B242" t="b">
        <v>1</v>
      </c>
      <c r="C2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 s="9">
        <v>0</v>
      </c>
      <c r="H242" t="s">
        <v>707</v>
      </c>
    </row>
    <row r="243" spans="1:8">
      <c r="A243" s="2" t="s">
        <v>261</v>
      </c>
      <c r="B243" t="b">
        <v>1</v>
      </c>
      <c r="C2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 s="9">
        <v>0</v>
      </c>
      <c r="H243" t="s">
        <v>707</v>
      </c>
    </row>
    <row r="244" spans="1:8">
      <c r="A244" s="2" t="s">
        <v>262</v>
      </c>
      <c r="B244" t="b">
        <v>1</v>
      </c>
      <c r="C2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 s="9">
        <v>0</v>
      </c>
      <c r="H244" t="s">
        <v>707</v>
      </c>
    </row>
    <row r="245" spans="1:8">
      <c r="A245" s="2" t="s">
        <v>263</v>
      </c>
      <c r="B245" t="b">
        <v>1</v>
      </c>
      <c r="C2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 s="9">
        <v>0</v>
      </c>
      <c r="H245" t="s">
        <v>707</v>
      </c>
    </row>
    <row r="246" spans="1:8">
      <c r="A246" s="2" t="s">
        <v>264</v>
      </c>
      <c r="B246" t="b">
        <v>1</v>
      </c>
      <c r="C2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 s="9">
        <v>0</v>
      </c>
      <c r="H246" t="s">
        <v>707</v>
      </c>
    </row>
    <row r="247" spans="1:8">
      <c r="A247" s="2" t="s">
        <v>265</v>
      </c>
      <c r="B247" t="b">
        <v>1</v>
      </c>
      <c r="C2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 s="9">
        <v>0</v>
      </c>
      <c r="H247" t="s">
        <v>707</v>
      </c>
    </row>
    <row r="248" spans="1:8">
      <c r="A248" s="2" t="s">
        <v>266</v>
      </c>
      <c r="B248" t="b">
        <v>1</v>
      </c>
      <c r="C2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 s="9">
        <v>0</v>
      </c>
      <c r="H248" t="s">
        <v>707</v>
      </c>
    </row>
    <row r="249" spans="1:8">
      <c r="A249" s="2" t="s">
        <v>267</v>
      </c>
      <c r="B249" t="b">
        <v>1</v>
      </c>
      <c r="C2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 s="9">
        <v>0</v>
      </c>
      <c r="H249" t="s">
        <v>707</v>
      </c>
    </row>
    <row r="250" spans="1:8">
      <c r="A250" s="2" t="s">
        <v>268</v>
      </c>
      <c r="B250" t="b">
        <v>1</v>
      </c>
      <c r="C2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 s="9">
        <v>0</v>
      </c>
      <c r="H250" t="s">
        <v>707</v>
      </c>
    </row>
    <row r="251" spans="1:8">
      <c r="A251" s="2" t="s">
        <v>269</v>
      </c>
      <c r="B251" t="b">
        <v>1</v>
      </c>
      <c r="C2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 s="9">
        <v>0</v>
      </c>
      <c r="H251" t="s">
        <v>707</v>
      </c>
    </row>
    <row r="252" spans="1:8">
      <c r="A252" s="2" t="s">
        <v>270</v>
      </c>
      <c r="B252" t="b">
        <v>1</v>
      </c>
      <c r="C2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 s="9">
        <v>0</v>
      </c>
      <c r="H252" t="s">
        <v>707</v>
      </c>
    </row>
    <row r="253" spans="1:8">
      <c r="A253" s="2" t="s">
        <v>271</v>
      </c>
      <c r="B253" t="b">
        <v>1</v>
      </c>
      <c r="C2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 s="9">
        <v>0</v>
      </c>
      <c r="H253" t="s">
        <v>707</v>
      </c>
    </row>
    <row r="254" spans="1:8">
      <c r="A254" s="2" t="s">
        <v>272</v>
      </c>
      <c r="B254" t="b">
        <v>1</v>
      </c>
      <c r="C2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 s="9">
        <v>0</v>
      </c>
      <c r="H254" t="s">
        <v>707</v>
      </c>
    </row>
    <row r="255" spans="1:8">
      <c r="A255" s="2" t="s">
        <v>273</v>
      </c>
      <c r="B255" t="b">
        <v>1</v>
      </c>
      <c r="C2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 s="9">
        <v>0</v>
      </c>
      <c r="H255" t="s">
        <v>707</v>
      </c>
    </row>
    <row r="256" spans="1:8">
      <c r="A256" s="2" t="s">
        <v>274</v>
      </c>
      <c r="B256" t="b">
        <v>1</v>
      </c>
      <c r="C2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 s="9">
        <v>0</v>
      </c>
      <c r="H256" t="s">
        <v>707</v>
      </c>
    </row>
    <row r="257" spans="1:8">
      <c r="A257" s="2" t="s">
        <v>275</v>
      </c>
      <c r="B257" t="b">
        <v>1</v>
      </c>
      <c r="C2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 s="9">
        <v>0</v>
      </c>
      <c r="H257" t="s">
        <v>707</v>
      </c>
    </row>
    <row r="258" spans="1:8">
      <c r="A258" s="2" t="s">
        <v>276</v>
      </c>
      <c r="B258" t="b">
        <v>1</v>
      </c>
      <c r="C2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 s="9">
        <v>0</v>
      </c>
      <c r="H258" t="s">
        <v>707</v>
      </c>
    </row>
    <row r="259" spans="1:8">
      <c r="A259" s="2" t="s">
        <v>277</v>
      </c>
      <c r="B259" t="b">
        <v>1</v>
      </c>
      <c r="C2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 s="9">
        <v>0</v>
      </c>
      <c r="H259" t="s">
        <v>707</v>
      </c>
    </row>
    <row r="260" spans="1:8">
      <c r="A260" s="2" t="s">
        <v>278</v>
      </c>
      <c r="B260" t="b">
        <v>1</v>
      </c>
      <c r="C2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 s="9">
        <v>0</v>
      </c>
      <c r="H260" t="s">
        <v>707</v>
      </c>
    </row>
    <row r="261" spans="1:8">
      <c r="A261" s="2" t="s">
        <v>279</v>
      </c>
      <c r="B261" t="b">
        <v>1</v>
      </c>
      <c r="C2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 s="9">
        <v>0</v>
      </c>
      <c r="H261" t="s">
        <v>707</v>
      </c>
    </row>
    <row r="262" spans="1:8">
      <c r="A262" s="2" t="s">
        <v>280</v>
      </c>
      <c r="B262" t="b">
        <v>1</v>
      </c>
      <c r="C2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 s="9">
        <v>0</v>
      </c>
      <c r="H262" t="s">
        <v>707</v>
      </c>
    </row>
    <row r="263" spans="1:8">
      <c r="A263" s="2" t="s">
        <v>281</v>
      </c>
      <c r="B263" t="b">
        <v>1</v>
      </c>
      <c r="C2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 s="9">
        <v>0</v>
      </c>
      <c r="H263" t="s">
        <v>707</v>
      </c>
    </row>
    <row r="264" spans="1:8">
      <c r="A264" s="2" t="s">
        <v>282</v>
      </c>
      <c r="B264" t="b">
        <v>1</v>
      </c>
      <c r="C2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 s="9">
        <v>0</v>
      </c>
      <c r="H264" t="s">
        <v>707</v>
      </c>
    </row>
    <row r="265" spans="1:8">
      <c r="A265" s="2" t="s">
        <v>283</v>
      </c>
      <c r="B265" t="b">
        <v>1</v>
      </c>
      <c r="C2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 s="9">
        <v>0</v>
      </c>
      <c r="H265" t="s">
        <v>707</v>
      </c>
    </row>
    <row r="266" spans="1:8">
      <c r="A266" s="2" t="s">
        <v>284</v>
      </c>
      <c r="B266" t="b">
        <v>1</v>
      </c>
      <c r="C2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 s="9">
        <v>0</v>
      </c>
      <c r="H266" t="s">
        <v>707</v>
      </c>
    </row>
    <row r="267" spans="1:8">
      <c r="A267" s="2" t="s">
        <v>285</v>
      </c>
      <c r="B267" t="b">
        <v>1</v>
      </c>
      <c r="C2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 s="9">
        <v>0</v>
      </c>
      <c r="H267" t="s">
        <v>707</v>
      </c>
    </row>
    <row r="268" spans="1:8">
      <c r="A268" s="2" t="s">
        <v>286</v>
      </c>
      <c r="B268" t="b">
        <v>1</v>
      </c>
      <c r="C2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 s="9">
        <v>0</v>
      </c>
      <c r="H268" t="s">
        <v>707</v>
      </c>
    </row>
    <row r="269" spans="1:8">
      <c r="A269" s="2" t="s">
        <v>287</v>
      </c>
      <c r="B269" t="b">
        <v>1</v>
      </c>
      <c r="C2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 s="9">
        <v>0</v>
      </c>
      <c r="H269" t="s">
        <v>707</v>
      </c>
    </row>
    <row r="270" spans="1:8">
      <c r="A270" s="2" t="s">
        <v>288</v>
      </c>
      <c r="B270" t="b">
        <v>1</v>
      </c>
      <c r="C2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 s="9">
        <v>0</v>
      </c>
      <c r="H270" t="s">
        <v>707</v>
      </c>
    </row>
    <row r="271" spans="1:8">
      <c r="A271" s="2" t="s">
        <v>289</v>
      </c>
      <c r="B271" t="b">
        <v>1</v>
      </c>
      <c r="C2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 s="9">
        <v>0</v>
      </c>
      <c r="H271" t="s">
        <v>707</v>
      </c>
    </row>
    <row r="272" spans="1:8">
      <c r="A272" s="2" t="s">
        <v>290</v>
      </c>
      <c r="B272" t="b">
        <v>1</v>
      </c>
      <c r="C2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 s="9">
        <v>0</v>
      </c>
      <c r="H272" t="s">
        <v>707</v>
      </c>
    </row>
    <row r="273" spans="1:8">
      <c r="A273" s="2" t="s">
        <v>291</v>
      </c>
      <c r="B273" t="b">
        <v>1</v>
      </c>
      <c r="C2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 s="9">
        <v>0</v>
      </c>
      <c r="H273" t="s">
        <v>707</v>
      </c>
    </row>
    <row r="274" spans="1:8">
      <c r="A274" s="2" t="s">
        <v>292</v>
      </c>
      <c r="B274" t="b">
        <v>1</v>
      </c>
      <c r="C2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 s="9">
        <v>0</v>
      </c>
      <c r="H274" t="s">
        <v>707</v>
      </c>
    </row>
    <row r="275" spans="1:8">
      <c r="A275" s="2" t="s">
        <v>293</v>
      </c>
      <c r="B275" t="b">
        <v>1</v>
      </c>
      <c r="C2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 s="9">
        <v>0</v>
      </c>
      <c r="H275" t="s">
        <v>707</v>
      </c>
    </row>
    <row r="276" spans="1:8">
      <c r="A276" s="2" t="s">
        <v>294</v>
      </c>
      <c r="B276" t="b">
        <v>1</v>
      </c>
      <c r="C2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 s="9">
        <v>0</v>
      </c>
      <c r="H276" t="s">
        <v>707</v>
      </c>
    </row>
    <row r="277" spans="1:8">
      <c r="A277" s="2" t="s">
        <v>295</v>
      </c>
      <c r="B277" t="b">
        <v>1</v>
      </c>
      <c r="C2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 s="9">
        <v>0</v>
      </c>
      <c r="H277" t="s">
        <v>707</v>
      </c>
    </row>
    <row r="278" spans="1:8">
      <c r="A278" s="2" t="s">
        <v>296</v>
      </c>
      <c r="B278" t="b">
        <v>1</v>
      </c>
      <c r="C2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 s="9">
        <v>0</v>
      </c>
      <c r="H278" t="s">
        <v>707</v>
      </c>
    </row>
    <row r="279" spans="1:8">
      <c r="A279" s="2" t="s">
        <v>297</v>
      </c>
      <c r="B279" t="b">
        <v>1</v>
      </c>
      <c r="C2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 s="9">
        <v>0</v>
      </c>
      <c r="H279" t="s">
        <v>707</v>
      </c>
    </row>
    <row r="280" spans="1:8">
      <c r="A280" s="2" t="s">
        <v>298</v>
      </c>
      <c r="B280" t="b">
        <v>1</v>
      </c>
      <c r="C2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 s="9">
        <v>0</v>
      </c>
      <c r="H280" t="s">
        <v>707</v>
      </c>
    </row>
    <row r="281" spans="1:8">
      <c r="A281" s="2" t="s">
        <v>299</v>
      </c>
      <c r="B281" t="b">
        <v>1</v>
      </c>
      <c r="C2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 s="9">
        <v>0</v>
      </c>
      <c r="H281" t="s">
        <v>707</v>
      </c>
    </row>
    <row r="282" spans="1:8">
      <c r="A282" s="2" t="s">
        <v>300</v>
      </c>
      <c r="B282" t="b">
        <v>1</v>
      </c>
      <c r="C2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 s="9">
        <v>0</v>
      </c>
      <c r="H282" t="s">
        <v>707</v>
      </c>
    </row>
    <row r="283" spans="1:8">
      <c r="A283" s="2" t="s">
        <v>301</v>
      </c>
      <c r="B283" t="b">
        <v>1</v>
      </c>
      <c r="C2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 s="9">
        <v>0</v>
      </c>
      <c r="H283" t="s">
        <v>707</v>
      </c>
    </row>
    <row r="284" spans="1:8">
      <c r="A284" s="2" t="s">
        <v>302</v>
      </c>
      <c r="B284" t="b">
        <v>1</v>
      </c>
      <c r="C2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 s="9">
        <v>0</v>
      </c>
      <c r="H284" t="s">
        <v>707</v>
      </c>
    </row>
    <row r="285" spans="1:8">
      <c r="A285" s="2" t="s">
        <v>303</v>
      </c>
      <c r="B285" t="b">
        <v>1</v>
      </c>
      <c r="C2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 s="9">
        <v>0</v>
      </c>
      <c r="H285" t="s">
        <v>707</v>
      </c>
    </row>
    <row r="286" spans="1:8">
      <c r="A286" s="2" t="s">
        <v>304</v>
      </c>
      <c r="B286" t="b">
        <v>1</v>
      </c>
      <c r="C2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 s="9">
        <v>0</v>
      </c>
      <c r="H286" t="s">
        <v>707</v>
      </c>
    </row>
    <row r="287" spans="1:8">
      <c r="A287" s="2" t="s">
        <v>305</v>
      </c>
      <c r="B287" t="b">
        <v>1</v>
      </c>
      <c r="C2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 s="9">
        <v>0</v>
      </c>
      <c r="H287" t="s">
        <v>707</v>
      </c>
    </row>
    <row r="288" spans="1:8">
      <c r="A288" s="2" t="s">
        <v>306</v>
      </c>
      <c r="B288" t="b">
        <v>1</v>
      </c>
      <c r="C2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 s="9">
        <v>0</v>
      </c>
      <c r="H288" t="s">
        <v>707</v>
      </c>
    </row>
    <row r="289" spans="1:8">
      <c r="A289" s="2" t="s">
        <v>307</v>
      </c>
      <c r="B289" t="b">
        <v>1</v>
      </c>
      <c r="C2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 s="9">
        <v>0</v>
      </c>
      <c r="H289" t="s">
        <v>707</v>
      </c>
    </row>
    <row r="290" spans="1:8">
      <c r="A290" s="2" t="s">
        <v>308</v>
      </c>
      <c r="B290" t="b">
        <v>1</v>
      </c>
      <c r="C2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 s="9">
        <v>0</v>
      </c>
      <c r="H290" t="s">
        <v>707</v>
      </c>
    </row>
    <row r="291" spans="1:8">
      <c r="A291" s="2" t="s">
        <v>309</v>
      </c>
      <c r="B291" t="b">
        <v>1</v>
      </c>
      <c r="C2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 s="9">
        <v>0</v>
      </c>
      <c r="H291" t="s">
        <v>707</v>
      </c>
    </row>
    <row r="292" spans="1:8">
      <c r="A292" s="2" t="s">
        <v>310</v>
      </c>
      <c r="B292" t="b">
        <v>1</v>
      </c>
      <c r="C2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 s="9">
        <v>0</v>
      </c>
      <c r="H292" t="s">
        <v>707</v>
      </c>
    </row>
    <row r="293" spans="1:8">
      <c r="A293" s="2" t="s">
        <v>311</v>
      </c>
      <c r="B293" t="b">
        <v>1</v>
      </c>
      <c r="C2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 s="9">
        <v>0</v>
      </c>
      <c r="H293" t="s">
        <v>707</v>
      </c>
    </row>
    <row r="294" spans="1:8">
      <c r="A294" s="2" t="s">
        <v>312</v>
      </c>
      <c r="B294" t="b">
        <v>1</v>
      </c>
      <c r="C2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 s="9">
        <v>0</v>
      </c>
      <c r="H294" t="s">
        <v>707</v>
      </c>
    </row>
    <row r="295" spans="1:8">
      <c r="A295" s="2" t="s">
        <v>313</v>
      </c>
      <c r="B295" t="b">
        <v>1</v>
      </c>
      <c r="C2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 s="9">
        <v>0</v>
      </c>
      <c r="H295" t="s">
        <v>707</v>
      </c>
    </row>
    <row r="296" spans="1:8">
      <c r="A296" s="2" t="s">
        <v>314</v>
      </c>
      <c r="B296" t="b">
        <v>1</v>
      </c>
      <c r="C2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 s="9">
        <v>0</v>
      </c>
      <c r="H296" t="s">
        <v>707</v>
      </c>
    </row>
    <row r="297" spans="1:8">
      <c r="A297" s="2" t="s">
        <v>315</v>
      </c>
      <c r="B297" t="b">
        <v>1</v>
      </c>
      <c r="C2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 s="9">
        <v>0</v>
      </c>
      <c r="H297" t="s">
        <v>707</v>
      </c>
    </row>
    <row r="298" spans="1:8">
      <c r="A298" s="2" t="s">
        <v>316</v>
      </c>
      <c r="B298" t="b">
        <v>1</v>
      </c>
      <c r="C2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 s="9">
        <v>0</v>
      </c>
      <c r="H298" t="s">
        <v>707</v>
      </c>
    </row>
    <row r="299" spans="1:8">
      <c r="A299" s="2" t="s">
        <v>317</v>
      </c>
      <c r="B299" t="b">
        <v>1</v>
      </c>
      <c r="C2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 s="9">
        <v>0</v>
      </c>
      <c r="H299" t="s">
        <v>707</v>
      </c>
    </row>
    <row r="300" spans="1:8">
      <c r="A300" s="2" t="s">
        <v>318</v>
      </c>
      <c r="B300" t="b">
        <v>1</v>
      </c>
      <c r="C3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 s="9">
        <v>0</v>
      </c>
      <c r="H300" t="s">
        <v>707</v>
      </c>
    </row>
    <row r="301" spans="1:8">
      <c r="A301" s="2" t="s">
        <v>319</v>
      </c>
      <c r="B301" t="b">
        <v>1</v>
      </c>
      <c r="C3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 s="9">
        <v>0</v>
      </c>
      <c r="H301" t="s">
        <v>707</v>
      </c>
    </row>
    <row r="302" spans="1:8">
      <c r="A302" s="2" t="s">
        <v>322</v>
      </c>
      <c r="B302" t="b">
        <v>1</v>
      </c>
      <c r="C3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 s="9">
        <v>0</v>
      </c>
      <c r="H302" t="s">
        <v>707</v>
      </c>
    </row>
    <row r="303" spans="1:8">
      <c r="A303" s="2" t="s">
        <v>323</v>
      </c>
      <c r="B303" t="b">
        <v>1</v>
      </c>
      <c r="C3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 s="9">
        <v>0</v>
      </c>
      <c r="H303" t="s">
        <v>707</v>
      </c>
    </row>
    <row r="304" spans="1:8">
      <c r="A304" s="2" t="s">
        <v>324</v>
      </c>
      <c r="B304" t="b">
        <v>1</v>
      </c>
      <c r="C3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 s="9">
        <v>0</v>
      </c>
      <c r="H304" t="s">
        <v>707</v>
      </c>
    </row>
    <row r="305" spans="1:8">
      <c r="A305" s="2" t="s">
        <v>325</v>
      </c>
      <c r="B305" t="b">
        <v>1</v>
      </c>
      <c r="C3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 s="9">
        <v>0</v>
      </c>
      <c r="H305" t="s">
        <v>707</v>
      </c>
    </row>
    <row r="306" spans="1:8">
      <c r="A306" s="2" t="s">
        <v>326</v>
      </c>
      <c r="B306" t="b">
        <v>1</v>
      </c>
      <c r="C3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 s="9">
        <v>0</v>
      </c>
      <c r="H306" t="s">
        <v>707</v>
      </c>
    </row>
    <row r="307" spans="1:8">
      <c r="A307" s="2" t="s">
        <v>327</v>
      </c>
      <c r="B307" t="b">
        <v>1</v>
      </c>
      <c r="C3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 s="9">
        <v>0</v>
      </c>
      <c r="H307" t="s">
        <v>707</v>
      </c>
    </row>
    <row r="308" spans="1:8">
      <c r="A308" s="2" t="s">
        <v>328</v>
      </c>
      <c r="B308" t="b">
        <v>1</v>
      </c>
      <c r="C3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 s="9">
        <v>0</v>
      </c>
      <c r="H308" t="s">
        <v>707</v>
      </c>
    </row>
    <row r="309" spans="1:8">
      <c r="A309" s="2" t="s">
        <v>329</v>
      </c>
      <c r="B309" t="b">
        <v>1</v>
      </c>
      <c r="C3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 s="9">
        <v>0</v>
      </c>
      <c r="H309" t="s">
        <v>707</v>
      </c>
    </row>
    <row r="310" spans="1:8">
      <c r="A310" s="2" t="s">
        <v>330</v>
      </c>
      <c r="B310" t="b">
        <v>1</v>
      </c>
      <c r="C3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 s="9">
        <v>0</v>
      </c>
      <c r="H310" t="s">
        <v>707</v>
      </c>
    </row>
    <row r="311" spans="1:8">
      <c r="A311" s="2" t="s">
        <v>331</v>
      </c>
      <c r="B311" t="b">
        <v>1</v>
      </c>
      <c r="C3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 s="9">
        <v>0</v>
      </c>
      <c r="H311" t="s">
        <v>707</v>
      </c>
    </row>
    <row r="312" spans="1:8">
      <c r="A312" s="2" t="s">
        <v>332</v>
      </c>
      <c r="B312" t="b">
        <v>1</v>
      </c>
      <c r="C3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 s="9">
        <v>0</v>
      </c>
      <c r="H312" t="s">
        <v>707</v>
      </c>
    </row>
    <row r="313" spans="1:8">
      <c r="A313" s="2" t="s">
        <v>333</v>
      </c>
      <c r="B313" t="b">
        <v>1</v>
      </c>
      <c r="C3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 s="9">
        <v>0</v>
      </c>
      <c r="H313" t="s">
        <v>707</v>
      </c>
    </row>
    <row r="314" spans="1:8">
      <c r="A314" s="2" t="s">
        <v>334</v>
      </c>
      <c r="B314" t="b">
        <v>1</v>
      </c>
      <c r="C3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 s="9">
        <v>0</v>
      </c>
      <c r="H314" t="s">
        <v>707</v>
      </c>
    </row>
    <row r="315" spans="1:8">
      <c r="A315" s="2" t="s">
        <v>335</v>
      </c>
      <c r="B315" t="b">
        <v>1</v>
      </c>
      <c r="C3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 s="9">
        <v>0</v>
      </c>
      <c r="H315" t="s">
        <v>707</v>
      </c>
    </row>
    <row r="316" spans="1:8">
      <c r="A316" s="2" t="s">
        <v>336</v>
      </c>
      <c r="B316" t="b">
        <v>1</v>
      </c>
      <c r="C3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 s="9">
        <v>0</v>
      </c>
      <c r="H316" t="s">
        <v>707</v>
      </c>
    </row>
    <row r="317" spans="1:8">
      <c r="A317" s="2" t="s">
        <v>337</v>
      </c>
      <c r="B317" t="b">
        <v>1</v>
      </c>
      <c r="C3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 s="9">
        <v>0</v>
      </c>
      <c r="H317" t="s">
        <v>707</v>
      </c>
    </row>
    <row r="318" spans="1:8">
      <c r="A318" s="2" t="s">
        <v>338</v>
      </c>
      <c r="B318" t="b">
        <v>1</v>
      </c>
      <c r="C3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 s="9">
        <v>0</v>
      </c>
      <c r="H318" t="s">
        <v>707</v>
      </c>
    </row>
    <row r="319" spans="1:8">
      <c r="A319" s="2" t="s">
        <v>339</v>
      </c>
      <c r="B319" t="b">
        <v>1</v>
      </c>
      <c r="C3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 s="9">
        <v>0</v>
      </c>
      <c r="H319" t="s">
        <v>707</v>
      </c>
    </row>
    <row r="320" spans="1:8">
      <c r="A320" s="2" t="s">
        <v>340</v>
      </c>
      <c r="B320" t="b">
        <v>1</v>
      </c>
      <c r="C3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 s="9">
        <v>0</v>
      </c>
      <c r="H320" t="s">
        <v>707</v>
      </c>
    </row>
    <row r="321" spans="1:8">
      <c r="A321" s="2" t="s">
        <v>341</v>
      </c>
      <c r="B321" t="b">
        <v>1</v>
      </c>
      <c r="C3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 s="9">
        <v>0</v>
      </c>
      <c r="H321" t="s">
        <v>707</v>
      </c>
    </row>
    <row r="322" spans="1:8">
      <c r="A322" s="2" t="s">
        <v>342</v>
      </c>
      <c r="B322" t="b">
        <v>1</v>
      </c>
      <c r="C3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 s="9">
        <v>0</v>
      </c>
      <c r="H322" t="s">
        <v>707</v>
      </c>
    </row>
    <row r="323" spans="1:8">
      <c r="A323" s="2" t="s">
        <v>343</v>
      </c>
      <c r="B323" t="b">
        <v>1</v>
      </c>
      <c r="C3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 s="9">
        <v>0</v>
      </c>
      <c r="H323" t="s">
        <v>707</v>
      </c>
    </row>
    <row r="324" spans="1:8">
      <c r="A324" s="2" t="s">
        <v>344</v>
      </c>
      <c r="B324" t="b">
        <v>1</v>
      </c>
      <c r="C3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 s="9">
        <v>0</v>
      </c>
      <c r="H324" t="s">
        <v>707</v>
      </c>
    </row>
    <row r="325" spans="1:8">
      <c r="A325" s="2" t="s">
        <v>345</v>
      </c>
      <c r="B325" t="b">
        <v>1</v>
      </c>
      <c r="C3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 s="9">
        <v>0</v>
      </c>
      <c r="H325" t="s">
        <v>707</v>
      </c>
    </row>
    <row r="326" spans="1:8">
      <c r="A326" s="2" t="s">
        <v>346</v>
      </c>
      <c r="B326" t="b">
        <v>1</v>
      </c>
      <c r="C3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 s="9">
        <v>0</v>
      </c>
      <c r="H326" t="s">
        <v>707</v>
      </c>
    </row>
    <row r="327" spans="1:8">
      <c r="A327" s="2" t="s">
        <v>347</v>
      </c>
      <c r="B327" t="b">
        <v>1</v>
      </c>
      <c r="C3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 s="9">
        <v>0</v>
      </c>
      <c r="H327" t="s">
        <v>707</v>
      </c>
    </row>
    <row r="328" spans="1:8">
      <c r="A328" s="2" t="s">
        <v>348</v>
      </c>
      <c r="B328" t="b">
        <v>1</v>
      </c>
      <c r="C3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 s="9">
        <v>0</v>
      </c>
      <c r="H328" t="s">
        <v>707</v>
      </c>
    </row>
    <row r="329" spans="1:8">
      <c r="A329" s="2" t="s">
        <v>349</v>
      </c>
      <c r="B329" t="b">
        <v>1</v>
      </c>
      <c r="C3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 s="9">
        <v>0</v>
      </c>
      <c r="H329" t="s">
        <v>707</v>
      </c>
    </row>
    <row r="330" spans="1:8">
      <c r="A330" s="2" t="s">
        <v>350</v>
      </c>
      <c r="B330" t="b">
        <v>1</v>
      </c>
      <c r="C3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 s="9">
        <v>0</v>
      </c>
      <c r="H330" t="s">
        <v>707</v>
      </c>
    </row>
    <row r="331" spans="1:8">
      <c r="A331" s="2" t="s">
        <v>351</v>
      </c>
      <c r="B331" t="b">
        <v>1</v>
      </c>
      <c r="C3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 s="9">
        <v>0</v>
      </c>
      <c r="H331" t="s">
        <v>707</v>
      </c>
    </row>
    <row r="332" spans="1:8">
      <c r="A332" s="2" t="s">
        <v>352</v>
      </c>
      <c r="B332" t="b">
        <v>1</v>
      </c>
      <c r="C3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 s="9">
        <v>0</v>
      </c>
      <c r="H332" t="s">
        <v>707</v>
      </c>
    </row>
    <row r="333" spans="1:8">
      <c r="A333" s="2" t="s">
        <v>353</v>
      </c>
      <c r="B333" t="b">
        <v>1</v>
      </c>
      <c r="C3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 s="9">
        <v>0</v>
      </c>
      <c r="H333" t="s">
        <v>707</v>
      </c>
    </row>
    <row r="334" spans="1:8">
      <c r="A334" s="2" t="s">
        <v>354</v>
      </c>
      <c r="B334" t="b">
        <v>1</v>
      </c>
      <c r="C3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 s="9">
        <v>0</v>
      </c>
      <c r="H334" t="s">
        <v>707</v>
      </c>
    </row>
    <row r="335" spans="1:8">
      <c r="A335" s="2" t="s">
        <v>355</v>
      </c>
      <c r="B335" t="b">
        <v>1</v>
      </c>
      <c r="C3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 s="9">
        <v>0</v>
      </c>
      <c r="H335" t="s">
        <v>707</v>
      </c>
    </row>
    <row r="336" spans="1:8">
      <c r="A336" s="2" t="s">
        <v>356</v>
      </c>
      <c r="B336" t="b">
        <v>1</v>
      </c>
      <c r="C3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 s="9">
        <v>0</v>
      </c>
      <c r="H336" t="s">
        <v>707</v>
      </c>
    </row>
    <row r="337" spans="1:8">
      <c r="A337" s="2" t="s">
        <v>357</v>
      </c>
      <c r="B337" t="b">
        <v>1</v>
      </c>
      <c r="C3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 s="9">
        <v>0</v>
      </c>
      <c r="H337" t="s">
        <v>707</v>
      </c>
    </row>
    <row r="338" spans="1:8">
      <c r="A338" s="2" t="s">
        <v>358</v>
      </c>
      <c r="B338" t="b">
        <v>1</v>
      </c>
      <c r="C3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 s="9">
        <v>0</v>
      </c>
      <c r="H338" t="s">
        <v>707</v>
      </c>
    </row>
    <row r="339" spans="1:8">
      <c r="A339" s="2" t="s">
        <v>359</v>
      </c>
      <c r="B339" t="b">
        <v>1</v>
      </c>
      <c r="C3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 s="9">
        <v>0</v>
      </c>
      <c r="H339" t="s">
        <v>707</v>
      </c>
    </row>
    <row r="340" spans="1:8">
      <c r="A340" s="2" t="s">
        <v>360</v>
      </c>
      <c r="B340" t="b">
        <v>1</v>
      </c>
      <c r="C3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 s="9">
        <v>0</v>
      </c>
      <c r="H340" t="s">
        <v>707</v>
      </c>
    </row>
    <row r="341" spans="1:8">
      <c r="A341" s="2" t="s">
        <v>361</v>
      </c>
      <c r="B341" t="b">
        <v>1</v>
      </c>
      <c r="C3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 s="9">
        <v>0</v>
      </c>
      <c r="H341" t="s">
        <v>707</v>
      </c>
    </row>
    <row r="342" spans="1:8">
      <c r="A342" s="2" t="s">
        <v>362</v>
      </c>
      <c r="B342" t="b">
        <v>1</v>
      </c>
      <c r="C3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 s="9">
        <v>0</v>
      </c>
      <c r="H342" t="s">
        <v>707</v>
      </c>
    </row>
    <row r="343" spans="1:8">
      <c r="A343" s="2" t="s">
        <v>363</v>
      </c>
      <c r="B343" t="b">
        <v>1</v>
      </c>
      <c r="C3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 s="9">
        <v>0</v>
      </c>
      <c r="H343" t="s">
        <v>707</v>
      </c>
    </row>
    <row r="344" spans="1:8">
      <c r="A344" s="2" t="s">
        <v>364</v>
      </c>
      <c r="B344" t="b">
        <v>1</v>
      </c>
      <c r="C3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 s="9">
        <v>0</v>
      </c>
      <c r="H344" t="s">
        <v>707</v>
      </c>
    </row>
    <row r="345" spans="1:8">
      <c r="A345" s="2" t="s">
        <v>365</v>
      </c>
      <c r="B345" t="b">
        <v>1</v>
      </c>
      <c r="C3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 s="9">
        <v>0</v>
      </c>
      <c r="H345" t="s">
        <v>707</v>
      </c>
    </row>
    <row r="346" spans="1:8">
      <c r="A346" s="2" t="s">
        <v>366</v>
      </c>
      <c r="B346" t="b">
        <v>1</v>
      </c>
      <c r="C3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 s="9">
        <v>0</v>
      </c>
      <c r="H346" t="s">
        <v>707</v>
      </c>
    </row>
    <row r="347" spans="1:8">
      <c r="A347" s="2" t="s">
        <v>367</v>
      </c>
      <c r="B347" t="b">
        <v>1</v>
      </c>
      <c r="C3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 s="9">
        <v>0</v>
      </c>
      <c r="H347" t="s">
        <v>707</v>
      </c>
    </row>
    <row r="348" spans="1:8">
      <c r="A348" s="2" t="s">
        <v>368</v>
      </c>
      <c r="B348" t="b">
        <v>1</v>
      </c>
      <c r="C3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 s="9">
        <v>0</v>
      </c>
      <c r="H348" t="s">
        <v>707</v>
      </c>
    </row>
    <row r="349" spans="1:8">
      <c r="A349" s="2" t="s">
        <v>369</v>
      </c>
      <c r="B349" t="b">
        <v>1</v>
      </c>
      <c r="C3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 s="9">
        <v>0</v>
      </c>
      <c r="H349" t="s">
        <v>707</v>
      </c>
    </row>
    <row r="350" spans="1:8">
      <c r="A350" s="2" t="s">
        <v>370</v>
      </c>
      <c r="B350" t="b">
        <v>1</v>
      </c>
      <c r="C3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 s="9">
        <v>0</v>
      </c>
      <c r="H350" t="s">
        <v>707</v>
      </c>
    </row>
    <row r="351" spans="1:8">
      <c r="A351" s="2" t="s">
        <v>371</v>
      </c>
      <c r="B351" t="b">
        <v>1</v>
      </c>
      <c r="C3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 s="9">
        <v>0</v>
      </c>
      <c r="H351" t="s">
        <v>707</v>
      </c>
    </row>
    <row r="352" spans="1:8">
      <c r="A352" s="2" t="s">
        <v>372</v>
      </c>
      <c r="B352" t="b">
        <v>1</v>
      </c>
      <c r="C3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 s="9">
        <v>0</v>
      </c>
      <c r="H352" t="s">
        <v>707</v>
      </c>
    </row>
    <row r="353" spans="1:8">
      <c r="A353" s="2" t="s">
        <v>373</v>
      </c>
      <c r="B353" t="b">
        <v>1</v>
      </c>
      <c r="C3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 s="9">
        <v>-3</v>
      </c>
      <c r="H353" t="s">
        <v>707</v>
      </c>
    </row>
    <row r="354" spans="1:8">
      <c r="A354" s="2" t="s">
        <v>374</v>
      </c>
      <c r="B354" t="b">
        <v>1</v>
      </c>
      <c r="C3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 s="9">
        <v>-3</v>
      </c>
      <c r="H354" t="s">
        <v>707</v>
      </c>
    </row>
    <row r="355" spans="1:8">
      <c r="A355" s="2" t="s">
        <v>375</v>
      </c>
      <c r="B355" t="b">
        <v>1</v>
      </c>
      <c r="C3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 s="9">
        <v>-3</v>
      </c>
      <c r="H355" t="s">
        <v>707</v>
      </c>
    </row>
    <row r="356" spans="1:8">
      <c r="A356" s="2" t="s">
        <v>376</v>
      </c>
      <c r="B356" t="b">
        <v>1</v>
      </c>
      <c r="C3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 s="9">
        <v>-3</v>
      </c>
      <c r="H356" t="s">
        <v>707</v>
      </c>
    </row>
    <row r="357" spans="1:8">
      <c r="A357" s="2" t="s">
        <v>377</v>
      </c>
      <c r="B357" t="b">
        <v>1</v>
      </c>
      <c r="C3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 s="9">
        <v>-3</v>
      </c>
      <c r="H357" t="s">
        <v>707</v>
      </c>
    </row>
    <row r="358" spans="1:8">
      <c r="A358" s="2" t="s">
        <v>378</v>
      </c>
      <c r="B358" t="b">
        <v>1</v>
      </c>
      <c r="C3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 s="9">
        <v>0</v>
      </c>
      <c r="H358" t="s">
        <v>707</v>
      </c>
    </row>
    <row r="359" spans="1:8">
      <c r="A359" s="2" t="s">
        <v>379</v>
      </c>
      <c r="B359" t="b">
        <v>1</v>
      </c>
      <c r="C3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 s="9">
        <v>0</v>
      </c>
      <c r="H359" t="s">
        <v>707</v>
      </c>
    </row>
    <row r="360" spans="1:8">
      <c r="A360" s="2" t="s">
        <v>380</v>
      </c>
      <c r="B360" t="b">
        <v>1</v>
      </c>
      <c r="C3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 s="9">
        <v>0</v>
      </c>
      <c r="H360" t="s">
        <v>707</v>
      </c>
    </row>
    <row r="361" spans="1:8">
      <c r="A361" s="2" t="s">
        <v>381</v>
      </c>
      <c r="B361" t="b">
        <v>1</v>
      </c>
      <c r="C3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 s="9">
        <v>0</v>
      </c>
      <c r="H361" t="s">
        <v>707</v>
      </c>
    </row>
    <row r="362" spans="1:8">
      <c r="A362" s="2" t="s">
        <v>382</v>
      </c>
      <c r="B362" t="b">
        <v>1</v>
      </c>
      <c r="C3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 s="9">
        <v>-3</v>
      </c>
      <c r="H362" t="s">
        <v>707</v>
      </c>
    </row>
    <row r="363" spans="1:8">
      <c r="A363" s="2" t="s">
        <v>383</v>
      </c>
      <c r="B363" t="b">
        <v>1</v>
      </c>
      <c r="C3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 s="9">
        <v>-3</v>
      </c>
      <c r="H363" t="s">
        <v>707</v>
      </c>
    </row>
    <row r="364" spans="1:8">
      <c r="A364" s="2" t="s">
        <v>384</v>
      </c>
      <c r="B364" t="b">
        <v>1</v>
      </c>
      <c r="C3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 s="9">
        <v>0</v>
      </c>
      <c r="H364" t="s">
        <v>707</v>
      </c>
    </row>
    <row r="365" spans="1:8">
      <c r="A365" s="2" t="s">
        <v>385</v>
      </c>
      <c r="B365" t="b">
        <v>1</v>
      </c>
      <c r="C3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 s="9">
        <v>-3</v>
      </c>
      <c r="H365" t="s">
        <v>707</v>
      </c>
    </row>
    <row r="366" spans="1:8">
      <c r="A366" s="2" t="s">
        <v>386</v>
      </c>
      <c r="B366" t="b">
        <v>1</v>
      </c>
      <c r="C3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 s="9">
        <v>0</v>
      </c>
      <c r="H366" t="s">
        <v>707</v>
      </c>
    </row>
    <row r="367" spans="1:8">
      <c r="A367" s="2" t="s">
        <v>387</v>
      </c>
      <c r="B367" t="b">
        <v>1</v>
      </c>
      <c r="C3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 s="9">
        <v>-3</v>
      </c>
      <c r="H367" t="s">
        <v>707</v>
      </c>
    </row>
    <row r="368" spans="1:8">
      <c r="A368" s="2" t="s">
        <v>388</v>
      </c>
      <c r="B368" t="b">
        <v>1</v>
      </c>
      <c r="C3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 s="9">
        <v>0</v>
      </c>
      <c r="H368" t="s">
        <v>707</v>
      </c>
    </row>
    <row r="369" spans="1:8">
      <c r="A369" s="2" t="s">
        <v>389</v>
      </c>
      <c r="B369" t="b">
        <v>1</v>
      </c>
      <c r="C3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 s="9">
        <v>-3</v>
      </c>
      <c r="H369" t="s">
        <v>707</v>
      </c>
    </row>
    <row r="370" spans="1:8">
      <c r="A370" s="2" t="s">
        <v>390</v>
      </c>
      <c r="B370" t="b">
        <v>1</v>
      </c>
      <c r="C3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 s="9">
        <v>-3</v>
      </c>
      <c r="H370" t="s">
        <v>707</v>
      </c>
    </row>
    <row r="371" spans="1:8">
      <c r="A371" s="2" t="s">
        <v>391</v>
      </c>
      <c r="B371" t="b">
        <v>1</v>
      </c>
      <c r="C3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 s="9">
        <v>-3</v>
      </c>
      <c r="H371" t="s">
        <v>707</v>
      </c>
    </row>
    <row r="372" spans="1:8">
      <c r="A372" s="2" t="s">
        <v>392</v>
      </c>
      <c r="B372" t="b">
        <v>1</v>
      </c>
      <c r="C3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 s="9">
        <v>0</v>
      </c>
      <c r="H372" t="s">
        <v>707</v>
      </c>
    </row>
    <row r="373" spans="1:8">
      <c r="A373" s="2" t="s">
        <v>393</v>
      </c>
      <c r="B373" t="b">
        <v>1</v>
      </c>
      <c r="C3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 s="9">
        <v>0</v>
      </c>
      <c r="H373" t="s">
        <v>707</v>
      </c>
    </row>
    <row r="374" spans="1:8">
      <c r="A374" s="2" t="s">
        <v>394</v>
      </c>
      <c r="B374" t="b">
        <v>1</v>
      </c>
      <c r="C3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 s="9">
        <v>0</v>
      </c>
      <c r="H374" t="s">
        <v>707</v>
      </c>
    </row>
    <row r="375" spans="1:8">
      <c r="A375" s="2" t="s">
        <v>395</v>
      </c>
      <c r="B375" t="b">
        <v>1</v>
      </c>
      <c r="C3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 s="9">
        <v>0</v>
      </c>
      <c r="H375" t="s">
        <v>707</v>
      </c>
    </row>
    <row r="376" spans="1:8">
      <c r="A376" s="2" t="s">
        <v>396</v>
      </c>
      <c r="B376" t="b">
        <v>1</v>
      </c>
      <c r="C3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 s="9">
        <v>0</v>
      </c>
      <c r="H376" t="s">
        <v>707</v>
      </c>
    </row>
    <row r="377" spans="1:8">
      <c r="A377" s="2" t="s">
        <v>397</v>
      </c>
      <c r="B377" t="b">
        <v>1</v>
      </c>
      <c r="C3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 s="9">
        <v>0</v>
      </c>
      <c r="H377" t="s">
        <v>707</v>
      </c>
    </row>
    <row r="378" spans="1:8">
      <c r="A378" s="2" t="s">
        <v>398</v>
      </c>
      <c r="B378" t="b">
        <v>1</v>
      </c>
      <c r="C3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 s="9">
        <v>0</v>
      </c>
      <c r="H378" t="s">
        <v>707</v>
      </c>
    </row>
    <row r="379" spans="1:8">
      <c r="A379" s="2" t="s">
        <v>399</v>
      </c>
      <c r="B379" t="b">
        <v>1</v>
      </c>
      <c r="C3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 s="9">
        <v>0</v>
      </c>
      <c r="H379" t="s">
        <v>707</v>
      </c>
    </row>
    <row r="380" spans="1:8">
      <c r="A380" s="2" t="s">
        <v>400</v>
      </c>
      <c r="B380" t="b">
        <v>1</v>
      </c>
      <c r="C3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 s="9">
        <v>0</v>
      </c>
      <c r="H380" t="s">
        <v>707</v>
      </c>
    </row>
    <row r="381" spans="1:8">
      <c r="A381" s="2" t="s">
        <v>401</v>
      </c>
      <c r="B381" t="b">
        <v>1</v>
      </c>
      <c r="C3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 s="9">
        <v>0</v>
      </c>
      <c r="H381" t="s">
        <v>707</v>
      </c>
    </row>
    <row r="382" spans="1:8">
      <c r="A382" s="2" t="s">
        <v>402</v>
      </c>
      <c r="B382" t="b">
        <v>1</v>
      </c>
      <c r="C3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 s="9">
        <v>0</v>
      </c>
      <c r="H382" t="s">
        <v>707</v>
      </c>
    </row>
    <row r="383" spans="1:8">
      <c r="A383" s="2" t="s">
        <v>403</v>
      </c>
      <c r="B383" t="b">
        <v>1</v>
      </c>
      <c r="C3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 s="9">
        <v>0</v>
      </c>
      <c r="H383" t="s">
        <v>707</v>
      </c>
    </row>
    <row r="384" spans="1:8">
      <c r="A384" s="2" t="s">
        <v>404</v>
      </c>
      <c r="B384" t="b">
        <v>1</v>
      </c>
      <c r="C3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 s="9">
        <v>0</v>
      </c>
      <c r="H384" t="s">
        <v>707</v>
      </c>
    </row>
    <row r="385" spans="1:8">
      <c r="A385" s="2" t="s">
        <v>405</v>
      </c>
      <c r="B385" t="b">
        <v>1</v>
      </c>
      <c r="C3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 s="9">
        <v>-3</v>
      </c>
      <c r="H385" t="s">
        <v>707</v>
      </c>
    </row>
    <row r="386" spans="1:8">
      <c r="A386" s="2" t="s">
        <v>406</v>
      </c>
      <c r="B386" t="b">
        <v>1</v>
      </c>
      <c r="C3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 s="9">
        <v>0</v>
      </c>
      <c r="H386" t="s">
        <v>707</v>
      </c>
    </row>
    <row r="387" spans="1:8">
      <c r="A387" s="2" t="s">
        <v>407</v>
      </c>
      <c r="B387" t="b">
        <v>1</v>
      </c>
      <c r="C3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 s="9">
        <v>0</v>
      </c>
      <c r="H387" t="s">
        <v>707</v>
      </c>
    </row>
    <row r="388" spans="1:8">
      <c r="A388" s="2" t="s">
        <v>408</v>
      </c>
      <c r="B388" t="b">
        <v>1</v>
      </c>
      <c r="C3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 s="9">
        <v>0</v>
      </c>
      <c r="H388" t="s">
        <v>707</v>
      </c>
    </row>
    <row r="389" spans="1:8">
      <c r="A389" s="2" t="s">
        <v>409</v>
      </c>
      <c r="B389" t="b">
        <v>1</v>
      </c>
      <c r="C3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 s="9">
        <v>-3</v>
      </c>
      <c r="H389" t="s">
        <v>707</v>
      </c>
    </row>
    <row r="390" spans="1:8">
      <c r="A390" s="2" t="s">
        <v>410</v>
      </c>
      <c r="B390" t="b">
        <v>1</v>
      </c>
      <c r="C3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 s="9">
        <v>0</v>
      </c>
      <c r="H390" t="s">
        <v>707</v>
      </c>
    </row>
    <row r="391" spans="1:8">
      <c r="A391" s="2" t="s">
        <v>411</v>
      </c>
      <c r="B391" t="b">
        <v>1</v>
      </c>
      <c r="C3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 s="9">
        <v>-3</v>
      </c>
      <c r="H391" t="s">
        <v>707</v>
      </c>
    </row>
    <row r="392" spans="1:8">
      <c r="A392" s="2" t="s">
        <v>412</v>
      </c>
      <c r="B392" t="b">
        <v>1</v>
      </c>
      <c r="C3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 s="9">
        <v>-3</v>
      </c>
      <c r="H392" t="s">
        <v>707</v>
      </c>
    </row>
    <row r="393" spans="1:8">
      <c r="A393" s="2" t="s">
        <v>413</v>
      </c>
      <c r="B393" t="b">
        <v>1</v>
      </c>
      <c r="C3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 s="9">
        <v>-3</v>
      </c>
      <c r="H393" t="s">
        <v>707</v>
      </c>
    </row>
    <row r="394" spans="1:8">
      <c r="A394" s="2" t="s">
        <v>414</v>
      </c>
      <c r="B394" t="b">
        <v>1</v>
      </c>
      <c r="C3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 s="9">
        <v>-3</v>
      </c>
      <c r="H394" t="s">
        <v>707</v>
      </c>
    </row>
    <row r="395" spans="1:8">
      <c r="A395" s="2" t="s">
        <v>415</v>
      </c>
      <c r="B395" t="b">
        <v>1</v>
      </c>
      <c r="C3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 s="9">
        <v>0</v>
      </c>
      <c r="H395" t="s">
        <v>707</v>
      </c>
    </row>
    <row r="396" spans="1:8">
      <c r="A396" s="2" t="s">
        <v>416</v>
      </c>
      <c r="B396" t="b">
        <v>1</v>
      </c>
      <c r="C3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 s="9">
        <v>-3</v>
      </c>
      <c r="H396" t="s">
        <v>707</v>
      </c>
    </row>
    <row r="397" spans="1:8">
      <c r="A397" s="2" t="s">
        <v>417</v>
      </c>
      <c r="B397" t="b">
        <v>1</v>
      </c>
      <c r="C3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 s="9">
        <v>-3</v>
      </c>
      <c r="H397" t="s">
        <v>707</v>
      </c>
    </row>
    <row r="398" spans="1:8">
      <c r="A398" s="2" t="s">
        <v>418</v>
      </c>
      <c r="B398" t="b">
        <v>1</v>
      </c>
      <c r="C3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 s="9">
        <v>0</v>
      </c>
      <c r="H398" t="s">
        <v>707</v>
      </c>
    </row>
    <row r="399" spans="1:8">
      <c r="A399" s="2" t="s">
        <v>419</v>
      </c>
      <c r="B399" t="b">
        <v>1</v>
      </c>
      <c r="C3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 s="9">
        <v>-3</v>
      </c>
      <c r="H399" t="s">
        <v>707</v>
      </c>
    </row>
    <row r="400" spans="1:8">
      <c r="A400" s="2" t="s">
        <v>420</v>
      </c>
      <c r="B400" t="b">
        <v>1</v>
      </c>
      <c r="C4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 s="9">
        <v>-3</v>
      </c>
      <c r="H400" t="s">
        <v>707</v>
      </c>
    </row>
    <row r="401" spans="1:8">
      <c r="A401" s="2" t="s">
        <v>421</v>
      </c>
      <c r="B401" t="b">
        <v>1</v>
      </c>
      <c r="C4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 s="9">
        <v>-3</v>
      </c>
      <c r="H401" t="s">
        <v>707</v>
      </c>
    </row>
    <row r="402" spans="1:8">
      <c r="A402" s="2" t="s">
        <v>422</v>
      </c>
      <c r="B402" t="b">
        <v>1</v>
      </c>
      <c r="C4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 s="9">
        <v>-3</v>
      </c>
      <c r="H402" t="s">
        <v>707</v>
      </c>
    </row>
    <row r="403" spans="1:8">
      <c r="A403" s="2" t="s">
        <v>423</v>
      </c>
      <c r="B403" t="b">
        <v>1</v>
      </c>
      <c r="C4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 s="9">
        <v>-3</v>
      </c>
      <c r="H403" t="s">
        <v>707</v>
      </c>
    </row>
    <row r="404" spans="1:8">
      <c r="A404" s="2" t="s">
        <v>424</v>
      </c>
      <c r="B404" t="b">
        <v>1</v>
      </c>
      <c r="C4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 s="9">
        <v>-3</v>
      </c>
      <c r="H404" t="s">
        <v>707</v>
      </c>
    </row>
    <row r="405" spans="1:8">
      <c r="A405" s="2" t="s">
        <v>425</v>
      </c>
      <c r="B405" t="b">
        <v>1</v>
      </c>
      <c r="C4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 s="9">
        <v>0</v>
      </c>
      <c r="H405" t="s">
        <v>707</v>
      </c>
    </row>
    <row r="406" spans="1:8">
      <c r="A406" s="2" t="s">
        <v>426</v>
      </c>
      <c r="B406" t="b">
        <v>1</v>
      </c>
      <c r="C4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 s="9">
        <v>0</v>
      </c>
      <c r="H406" t="s">
        <v>707</v>
      </c>
    </row>
    <row r="407" spans="1:8">
      <c r="A407" s="2" t="s">
        <v>427</v>
      </c>
      <c r="B407" t="b">
        <v>1</v>
      </c>
      <c r="C4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 s="9">
        <v>0</v>
      </c>
      <c r="H407" t="s">
        <v>707</v>
      </c>
    </row>
    <row r="408" spans="1:8">
      <c r="A408" s="2" t="s">
        <v>428</v>
      </c>
      <c r="B408" t="b">
        <v>1</v>
      </c>
      <c r="C4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 s="9">
        <v>0</v>
      </c>
      <c r="H408" t="s">
        <v>707</v>
      </c>
    </row>
    <row r="409" spans="1:8">
      <c r="A409" s="2" t="s">
        <v>429</v>
      </c>
      <c r="B409" t="b">
        <v>1</v>
      </c>
      <c r="C4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 s="9">
        <v>0</v>
      </c>
      <c r="H409" t="s">
        <v>707</v>
      </c>
    </row>
    <row r="410" spans="1:8">
      <c r="A410" s="2" t="s">
        <v>430</v>
      </c>
      <c r="B410" t="b">
        <v>1</v>
      </c>
      <c r="C4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 s="9">
        <v>-3</v>
      </c>
      <c r="H410" t="s">
        <v>707</v>
      </c>
    </row>
    <row r="411" spans="1:8">
      <c r="A411" s="2" t="s">
        <v>431</v>
      </c>
      <c r="B411" t="b">
        <v>1</v>
      </c>
      <c r="C4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 s="9">
        <v>0</v>
      </c>
      <c r="H411" t="s">
        <v>707</v>
      </c>
    </row>
    <row r="412" spans="1:8">
      <c r="A412" s="2" t="s">
        <v>432</v>
      </c>
      <c r="B412" t="b">
        <v>1</v>
      </c>
      <c r="C4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 s="9">
        <v>0</v>
      </c>
      <c r="H412" t="s">
        <v>707</v>
      </c>
    </row>
    <row r="413" spans="1:8">
      <c r="A413" s="2" t="s">
        <v>433</v>
      </c>
      <c r="B413" t="b">
        <v>1</v>
      </c>
      <c r="C4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 s="9">
        <v>0</v>
      </c>
      <c r="H413" t="s">
        <v>707</v>
      </c>
    </row>
    <row r="414" spans="1:8">
      <c r="A414" s="2" t="s">
        <v>434</v>
      </c>
      <c r="B414" t="b">
        <v>1</v>
      </c>
      <c r="C4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 s="9">
        <v>0</v>
      </c>
      <c r="H414" t="s">
        <v>707</v>
      </c>
    </row>
    <row r="415" spans="1:8">
      <c r="A415" s="2" t="s">
        <v>435</v>
      </c>
      <c r="B415" t="b">
        <v>1</v>
      </c>
      <c r="C4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 s="9">
        <v>-3</v>
      </c>
      <c r="H415" t="s">
        <v>707</v>
      </c>
    </row>
    <row r="416" spans="1:8">
      <c r="A416" s="2" t="s">
        <v>436</v>
      </c>
      <c r="B416" t="b">
        <v>1</v>
      </c>
      <c r="C4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 s="9">
        <v>0</v>
      </c>
      <c r="H416" t="s">
        <v>707</v>
      </c>
    </row>
    <row r="417" spans="1:8">
      <c r="A417" s="2" t="s">
        <v>437</v>
      </c>
      <c r="B417" t="b">
        <v>1</v>
      </c>
      <c r="C4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 s="9">
        <v>-3</v>
      </c>
      <c r="H417" t="s">
        <v>707</v>
      </c>
    </row>
    <row r="418" spans="1:8">
      <c r="A418" s="2" t="s">
        <v>438</v>
      </c>
      <c r="B418" t="b">
        <v>1</v>
      </c>
      <c r="C4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 s="9">
        <v>0</v>
      </c>
      <c r="H418" t="s">
        <v>707</v>
      </c>
    </row>
    <row r="419" spans="1:8">
      <c r="A419" s="2" t="s">
        <v>439</v>
      </c>
      <c r="B419" t="b">
        <v>1</v>
      </c>
      <c r="C4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 s="9">
        <v>-3</v>
      </c>
      <c r="H419" t="s">
        <v>707</v>
      </c>
    </row>
    <row r="420" spans="1:8">
      <c r="A420" s="2" t="s">
        <v>440</v>
      </c>
      <c r="B420" t="b">
        <v>1</v>
      </c>
      <c r="C4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 s="9">
        <v>0</v>
      </c>
      <c r="H420" t="s">
        <v>707</v>
      </c>
    </row>
    <row r="421" spans="1:8">
      <c r="A421" s="2" t="s">
        <v>441</v>
      </c>
      <c r="B421" t="b">
        <v>1</v>
      </c>
      <c r="C4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 s="9">
        <v>-3</v>
      </c>
      <c r="H421" t="s">
        <v>707</v>
      </c>
    </row>
    <row r="422" spans="1:8">
      <c r="A422" s="2" t="s">
        <v>442</v>
      </c>
      <c r="B422" t="b">
        <v>1</v>
      </c>
      <c r="C4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 s="9">
        <v>0</v>
      </c>
      <c r="H422" t="s">
        <v>707</v>
      </c>
    </row>
    <row r="423" spans="1:8">
      <c r="A423" s="2" t="s">
        <v>443</v>
      </c>
      <c r="B423" t="b">
        <v>1</v>
      </c>
      <c r="C4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 s="9">
        <v>-3</v>
      </c>
      <c r="H423" t="s">
        <v>707</v>
      </c>
    </row>
    <row r="424" spans="1:8">
      <c r="A424" s="2" t="s">
        <v>444</v>
      </c>
      <c r="B424" t="b">
        <v>1</v>
      </c>
      <c r="C4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 s="9">
        <v>0</v>
      </c>
      <c r="H424" t="s">
        <v>707</v>
      </c>
    </row>
    <row r="425" spans="1:8">
      <c r="A425" s="2" t="s">
        <v>445</v>
      </c>
      <c r="B425" t="b">
        <v>1</v>
      </c>
      <c r="C4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 s="9">
        <v>0</v>
      </c>
      <c r="H425" t="s">
        <v>707</v>
      </c>
    </row>
    <row r="426" spans="1:8">
      <c r="A426" s="2" t="s">
        <v>446</v>
      </c>
      <c r="B426" t="b">
        <v>1</v>
      </c>
      <c r="C4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 s="9">
        <v>-3</v>
      </c>
      <c r="H426" t="s">
        <v>707</v>
      </c>
    </row>
    <row r="427" spans="1:8">
      <c r="A427" s="2" t="s">
        <v>447</v>
      </c>
      <c r="B427" t="b">
        <v>1</v>
      </c>
      <c r="C4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 s="9">
        <v>-3</v>
      </c>
      <c r="H427" t="s">
        <v>707</v>
      </c>
    </row>
    <row r="428" spans="1:8">
      <c r="A428" s="2" t="s">
        <v>448</v>
      </c>
      <c r="B428" t="b">
        <v>1</v>
      </c>
      <c r="C4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 s="9">
        <v>0</v>
      </c>
      <c r="H428" t="s">
        <v>707</v>
      </c>
    </row>
    <row r="429" spans="1:8">
      <c r="A429" s="2" t="s">
        <v>449</v>
      </c>
      <c r="B429" t="b">
        <v>1</v>
      </c>
      <c r="C4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 s="9">
        <v>0</v>
      </c>
      <c r="H429" t="s">
        <v>707</v>
      </c>
    </row>
    <row r="430" spans="1:8">
      <c r="A430" s="2" t="s">
        <v>450</v>
      </c>
      <c r="B430" t="b">
        <v>1</v>
      </c>
      <c r="C4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 s="9">
        <v>0</v>
      </c>
      <c r="H430" t="s">
        <v>707</v>
      </c>
    </row>
    <row r="431" spans="1:8">
      <c r="A431" s="2" t="s">
        <v>451</v>
      </c>
      <c r="B431" t="b">
        <v>1</v>
      </c>
      <c r="C4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 s="9">
        <v>0</v>
      </c>
      <c r="H431" t="s">
        <v>707</v>
      </c>
    </row>
    <row r="432" spans="1:8">
      <c r="A432" s="2" t="s">
        <v>452</v>
      </c>
      <c r="B432" t="b">
        <v>1</v>
      </c>
      <c r="C4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 s="9">
        <v>0</v>
      </c>
      <c r="H432" t="s">
        <v>707</v>
      </c>
    </row>
    <row r="433" spans="1:8">
      <c r="A433" s="2" t="s">
        <v>453</v>
      </c>
      <c r="B433" t="b">
        <v>1</v>
      </c>
      <c r="C4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 s="9">
        <v>0</v>
      </c>
      <c r="H433" t="s">
        <v>707</v>
      </c>
    </row>
    <row r="434" spans="1:8">
      <c r="A434" s="2" t="s">
        <v>454</v>
      </c>
      <c r="B434" t="b">
        <v>1</v>
      </c>
      <c r="C4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 s="9">
        <v>0</v>
      </c>
      <c r="H434" t="s">
        <v>707</v>
      </c>
    </row>
    <row r="435" spans="1:8">
      <c r="A435" s="2" t="s">
        <v>455</v>
      </c>
      <c r="B435" t="b">
        <v>1</v>
      </c>
      <c r="C4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 s="9">
        <v>0</v>
      </c>
      <c r="H435" t="s">
        <v>707</v>
      </c>
    </row>
    <row r="436" spans="1:8">
      <c r="A436" s="2" t="s">
        <v>456</v>
      </c>
      <c r="B436" t="b">
        <v>1</v>
      </c>
      <c r="C4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 s="9">
        <v>0</v>
      </c>
      <c r="H436" t="s">
        <v>707</v>
      </c>
    </row>
    <row r="437" spans="1:8">
      <c r="A437" s="2" t="s">
        <v>457</v>
      </c>
      <c r="B437" t="b">
        <v>1</v>
      </c>
      <c r="C4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 s="9">
        <v>-3</v>
      </c>
      <c r="H437" t="s">
        <v>707</v>
      </c>
    </row>
    <row r="438" spans="1:8">
      <c r="A438" s="2" t="s">
        <v>458</v>
      </c>
      <c r="B438" t="b">
        <v>1</v>
      </c>
      <c r="C4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 s="9">
        <v>-3</v>
      </c>
      <c r="H438" t="s">
        <v>707</v>
      </c>
    </row>
    <row r="439" spans="1:8">
      <c r="A439" s="2" t="s">
        <v>459</v>
      </c>
      <c r="B439" t="b">
        <v>1</v>
      </c>
      <c r="C4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 s="9">
        <v>0</v>
      </c>
      <c r="H439" t="s">
        <v>707</v>
      </c>
    </row>
    <row r="440" spans="1:8">
      <c r="A440" s="2" t="s">
        <v>460</v>
      </c>
      <c r="B440" t="b">
        <v>1</v>
      </c>
      <c r="C4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 s="9">
        <v>-3</v>
      </c>
      <c r="H440" t="s">
        <v>707</v>
      </c>
    </row>
    <row r="441" spans="1:8">
      <c r="A441" s="2" t="s">
        <v>461</v>
      </c>
      <c r="B441" t="b">
        <v>1</v>
      </c>
      <c r="C4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 s="9">
        <v>0</v>
      </c>
      <c r="H441" t="s">
        <v>707</v>
      </c>
    </row>
    <row r="442" spans="1:8">
      <c r="A442" s="2" t="s">
        <v>462</v>
      </c>
      <c r="B442" t="b">
        <v>1</v>
      </c>
      <c r="C4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 s="9">
        <v>0</v>
      </c>
      <c r="H442" t="s">
        <v>707</v>
      </c>
    </row>
    <row r="443" spans="1:8">
      <c r="A443" s="2" t="s">
        <v>463</v>
      </c>
      <c r="B443" t="b">
        <v>1</v>
      </c>
      <c r="C4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 s="9">
        <v>0</v>
      </c>
      <c r="H443" t="s">
        <v>707</v>
      </c>
    </row>
    <row r="444" spans="1:8">
      <c r="A444" s="2" t="s">
        <v>464</v>
      </c>
      <c r="B444" t="b">
        <v>1</v>
      </c>
      <c r="C4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 s="9">
        <v>0</v>
      </c>
      <c r="H444" t="s">
        <v>707</v>
      </c>
    </row>
    <row r="445" spans="1:8">
      <c r="A445" s="2" t="s">
        <v>465</v>
      </c>
      <c r="B445" t="b">
        <v>1</v>
      </c>
      <c r="C4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 s="9">
        <v>-3</v>
      </c>
      <c r="H445" t="s">
        <v>707</v>
      </c>
    </row>
    <row r="446" spans="1:8">
      <c r="A446" s="2" t="s">
        <v>466</v>
      </c>
      <c r="B446" t="b">
        <v>1</v>
      </c>
      <c r="C4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 s="9">
        <v>-3</v>
      </c>
      <c r="H446" t="s">
        <v>707</v>
      </c>
    </row>
    <row r="447" spans="1:8">
      <c r="A447" s="2" t="s">
        <v>467</v>
      </c>
      <c r="B447" t="b">
        <v>1</v>
      </c>
      <c r="C4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 s="9">
        <v>0</v>
      </c>
      <c r="H447" t="s">
        <v>707</v>
      </c>
    </row>
    <row r="448" spans="1:8">
      <c r="A448" s="2" t="s">
        <v>468</v>
      </c>
      <c r="B448" t="b">
        <v>1</v>
      </c>
      <c r="C4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 s="9">
        <v>0</v>
      </c>
      <c r="H448" t="s">
        <v>707</v>
      </c>
    </row>
    <row r="449" spans="1:8">
      <c r="A449" s="2" t="s">
        <v>469</v>
      </c>
      <c r="B449" t="b">
        <v>1</v>
      </c>
      <c r="C4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 s="9">
        <v>-3</v>
      </c>
      <c r="H449" t="s">
        <v>707</v>
      </c>
    </row>
    <row r="450" spans="1:8">
      <c r="A450" s="2" t="s">
        <v>470</v>
      </c>
      <c r="B450" t="b">
        <v>1</v>
      </c>
      <c r="C4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 s="9">
        <v>0</v>
      </c>
      <c r="H450" t="s">
        <v>707</v>
      </c>
    </row>
    <row r="451" spans="1:8">
      <c r="A451" s="2" t="s">
        <v>471</v>
      </c>
      <c r="B451" t="b">
        <v>1</v>
      </c>
      <c r="C4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 s="9">
        <v>-3</v>
      </c>
      <c r="H451" t="s">
        <v>707</v>
      </c>
    </row>
    <row r="452" spans="1:8">
      <c r="A452" s="2" t="s">
        <v>472</v>
      </c>
      <c r="B452" t="b">
        <v>1</v>
      </c>
      <c r="C4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 s="9">
        <v>-3</v>
      </c>
      <c r="H452" t="s">
        <v>707</v>
      </c>
    </row>
    <row r="453" spans="1:8">
      <c r="A453" s="2" t="s">
        <v>473</v>
      </c>
      <c r="B453" t="b">
        <v>1</v>
      </c>
      <c r="C4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 s="9">
        <v>0</v>
      </c>
      <c r="H453" t="s">
        <v>707</v>
      </c>
    </row>
    <row r="454" spans="1:8">
      <c r="A454" s="2" t="s">
        <v>474</v>
      </c>
      <c r="B454" t="b">
        <v>1</v>
      </c>
      <c r="C4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 s="9">
        <v>0</v>
      </c>
      <c r="H454" t="s">
        <v>707</v>
      </c>
    </row>
    <row r="455" spans="1:8">
      <c r="A455" s="2" t="s">
        <v>475</v>
      </c>
      <c r="B455" t="b">
        <v>1</v>
      </c>
      <c r="C4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 s="9">
        <v>0</v>
      </c>
      <c r="H455" t="s">
        <v>707</v>
      </c>
    </row>
    <row r="456" spans="1:8">
      <c r="A456" s="2" t="s">
        <v>476</v>
      </c>
      <c r="B456" t="b">
        <v>1</v>
      </c>
      <c r="C4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 s="9">
        <v>0</v>
      </c>
      <c r="H456" t="s">
        <v>707</v>
      </c>
    </row>
    <row r="457" spans="1:8">
      <c r="A457" s="2" t="s">
        <v>477</v>
      </c>
      <c r="B457" t="b">
        <v>1</v>
      </c>
      <c r="C4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 s="9">
        <v>0</v>
      </c>
      <c r="H457" t="s">
        <v>707</v>
      </c>
    </row>
    <row r="458" spans="1:8">
      <c r="A458" s="2" t="s">
        <v>478</v>
      </c>
      <c r="B458" t="b">
        <v>1</v>
      </c>
      <c r="C4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 s="9">
        <v>0</v>
      </c>
      <c r="H458" t="s">
        <v>707</v>
      </c>
    </row>
    <row r="459" spans="1:8">
      <c r="A459" s="2" t="s">
        <v>479</v>
      </c>
      <c r="B459" t="b">
        <v>1</v>
      </c>
      <c r="C4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 s="9">
        <v>0</v>
      </c>
      <c r="H459" t="s">
        <v>707</v>
      </c>
    </row>
    <row r="460" spans="1:8">
      <c r="A460" s="2" t="s">
        <v>480</v>
      </c>
      <c r="B460" t="b">
        <v>1</v>
      </c>
      <c r="C4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 s="9">
        <v>0</v>
      </c>
      <c r="H460" t="s">
        <v>707</v>
      </c>
    </row>
    <row r="461" spans="1:8">
      <c r="A461" s="2" t="s">
        <v>481</v>
      </c>
      <c r="B461" t="b">
        <v>1</v>
      </c>
      <c r="C4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 s="9">
        <v>0</v>
      </c>
      <c r="H461" t="s">
        <v>707</v>
      </c>
    </row>
    <row r="462" spans="1:8">
      <c r="A462" s="2" t="s">
        <v>482</v>
      </c>
      <c r="B462" t="b">
        <v>1</v>
      </c>
      <c r="C4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 s="9">
        <v>0</v>
      </c>
      <c r="H462" t="s">
        <v>707</v>
      </c>
    </row>
    <row r="463" spans="1:8">
      <c r="A463" s="2" t="s">
        <v>483</v>
      </c>
      <c r="B463" t="b">
        <v>1</v>
      </c>
      <c r="C4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 s="9">
        <v>0</v>
      </c>
      <c r="H463" t="s">
        <v>707</v>
      </c>
    </row>
    <row r="464" spans="1:8">
      <c r="A464" s="2" t="s">
        <v>484</v>
      </c>
      <c r="B464" t="b">
        <v>1</v>
      </c>
      <c r="C4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 s="9">
        <v>0</v>
      </c>
      <c r="H464" t="s">
        <v>707</v>
      </c>
    </row>
    <row r="465" spans="1:8">
      <c r="A465" s="2" t="s">
        <v>485</v>
      </c>
      <c r="B465" t="b">
        <v>1</v>
      </c>
      <c r="C4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 s="9">
        <v>0</v>
      </c>
      <c r="H465" t="s">
        <v>707</v>
      </c>
    </row>
    <row r="466" spans="1:8">
      <c r="A466" s="2" t="s">
        <v>486</v>
      </c>
      <c r="B466" t="b">
        <v>1</v>
      </c>
      <c r="C4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 s="9">
        <v>0</v>
      </c>
      <c r="H466" t="s">
        <v>707</v>
      </c>
    </row>
    <row r="467" spans="1:8">
      <c r="A467" s="2" t="s">
        <v>487</v>
      </c>
      <c r="B467" t="b">
        <v>1</v>
      </c>
      <c r="C4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 s="9">
        <v>0</v>
      </c>
      <c r="H467" t="s">
        <v>707</v>
      </c>
    </row>
    <row r="468" spans="1:8">
      <c r="A468" s="2" t="s">
        <v>488</v>
      </c>
      <c r="B468" t="b">
        <v>1</v>
      </c>
      <c r="C4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 s="9">
        <v>0</v>
      </c>
      <c r="H468" t="s">
        <v>707</v>
      </c>
    </row>
    <row r="469" spans="1:8">
      <c r="A469" s="2" t="s">
        <v>489</v>
      </c>
      <c r="B469" t="b">
        <v>1</v>
      </c>
      <c r="C4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 s="9">
        <v>0</v>
      </c>
      <c r="H469" t="s">
        <v>707</v>
      </c>
    </row>
    <row r="470" spans="1:8">
      <c r="A470" s="2" t="s">
        <v>490</v>
      </c>
      <c r="B470" t="b">
        <v>1</v>
      </c>
      <c r="C4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 s="9">
        <v>0</v>
      </c>
      <c r="H470" t="s">
        <v>707</v>
      </c>
    </row>
    <row r="471" spans="1:8">
      <c r="A471" s="2" t="s">
        <v>491</v>
      </c>
      <c r="B471" t="b">
        <v>1</v>
      </c>
      <c r="C4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 s="9">
        <v>0</v>
      </c>
      <c r="H471" t="s">
        <v>707</v>
      </c>
    </row>
    <row r="472" spans="1:8">
      <c r="A472" s="2" t="s">
        <v>492</v>
      </c>
      <c r="B472" t="b">
        <v>1</v>
      </c>
      <c r="C4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 s="9">
        <v>0</v>
      </c>
      <c r="H472" t="s">
        <v>707</v>
      </c>
    </row>
    <row r="473" spans="1:8">
      <c r="A473" s="2" t="s">
        <v>493</v>
      </c>
      <c r="B473" t="b">
        <v>1</v>
      </c>
      <c r="C4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 s="9">
        <v>0</v>
      </c>
      <c r="H473" t="s">
        <v>707</v>
      </c>
    </row>
    <row r="474" spans="1:8">
      <c r="A474" s="2" t="s">
        <v>494</v>
      </c>
      <c r="B474" t="b">
        <v>1</v>
      </c>
      <c r="C4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 s="9">
        <v>0</v>
      </c>
      <c r="H474" t="s">
        <v>707</v>
      </c>
    </row>
    <row r="475" spans="1:8">
      <c r="A475" s="2" t="s">
        <v>495</v>
      </c>
      <c r="B475" t="b">
        <v>1</v>
      </c>
      <c r="C4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 s="9">
        <v>0</v>
      </c>
      <c r="H475" t="s">
        <v>707</v>
      </c>
    </row>
    <row r="476" spans="1:8">
      <c r="A476" s="2" t="s">
        <v>496</v>
      </c>
      <c r="B476" t="b">
        <v>1</v>
      </c>
      <c r="C4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 s="9">
        <v>0</v>
      </c>
      <c r="H476" t="s">
        <v>707</v>
      </c>
    </row>
    <row r="477" spans="1:8">
      <c r="A477" s="2" t="s">
        <v>497</v>
      </c>
      <c r="B477" t="b">
        <v>1</v>
      </c>
      <c r="C4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 s="9">
        <v>0</v>
      </c>
      <c r="H477" t="s">
        <v>707</v>
      </c>
    </row>
    <row r="478" spans="1:8">
      <c r="A478" s="2" t="s">
        <v>498</v>
      </c>
      <c r="B478" t="b">
        <v>1</v>
      </c>
      <c r="C4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 s="9">
        <v>0</v>
      </c>
      <c r="H478" t="s">
        <v>707</v>
      </c>
    </row>
    <row r="479" spans="1:8">
      <c r="A479" s="2" t="s">
        <v>499</v>
      </c>
      <c r="B479" t="b">
        <v>1</v>
      </c>
      <c r="C4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 s="9">
        <v>0</v>
      </c>
      <c r="H479" t="s">
        <v>707</v>
      </c>
    </row>
    <row r="480" spans="1:8">
      <c r="A480" s="2" t="s">
        <v>500</v>
      </c>
      <c r="B480" t="b">
        <v>1</v>
      </c>
      <c r="C4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 s="9">
        <v>0</v>
      </c>
      <c r="H480" t="s">
        <v>707</v>
      </c>
    </row>
    <row r="481" spans="1:8">
      <c r="A481" s="2" t="s">
        <v>501</v>
      </c>
      <c r="B481" t="b">
        <v>1</v>
      </c>
      <c r="C4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 s="9">
        <v>0</v>
      </c>
      <c r="H481" t="s">
        <v>707</v>
      </c>
    </row>
    <row r="482" spans="1:8">
      <c r="A482" s="2" t="s">
        <v>502</v>
      </c>
      <c r="B482" t="b">
        <v>1</v>
      </c>
      <c r="C4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 s="9">
        <v>0</v>
      </c>
      <c r="H482" t="s">
        <v>707</v>
      </c>
    </row>
    <row r="483" spans="1:8">
      <c r="A483" s="2" t="s">
        <v>503</v>
      </c>
      <c r="B483" t="b">
        <v>1</v>
      </c>
      <c r="C4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 s="9">
        <v>0</v>
      </c>
      <c r="H483" t="s">
        <v>707</v>
      </c>
    </row>
    <row r="484" spans="1:8">
      <c r="A484" s="2" t="s">
        <v>504</v>
      </c>
      <c r="B484" t="b">
        <v>1</v>
      </c>
      <c r="C4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 s="9">
        <v>0</v>
      </c>
      <c r="H484" t="s">
        <v>707</v>
      </c>
    </row>
    <row r="485" spans="1:8">
      <c r="A485" s="2" t="s">
        <v>505</v>
      </c>
      <c r="B485" t="b">
        <v>1</v>
      </c>
      <c r="C4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 s="9">
        <v>0</v>
      </c>
      <c r="H485" t="s">
        <v>707</v>
      </c>
    </row>
    <row r="486" spans="1:8">
      <c r="A486" s="2" t="s">
        <v>506</v>
      </c>
      <c r="B486" t="b">
        <v>1</v>
      </c>
      <c r="C4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 s="9">
        <v>0</v>
      </c>
      <c r="H486" t="s">
        <v>707</v>
      </c>
    </row>
    <row r="487" spans="1:8">
      <c r="A487" s="2" t="s">
        <v>507</v>
      </c>
      <c r="B487" t="b">
        <v>1</v>
      </c>
      <c r="C4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 s="9">
        <v>0</v>
      </c>
      <c r="H487" t="s">
        <v>707</v>
      </c>
    </row>
    <row r="488" spans="1:8">
      <c r="A488" s="2" t="s">
        <v>508</v>
      </c>
      <c r="B488" t="b">
        <v>1</v>
      </c>
      <c r="C4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 s="9">
        <v>0</v>
      </c>
      <c r="H488" t="s">
        <v>707</v>
      </c>
    </row>
    <row r="489" spans="1:8">
      <c r="A489" s="2" t="s">
        <v>509</v>
      </c>
      <c r="B489" t="b">
        <v>1</v>
      </c>
      <c r="C4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 s="9">
        <v>0</v>
      </c>
      <c r="H489" t="s">
        <v>707</v>
      </c>
    </row>
    <row r="490" spans="1:8">
      <c r="A490" s="2" t="s">
        <v>510</v>
      </c>
      <c r="B490" t="b">
        <v>1</v>
      </c>
      <c r="C4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 s="9">
        <v>0</v>
      </c>
      <c r="H490" t="s">
        <v>707</v>
      </c>
    </row>
    <row r="491" spans="1:8">
      <c r="A491" s="2" t="s">
        <v>511</v>
      </c>
      <c r="B491" t="b">
        <v>1</v>
      </c>
      <c r="C4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 s="9">
        <v>0</v>
      </c>
      <c r="H491" t="s">
        <v>707</v>
      </c>
    </row>
    <row r="492" spans="1:8">
      <c r="A492" s="2" t="s">
        <v>512</v>
      </c>
      <c r="B492" t="b">
        <v>1</v>
      </c>
      <c r="C4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 s="9">
        <v>0</v>
      </c>
      <c r="H492" t="s">
        <v>707</v>
      </c>
    </row>
    <row r="493" spans="1:8">
      <c r="A493" s="2" t="s">
        <v>513</v>
      </c>
      <c r="B493" t="b">
        <v>1</v>
      </c>
      <c r="C4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 s="9">
        <v>0</v>
      </c>
      <c r="H493" t="s">
        <v>707</v>
      </c>
    </row>
    <row r="494" spans="1:8">
      <c r="A494" s="2" t="s">
        <v>514</v>
      </c>
      <c r="B494" t="b">
        <v>1</v>
      </c>
      <c r="C4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 s="9">
        <v>0</v>
      </c>
      <c r="H494" t="s">
        <v>707</v>
      </c>
    </row>
    <row r="495" spans="1:8">
      <c r="A495" s="2" t="s">
        <v>515</v>
      </c>
      <c r="B495" t="b">
        <v>1</v>
      </c>
      <c r="C4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 s="9">
        <v>0</v>
      </c>
      <c r="H495" t="s">
        <v>707</v>
      </c>
    </row>
    <row r="496" spans="1:8">
      <c r="A496" s="2" t="s">
        <v>516</v>
      </c>
      <c r="B496" t="b">
        <v>1</v>
      </c>
      <c r="C4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 s="9">
        <v>0</v>
      </c>
      <c r="H496" t="s">
        <v>707</v>
      </c>
    </row>
    <row r="497" spans="1:8">
      <c r="A497" s="2" t="s">
        <v>517</v>
      </c>
      <c r="B497" t="b">
        <v>1</v>
      </c>
      <c r="C4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 s="9">
        <v>0</v>
      </c>
      <c r="H497" t="s">
        <v>707</v>
      </c>
    </row>
    <row r="498" spans="1:8">
      <c r="A498" s="2" t="s">
        <v>518</v>
      </c>
      <c r="B498" t="b">
        <v>1</v>
      </c>
      <c r="C4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 s="9">
        <v>0</v>
      </c>
      <c r="H498" t="s">
        <v>707</v>
      </c>
    </row>
    <row r="499" spans="1:8">
      <c r="A499" s="2" t="s">
        <v>519</v>
      </c>
      <c r="B499" t="b">
        <v>1</v>
      </c>
      <c r="C4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 s="9">
        <v>0</v>
      </c>
      <c r="H499" t="s">
        <v>707</v>
      </c>
    </row>
    <row r="500" spans="1:8">
      <c r="A500" s="2" t="s">
        <v>520</v>
      </c>
      <c r="B500" t="b">
        <v>1</v>
      </c>
      <c r="C5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 s="9">
        <v>0</v>
      </c>
      <c r="H500" t="s">
        <v>707</v>
      </c>
    </row>
    <row r="501" spans="1:8">
      <c r="A501" s="2" t="s">
        <v>521</v>
      </c>
      <c r="B501" t="b">
        <v>1</v>
      </c>
      <c r="C5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 s="9">
        <v>0</v>
      </c>
      <c r="H501" t="s">
        <v>707</v>
      </c>
    </row>
    <row r="502" spans="1:8">
      <c r="A502" s="2" t="s">
        <v>522</v>
      </c>
      <c r="B502" t="b">
        <v>1</v>
      </c>
      <c r="C5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 s="9">
        <v>0</v>
      </c>
      <c r="H502" t="s">
        <v>707</v>
      </c>
    </row>
    <row r="503" spans="1:8">
      <c r="A503" s="2" t="s">
        <v>523</v>
      </c>
      <c r="B503" t="b">
        <v>1</v>
      </c>
      <c r="C5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 s="9">
        <v>0</v>
      </c>
      <c r="H503" t="s">
        <v>707</v>
      </c>
    </row>
    <row r="504" spans="1:8">
      <c r="A504" s="2" t="s">
        <v>524</v>
      </c>
      <c r="B504" t="b">
        <v>1</v>
      </c>
      <c r="C5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 s="9">
        <v>0</v>
      </c>
      <c r="H504" t="s">
        <v>707</v>
      </c>
    </row>
    <row r="505" spans="1:8">
      <c r="A505" s="2" t="s">
        <v>525</v>
      </c>
      <c r="B505" t="b">
        <v>1</v>
      </c>
      <c r="C5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 s="9">
        <v>0</v>
      </c>
      <c r="H505" t="s">
        <v>707</v>
      </c>
    </row>
    <row r="506" spans="1:8">
      <c r="A506" s="2" t="s">
        <v>527</v>
      </c>
      <c r="B506" t="b">
        <v>1</v>
      </c>
      <c r="C5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 s="9">
        <v>0</v>
      </c>
      <c r="H506" t="s">
        <v>707</v>
      </c>
    </row>
    <row r="507" spans="1:8">
      <c r="A507" s="2" t="s">
        <v>528</v>
      </c>
      <c r="B507" t="b">
        <v>1</v>
      </c>
      <c r="C5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 s="9">
        <v>0</v>
      </c>
      <c r="H507" t="s">
        <v>707</v>
      </c>
    </row>
    <row r="508" spans="1:8">
      <c r="A508" s="2" t="s">
        <v>529</v>
      </c>
      <c r="B508" t="b">
        <v>1</v>
      </c>
      <c r="C5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 s="9">
        <v>0</v>
      </c>
      <c r="H508" t="s">
        <v>707</v>
      </c>
    </row>
    <row r="509" spans="1:8">
      <c r="A509" s="2" t="s">
        <v>530</v>
      </c>
      <c r="B509" t="b">
        <v>1</v>
      </c>
      <c r="C5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 s="9">
        <v>0</v>
      </c>
      <c r="H509" t="s">
        <v>707</v>
      </c>
    </row>
    <row r="510" spans="1:8">
      <c r="A510" s="2" t="s">
        <v>531</v>
      </c>
      <c r="B510" t="b">
        <v>1</v>
      </c>
      <c r="C5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 s="9">
        <v>0</v>
      </c>
      <c r="H510" t="s">
        <v>707</v>
      </c>
    </row>
    <row r="511" spans="1:8">
      <c r="A511" s="2" t="s">
        <v>532</v>
      </c>
      <c r="B511" t="b">
        <v>1</v>
      </c>
      <c r="C5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 s="9">
        <v>0</v>
      </c>
      <c r="H511" t="s">
        <v>707</v>
      </c>
    </row>
    <row r="512" spans="1:8">
      <c r="A512" s="2" t="s">
        <v>533</v>
      </c>
      <c r="B512" t="b">
        <v>1</v>
      </c>
      <c r="C5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 s="9">
        <v>0</v>
      </c>
      <c r="H512" t="s">
        <v>707</v>
      </c>
    </row>
    <row r="513" spans="1:8">
      <c r="A513" s="2" t="s">
        <v>534</v>
      </c>
      <c r="B513" t="b">
        <v>1</v>
      </c>
      <c r="C5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 s="9">
        <v>0</v>
      </c>
      <c r="H513" t="s">
        <v>707</v>
      </c>
    </row>
    <row r="514" spans="1:8">
      <c r="A514" s="2" t="s">
        <v>535</v>
      </c>
      <c r="B514" t="b">
        <v>1</v>
      </c>
      <c r="C5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 s="9">
        <v>0</v>
      </c>
      <c r="H514" t="s">
        <v>707</v>
      </c>
    </row>
    <row r="515" spans="1:8">
      <c r="A515" s="2" t="s">
        <v>536</v>
      </c>
      <c r="B515" t="b">
        <v>1</v>
      </c>
      <c r="C5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 s="9">
        <v>0</v>
      </c>
      <c r="H515" t="s">
        <v>707</v>
      </c>
    </row>
    <row r="516" spans="1:8">
      <c r="A516" s="2" t="s">
        <v>537</v>
      </c>
      <c r="B516" t="b">
        <v>1</v>
      </c>
      <c r="C5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 s="9">
        <v>0</v>
      </c>
      <c r="H516" t="s">
        <v>707</v>
      </c>
    </row>
    <row r="517" spans="1:8">
      <c r="A517" s="2" t="s">
        <v>538</v>
      </c>
      <c r="B517" t="b">
        <v>1</v>
      </c>
      <c r="C5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 s="9">
        <v>0</v>
      </c>
      <c r="H517" t="s">
        <v>707</v>
      </c>
    </row>
    <row r="518" spans="1:8">
      <c r="A518" s="2" t="s">
        <v>539</v>
      </c>
      <c r="B518" t="b">
        <v>1</v>
      </c>
      <c r="C5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 s="9">
        <v>0</v>
      </c>
      <c r="H518" t="s">
        <v>707</v>
      </c>
    </row>
    <row r="519" spans="1:8">
      <c r="A519" s="2" t="s">
        <v>540</v>
      </c>
      <c r="B519" t="b">
        <v>1</v>
      </c>
      <c r="C5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 s="9">
        <v>0</v>
      </c>
      <c r="H519" t="s">
        <v>707</v>
      </c>
    </row>
    <row r="520" spans="1:8">
      <c r="A520" s="2" t="s">
        <v>541</v>
      </c>
      <c r="B520" t="b">
        <v>1</v>
      </c>
      <c r="C5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 s="9">
        <v>0</v>
      </c>
      <c r="H520" t="s">
        <v>707</v>
      </c>
    </row>
    <row r="521" spans="1:8">
      <c r="A521" s="2" t="s">
        <v>542</v>
      </c>
      <c r="B521" t="b">
        <v>1</v>
      </c>
      <c r="C5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 s="9">
        <v>0</v>
      </c>
      <c r="H521" t="s">
        <v>707</v>
      </c>
    </row>
    <row r="522" spans="1:8">
      <c r="A522" s="2" t="s">
        <v>543</v>
      </c>
      <c r="B522" t="b">
        <v>1</v>
      </c>
      <c r="C5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 s="9">
        <v>0</v>
      </c>
      <c r="H522" t="s">
        <v>707</v>
      </c>
    </row>
    <row r="523" spans="1:8">
      <c r="A523" s="2" t="s">
        <v>544</v>
      </c>
      <c r="B523" t="b">
        <v>1</v>
      </c>
      <c r="C5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 s="9">
        <v>0</v>
      </c>
      <c r="H523" t="s">
        <v>707</v>
      </c>
    </row>
    <row r="524" spans="1:8">
      <c r="A524" s="2" t="s">
        <v>545</v>
      </c>
      <c r="B524" t="b">
        <v>1</v>
      </c>
      <c r="C5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 s="9">
        <v>0</v>
      </c>
      <c r="H524" t="s">
        <v>707</v>
      </c>
    </row>
    <row r="525" spans="1:8">
      <c r="A525" s="2" t="s">
        <v>546</v>
      </c>
      <c r="B525" t="b">
        <v>1</v>
      </c>
      <c r="C5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 s="9">
        <v>0</v>
      </c>
      <c r="H525" t="s">
        <v>707</v>
      </c>
    </row>
    <row r="526" spans="1:8">
      <c r="A526" s="2" t="s">
        <v>547</v>
      </c>
      <c r="B526" t="b">
        <v>1</v>
      </c>
      <c r="C5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 s="9">
        <v>0</v>
      </c>
      <c r="H526" t="s">
        <v>707</v>
      </c>
    </row>
    <row r="527" spans="1:8">
      <c r="A527" s="2" t="s">
        <v>548</v>
      </c>
      <c r="B527" t="b">
        <v>1</v>
      </c>
      <c r="C5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 s="9">
        <v>0</v>
      </c>
      <c r="H527" t="s">
        <v>707</v>
      </c>
    </row>
    <row r="528" spans="1:8">
      <c r="A528" s="2" t="s">
        <v>549</v>
      </c>
      <c r="B528" t="b">
        <v>1</v>
      </c>
      <c r="C5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 s="9">
        <v>0</v>
      </c>
      <c r="H528" t="s">
        <v>707</v>
      </c>
    </row>
    <row r="529" spans="1:8">
      <c r="A529" s="2" t="s">
        <v>550</v>
      </c>
      <c r="B529" t="b">
        <v>1</v>
      </c>
      <c r="C5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 s="9">
        <v>0</v>
      </c>
      <c r="H529" t="s">
        <v>707</v>
      </c>
    </row>
    <row r="530" spans="1:8">
      <c r="A530" s="2" t="s">
        <v>551</v>
      </c>
      <c r="B530" t="b">
        <v>1</v>
      </c>
      <c r="C5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 s="9">
        <v>0</v>
      </c>
      <c r="H530" t="s">
        <v>707</v>
      </c>
    </row>
    <row r="531" spans="1:8">
      <c r="A531" s="2" t="s">
        <v>552</v>
      </c>
      <c r="B531" t="b">
        <v>1</v>
      </c>
      <c r="C5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 s="9">
        <v>0</v>
      </c>
      <c r="H531" t="s">
        <v>707</v>
      </c>
    </row>
    <row r="532" spans="1:8">
      <c r="A532" s="2" t="s">
        <v>553</v>
      </c>
      <c r="B532" t="b">
        <v>1</v>
      </c>
      <c r="C5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 s="9">
        <v>0</v>
      </c>
      <c r="H532" t="s">
        <v>707</v>
      </c>
    </row>
    <row r="533" spans="1:8">
      <c r="A533" s="2" t="s">
        <v>554</v>
      </c>
      <c r="B533" t="b">
        <v>1</v>
      </c>
      <c r="C5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 s="9">
        <v>0</v>
      </c>
      <c r="H533" t="s">
        <v>707</v>
      </c>
    </row>
    <row r="534" spans="1:8">
      <c r="A534" s="2" t="s">
        <v>555</v>
      </c>
      <c r="B534" t="b">
        <v>1</v>
      </c>
      <c r="C5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 s="9">
        <v>0</v>
      </c>
      <c r="H534" t="s">
        <v>707</v>
      </c>
    </row>
    <row r="535" spans="1:8">
      <c r="A535" s="2" t="s">
        <v>556</v>
      </c>
      <c r="B535" t="b">
        <v>1</v>
      </c>
      <c r="C5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 s="9">
        <v>0</v>
      </c>
      <c r="H535" t="s">
        <v>707</v>
      </c>
    </row>
    <row r="536" spans="1:8">
      <c r="A536" s="2" t="s">
        <v>557</v>
      </c>
      <c r="B536" t="b">
        <v>1</v>
      </c>
      <c r="C5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 s="9">
        <v>0</v>
      </c>
      <c r="H536" t="s">
        <v>707</v>
      </c>
    </row>
    <row r="537" spans="1:8">
      <c r="A537" s="2" t="s">
        <v>558</v>
      </c>
      <c r="B537" t="b">
        <v>1</v>
      </c>
      <c r="C5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 s="9">
        <v>0</v>
      </c>
      <c r="H537" t="s">
        <v>707</v>
      </c>
    </row>
    <row r="538" spans="1:8">
      <c r="A538" s="2" t="s">
        <v>559</v>
      </c>
      <c r="B538" t="b">
        <v>1</v>
      </c>
      <c r="C5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 s="9">
        <v>0</v>
      </c>
      <c r="H538" t="s">
        <v>707</v>
      </c>
    </row>
    <row r="539" spans="1:8">
      <c r="A539" s="2" t="s">
        <v>560</v>
      </c>
      <c r="B539" t="b">
        <v>1</v>
      </c>
      <c r="C5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 s="9">
        <v>0</v>
      </c>
      <c r="H539" t="s">
        <v>707</v>
      </c>
    </row>
    <row r="540" spans="1:8">
      <c r="A540" s="2" t="s">
        <v>561</v>
      </c>
      <c r="B540" t="b">
        <v>1</v>
      </c>
      <c r="C5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 s="9">
        <v>0</v>
      </c>
      <c r="H540" t="s">
        <v>707</v>
      </c>
    </row>
    <row r="541" spans="1:8">
      <c r="A541" s="2" t="s">
        <v>562</v>
      </c>
      <c r="B541" t="b">
        <v>1</v>
      </c>
      <c r="C5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 s="9">
        <v>0</v>
      </c>
      <c r="H541" t="s">
        <v>707</v>
      </c>
    </row>
    <row r="542" spans="1:8">
      <c r="A542" s="2" t="s">
        <v>563</v>
      </c>
      <c r="B542" t="b">
        <v>1</v>
      </c>
      <c r="C5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 s="9">
        <v>-3</v>
      </c>
      <c r="H542" t="s">
        <v>707</v>
      </c>
    </row>
    <row r="543" spans="1:8">
      <c r="A543" s="2" t="s">
        <v>564</v>
      </c>
      <c r="B543" t="b">
        <v>1</v>
      </c>
      <c r="C5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 s="9">
        <v>0</v>
      </c>
      <c r="H543" t="s">
        <v>707</v>
      </c>
    </row>
    <row r="544" spans="1:8">
      <c r="A544" s="2" t="s">
        <v>565</v>
      </c>
      <c r="B544" t="b">
        <v>1</v>
      </c>
      <c r="C5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 s="9">
        <v>0</v>
      </c>
      <c r="H544" t="s">
        <v>707</v>
      </c>
    </row>
    <row r="545" spans="1:8">
      <c r="A545" s="2" t="s">
        <v>566</v>
      </c>
      <c r="B545" t="b">
        <v>1</v>
      </c>
      <c r="C5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 s="9">
        <v>0</v>
      </c>
      <c r="H545" t="s">
        <v>707</v>
      </c>
    </row>
    <row r="546" spans="1:8">
      <c r="A546" s="2" t="s">
        <v>567</v>
      </c>
      <c r="B546" t="b">
        <v>1</v>
      </c>
      <c r="C5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 s="9">
        <v>0</v>
      </c>
      <c r="H546" t="s">
        <v>707</v>
      </c>
    </row>
    <row r="547" spans="1:8">
      <c r="A547" s="2" t="s">
        <v>568</v>
      </c>
      <c r="B547" t="b">
        <v>1</v>
      </c>
      <c r="C5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 s="9">
        <v>0</v>
      </c>
      <c r="H547" t="s">
        <v>707</v>
      </c>
    </row>
    <row r="548" spans="1:8">
      <c r="A548" s="2" t="s">
        <v>569</v>
      </c>
      <c r="B548" t="b">
        <v>1</v>
      </c>
      <c r="C5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 s="9">
        <v>0</v>
      </c>
      <c r="H548" t="s">
        <v>707</v>
      </c>
    </row>
    <row r="549" spans="1:8">
      <c r="A549" s="2" t="s">
        <v>570</v>
      </c>
      <c r="B549" t="b">
        <v>1</v>
      </c>
      <c r="C5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 s="9">
        <v>0</v>
      </c>
      <c r="H549" t="s">
        <v>707</v>
      </c>
    </row>
    <row r="550" spans="1:8">
      <c r="A550" s="2" t="s">
        <v>571</v>
      </c>
      <c r="B550" t="b">
        <v>1</v>
      </c>
      <c r="C5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 s="9">
        <v>0</v>
      </c>
      <c r="H550" t="s">
        <v>707</v>
      </c>
    </row>
    <row r="551" spans="1:8">
      <c r="A551" s="2" t="s">
        <v>572</v>
      </c>
      <c r="B551" t="b">
        <v>1</v>
      </c>
      <c r="C5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 s="9">
        <v>0</v>
      </c>
      <c r="H551" t="s">
        <v>707</v>
      </c>
    </row>
    <row r="552" spans="1:8">
      <c r="A552" s="2" t="s">
        <v>573</v>
      </c>
      <c r="B552" t="b">
        <v>1</v>
      </c>
      <c r="C5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 s="9">
        <v>0</v>
      </c>
      <c r="H552" t="s">
        <v>707</v>
      </c>
    </row>
    <row r="553" spans="1:8">
      <c r="A553" s="2" t="s">
        <v>574</v>
      </c>
      <c r="B553" t="b">
        <v>1</v>
      </c>
      <c r="C5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 s="9">
        <v>0</v>
      </c>
      <c r="H553" t="s">
        <v>707</v>
      </c>
    </row>
    <row r="554" spans="1:8">
      <c r="A554" s="2" t="s">
        <v>575</v>
      </c>
      <c r="B554" t="b">
        <v>1</v>
      </c>
      <c r="C5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 s="9">
        <v>0</v>
      </c>
      <c r="H554" t="s">
        <v>707</v>
      </c>
    </row>
    <row r="555" spans="1:8">
      <c r="A555" s="2" t="s">
        <v>576</v>
      </c>
      <c r="B555" t="b">
        <v>1</v>
      </c>
      <c r="C5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 s="9">
        <v>0</v>
      </c>
      <c r="H555" t="s">
        <v>707</v>
      </c>
    </row>
    <row r="556" spans="1:8">
      <c r="A556" s="2" t="s">
        <v>577</v>
      </c>
      <c r="B556" t="b">
        <v>1</v>
      </c>
      <c r="C5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 s="9">
        <v>0</v>
      </c>
      <c r="H556" t="s">
        <v>707</v>
      </c>
    </row>
    <row r="557" spans="1:8">
      <c r="A557" s="2" t="s">
        <v>578</v>
      </c>
      <c r="B557" t="b">
        <v>1</v>
      </c>
      <c r="C5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 s="9">
        <v>0</v>
      </c>
      <c r="H557" t="s">
        <v>707</v>
      </c>
    </row>
    <row r="558" spans="1:8">
      <c r="A558" s="2" t="s">
        <v>579</v>
      </c>
      <c r="B558" t="b">
        <v>1</v>
      </c>
      <c r="C5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 s="9">
        <v>0</v>
      </c>
      <c r="H558" t="s">
        <v>707</v>
      </c>
    </row>
    <row r="559" spans="1:8">
      <c r="A559" s="2" t="s">
        <v>580</v>
      </c>
      <c r="B559" t="b">
        <v>1</v>
      </c>
      <c r="C5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 s="9">
        <v>-3</v>
      </c>
      <c r="H559" t="s">
        <v>707</v>
      </c>
    </row>
    <row r="560" spans="1:8">
      <c r="A560" s="2" t="s">
        <v>581</v>
      </c>
      <c r="B560" t="b">
        <v>1</v>
      </c>
      <c r="C5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 s="9">
        <v>0</v>
      </c>
      <c r="H560" t="s">
        <v>707</v>
      </c>
    </row>
    <row r="561" spans="1:8">
      <c r="A561" s="2" t="s">
        <v>582</v>
      </c>
      <c r="B561" t="b">
        <v>1</v>
      </c>
      <c r="C5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 s="9">
        <v>0</v>
      </c>
      <c r="H561" t="s">
        <v>707</v>
      </c>
    </row>
    <row r="562" spans="1:8">
      <c r="A562" s="2" t="s">
        <v>583</v>
      </c>
      <c r="B562" t="b">
        <v>1</v>
      </c>
      <c r="C5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 s="9">
        <v>0</v>
      </c>
      <c r="H562" t="s">
        <v>707</v>
      </c>
    </row>
    <row r="563" spans="1:8">
      <c r="A563" s="2" t="s">
        <v>584</v>
      </c>
      <c r="B563" t="b">
        <v>1</v>
      </c>
      <c r="C5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 s="9">
        <v>0</v>
      </c>
      <c r="H563" t="s">
        <v>707</v>
      </c>
    </row>
    <row r="564" spans="1:8">
      <c r="A564" s="2" t="s">
        <v>585</v>
      </c>
      <c r="B564" t="b">
        <v>1</v>
      </c>
      <c r="C5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 s="9">
        <v>0</v>
      </c>
      <c r="H564" t="s">
        <v>707</v>
      </c>
    </row>
    <row r="565" spans="1:8">
      <c r="A565" s="2" t="s">
        <v>586</v>
      </c>
      <c r="B565" t="b">
        <v>1</v>
      </c>
      <c r="C5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 s="9">
        <v>0</v>
      </c>
      <c r="H565" t="s">
        <v>707</v>
      </c>
    </row>
    <row r="566" spans="1:8">
      <c r="A566" s="2" t="s">
        <v>587</v>
      </c>
      <c r="B566" t="b">
        <v>1</v>
      </c>
      <c r="C5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 s="9">
        <v>0</v>
      </c>
      <c r="H566" t="s">
        <v>707</v>
      </c>
    </row>
    <row r="567" spans="1:8">
      <c r="A567" s="2" t="s">
        <v>588</v>
      </c>
      <c r="B567" t="b">
        <v>1</v>
      </c>
      <c r="C5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 s="9">
        <v>0</v>
      </c>
      <c r="H567" t="s">
        <v>707</v>
      </c>
    </row>
    <row r="568" spans="1:8">
      <c r="A568" s="2" t="s">
        <v>589</v>
      </c>
      <c r="B568" t="b">
        <v>1</v>
      </c>
      <c r="C5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 s="9">
        <v>0</v>
      </c>
      <c r="H568" t="s">
        <v>707</v>
      </c>
    </row>
    <row r="569" spans="1:8">
      <c r="A569" s="2" t="s">
        <v>590</v>
      </c>
      <c r="B569" t="b">
        <v>1</v>
      </c>
      <c r="C5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 s="9">
        <v>0</v>
      </c>
      <c r="H569" t="s">
        <v>707</v>
      </c>
    </row>
    <row r="570" spans="1:8">
      <c r="A570" s="2" t="s">
        <v>3333</v>
      </c>
      <c r="B570" t="b">
        <v>1</v>
      </c>
      <c r="C5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 s="9">
        <v>0</v>
      </c>
      <c r="H570" t="s">
        <v>707</v>
      </c>
    </row>
    <row r="571" spans="1:8">
      <c r="A571" s="2" t="s">
        <v>3334</v>
      </c>
      <c r="B571" t="b">
        <v>1</v>
      </c>
      <c r="C5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 s="9">
        <v>0</v>
      </c>
      <c r="H571" t="s">
        <v>707</v>
      </c>
    </row>
    <row r="572" spans="1:8">
      <c r="A572" s="2" t="s">
        <v>866</v>
      </c>
      <c r="B572" t="b">
        <v>1</v>
      </c>
      <c r="C5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 s="9">
        <v>0</v>
      </c>
      <c r="H572" t="s">
        <v>707</v>
      </c>
    </row>
    <row r="573" spans="1:8">
      <c r="A573" s="2" t="s">
        <v>850</v>
      </c>
      <c r="B573" t="b">
        <v>1</v>
      </c>
      <c r="C5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 s="9">
        <v>0</v>
      </c>
      <c r="H573" t="s">
        <v>707</v>
      </c>
    </row>
    <row r="574" spans="1:8">
      <c r="A574" s="2" t="s">
        <v>851</v>
      </c>
      <c r="B574" t="b">
        <v>1</v>
      </c>
      <c r="C5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 s="9">
        <v>0</v>
      </c>
      <c r="H574" t="s">
        <v>707</v>
      </c>
    </row>
    <row r="575" spans="1:8">
      <c r="A575" s="2" t="s">
        <v>852</v>
      </c>
      <c r="B575" t="b">
        <v>1</v>
      </c>
      <c r="C5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 s="9">
        <v>0</v>
      </c>
      <c r="H575" t="s">
        <v>707</v>
      </c>
    </row>
    <row r="576" spans="1:8">
      <c r="A576" s="2" t="s">
        <v>853</v>
      </c>
      <c r="B576" t="b">
        <v>1</v>
      </c>
      <c r="C5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 s="9">
        <v>0</v>
      </c>
      <c r="H576" t="s">
        <v>707</v>
      </c>
    </row>
    <row r="577" spans="1:8">
      <c r="A577" s="2" t="s">
        <v>854</v>
      </c>
      <c r="B577" t="b">
        <v>1</v>
      </c>
      <c r="C5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 s="9">
        <v>0</v>
      </c>
      <c r="H577" t="s">
        <v>707</v>
      </c>
    </row>
    <row r="578" spans="1:8">
      <c r="A578" s="2" t="s">
        <v>855</v>
      </c>
      <c r="B578" t="b">
        <v>1</v>
      </c>
      <c r="C5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 s="9">
        <v>0</v>
      </c>
      <c r="H578" t="s">
        <v>707</v>
      </c>
    </row>
    <row r="579" spans="1:8">
      <c r="A579" s="2" t="s">
        <v>856</v>
      </c>
      <c r="B579" t="b">
        <v>1</v>
      </c>
      <c r="C5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 s="9">
        <v>0</v>
      </c>
      <c r="H579" t="s">
        <v>707</v>
      </c>
    </row>
    <row r="580" spans="1:8">
      <c r="A580" s="2" t="s">
        <v>857</v>
      </c>
      <c r="B580" t="b">
        <v>1</v>
      </c>
      <c r="C5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 s="9">
        <v>0</v>
      </c>
      <c r="H580" t="s">
        <v>707</v>
      </c>
    </row>
    <row r="581" spans="1:8">
      <c r="A581" s="2" t="s">
        <v>858</v>
      </c>
      <c r="B581" t="b">
        <v>1</v>
      </c>
      <c r="C5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 s="9">
        <v>0</v>
      </c>
      <c r="H581" t="s">
        <v>707</v>
      </c>
    </row>
    <row r="582" spans="1:8">
      <c r="A582" s="2" t="s">
        <v>859</v>
      </c>
      <c r="B582" t="b">
        <v>1</v>
      </c>
      <c r="C5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 s="9">
        <v>0</v>
      </c>
      <c r="H582" t="s">
        <v>707</v>
      </c>
    </row>
    <row r="583" spans="1:8">
      <c r="A583" s="2" t="s">
        <v>860</v>
      </c>
      <c r="B583" t="b">
        <v>1</v>
      </c>
      <c r="C5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 s="9">
        <v>0</v>
      </c>
      <c r="H583" t="s">
        <v>707</v>
      </c>
    </row>
    <row r="584" spans="1:8">
      <c r="A584" s="2" t="s">
        <v>861</v>
      </c>
      <c r="B584" t="b">
        <v>1</v>
      </c>
      <c r="C5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 s="9">
        <v>0</v>
      </c>
      <c r="H584" t="s">
        <v>707</v>
      </c>
    </row>
    <row r="585" spans="1:8">
      <c r="A585" s="2" t="s">
        <v>862</v>
      </c>
      <c r="B585" t="b">
        <v>1</v>
      </c>
      <c r="C5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 s="9">
        <v>0</v>
      </c>
      <c r="H585" t="s">
        <v>707</v>
      </c>
    </row>
    <row r="586" spans="1:8">
      <c r="A586" s="2" t="s">
        <v>863</v>
      </c>
      <c r="B586" t="b">
        <v>1</v>
      </c>
      <c r="C5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 s="9">
        <v>0</v>
      </c>
      <c r="H586" t="s">
        <v>707</v>
      </c>
    </row>
    <row r="587" spans="1:8">
      <c r="A587" s="2" t="s">
        <v>602</v>
      </c>
      <c r="B587" t="b">
        <v>1</v>
      </c>
      <c r="C5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 s="9">
        <v>0</v>
      </c>
      <c r="H587" t="s">
        <v>707</v>
      </c>
    </row>
    <row r="588" spans="1:8">
      <c r="A588" s="2" t="s">
        <v>603</v>
      </c>
      <c r="B588" t="b">
        <v>1</v>
      </c>
      <c r="C5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 s="9">
        <v>0</v>
      </c>
      <c r="H588" t="s">
        <v>707</v>
      </c>
    </row>
    <row r="589" spans="1:8">
      <c r="A589" s="2" t="s">
        <v>604</v>
      </c>
      <c r="B589" t="b">
        <v>1</v>
      </c>
      <c r="C5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 s="9">
        <v>0</v>
      </c>
      <c r="H589" t="s">
        <v>707</v>
      </c>
    </row>
    <row r="590" spans="1:8">
      <c r="A590" s="2" t="s">
        <v>605</v>
      </c>
      <c r="B590" t="b">
        <v>1</v>
      </c>
      <c r="C5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 s="9">
        <v>0</v>
      </c>
      <c r="H590" t="s">
        <v>707</v>
      </c>
    </row>
    <row r="591" spans="1:8">
      <c r="A591" s="2" t="s">
        <v>606</v>
      </c>
      <c r="B591" t="b">
        <v>1</v>
      </c>
      <c r="C5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 s="9">
        <v>0</v>
      </c>
      <c r="H591" t="s">
        <v>707</v>
      </c>
    </row>
    <row r="592" spans="1:8">
      <c r="A592" s="2" t="s">
        <v>607</v>
      </c>
      <c r="B592" t="b">
        <v>1</v>
      </c>
      <c r="C5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 s="9">
        <v>-3</v>
      </c>
      <c r="H592" t="s">
        <v>707</v>
      </c>
    </row>
    <row r="593" spans="1:8">
      <c r="A593" s="2" t="s">
        <v>608</v>
      </c>
      <c r="B593" t="b">
        <v>1</v>
      </c>
      <c r="C5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 s="9">
        <v>0</v>
      </c>
      <c r="H593" t="s">
        <v>707</v>
      </c>
    </row>
    <row r="594" spans="1:8">
      <c r="A594" s="2" t="s">
        <v>609</v>
      </c>
      <c r="B594" t="b">
        <v>1</v>
      </c>
      <c r="C5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 s="9">
        <v>0</v>
      </c>
      <c r="H594" t="s">
        <v>707</v>
      </c>
    </row>
    <row r="595" spans="1:8">
      <c r="A595" s="2" t="s">
        <v>610</v>
      </c>
      <c r="B595" t="b">
        <v>1</v>
      </c>
      <c r="C5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 s="9">
        <v>0</v>
      </c>
      <c r="H595" t="s">
        <v>707</v>
      </c>
    </row>
    <row r="596" spans="1:8">
      <c r="A596" s="2" t="s">
        <v>611</v>
      </c>
      <c r="B596" t="b">
        <v>1</v>
      </c>
      <c r="C5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 s="9">
        <v>0</v>
      </c>
      <c r="H596" t="s">
        <v>707</v>
      </c>
    </row>
    <row r="597" spans="1:8">
      <c r="A597" s="2" t="s">
        <v>612</v>
      </c>
      <c r="B597" t="b">
        <v>1</v>
      </c>
      <c r="C5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 s="9">
        <v>0</v>
      </c>
      <c r="H597" t="s">
        <v>707</v>
      </c>
    </row>
    <row r="598" spans="1:8">
      <c r="A598" s="2" t="s">
        <v>613</v>
      </c>
      <c r="B598" t="b">
        <v>1</v>
      </c>
      <c r="C5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 s="9">
        <v>0</v>
      </c>
      <c r="H598" t="s">
        <v>707</v>
      </c>
    </row>
    <row r="599" spans="1:8">
      <c r="A599" s="2" t="s">
        <v>614</v>
      </c>
      <c r="B599" t="b">
        <v>1</v>
      </c>
      <c r="C5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 s="9">
        <v>0</v>
      </c>
      <c r="H599" t="s">
        <v>707</v>
      </c>
    </row>
    <row r="600" spans="1:8">
      <c r="A600" s="2" t="s">
        <v>615</v>
      </c>
      <c r="B600" t="b">
        <v>1</v>
      </c>
      <c r="C6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 s="9">
        <v>0</v>
      </c>
      <c r="H600" t="s">
        <v>707</v>
      </c>
    </row>
    <row r="601" spans="1:8">
      <c r="A601" s="2" t="s">
        <v>616</v>
      </c>
      <c r="B601" t="b">
        <v>1</v>
      </c>
      <c r="C6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 s="9">
        <v>0</v>
      </c>
      <c r="H601" t="s">
        <v>707</v>
      </c>
    </row>
    <row r="602" spans="1:8">
      <c r="A602" s="2" t="s">
        <v>617</v>
      </c>
      <c r="B602" t="b">
        <v>1</v>
      </c>
      <c r="C6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 s="9">
        <v>0</v>
      </c>
      <c r="H602" t="s">
        <v>707</v>
      </c>
    </row>
    <row r="603" spans="1:8">
      <c r="A603" s="2" t="s">
        <v>618</v>
      </c>
      <c r="B603" t="b">
        <v>1</v>
      </c>
      <c r="C6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 s="9">
        <v>0</v>
      </c>
      <c r="H603" t="s">
        <v>707</v>
      </c>
    </row>
    <row r="604" spans="1:8">
      <c r="A604" s="2" t="s">
        <v>619</v>
      </c>
      <c r="B604" t="b">
        <v>1</v>
      </c>
      <c r="C6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 s="9">
        <v>-3</v>
      </c>
      <c r="H604" t="s">
        <v>707</v>
      </c>
    </row>
    <row r="605" spans="1:8">
      <c r="A605" s="2" t="s">
        <v>620</v>
      </c>
      <c r="B605" t="b">
        <v>1</v>
      </c>
      <c r="C6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 s="9">
        <v>0</v>
      </c>
      <c r="H605" t="s">
        <v>707</v>
      </c>
    </row>
    <row r="606" spans="1:8">
      <c r="A606" s="2" t="s">
        <v>621</v>
      </c>
      <c r="B606" t="b">
        <v>1</v>
      </c>
      <c r="C6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 s="9">
        <v>-3</v>
      </c>
      <c r="H606" t="s">
        <v>707</v>
      </c>
    </row>
    <row r="607" spans="1:8">
      <c r="A607" s="2" t="s">
        <v>622</v>
      </c>
      <c r="B607" t="b">
        <v>1</v>
      </c>
      <c r="C6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 s="9">
        <v>0</v>
      </c>
      <c r="H607" t="s">
        <v>707</v>
      </c>
    </row>
    <row r="608" spans="1:8">
      <c r="A608" s="2" t="s">
        <v>623</v>
      </c>
      <c r="B608" t="b">
        <v>1</v>
      </c>
      <c r="C6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 s="9">
        <v>0</v>
      </c>
      <c r="H608" t="s">
        <v>707</v>
      </c>
    </row>
    <row r="609" spans="1:8">
      <c r="A609" s="2" t="s">
        <v>624</v>
      </c>
      <c r="B609" t="b">
        <v>1</v>
      </c>
      <c r="C6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 s="9">
        <v>0</v>
      </c>
      <c r="H609" t="s">
        <v>707</v>
      </c>
    </row>
    <row r="610" spans="1:8">
      <c r="A610" s="2" t="s">
        <v>625</v>
      </c>
      <c r="B610" t="b">
        <v>1</v>
      </c>
      <c r="C6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 s="9">
        <v>0</v>
      </c>
      <c r="H610" t="s">
        <v>707</v>
      </c>
    </row>
    <row r="611" spans="1:8">
      <c r="A611" s="2" t="s">
        <v>626</v>
      </c>
      <c r="B611" t="b">
        <v>1</v>
      </c>
      <c r="C6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 s="9">
        <v>-3</v>
      </c>
      <c r="H611" t="s">
        <v>707</v>
      </c>
    </row>
    <row r="612" spans="1:8">
      <c r="A612" s="2" t="s">
        <v>627</v>
      </c>
      <c r="B612" t="b">
        <v>1</v>
      </c>
      <c r="C6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 s="9">
        <v>0</v>
      </c>
      <c r="H612" t="s">
        <v>707</v>
      </c>
    </row>
    <row r="613" spans="1:8">
      <c r="A613" s="2" t="s">
        <v>628</v>
      </c>
      <c r="B613" t="b">
        <v>1</v>
      </c>
      <c r="C6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 s="9">
        <v>0</v>
      </c>
      <c r="H613" t="s">
        <v>707</v>
      </c>
    </row>
    <row r="614" spans="1:8">
      <c r="A614" s="2" t="s">
        <v>629</v>
      </c>
      <c r="B614" t="b">
        <v>1</v>
      </c>
      <c r="C6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 s="9">
        <v>0</v>
      </c>
      <c r="H614" t="s">
        <v>707</v>
      </c>
    </row>
    <row r="615" spans="1:8">
      <c r="A615" s="2" t="s">
        <v>630</v>
      </c>
      <c r="B615" t="b">
        <v>1</v>
      </c>
      <c r="C6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 s="9">
        <v>0</v>
      </c>
      <c r="H615" t="s">
        <v>707</v>
      </c>
    </row>
    <row r="616" spans="1:8">
      <c r="A616" s="2" t="s">
        <v>631</v>
      </c>
      <c r="B616" t="b">
        <v>1</v>
      </c>
      <c r="C6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 s="9">
        <v>0</v>
      </c>
      <c r="H616" t="s">
        <v>707</v>
      </c>
    </row>
    <row r="617" spans="1:8">
      <c r="A617" s="2" t="s">
        <v>632</v>
      </c>
      <c r="B617" t="b">
        <v>1</v>
      </c>
      <c r="C6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 s="9">
        <v>0</v>
      </c>
      <c r="H617" t="s">
        <v>707</v>
      </c>
    </row>
    <row r="618" spans="1:8">
      <c r="A618" s="2" t="s">
        <v>633</v>
      </c>
      <c r="B618" t="b">
        <v>1</v>
      </c>
      <c r="C6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 s="9">
        <v>0</v>
      </c>
      <c r="H618" t="s">
        <v>707</v>
      </c>
    </row>
    <row r="619" spans="1:8">
      <c r="A619" s="2" t="s">
        <v>634</v>
      </c>
      <c r="B619" t="b">
        <v>1</v>
      </c>
      <c r="C6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 s="9">
        <v>0</v>
      </c>
      <c r="H619" t="s">
        <v>707</v>
      </c>
    </row>
    <row r="620" spans="1:8">
      <c r="A620" s="2" t="s">
        <v>635</v>
      </c>
      <c r="B620" t="b">
        <v>1</v>
      </c>
      <c r="C6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 s="9">
        <v>-3</v>
      </c>
      <c r="H620" t="s">
        <v>707</v>
      </c>
    </row>
    <row r="621" spans="1:8">
      <c r="A621" s="2" t="s">
        <v>636</v>
      </c>
      <c r="B621" t="b">
        <v>1</v>
      </c>
      <c r="C6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 s="9">
        <v>0</v>
      </c>
      <c r="H621" t="s">
        <v>707</v>
      </c>
    </row>
    <row r="622" spans="1:8">
      <c r="A622" s="2" t="s">
        <v>637</v>
      </c>
      <c r="B622" t="b">
        <v>1</v>
      </c>
      <c r="C6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 s="9">
        <v>0</v>
      </c>
      <c r="H622" t="s">
        <v>707</v>
      </c>
    </row>
    <row r="623" spans="1:8">
      <c r="A623" s="2" t="s">
        <v>638</v>
      </c>
      <c r="B623" t="b">
        <v>1</v>
      </c>
      <c r="C6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 s="9">
        <v>0</v>
      </c>
      <c r="H623" t="s">
        <v>707</v>
      </c>
    </row>
    <row r="624" spans="1:8">
      <c r="A624" s="2" t="s">
        <v>639</v>
      </c>
      <c r="B624" t="b">
        <v>1</v>
      </c>
      <c r="C6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 s="9">
        <v>0</v>
      </c>
      <c r="H624" t="s">
        <v>707</v>
      </c>
    </row>
    <row r="625" spans="1:8">
      <c r="A625" s="2" t="s">
        <v>640</v>
      </c>
      <c r="B625" t="b">
        <v>1</v>
      </c>
      <c r="C6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 s="9">
        <v>0</v>
      </c>
      <c r="H625" t="s">
        <v>707</v>
      </c>
    </row>
    <row r="626" spans="1:8">
      <c r="A626" s="2" t="s">
        <v>641</v>
      </c>
      <c r="B626" t="b">
        <v>1</v>
      </c>
      <c r="C6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 s="9">
        <v>0</v>
      </c>
      <c r="H626" t="s">
        <v>707</v>
      </c>
    </row>
    <row r="627" spans="1:8">
      <c r="A627" s="2" t="s">
        <v>642</v>
      </c>
      <c r="B627" t="b">
        <v>1</v>
      </c>
      <c r="C6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 s="9">
        <v>0</v>
      </c>
      <c r="H627" t="s">
        <v>707</v>
      </c>
    </row>
    <row r="628" spans="1:8">
      <c r="A628" s="2" t="s">
        <v>643</v>
      </c>
      <c r="B628" t="b">
        <v>1</v>
      </c>
      <c r="C6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 s="9">
        <v>0</v>
      </c>
      <c r="H628" t="s">
        <v>707</v>
      </c>
    </row>
    <row r="629" spans="1:8">
      <c r="A629" s="2" t="s">
        <v>644</v>
      </c>
      <c r="B629" t="b">
        <v>1</v>
      </c>
      <c r="C6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 s="9">
        <v>0</v>
      </c>
      <c r="H629" t="s">
        <v>707</v>
      </c>
    </row>
    <row r="630" spans="1:8">
      <c r="A630" s="2" t="s">
        <v>645</v>
      </c>
      <c r="B630" t="b">
        <v>1</v>
      </c>
      <c r="C6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 s="9">
        <v>0</v>
      </c>
      <c r="H630" t="s">
        <v>707</v>
      </c>
    </row>
    <row r="631" spans="1:8">
      <c r="A631" s="2" t="s">
        <v>646</v>
      </c>
      <c r="B631" t="b">
        <v>1</v>
      </c>
      <c r="C6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 s="9">
        <v>-3</v>
      </c>
      <c r="H631" t="s">
        <v>707</v>
      </c>
    </row>
    <row r="632" spans="1:8">
      <c r="A632" s="2" t="s">
        <v>647</v>
      </c>
      <c r="B632" t="b">
        <v>1</v>
      </c>
      <c r="C6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 s="9">
        <v>0</v>
      </c>
      <c r="H632" t="s">
        <v>707</v>
      </c>
    </row>
    <row r="633" spans="1:8">
      <c r="A633" s="2" t="s">
        <v>648</v>
      </c>
      <c r="B633" t="b">
        <v>1</v>
      </c>
      <c r="C6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 s="9">
        <v>0</v>
      </c>
      <c r="H633" t="s">
        <v>707</v>
      </c>
    </row>
    <row r="634" spans="1:8">
      <c r="A634" s="2" t="s">
        <v>649</v>
      </c>
      <c r="B634" t="b">
        <v>1</v>
      </c>
      <c r="C6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 s="9">
        <v>0</v>
      </c>
      <c r="H634" t="s">
        <v>707</v>
      </c>
    </row>
    <row r="635" spans="1:8">
      <c r="A635" s="2" t="s">
        <v>650</v>
      </c>
      <c r="B635" t="b">
        <v>1</v>
      </c>
      <c r="C6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 s="9">
        <v>0</v>
      </c>
      <c r="H635" t="s">
        <v>707</v>
      </c>
    </row>
    <row r="636" spans="1:8">
      <c r="A636" s="2" t="s">
        <v>651</v>
      </c>
      <c r="B636" t="b">
        <v>1</v>
      </c>
      <c r="C6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 s="9">
        <v>0</v>
      </c>
      <c r="H636" t="s">
        <v>707</v>
      </c>
    </row>
    <row r="637" spans="1:8">
      <c r="A637" s="2" t="s">
        <v>652</v>
      </c>
      <c r="B637" t="b">
        <v>1</v>
      </c>
      <c r="C6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 s="9">
        <v>-3</v>
      </c>
      <c r="H637" t="s">
        <v>707</v>
      </c>
    </row>
    <row r="638" spans="1:8">
      <c r="A638" s="2" t="s">
        <v>653</v>
      </c>
      <c r="B638" t="b">
        <v>1</v>
      </c>
      <c r="C6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 s="9">
        <v>-3</v>
      </c>
      <c r="H638" t="s">
        <v>707</v>
      </c>
    </row>
    <row r="639" spans="1:8">
      <c r="A639" s="2" t="s">
        <v>654</v>
      </c>
      <c r="B639" t="b">
        <v>1</v>
      </c>
      <c r="C6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 s="9">
        <v>-3</v>
      </c>
      <c r="H639" t="s">
        <v>707</v>
      </c>
    </row>
    <row r="640" spans="1:8">
      <c r="A640" s="2" t="s">
        <v>655</v>
      </c>
      <c r="B640" t="b">
        <v>1</v>
      </c>
      <c r="C6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 s="9">
        <v>-3</v>
      </c>
      <c r="H640" t="s">
        <v>707</v>
      </c>
    </row>
    <row r="641" spans="1:8">
      <c r="A641" s="2" t="s">
        <v>656</v>
      </c>
      <c r="B641" t="b">
        <v>1</v>
      </c>
      <c r="C6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 s="9">
        <v>0</v>
      </c>
      <c r="H641" t="s">
        <v>707</v>
      </c>
    </row>
    <row r="642" spans="1:8">
      <c r="A642" s="2" t="s">
        <v>657</v>
      </c>
      <c r="B642" t="b">
        <v>1</v>
      </c>
      <c r="C6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 s="9">
        <v>0</v>
      </c>
      <c r="H642" t="s">
        <v>707</v>
      </c>
    </row>
    <row r="643" spans="1:8">
      <c r="A643" s="2" t="s">
        <v>658</v>
      </c>
      <c r="B643" t="b">
        <v>1</v>
      </c>
      <c r="C6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 s="9">
        <v>-3</v>
      </c>
      <c r="H643" t="s">
        <v>707</v>
      </c>
    </row>
    <row r="644" spans="1:8">
      <c r="A644" s="2" t="s">
        <v>659</v>
      </c>
      <c r="B644" t="b">
        <v>1</v>
      </c>
      <c r="C6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 s="9">
        <v>-3</v>
      </c>
      <c r="H644" t="s">
        <v>707</v>
      </c>
    </row>
    <row r="645" spans="1:8">
      <c r="A645" s="2" t="s">
        <v>660</v>
      </c>
      <c r="B645" t="b">
        <v>1</v>
      </c>
      <c r="C6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 s="9">
        <v>0</v>
      </c>
      <c r="H645" t="s">
        <v>707</v>
      </c>
    </row>
    <row r="646" spans="1:8">
      <c r="A646" s="2" t="s">
        <v>661</v>
      </c>
      <c r="B646" t="b">
        <v>1</v>
      </c>
      <c r="C6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 s="9">
        <v>0</v>
      </c>
      <c r="H646" t="s">
        <v>707</v>
      </c>
    </row>
    <row r="647" spans="1:8">
      <c r="A647" s="2" t="s">
        <v>662</v>
      </c>
      <c r="B647" t="b">
        <v>1</v>
      </c>
      <c r="C6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 s="9">
        <v>0</v>
      </c>
      <c r="H647" t="s">
        <v>707</v>
      </c>
    </row>
    <row r="648" spans="1:8">
      <c r="A648" s="2" t="s">
        <v>663</v>
      </c>
      <c r="B648" t="b">
        <v>1</v>
      </c>
      <c r="C6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 s="9">
        <v>0</v>
      </c>
      <c r="H648" t="s">
        <v>707</v>
      </c>
    </row>
    <row r="649" spans="1:8">
      <c r="A649" s="2" t="s">
        <v>712</v>
      </c>
      <c r="B649" t="b">
        <v>1</v>
      </c>
      <c r="C6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 s="9">
        <v>0</v>
      </c>
      <c r="H649" t="s">
        <v>707</v>
      </c>
    </row>
    <row r="650" spans="1:8">
      <c r="A650" s="2" t="s">
        <v>711</v>
      </c>
      <c r="B650" t="b">
        <v>1</v>
      </c>
      <c r="C6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 s="9">
        <v>0</v>
      </c>
      <c r="H650" t="s">
        <v>707</v>
      </c>
    </row>
    <row r="651" spans="1:8">
      <c r="A651" s="2" t="s">
        <v>713</v>
      </c>
      <c r="B651" t="b">
        <v>1</v>
      </c>
      <c r="C6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 s="9">
        <v>0</v>
      </c>
      <c r="H651" t="s">
        <v>707</v>
      </c>
    </row>
    <row r="652" spans="1:8">
      <c r="A652" s="2" t="s">
        <v>714</v>
      </c>
      <c r="B652" t="b">
        <v>1</v>
      </c>
      <c r="C6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 s="9">
        <v>0</v>
      </c>
      <c r="H652" t="s">
        <v>707</v>
      </c>
    </row>
    <row r="653" spans="1:8">
      <c r="A653" s="2" t="s">
        <v>715</v>
      </c>
      <c r="B653" t="b">
        <v>1</v>
      </c>
      <c r="C6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 s="9">
        <v>0</v>
      </c>
      <c r="H653" t="s">
        <v>707</v>
      </c>
    </row>
    <row r="654" spans="1:8">
      <c r="A654" s="2" t="s">
        <v>716</v>
      </c>
      <c r="B654" t="b">
        <v>1</v>
      </c>
      <c r="C6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 s="9">
        <v>0</v>
      </c>
      <c r="H654" t="s">
        <v>707</v>
      </c>
    </row>
    <row r="655" spans="1:8">
      <c r="A655" s="2" t="s">
        <v>717</v>
      </c>
      <c r="B655" t="b">
        <v>1</v>
      </c>
      <c r="C6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 s="9">
        <v>0</v>
      </c>
      <c r="H655" t="s">
        <v>707</v>
      </c>
    </row>
    <row r="656" spans="1:8">
      <c r="A656" s="2" t="s">
        <v>718</v>
      </c>
      <c r="B656" t="b">
        <v>1</v>
      </c>
      <c r="C6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 s="9">
        <v>0</v>
      </c>
      <c r="H656" t="s">
        <v>707</v>
      </c>
    </row>
    <row r="657" spans="1:8">
      <c r="A657" s="2" t="s">
        <v>719</v>
      </c>
      <c r="B657" t="b">
        <v>1</v>
      </c>
      <c r="C6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 s="9">
        <v>0</v>
      </c>
      <c r="H657" t="s">
        <v>707</v>
      </c>
    </row>
    <row r="658" spans="1:8">
      <c r="A658" s="2" t="s">
        <v>720</v>
      </c>
      <c r="B658" t="b">
        <v>1</v>
      </c>
      <c r="C6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 s="9">
        <v>0</v>
      </c>
      <c r="H658" t="s">
        <v>707</v>
      </c>
    </row>
    <row r="659" spans="1:8">
      <c r="A659" s="2" t="s">
        <v>792</v>
      </c>
      <c r="B659" t="b">
        <v>1</v>
      </c>
      <c r="C6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 s="9">
        <v>0</v>
      </c>
      <c r="H659" t="s">
        <v>707</v>
      </c>
    </row>
    <row r="660" spans="1:8">
      <c r="A660" s="2" t="s">
        <v>793</v>
      </c>
      <c r="B660" t="b">
        <v>1</v>
      </c>
      <c r="C6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 s="9">
        <v>0</v>
      </c>
      <c r="H660" t="s">
        <v>707</v>
      </c>
    </row>
    <row r="661" spans="1:8">
      <c r="A661" s="2" t="s">
        <v>794</v>
      </c>
      <c r="B661" t="b">
        <v>1</v>
      </c>
      <c r="C6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 s="9">
        <v>0</v>
      </c>
      <c r="H661" t="s">
        <v>707</v>
      </c>
    </row>
    <row r="662" spans="1:8">
      <c r="A662" s="2" t="s">
        <v>795</v>
      </c>
      <c r="B662" t="b">
        <v>1</v>
      </c>
      <c r="C6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 s="9">
        <v>0</v>
      </c>
      <c r="H662" t="s">
        <v>707</v>
      </c>
    </row>
    <row r="663" spans="1:8">
      <c r="A663" s="2" t="s">
        <v>796</v>
      </c>
      <c r="B663" t="b">
        <v>1</v>
      </c>
      <c r="C6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 s="9">
        <v>0</v>
      </c>
      <c r="H663" t="s">
        <v>707</v>
      </c>
    </row>
    <row r="664" spans="1:8">
      <c r="A664" s="2" t="s">
        <v>797</v>
      </c>
      <c r="B664" t="b">
        <v>1</v>
      </c>
      <c r="C6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 s="9">
        <v>0</v>
      </c>
      <c r="H664" t="s">
        <v>707</v>
      </c>
    </row>
    <row r="665" spans="1:8">
      <c r="A665" s="2" t="s">
        <v>798</v>
      </c>
      <c r="B665" t="b">
        <v>1</v>
      </c>
      <c r="C6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 s="9">
        <v>0</v>
      </c>
      <c r="H665" t="s">
        <v>707</v>
      </c>
    </row>
    <row r="666" spans="1:8">
      <c r="A666" s="2" t="s">
        <v>799</v>
      </c>
      <c r="B666" t="b">
        <v>1</v>
      </c>
      <c r="C6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 s="9">
        <v>0</v>
      </c>
      <c r="H666" t="s">
        <v>707</v>
      </c>
    </row>
    <row r="667" spans="1:8">
      <c r="A667" s="2" t="s">
        <v>800</v>
      </c>
      <c r="B667" t="b">
        <v>1</v>
      </c>
      <c r="C6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 s="9">
        <v>0</v>
      </c>
      <c r="H667" t="s">
        <v>707</v>
      </c>
    </row>
    <row r="668" spans="1:8">
      <c r="A668" s="2" t="s">
        <v>801</v>
      </c>
      <c r="B668" t="b">
        <v>1</v>
      </c>
      <c r="C6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 s="9">
        <v>0</v>
      </c>
      <c r="H668" t="s">
        <v>707</v>
      </c>
    </row>
    <row r="669" spans="1:8">
      <c r="A669" s="2" t="s">
        <v>802</v>
      </c>
      <c r="B669" t="b">
        <v>1</v>
      </c>
      <c r="C6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 s="9">
        <v>0</v>
      </c>
      <c r="H669" t="s">
        <v>707</v>
      </c>
    </row>
    <row r="670" spans="1:8">
      <c r="A670" s="2" t="s">
        <v>803</v>
      </c>
      <c r="B670" t="b">
        <v>1</v>
      </c>
      <c r="C6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 s="9">
        <v>0</v>
      </c>
      <c r="H670" t="s">
        <v>707</v>
      </c>
    </row>
    <row r="671" spans="1:8">
      <c r="A671" s="2" t="s">
        <v>804</v>
      </c>
      <c r="B671" t="b">
        <v>1</v>
      </c>
      <c r="C6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 s="9">
        <v>0</v>
      </c>
      <c r="H671" t="s">
        <v>707</v>
      </c>
    </row>
    <row r="672" spans="1:8">
      <c r="A672" s="2" t="s">
        <v>805</v>
      </c>
      <c r="B672" t="b">
        <v>1</v>
      </c>
      <c r="C6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 s="9">
        <v>0</v>
      </c>
      <c r="H672" t="s">
        <v>707</v>
      </c>
    </row>
    <row r="673" spans="1:8">
      <c r="A673" s="2" t="s">
        <v>806</v>
      </c>
      <c r="B673" t="b">
        <v>1</v>
      </c>
      <c r="C6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 s="9">
        <v>0</v>
      </c>
      <c r="H673" t="s">
        <v>707</v>
      </c>
    </row>
    <row r="674" spans="1:8">
      <c r="A674" s="2" t="s">
        <v>807</v>
      </c>
      <c r="B674" t="b">
        <v>1</v>
      </c>
      <c r="C6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 s="9">
        <v>0</v>
      </c>
      <c r="H674" t="s">
        <v>707</v>
      </c>
    </row>
    <row r="675" spans="1:8">
      <c r="A675" s="2" t="s">
        <v>808</v>
      </c>
      <c r="B675" t="b">
        <v>1</v>
      </c>
      <c r="C6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 s="9">
        <v>0</v>
      </c>
      <c r="H675" t="s">
        <v>707</v>
      </c>
    </row>
    <row r="676" spans="1:8">
      <c r="A676" s="2" t="s">
        <v>809</v>
      </c>
      <c r="B676" t="b">
        <v>1</v>
      </c>
      <c r="C6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 s="9">
        <v>0</v>
      </c>
      <c r="H676" t="s">
        <v>707</v>
      </c>
    </row>
    <row r="677" spans="1:8">
      <c r="A677" s="2" t="s">
        <v>810</v>
      </c>
      <c r="B677" t="b">
        <v>1</v>
      </c>
      <c r="C6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 s="9">
        <v>0</v>
      </c>
      <c r="H677" t="s">
        <v>707</v>
      </c>
    </row>
    <row r="678" spans="1:8">
      <c r="A678" s="2" t="s">
        <v>811</v>
      </c>
      <c r="B678" t="b">
        <v>1</v>
      </c>
      <c r="C6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 s="9">
        <v>0</v>
      </c>
      <c r="H678" t="s">
        <v>707</v>
      </c>
    </row>
    <row r="679" spans="1:8">
      <c r="A679" s="2" t="s">
        <v>812</v>
      </c>
      <c r="B679" t="b">
        <v>1</v>
      </c>
      <c r="C6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 s="9">
        <v>0</v>
      </c>
      <c r="H679" t="s">
        <v>707</v>
      </c>
    </row>
    <row r="680" spans="1:8">
      <c r="A680" s="2" t="s">
        <v>813</v>
      </c>
      <c r="B680" t="b">
        <v>1</v>
      </c>
      <c r="C6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 s="9">
        <v>0</v>
      </c>
      <c r="H680" t="s">
        <v>707</v>
      </c>
    </row>
    <row r="681" spans="1:8">
      <c r="A681" s="2" t="s">
        <v>814</v>
      </c>
      <c r="B681" t="b">
        <v>1</v>
      </c>
      <c r="C6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 s="9">
        <v>0</v>
      </c>
      <c r="H681" t="s">
        <v>707</v>
      </c>
    </row>
    <row r="682" spans="1:8">
      <c r="A682" s="2" t="s">
        <v>815</v>
      </c>
      <c r="B682" t="b">
        <v>1</v>
      </c>
      <c r="C6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 s="9">
        <v>0</v>
      </c>
      <c r="H682" t="s">
        <v>707</v>
      </c>
    </row>
    <row r="683" spans="1:8">
      <c r="A683" s="2" t="s">
        <v>816</v>
      </c>
      <c r="B683" t="b">
        <v>1</v>
      </c>
      <c r="C6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 s="9">
        <v>0</v>
      </c>
      <c r="H683" t="s">
        <v>707</v>
      </c>
    </row>
    <row r="684" spans="1:8">
      <c r="A684" s="2" t="s">
        <v>817</v>
      </c>
      <c r="B684" t="b">
        <v>1</v>
      </c>
      <c r="C6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 s="9">
        <v>0</v>
      </c>
      <c r="H684" t="s">
        <v>707</v>
      </c>
    </row>
    <row r="685" spans="1:8">
      <c r="A685" s="2" t="s">
        <v>818</v>
      </c>
      <c r="B685" t="b">
        <v>1</v>
      </c>
      <c r="C6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 s="9">
        <v>0</v>
      </c>
      <c r="H685" t="s">
        <v>707</v>
      </c>
    </row>
    <row r="686" spans="1:8">
      <c r="A686" s="2" t="s">
        <v>819</v>
      </c>
      <c r="B686" t="b">
        <v>1</v>
      </c>
      <c r="C6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 s="9">
        <v>0</v>
      </c>
      <c r="H686" t="s">
        <v>707</v>
      </c>
    </row>
    <row r="687" spans="1:8">
      <c r="A687" s="2" t="s">
        <v>820</v>
      </c>
      <c r="B687" t="b">
        <v>1</v>
      </c>
      <c r="C6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 s="9">
        <v>0</v>
      </c>
      <c r="H687" t="s">
        <v>707</v>
      </c>
    </row>
    <row r="688" spans="1:8">
      <c r="A688" s="2" t="s">
        <v>821</v>
      </c>
      <c r="B688" t="b">
        <v>1</v>
      </c>
      <c r="C6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 s="9">
        <v>0</v>
      </c>
      <c r="H688" t="s">
        <v>707</v>
      </c>
    </row>
    <row r="689" spans="1:8">
      <c r="A689" s="2" t="s">
        <v>822</v>
      </c>
      <c r="B689" t="b">
        <v>1</v>
      </c>
      <c r="C6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 s="9">
        <v>0</v>
      </c>
      <c r="H689" t="s">
        <v>707</v>
      </c>
    </row>
    <row r="690" spans="1:8">
      <c r="A690" s="2" t="s">
        <v>823</v>
      </c>
      <c r="B690" t="b">
        <v>1</v>
      </c>
      <c r="C6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 s="9">
        <v>0</v>
      </c>
      <c r="H690" t="s">
        <v>707</v>
      </c>
    </row>
    <row r="691" spans="1:8">
      <c r="A691" s="2" t="s">
        <v>824</v>
      </c>
      <c r="B691" t="b">
        <v>1</v>
      </c>
      <c r="C6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 s="9">
        <v>0</v>
      </c>
      <c r="H691" t="s">
        <v>707</v>
      </c>
    </row>
    <row r="692" spans="1:8">
      <c r="A692" s="2" t="s">
        <v>825</v>
      </c>
      <c r="B692" t="b">
        <v>1</v>
      </c>
      <c r="C6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 s="9">
        <v>0</v>
      </c>
      <c r="H692" t="s">
        <v>707</v>
      </c>
    </row>
    <row r="693" spans="1:8">
      <c r="A693" s="2" t="s">
        <v>826</v>
      </c>
      <c r="B693" t="b">
        <v>1</v>
      </c>
      <c r="C6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 s="9">
        <v>0</v>
      </c>
      <c r="H693" t="s">
        <v>707</v>
      </c>
    </row>
    <row r="694" spans="1:8">
      <c r="A694" s="2" t="s">
        <v>827</v>
      </c>
      <c r="B694" t="b">
        <v>1</v>
      </c>
      <c r="C6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 s="9">
        <v>0</v>
      </c>
      <c r="H694" t="s">
        <v>707</v>
      </c>
    </row>
    <row r="695" spans="1:8">
      <c r="A695" s="2" t="s">
        <v>828</v>
      </c>
      <c r="B695" t="b">
        <v>1</v>
      </c>
      <c r="C6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 s="9">
        <v>0</v>
      </c>
      <c r="H695" t="s">
        <v>707</v>
      </c>
    </row>
    <row r="696" spans="1:8">
      <c r="A696" s="2" t="s">
        <v>829</v>
      </c>
      <c r="B696" t="b">
        <v>1</v>
      </c>
      <c r="C6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 s="9">
        <v>0</v>
      </c>
      <c r="H696" t="s">
        <v>707</v>
      </c>
    </row>
    <row r="697" spans="1:8">
      <c r="A697" s="2" t="s">
        <v>830</v>
      </c>
      <c r="B697" t="b">
        <v>1</v>
      </c>
      <c r="C6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 s="9">
        <v>0</v>
      </c>
      <c r="H697" t="s">
        <v>707</v>
      </c>
    </row>
    <row r="698" spans="1:8">
      <c r="A698" s="2" t="s">
        <v>831</v>
      </c>
      <c r="B698" t="b">
        <v>1</v>
      </c>
      <c r="C6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 s="9">
        <v>0</v>
      </c>
      <c r="H698" t="s">
        <v>707</v>
      </c>
    </row>
    <row r="699" spans="1:8">
      <c r="A699" s="2" t="s">
        <v>832</v>
      </c>
      <c r="B699" t="b">
        <v>1</v>
      </c>
      <c r="C6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 s="9">
        <v>0</v>
      </c>
      <c r="H699" t="s">
        <v>707</v>
      </c>
    </row>
    <row r="700" spans="1:8">
      <c r="A700" s="2" t="s">
        <v>833</v>
      </c>
      <c r="B700" t="b">
        <v>1</v>
      </c>
      <c r="C7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 s="9">
        <v>0</v>
      </c>
      <c r="H700" t="s">
        <v>707</v>
      </c>
    </row>
    <row r="701" spans="1:8">
      <c r="A701" s="2" t="s">
        <v>834</v>
      </c>
      <c r="B701" t="b">
        <v>1</v>
      </c>
      <c r="C7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 s="9">
        <v>0</v>
      </c>
      <c r="H701" t="s">
        <v>707</v>
      </c>
    </row>
    <row r="702" spans="1:8">
      <c r="A702" s="2" t="s">
        <v>835</v>
      </c>
      <c r="B702" t="b">
        <v>1</v>
      </c>
      <c r="C7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 s="9">
        <v>0</v>
      </c>
      <c r="H702" t="s">
        <v>707</v>
      </c>
    </row>
    <row r="703" spans="1:8">
      <c r="A703" s="2" t="s">
        <v>836</v>
      </c>
      <c r="B703" t="b">
        <v>1</v>
      </c>
      <c r="C7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 s="9">
        <v>0</v>
      </c>
      <c r="H703" t="s">
        <v>707</v>
      </c>
    </row>
    <row r="704" spans="1:8">
      <c r="A704" s="2" t="s">
        <v>837</v>
      </c>
      <c r="B704" t="b">
        <v>1</v>
      </c>
      <c r="C7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 s="9">
        <v>0</v>
      </c>
      <c r="H704" t="s">
        <v>707</v>
      </c>
    </row>
    <row r="705" spans="1:8">
      <c r="A705" s="2" t="s">
        <v>838</v>
      </c>
      <c r="B705" t="b">
        <v>1</v>
      </c>
      <c r="C7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 s="9">
        <v>0</v>
      </c>
      <c r="H705" t="s">
        <v>707</v>
      </c>
    </row>
    <row r="706" spans="1:8">
      <c r="A706" s="2" t="s">
        <v>839</v>
      </c>
      <c r="B706" t="b">
        <v>1</v>
      </c>
      <c r="C7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 s="9">
        <v>0</v>
      </c>
      <c r="H706" t="s">
        <v>707</v>
      </c>
    </row>
    <row r="707" spans="1:8">
      <c r="A707" s="2" t="s">
        <v>840</v>
      </c>
      <c r="B707" t="b">
        <v>1</v>
      </c>
      <c r="C7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 s="9">
        <v>0</v>
      </c>
      <c r="H707" t="s">
        <v>707</v>
      </c>
    </row>
    <row r="708" spans="1:8">
      <c r="A708" s="2" t="s">
        <v>841</v>
      </c>
      <c r="B708" t="b">
        <v>1</v>
      </c>
      <c r="C7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 s="9">
        <v>0</v>
      </c>
      <c r="H708" t="s">
        <v>707</v>
      </c>
    </row>
    <row r="709" spans="1:8">
      <c r="A709" s="2" t="s">
        <v>842</v>
      </c>
      <c r="B709" t="b">
        <v>1</v>
      </c>
      <c r="C7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 s="9">
        <v>0</v>
      </c>
      <c r="H709" t="s">
        <v>707</v>
      </c>
    </row>
    <row r="710" spans="1:8">
      <c r="A710" s="2" t="s">
        <v>843</v>
      </c>
      <c r="B710" t="b">
        <v>1</v>
      </c>
      <c r="C7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 s="9">
        <v>0</v>
      </c>
      <c r="H710" t="s">
        <v>707</v>
      </c>
    </row>
    <row r="711" spans="1:8">
      <c r="A711" s="2" t="s">
        <v>844</v>
      </c>
      <c r="B711" t="b">
        <v>1</v>
      </c>
      <c r="C7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 s="9">
        <v>0</v>
      </c>
      <c r="H711" t="s">
        <v>707</v>
      </c>
    </row>
    <row r="712" spans="1:8">
      <c r="A712" s="2" t="s">
        <v>845</v>
      </c>
      <c r="B712" t="b">
        <v>1</v>
      </c>
      <c r="C7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 s="9">
        <v>0</v>
      </c>
      <c r="H712" t="s">
        <v>707</v>
      </c>
    </row>
    <row r="713" spans="1:8">
      <c r="A713" s="2" t="s">
        <v>846</v>
      </c>
      <c r="B713" t="b">
        <v>1</v>
      </c>
      <c r="C7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 s="9">
        <v>0</v>
      </c>
      <c r="H713" t="s">
        <v>707</v>
      </c>
    </row>
    <row r="714" spans="1:8">
      <c r="A714" s="2" t="s">
        <v>847</v>
      </c>
      <c r="B714" t="b">
        <v>1</v>
      </c>
      <c r="C7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 s="9">
        <v>0</v>
      </c>
      <c r="H714" t="s">
        <v>707</v>
      </c>
    </row>
    <row r="715" spans="1:8">
      <c r="A715" s="2" t="s">
        <v>848</v>
      </c>
      <c r="B715" t="b">
        <v>1</v>
      </c>
      <c r="C7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 s="9">
        <v>0</v>
      </c>
      <c r="H715" t="s">
        <v>707</v>
      </c>
    </row>
    <row r="716" spans="1:8">
      <c r="A716" s="2" t="s">
        <v>849</v>
      </c>
      <c r="B716" t="b">
        <v>1</v>
      </c>
      <c r="C7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 s="9">
        <v>0</v>
      </c>
      <c r="H716" t="s">
        <v>707</v>
      </c>
    </row>
    <row r="717" spans="1:8">
      <c r="A717" s="2" t="s">
        <v>864</v>
      </c>
      <c r="B717" t="b">
        <v>1</v>
      </c>
      <c r="C7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 s="9">
        <v>0</v>
      </c>
      <c r="H717" t="s">
        <v>707</v>
      </c>
    </row>
    <row r="718" spans="1:8">
      <c r="A718" s="2" t="s">
        <v>865</v>
      </c>
      <c r="B718" t="b">
        <v>1</v>
      </c>
      <c r="C7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 s="9">
        <v>0</v>
      </c>
      <c r="H718" t="s">
        <v>707</v>
      </c>
    </row>
    <row r="719" spans="1:8">
      <c r="A719" s="2" t="s">
        <v>721</v>
      </c>
      <c r="B719" t="b">
        <v>1</v>
      </c>
      <c r="C7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 s="9">
        <v>0</v>
      </c>
      <c r="H719" t="s">
        <v>707</v>
      </c>
    </row>
    <row r="720" spans="1:8">
      <c r="A720" s="2" t="s">
        <v>722</v>
      </c>
      <c r="B720" t="b">
        <v>1</v>
      </c>
      <c r="C7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 s="9">
        <v>0</v>
      </c>
      <c r="H720" t="s">
        <v>707</v>
      </c>
    </row>
    <row r="721" spans="1:8">
      <c r="A721" s="2" t="s">
        <v>723</v>
      </c>
      <c r="B721" t="b">
        <v>1</v>
      </c>
      <c r="C7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 s="9">
        <v>0</v>
      </c>
      <c r="H721" t="s">
        <v>707</v>
      </c>
    </row>
    <row r="722" spans="1:8">
      <c r="A722" s="2" t="s">
        <v>724</v>
      </c>
      <c r="B722" t="b">
        <v>1</v>
      </c>
      <c r="C7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 s="9">
        <v>0</v>
      </c>
      <c r="H722" t="s">
        <v>707</v>
      </c>
    </row>
    <row r="723" spans="1:8">
      <c r="A723" s="2" t="s">
        <v>725</v>
      </c>
      <c r="B723" t="b">
        <v>1</v>
      </c>
      <c r="C7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 s="9">
        <v>0</v>
      </c>
      <c r="H723" t="s">
        <v>707</v>
      </c>
    </row>
    <row r="724" spans="1:8">
      <c r="A724" s="2" t="s">
        <v>726</v>
      </c>
      <c r="B724" t="b">
        <v>1</v>
      </c>
      <c r="C7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 s="9">
        <v>0</v>
      </c>
      <c r="H724" t="s">
        <v>707</v>
      </c>
    </row>
    <row r="725" spans="1:8">
      <c r="A725" s="2" t="s">
        <v>727</v>
      </c>
      <c r="B725" t="b">
        <v>1</v>
      </c>
      <c r="C7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 s="9">
        <v>0</v>
      </c>
      <c r="H725" t="s">
        <v>707</v>
      </c>
    </row>
    <row r="726" spans="1:8">
      <c r="A726" s="2" t="s">
        <v>728</v>
      </c>
      <c r="B726" t="b">
        <v>1</v>
      </c>
      <c r="C7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 s="9">
        <v>0</v>
      </c>
      <c r="H726" t="s">
        <v>707</v>
      </c>
    </row>
    <row r="727" spans="1:8">
      <c r="A727" s="2" t="s">
        <v>729</v>
      </c>
      <c r="B727" t="b">
        <v>1</v>
      </c>
      <c r="C7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 s="9">
        <v>0</v>
      </c>
      <c r="H727" t="s">
        <v>707</v>
      </c>
    </row>
    <row r="728" spans="1:8">
      <c r="A728" s="2" t="s">
        <v>730</v>
      </c>
      <c r="B728" t="b">
        <v>1</v>
      </c>
      <c r="C7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 s="9">
        <v>0</v>
      </c>
      <c r="H728" t="s">
        <v>707</v>
      </c>
    </row>
    <row r="729" spans="1:8">
      <c r="A729" s="2" t="s">
        <v>731</v>
      </c>
      <c r="B729" t="b">
        <v>1</v>
      </c>
      <c r="C7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 s="9">
        <v>0</v>
      </c>
      <c r="H729" t="s">
        <v>707</v>
      </c>
    </row>
    <row r="730" spans="1:8">
      <c r="A730" s="2" t="s">
        <v>732</v>
      </c>
      <c r="B730" t="b">
        <v>1</v>
      </c>
      <c r="C7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 s="9">
        <v>0</v>
      </c>
      <c r="H730" t="s">
        <v>707</v>
      </c>
    </row>
    <row r="731" spans="1:8">
      <c r="A731" s="2" t="s">
        <v>733</v>
      </c>
      <c r="B731" t="b">
        <v>1</v>
      </c>
      <c r="C7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 s="9">
        <v>0</v>
      </c>
      <c r="H731" t="s">
        <v>707</v>
      </c>
    </row>
    <row r="732" spans="1:8">
      <c r="A732" s="2" t="s">
        <v>734</v>
      </c>
      <c r="B732" t="b">
        <v>1</v>
      </c>
      <c r="C7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 s="9">
        <v>0</v>
      </c>
      <c r="H732" t="s">
        <v>707</v>
      </c>
    </row>
    <row r="733" spans="1:8">
      <c r="A733" s="2" t="s">
        <v>735</v>
      </c>
      <c r="B733" t="b">
        <v>1</v>
      </c>
      <c r="C7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 s="9">
        <v>0</v>
      </c>
      <c r="H733" t="s">
        <v>707</v>
      </c>
    </row>
    <row r="734" spans="1:8">
      <c r="A734" s="2" t="s">
        <v>736</v>
      </c>
      <c r="B734" t="b">
        <v>1</v>
      </c>
      <c r="C7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 s="9">
        <v>0</v>
      </c>
      <c r="H734" t="s">
        <v>707</v>
      </c>
    </row>
    <row r="735" spans="1:8">
      <c r="A735" s="2" t="s">
        <v>737</v>
      </c>
      <c r="B735" t="b">
        <v>1</v>
      </c>
      <c r="C7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 s="9">
        <v>0</v>
      </c>
      <c r="H735" t="s">
        <v>707</v>
      </c>
    </row>
    <row r="736" spans="1:8">
      <c r="A736" s="2" t="s">
        <v>738</v>
      </c>
      <c r="B736" t="b">
        <v>1</v>
      </c>
      <c r="C7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 s="9">
        <v>0</v>
      </c>
      <c r="H736" t="s">
        <v>707</v>
      </c>
    </row>
    <row r="737" spans="1:8">
      <c r="A737" s="2" t="s">
        <v>739</v>
      </c>
      <c r="B737" t="b">
        <v>1</v>
      </c>
      <c r="C7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 s="9">
        <v>0</v>
      </c>
      <c r="H737" t="s">
        <v>707</v>
      </c>
    </row>
    <row r="738" spans="1:8">
      <c r="A738" s="2" t="s">
        <v>740</v>
      </c>
      <c r="B738" t="b">
        <v>1</v>
      </c>
      <c r="C7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 s="9">
        <v>0</v>
      </c>
      <c r="H738" t="s">
        <v>707</v>
      </c>
    </row>
    <row r="739" spans="1:8">
      <c r="A739" s="2" t="s">
        <v>741</v>
      </c>
      <c r="B739" t="b">
        <v>1</v>
      </c>
      <c r="C7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 s="9">
        <v>0</v>
      </c>
      <c r="H739" t="s">
        <v>707</v>
      </c>
    </row>
    <row r="740" spans="1:8">
      <c r="A740" s="2" t="s">
        <v>742</v>
      </c>
      <c r="B740" t="b">
        <v>1</v>
      </c>
      <c r="C7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 s="9">
        <v>0</v>
      </c>
      <c r="H740" t="s">
        <v>707</v>
      </c>
    </row>
    <row r="741" spans="1:8">
      <c r="A741" s="2" t="s">
        <v>743</v>
      </c>
      <c r="B741" t="b">
        <v>1</v>
      </c>
      <c r="C7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 s="9">
        <v>0</v>
      </c>
      <c r="H741" t="s">
        <v>707</v>
      </c>
    </row>
    <row r="742" spans="1:8">
      <c r="A742" s="2" t="s">
        <v>744</v>
      </c>
      <c r="B742" t="b">
        <v>1</v>
      </c>
      <c r="C7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 s="9">
        <v>0</v>
      </c>
      <c r="H742" t="s">
        <v>707</v>
      </c>
    </row>
    <row r="743" spans="1:8">
      <c r="A743" s="2" t="s">
        <v>745</v>
      </c>
      <c r="B743" t="b">
        <v>1</v>
      </c>
      <c r="C7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 s="9">
        <v>0</v>
      </c>
      <c r="H743" t="s">
        <v>707</v>
      </c>
    </row>
    <row r="744" spans="1:8">
      <c r="A744" s="2" t="s">
        <v>746</v>
      </c>
      <c r="B744" t="b">
        <v>1</v>
      </c>
      <c r="C7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 s="9">
        <v>0</v>
      </c>
      <c r="H744" t="s">
        <v>707</v>
      </c>
    </row>
    <row r="745" spans="1:8">
      <c r="A745" s="2" t="s">
        <v>747</v>
      </c>
      <c r="B745" t="b">
        <v>1</v>
      </c>
      <c r="C7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 s="9">
        <v>0</v>
      </c>
      <c r="H745" t="s">
        <v>707</v>
      </c>
    </row>
    <row r="746" spans="1:8">
      <c r="A746" s="2" t="s">
        <v>748</v>
      </c>
      <c r="B746" t="b">
        <v>1</v>
      </c>
      <c r="C7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 s="9">
        <v>0</v>
      </c>
      <c r="H746" t="s">
        <v>707</v>
      </c>
    </row>
    <row r="747" spans="1:8">
      <c r="A747" s="2" t="s">
        <v>749</v>
      </c>
      <c r="B747" t="b">
        <v>1</v>
      </c>
      <c r="C7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 s="9">
        <v>0</v>
      </c>
      <c r="H747" t="s">
        <v>707</v>
      </c>
    </row>
    <row r="748" spans="1:8">
      <c r="A748" s="2" t="s">
        <v>750</v>
      </c>
      <c r="B748" t="b">
        <v>1</v>
      </c>
      <c r="C7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 s="9">
        <v>0</v>
      </c>
      <c r="H748" t="s">
        <v>707</v>
      </c>
    </row>
    <row r="749" spans="1:8">
      <c r="A749" s="2" t="s">
        <v>751</v>
      </c>
      <c r="B749" t="b">
        <v>1</v>
      </c>
      <c r="C7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 s="9">
        <v>0</v>
      </c>
      <c r="H749" t="s">
        <v>707</v>
      </c>
    </row>
    <row r="750" spans="1:8">
      <c r="A750" s="2" t="s">
        <v>752</v>
      </c>
      <c r="B750" t="b">
        <v>1</v>
      </c>
      <c r="C7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 s="9">
        <v>0</v>
      </c>
      <c r="H750" t="s">
        <v>707</v>
      </c>
    </row>
    <row r="751" spans="1:8">
      <c r="A751" s="2" t="s">
        <v>753</v>
      </c>
      <c r="B751" t="b">
        <v>1</v>
      </c>
      <c r="C7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 s="9">
        <v>0</v>
      </c>
      <c r="H751" t="s">
        <v>707</v>
      </c>
    </row>
    <row r="752" spans="1:8">
      <c r="A752" s="2" t="s">
        <v>754</v>
      </c>
      <c r="B752" t="b">
        <v>1</v>
      </c>
      <c r="C7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 s="9">
        <v>0</v>
      </c>
      <c r="H752" t="s">
        <v>707</v>
      </c>
    </row>
    <row r="753" spans="1:8">
      <c r="A753" s="2" t="s">
        <v>755</v>
      </c>
      <c r="B753" t="b">
        <v>1</v>
      </c>
      <c r="C7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 s="9">
        <v>0</v>
      </c>
      <c r="H753" t="s">
        <v>707</v>
      </c>
    </row>
    <row r="754" spans="1:8">
      <c r="A754" s="2" t="s">
        <v>756</v>
      </c>
      <c r="B754" t="b">
        <v>1</v>
      </c>
      <c r="C7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 s="9">
        <v>0</v>
      </c>
      <c r="H754" t="s">
        <v>707</v>
      </c>
    </row>
    <row r="755" spans="1:8">
      <c r="A755" s="2" t="s">
        <v>757</v>
      </c>
      <c r="B755" t="b">
        <v>1</v>
      </c>
      <c r="C7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 s="9">
        <v>0</v>
      </c>
      <c r="H755" t="s">
        <v>707</v>
      </c>
    </row>
    <row r="756" spans="1:8">
      <c r="A756" s="2" t="s">
        <v>758</v>
      </c>
      <c r="B756" t="b">
        <v>1</v>
      </c>
      <c r="C7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 s="9">
        <v>0</v>
      </c>
      <c r="H756" t="s">
        <v>707</v>
      </c>
    </row>
    <row r="757" spans="1:8">
      <c r="A757" s="2" t="s">
        <v>759</v>
      </c>
      <c r="B757" t="b">
        <v>1</v>
      </c>
      <c r="C7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 s="9">
        <v>0</v>
      </c>
      <c r="H757" t="s">
        <v>707</v>
      </c>
    </row>
    <row r="758" spans="1:8">
      <c r="A758" s="2" t="s">
        <v>760</v>
      </c>
      <c r="B758" t="b">
        <v>1</v>
      </c>
      <c r="C7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 s="9">
        <v>0</v>
      </c>
      <c r="H758" t="s">
        <v>707</v>
      </c>
    </row>
    <row r="759" spans="1:8">
      <c r="A759" s="2" t="s">
        <v>761</v>
      </c>
      <c r="B759" t="b">
        <v>1</v>
      </c>
      <c r="C7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 s="9">
        <v>0</v>
      </c>
      <c r="H759" t="s">
        <v>707</v>
      </c>
    </row>
    <row r="760" spans="1:8">
      <c r="A760" s="2" t="s">
        <v>762</v>
      </c>
      <c r="B760" t="b">
        <v>1</v>
      </c>
      <c r="C7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 s="9">
        <v>0</v>
      </c>
      <c r="H760" t="s">
        <v>707</v>
      </c>
    </row>
    <row r="761" spans="1:8">
      <c r="A761" s="2" t="s">
        <v>763</v>
      </c>
      <c r="B761" t="b">
        <v>1</v>
      </c>
      <c r="C7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 s="9">
        <v>0</v>
      </c>
      <c r="H761" t="s">
        <v>707</v>
      </c>
    </row>
    <row r="762" spans="1:8">
      <c r="A762" s="2" t="s">
        <v>764</v>
      </c>
      <c r="B762" t="b">
        <v>1</v>
      </c>
      <c r="C7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 s="9">
        <v>0</v>
      </c>
      <c r="H762" t="s">
        <v>707</v>
      </c>
    </row>
    <row r="763" spans="1:8">
      <c r="A763" s="2" t="s">
        <v>765</v>
      </c>
      <c r="B763" t="b">
        <v>1</v>
      </c>
      <c r="C7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 s="9">
        <v>0</v>
      </c>
      <c r="H763" t="s">
        <v>707</v>
      </c>
    </row>
    <row r="764" spans="1:8">
      <c r="A764" s="2" t="s">
        <v>766</v>
      </c>
      <c r="B764" t="b">
        <v>1</v>
      </c>
      <c r="C7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 s="9">
        <v>0</v>
      </c>
      <c r="H764" t="s">
        <v>707</v>
      </c>
    </row>
    <row r="765" spans="1:8">
      <c r="A765" s="2" t="s">
        <v>767</v>
      </c>
      <c r="B765" t="b">
        <v>1</v>
      </c>
      <c r="C7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 s="9">
        <v>0</v>
      </c>
      <c r="H765" t="s">
        <v>707</v>
      </c>
    </row>
    <row r="766" spans="1:8">
      <c r="A766" s="2" t="s">
        <v>768</v>
      </c>
      <c r="B766" t="b">
        <v>1</v>
      </c>
      <c r="C7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 s="9">
        <v>0</v>
      </c>
      <c r="H766" t="s">
        <v>707</v>
      </c>
    </row>
    <row r="767" spans="1:8">
      <c r="A767" s="2" t="s">
        <v>769</v>
      </c>
      <c r="B767" t="b">
        <v>1</v>
      </c>
      <c r="C7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 s="9">
        <v>0</v>
      </c>
      <c r="H767" t="s">
        <v>707</v>
      </c>
    </row>
    <row r="768" spans="1:8">
      <c r="A768" s="2" t="s">
        <v>770</v>
      </c>
      <c r="B768" t="b">
        <v>1</v>
      </c>
      <c r="C7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 s="9">
        <v>0</v>
      </c>
      <c r="H768" t="s">
        <v>707</v>
      </c>
    </row>
    <row r="769" spans="1:8">
      <c r="A769" s="2" t="s">
        <v>771</v>
      </c>
      <c r="B769" t="b">
        <v>1</v>
      </c>
      <c r="C7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1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 s="9">
        <v>0</v>
      </c>
      <c r="H769" t="s">
        <v>707</v>
      </c>
    </row>
    <row r="770" spans="1:8">
      <c r="A770" s="2" t="s">
        <v>772</v>
      </c>
      <c r="B770" t="b">
        <v>1</v>
      </c>
      <c r="C7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 s="9">
        <v>0</v>
      </c>
      <c r="H770" t="s">
        <v>707</v>
      </c>
    </row>
    <row r="771" spans="1:8">
      <c r="A771" s="2" t="s">
        <v>773</v>
      </c>
      <c r="B771" t="b">
        <v>1</v>
      </c>
      <c r="C7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 s="9">
        <v>0</v>
      </c>
      <c r="H771" t="s">
        <v>707</v>
      </c>
    </row>
    <row r="772" spans="1:8">
      <c r="A772" s="2" t="s">
        <v>774</v>
      </c>
      <c r="B772" t="b">
        <v>1</v>
      </c>
      <c r="C7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 s="9">
        <v>0</v>
      </c>
      <c r="H772" t="s">
        <v>707</v>
      </c>
    </row>
    <row r="773" spans="1:8">
      <c r="A773" s="2" t="s">
        <v>775</v>
      </c>
      <c r="B773" t="b">
        <v>1</v>
      </c>
      <c r="C7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 s="9">
        <v>0</v>
      </c>
      <c r="H773" t="s">
        <v>707</v>
      </c>
    </row>
    <row r="774" spans="1:8">
      <c r="A774" s="2" t="s">
        <v>776</v>
      </c>
      <c r="B774" t="b">
        <v>1</v>
      </c>
      <c r="C7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 s="9">
        <v>0</v>
      </c>
      <c r="H774" t="s">
        <v>707</v>
      </c>
    </row>
    <row r="775" spans="1:8">
      <c r="A775" s="2" t="s">
        <v>777</v>
      </c>
      <c r="B775" t="b">
        <v>1</v>
      </c>
      <c r="C7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 s="9">
        <v>0</v>
      </c>
      <c r="H775" t="s">
        <v>707</v>
      </c>
    </row>
    <row r="776" spans="1:8">
      <c r="A776" s="2" t="s">
        <v>778</v>
      </c>
      <c r="B776" t="b">
        <v>1</v>
      </c>
      <c r="C7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 s="9">
        <v>0</v>
      </c>
      <c r="H776" t="s">
        <v>707</v>
      </c>
    </row>
    <row r="777" spans="1:8">
      <c r="A777" s="2" t="s">
        <v>779</v>
      </c>
      <c r="B777" t="b">
        <v>1</v>
      </c>
      <c r="C7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 s="9">
        <v>0</v>
      </c>
      <c r="H777" t="s">
        <v>707</v>
      </c>
    </row>
    <row r="778" spans="1:8">
      <c r="A778" s="2" t="s">
        <v>780</v>
      </c>
      <c r="B778" t="b">
        <v>1</v>
      </c>
      <c r="C7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 s="9">
        <v>0</v>
      </c>
      <c r="H778" t="s">
        <v>707</v>
      </c>
    </row>
    <row r="779" spans="1:8">
      <c r="A779" s="2" t="s">
        <v>781</v>
      </c>
      <c r="B779" t="b">
        <v>1</v>
      </c>
      <c r="C7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 s="9">
        <v>0</v>
      </c>
      <c r="H779" t="s">
        <v>707</v>
      </c>
    </row>
    <row r="780" spans="1:8">
      <c r="A780" s="2" t="s">
        <v>782</v>
      </c>
      <c r="B780" t="b">
        <v>1</v>
      </c>
      <c r="C7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 s="9">
        <v>0</v>
      </c>
      <c r="H780" t="s">
        <v>707</v>
      </c>
    </row>
    <row r="781" spans="1:8">
      <c r="A781" s="2" t="s">
        <v>783</v>
      </c>
      <c r="B781" t="b">
        <v>1</v>
      </c>
      <c r="C7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 s="9">
        <v>0</v>
      </c>
      <c r="H781" t="s">
        <v>707</v>
      </c>
    </row>
    <row r="782" spans="1:8">
      <c r="A782" s="2" t="s">
        <v>784</v>
      </c>
      <c r="B782" t="b">
        <v>1</v>
      </c>
      <c r="C7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 s="9">
        <v>0</v>
      </c>
      <c r="H782" t="s">
        <v>707</v>
      </c>
    </row>
    <row r="783" spans="1:8">
      <c r="A783" s="2" t="s">
        <v>785</v>
      </c>
      <c r="B783" t="b">
        <v>1</v>
      </c>
      <c r="C7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 s="9">
        <v>0</v>
      </c>
      <c r="H783" t="s">
        <v>707</v>
      </c>
    </row>
    <row r="784" spans="1:8">
      <c r="A784" s="2" t="s">
        <v>786</v>
      </c>
      <c r="B784" t="b">
        <v>1</v>
      </c>
      <c r="C7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 s="9">
        <v>0</v>
      </c>
      <c r="H784" t="s">
        <v>707</v>
      </c>
    </row>
    <row r="785" spans="1:8">
      <c r="A785" s="2" t="s">
        <v>787</v>
      </c>
      <c r="B785" t="b">
        <v>1</v>
      </c>
      <c r="C7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 s="9">
        <v>0</v>
      </c>
      <c r="H785" t="s">
        <v>707</v>
      </c>
    </row>
    <row r="786" spans="1:8">
      <c r="A786" s="2" t="s">
        <v>788</v>
      </c>
      <c r="B786" t="b">
        <v>1</v>
      </c>
      <c r="C7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 s="9">
        <v>0</v>
      </c>
      <c r="H786" t="s">
        <v>707</v>
      </c>
    </row>
    <row r="787" spans="1:8">
      <c r="A787" s="2" t="s">
        <v>789</v>
      </c>
      <c r="B787" t="b">
        <v>1</v>
      </c>
      <c r="C7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 s="9">
        <v>0</v>
      </c>
      <c r="H787" t="s">
        <v>707</v>
      </c>
    </row>
    <row r="788" spans="1:8">
      <c r="A788" s="2" t="s">
        <v>790</v>
      </c>
      <c r="B788" t="b">
        <v>1</v>
      </c>
      <c r="C7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 s="9">
        <v>0</v>
      </c>
      <c r="H788" t="s">
        <v>707</v>
      </c>
    </row>
    <row r="789" spans="1:8">
      <c r="A789" s="2" t="s">
        <v>791</v>
      </c>
      <c r="B789" t="b">
        <v>1</v>
      </c>
      <c r="C7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 s="9">
        <v>0</v>
      </c>
      <c r="H789" t="s">
        <v>707</v>
      </c>
    </row>
    <row r="790" spans="1:8">
      <c r="A790" s="2" t="s">
        <v>1700</v>
      </c>
      <c r="B790" t="b">
        <v>1</v>
      </c>
      <c r="C7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 s="9">
        <v>0</v>
      </c>
      <c r="H790" t="s">
        <v>707</v>
      </c>
    </row>
    <row r="791" spans="1:8">
      <c r="A791" s="2" t="s">
        <v>1702</v>
      </c>
      <c r="B791" t="b">
        <v>1</v>
      </c>
      <c r="C7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 s="9">
        <v>0</v>
      </c>
      <c r="H791" t="s">
        <v>707</v>
      </c>
    </row>
    <row r="792" spans="1:8">
      <c r="A792" s="2" t="s">
        <v>2748</v>
      </c>
      <c r="B792" t="b">
        <v>1</v>
      </c>
      <c r="C7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 s="9">
        <v>0</v>
      </c>
      <c r="H792" t="s">
        <v>707</v>
      </c>
    </row>
    <row r="793" spans="1:8">
      <c r="A793" s="2" t="s">
        <v>2885</v>
      </c>
      <c r="B793" t="b">
        <v>1</v>
      </c>
      <c r="C7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 s="9">
        <v>0</v>
      </c>
      <c r="H793" t="s">
        <v>707</v>
      </c>
    </row>
    <row r="794" spans="1:8">
      <c r="A794" s="2" t="s">
        <v>2887</v>
      </c>
      <c r="B794" t="b">
        <v>1</v>
      </c>
      <c r="C7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 s="9">
        <v>0</v>
      </c>
      <c r="H794" t="s">
        <v>707</v>
      </c>
    </row>
    <row r="795" spans="1:8">
      <c r="A795" t="s">
        <v>2889</v>
      </c>
      <c r="B795" t="b">
        <v>1</v>
      </c>
      <c r="C7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 s="9">
        <v>0</v>
      </c>
      <c r="H795" t="s">
        <v>707</v>
      </c>
    </row>
    <row r="796" spans="1:8">
      <c r="A796" t="s">
        <v>2891</v>
      </c>
      <c r="B796" t="b">
        <v>1</v>
      </c>
      <c r="C7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 s="9">
        <v>0</v>
      </c>
      <c r="H796" t="s">
        <v>707</v>
      </c>
    </row>
    <row r="797" spans="1:8">
      <c r="A797" s="2" t="s">
        <v>2904</v>
      </c>
      <c r="B797" t="b">
        <v>1</v>
      </c>
      <c r="C7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 s="9">
        <v>0</v>
      </c>
      <c r="H797" t="s">
        <v>707</v>
      </c>
    </row>
    <row r="798" spans="1:8">
      <c r="A798" s="2" t="s">
        <v>2906</v>
      </c>
      <c r="B798" t="b">
        <v>1</v>
      </c>
      <c r="C7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 s="9">
        <v>0</v>
      </c>
      <c r="H798" t="s">
        <v>707</v>
      </c>
    </row>
    <row r="799" spans="1:8">
      <c r="A799" s="2" t="s">
        <v>2908</v>
      </c>
      <c r="B799" t="b">
        <v>1</v>
      </c>
      <c r="C7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 s="9">
        <v>0</v>
      </c>
      <c r="H799" t="s">
        <v>707</v>
      </c>
    </row>
    <row r="800" spans="1:8">
      <c r="A800" s="2" t="s">
        <v>2911</v>
      </c>
      <c r="B800" t="b">
        <v>1</v>
      </c>
      <c r="C8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 s="9">
        <v>0</v>
      </c>
      <c r="H800" t="s">
        <v>707</v>
      </c>
    </row>
    <row r="801" spans="1:8">
      <c r="A801" s="2" t="s">
        <v>2913</v>
      </c>
      <c r="B801" t="b">
        <v>1</v>
      </c>
      <c r="C8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 s="9">
        <v>0</v>
      </c>
      <c r="H801" t="s">
        <v>707</v>
      </c>
    </row>
    <row r="802" spans="1:8">
      <c r="A802" s="2" t="s">
        <v>2915</v>
      </c>
      <c r="B802" t="b">
        <v>1</v>
      </c>
      <c r="C8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 s="9">
        <v>0</v>
      </c>
      <c r="H802" t="s">
        <v>707</v>
      </c>
    </row>
    <row r="803" spans="1:8">
      <c r="A803" s="2" t="s">
        <v>2917</v>
      </c>
      <c r="B803" t="b">
        <v>1</v>
      </c>
      <c r="C8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 s="9">
        <v>0</v>
      </c>
      <c r="H803" t="s">
        <v>707</v>
      </c>
    </row>
    <row r="804" spans="1:8">
      <c r="A804" s="2" t="s">
        <v>2921</v>
      </c>
      <c r="B804" t="b">
        <v>1</v>
      </c>
      <c r="C8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 s="9">
        <v>0</v>
      </c>
      <c r="H804" t="s">
        <v>707</v>
      </c>
    </row>
    <row r="805" spans="1:8">
      <c r="A805" s="2" t="s">
        <v>3048</v>
      </c>
      <c r="B805" t="b">
        <v>1</v>
      </c>
      <c r="C8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 s="9">
        <v>0</v>
      </c>
      <c r="H805" t="s">
        <v>707</v>
      </c>
    </row>
    <row r="806" spans="1:8">
      <c r="A806" s="2" t="s">
        <v>3049</v>
      </c>
      <c r="B806" t="b">
        <v>1</v>
      </c>
      <c r="C8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 s="9">
        <v>0</v>
      </c>
      <c r="H806" t="s">
        <v>707</v>
      </c>
    </row>
    <row r="807" spans="1:8">
      <c r="A807" s="2" t="s">
        <v>3021</v>
      </c>
      <c r="B807" t="b">
        <v>1</v>
      </c>
      <c r="C8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 s="9">
        <v>0</v>
      </c>
      <c r="H807" t="s">
        <v>707</v>
      </c>
    </row>
    <row r="808" spans="1:8">
      <c r="A808" s="2" t="s">
        <v>3016</v>
      </c>
      <c r="B808" t="b">
        <v>1</v>
      </c>
      <c r="C8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 s="9">
        <v>0</v>
      </c>
      <c r="H808" t="s">
        <v>707</v>
      </c>
    </row>
    <row r="809" spans="1:8">
      <c r="A809" s="2" t="s">
        <v>3017</v>
      </c>
      <c r="B809" t="b">
        <v>1</v>
      </c>
      <c r="C8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 s="9">
        <v>0</v>
      </c>
      <c r="H809" t="s">
        <v>707</v>
      </c>
    </row>
    <row r="810" spans="1:8">
      <c r="A810" s="2" t="s">
        <v>3018</v>
      </c>
      <c r="B810" t="b">
        <v>1</v>
      </c>
      <c r="C8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 s="9">
        <v>0</v>
      </c>
      <c r="H810" t="s">
        <v>707</v>
      </c>
    </row>
    <row r="811" spans="1:8">
      <c r="A811" s="2" t="s">
        <v>3019</v>
      </c>
      <c r="B811" t="b">
        <v>1</v>
      </c>
      <c r="C8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 s="9">
        <v>0</v>
      </c>
      <c r="H811" t="s">
        <v>707</v>
      </c>
    </row>
    <row r="812" spans="1:8">
      <c r="A812" s="2" t="s">
        <v>3020</v>
      </c>
      <c r="B812" t="b">
        <v>1</v>
      </c>
      <c r="C8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 s="9">
        <v>0</v>
      </c>
      <c r="H812" t="s">
        <v>707</v>
      </c>
    </row>
    <row r="813" spans="1:8">
      <c r="A813" s="2" t="s">
        <v>3056</v>
      </c>
      <c r="B813" t="b">
        <v>1</v>
      </c>
      <c r="C8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 s="9">
        <v>0</v>
      </c>
      <c r="H813" t="s">
        <v>707</v>
      </c>
    </row>
    <row r="814" spans="1:8">
      <c r="A814" s="2" t="s">
        <v>3032</v>
      </c>
      <c r="B814" t="b">
        <v>1</v>
      </c>
      <c r="C8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 s="9">
        <v>0</v>
      </c>
      <c r="H814" t="s">
        <v>707</v>
      </c>
    </row>
    <row r="815" spans="1:8">
      <c r="A815" s="2" t="s">
        <v>3050</v>
      </c>
      <c r="B815" t="b">
        <v>1</v>
      </c>
      <c r="C8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 s="9">
        <v>0</v>
      </c>
      <c r="H815" t="s">
        <v>707</v>
      </c>
    </row>
    <row r="816" spans="1:8">
      <c r="A816" s="2" t="s">
        <v>3053</v>
      </c>
      <c r="B816" t="b">
        <v>1</v>
      </c>
      <c r="C8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 s="9">
        <v>0</v>
      </c>
      <c r="H816" t="s">
        <v>707</v>
      </c>
    </row>
    <row r="817" spans="1:8">
      <c r="A817" s="2" t="s">
        <v>3057</v>
      </c>
      <c r="B817" t="b">
        <v>1</v>
      </c>
      <c r="C8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 s="9">
        <v>0</v>
      </c>
      <c r="H817" t="s">
        <v>707</v>
      </c>
    </row>
    <row r="818" spans="1:8">
      <c r="A818" s="2" t="s">
        <v>3060</v>
      </c>
      <c r="B818" t="b">
        <v>1</v>
      </c>
      <c r="C8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 s="9">
        <v>0</v>
      </c>
      <c r="H818" t="s">
        <v>707</v>
      </c>
    </row>
    <row r="819" spans="1:8">
      <c r="A819" s="2" t="s">
        <v>3074</v>
      </c>
      <c r="B819" t="b">
        <v>1</v>
      </c>
      <c r="C8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 s="9">
        <v>0</v>
      </c>
      <c r="H819" t="s">
        <v>707</v>
      </c>
    </row>
    <row r="820" spans="1:8">
      <c r="A820" s="2" t="s">
        <v>3075</v>
      </c>
      <c r="B820" t="b">
        <v>1</v>
      </c>
      <c r="C8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 s="9">
        <v>0</v>
      </c>
      <c r="H820" t="s">
        <v>707</v>
      </c>
    </row>
    <row r="821" spans="1:8">
      <c r="A821" s="2" t="s">
        <v>3078</v>
      </c>
      <c r="B821" t="b">
        <v>1</v>
      </c>
      <c r="C8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 s="9">
        <v>0</v>
      </c>
      <c r="H821" t="s">
        <v>707</v>
      </c>
    </row>
    <row r="822" spans="1:8">
      <c r="A822" t="s">
        <v>3082</v>
      </c>
      <c r="B822" t="b">
        <v>1</v>
      </c>
      <c r="C8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2" s="9">
        <v>0</v>
      </c>
      <c r="H822" t="s">
        <v>707</v>
      </c>
    </row>
    <row r="823" spans="1:8">
      <c r="A823" s="2" t="s">
        <v>3083</v>
      </c>
      <c r="B823" t="b">
        <v>1</v>
      </c>
      <c r="C8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3" s="9">
        <v>0</v>
      </c>
      <c r="H823" t="s">
        <v>707</v>
      </c>
    </row>
    <row r="824" spans="1:8">
      <c r="A824" s="2" t="s">
        <v>3086</v>
      </c>
      <c r="B824" t="b">
        <v>1</v>
      </c>
      <c r="C8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4" s="9">
        <v>0</v>
      </c>
      <c r="H824" t="s">
        <v>707</v>
      </c>
    </row>
    <row r="825" spans="1:8">
      <c r="A825" s="2" t="s">
        <v>3090</v>
      </c>
      <c r="B825" t="b">
        <v>1</v>
      </c>
      <c r="C8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5" s="9">
        <v>0</v>
      </c>
      <c r="H825" t="s">
        <v>707</v>
      </c>
    </row>
    <row r="826" spans="1:8">
      <c r="A826" s="2" t="s">
        <v>3092</v>
      </c>
      <c r="B826" t="b">
        <v>1</v>
      </c>
      <c r="C8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6" s="9">
        <v>0</v>
      </c>
      <c r="H826" t="s">
        <v>707</v>
      </c>
    </row>
    <row r="827" spans="1:8">
      <c r="A827" s="2" t="s">
        <v>3094</v>
      </c>
      <c r="B827" t="b">
        <v>1</v>
      </c>
      <c r="C8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7" s="9">
        <v>0</v>
      </c>
      <c r="H827" t="s">
        <v>707</v>
      </c>
    </row>
    <row r="828" spans="1:8">
      <c r="A828" s="2" t="s">
        <v>3096</v>
      </c>
      <c r="B828" t="b">
        <v>1</v>
      </c>
      <c r="C8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8" s="9">
        <v>0</v>
      </c>
      <c r="H828" t="s">
        <v>707</v>
      </c>
    </row>
    <row r="829" spans="1:8">
      <c r="A829" s="2" t="s">
        <v>3099</v>
      </c>
      <c r="B829" t="b">
        <v>1</v>
      </c>
      <c r="C8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9" s="9">
        <v>0</v>
      </c>
      <c r="H829" t="s">
        <v>707</v>
      </c>
    </row>
    <row r="830" spans="1:8">
      <c r="A830" s="2" t="s">
        <v>3101</v>
      </c>
      <c r="B830" t="b">
        <v>1</v>
      </c>
      <c r="C8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0" s="9">
        <v>0</v>
      </c>
      <c r="H830" t="s">
        <v>707</v>
      </c>
    </row>
    <row r="831" spans="1:8">
      <c r="A831" s="2" t="s">
        <v>3104</v>
      </c>
      <c r="B831" t="b">
        <v>1</v>
      </c>
      <c r="C8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1" s="9">
        <v>0</v>
      </c>
      <c r="H831" t="s">
        <v>707</v>
      </c>
    </row>
    <row r="832" spans="1:8">
      <c r="A832" s="2" t="s">
        <v>3107</v>
      </c>
      <c r="B832" t="b">
        <v>1</v>
      </c>
      <c r="C8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2" s="9">
        <v>0</v>
      </c>
      <c r="H832" t="s">
        <v>707</v>
      </c>
    </row>
    <row r="833" spans="1:8">
      <c r="A833" s="2" t="s">
        <v>3110</v>
      </c>
      <c r="B833" t="b">
        <v>1</v>
      </c>
      <c r="C8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3" s="9">
        <v>0</v>
      </c>
      <c r="H833" t="s">
        <v>707</v>
      </c>
    </row>
    <row r="834" spans="1:8">
      <c r="A834" t="s">
        <v>3113</v>
      </c>
      <c r="B834" t="b">
        <v>1</v>
      </c>
      <c r="C8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4" s="9">
        <v>0</v>
      </c>
      <c r="H834" t="s">
        <v>707</v>
      </c>
    </row>
    <row r="835" spans="1:8">
      <c r="A835" s="2" t="s">
        <v>3115</v>
      </c>
      <c r="B835" t="b">
        <v>1</v>
      </c>
      <c r="C8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5" s="9">
        <v>0</v>
      </c>
      <c r="H835" t="s">
        <v>707</v>
      </c>
    </row>
    <row r="836" spans="1:8">
      <c r="A836" s="2" t="s">
        <v>3118</v>
      </c>
      <c r="B836" t="b">
        <v>1</v>
      </c>
      <c r="C8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6" s="9">
        <v>0</v>
      </c>
      <c r="H836" t="s">
        <v>707</v>
      </c>
    </row>
    <row r="837" spans="1:8">
      <c r="A837" s="2" t="s">
        <v>3121</v>
      </c>
      <c r="B837" t="b">
        <v>1</v>
      </c>
      <c r="C8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7" s="9">
        <v>0</v>
      </c>
      <c r="H837" t="s">
        <v>707</v>
      </c>
    </row>
    <row r="838" spans="1:8">
      <c r="A838" s="2" t="s">
        <v>3124</v>
      </c>
      <c r="B838" t="b">
        <v>1</v>
      </c>
      <c r="C8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8" s="9">
        <v>0</v>
      </c>
      <c r="H838" t="s">
        <v>707</v>
      </c>
    </row>
    <row r="839" spans="1:8">
      <c r="A839" s="2" t="s">
        <v>3127</v>
      </c>
      <c r="B839" t="b">
        <v>1</v>
      </c>
      <c r="C8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9" s="9">
        <v>0</v>
      </c>
      <c r="H839" t="s">
        <v>707</v>
      </c>
    </row>
    <row r="840" spans="1:8">
      <c r="A840" s="2" t="s">
        <v>3130</v>
      </c>
      <c r="B840" t="b">
        <v>1</v>
      </c>
      <c r="C8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0" s="9">
        <v>0</v>
      </c>
      <c r="H840" t="s">
        <v>707</v>
      </c>
    </row>
    <row r="841" spans="1:8">
      <c r="A841" s="2" t="s">
        <v>3134</v>
      </c>
      <c r="B841" t="b">
        <v>1</v>
      </c>
      <c r="C8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1" s="9">
        <v>0</v>
      </c>
      <c r="H841" t="s">
        <v>707</v>
      </c>
    </row>
    <row r="842" spans="1:8">
      <c r="A842" s="2" t="s">
        <v>3135</v>
      </c>
      <c r="B842" t="b">
        <v>1</v>
      </c>
      <c r="C8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2" s="9">
        <v>0</v>
      </c>
      <c r="H842" t="s">
        <v>707</v>
      </c>
    </row>
    <row r="843" spans="1:8">
      <c r="A843" s="2" t="s">
        <v>3137</v>
      </c>
      <c r="B843" t="b">
        <v>1</v>
      </c>
      <c r="C8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3" s="9">
        <v>0</v>
      </c>
      <c r="H843" t="s">
        <v>707</v>
      </c>
    </row>
    <row r="844" spans="1:8">
      <c r="A844" s="2" t="s">
        <v>3139</v>
      </c>
      <c r="B844" t="b">
        <v>1</v>
      </c>
      <c r="C8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4" s="9">
        <v>0</v>
      </c>
      <c r="H844" t="s">
        <v>707</v>
      </c>
    </row>
    <row r="845" spans="1:8">
      <c r="A845" s="2" t="s">
        <v>3144</v>
      </c>
      <c r="B845" t="b">
        <v>1</v>
      </c>
      <c r="C8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5" s="9">
        <v>0</v>
      </c>
      <c r="H845" t="s">
        <v>707</v>
      </c>
    </row>
    <row r="846" spans="1:8">
      <c r="A846" s="2" t="s">
        <v>3147</v>
      </c>
      <c r="B846" t="b">
        <v>1</v>
      </c>
      <c r="C8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6" s="9">
        <v>0</v>
      </c>
      <c r="H846" t="s">
        <v>707</v>
      </c>
    </row>
    <row r="847" spans="1:8">
      <c r="A847" s="2" t="s">
        <v>3153</v>
      </c>
      <c r="B847" t="b">
        <v>1</v>
      </c>
      <c r="C8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7" s="9">
        <v>0</v>
      </c>
      <c r="H847" t="s">
        <v>707</v>
      </c>
    </row>
    <row r="848" spans="1:8">
      <c r="A848" s="2" t="s">
        <v>3154</v>
      </c>
      <c r="B848" t="b">
        <v>1</v>
      </c>
      <c r="C8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8" s="9">
        <v>0</v>
      </c>
      <c r="H848" t="s">
        <v>707</v>
      </c>
    </row>
    <row r="849" spans="1:8">
      <c r="A849" s="2" t="s">
        <v>3156</v>
      </c>
      <c r="B849" t="b">
        <v>1</v>
      </c>
      <c r="C8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9" s="9">
        <v>0</v>
      </c>
      <c r="H849" t="s">
        <v>707</v>
      </c>
    </row>
    <row r="850" spans="1:8">
      <c r="A850" s="2" t="s">
        <v>3160</v>
      </c>
      <c r="B850" t="b">
        <v>1</v>
      </c>
      <c r="C8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0" s="9">
        <v>0</v>
      </c>
      <c r="H850" t="s">
        <v>707</v>
      </c>
    </row>
    <row r="851" spans="1:8">
      <c r="A851" s="2" t="s">
        <v>3162</v>
      </c>
      <c r="B851" t="b">
        <v>1</v>
      </c>
      <c r="C8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1" s="9">
        <v>0</v>
      </c>
      <c r="H851" t="s">
        <v>707</v>
      </c>
    </row>
    <row r="852" spans="1:8">
      <c r="A852" s="2" t="s">
        <v>3167</v>
      </c>
      <c r="B852" t="b">
        <v>1</v>
      </c>
      <c r="C8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52" s="9">
        <v>0</v>
      </c>
      <c r="H852" t="s">
        <v>707</v>
      </c>
    </row>
    <row r="853" spans="1:8">
      <c r="A853" s="2" t="s">
        <v>3168</v>
      </c>
      <c r="B853" t="b">
        <v>1</v>
      </c>
      <c r="C8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3" s="9">
        <v>0</v>
      </c>
      <c r="H853" t="s">
        <v>707</v>
      </c>
    </row>
    <row r="854" spans="1:8">
      <c r="A854" s="2" t="s">
        <v>3171</v>
      </c>
      <c r="B854" t="b">
        <v>1</v>
      </c>
      <c r="C8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4" s="9">
        <v>0</v>
      </c>
      <c r="H854" t="s">
        <v>707</v>
      </c>
    </row>
    <row r="855" spans="1:8">
      <c r="A855" s="2" t="s">
        <v>3174</v>
      </c>
      <c r="B855" t="b">
        <v>1</v>
      </c>
      <c r="C8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5" s="9">
        <v>0</v>
      </c>
      <c r="H855" t="s">
        <v>707</v>
      </c>
    </row>
    <row r="856" spans="1:8">
      <c r="A856" s="2" t="s">
        <v>3176</v>
      </c>
      <c r="B856" t="b">
        <v>1</v>
      </c>
      <c r="C8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6" s="9">
        <v>0</v>
      </c>
      <c r="H856" t="s">
        <v>707</v>
      </c>
    </row>
    <row r="857" spans="1:8">
      <c r="A857" s="2" t="s">
        <v>3178</v>
      </c>
      <c r="B857" t="b">
        <v>1</v>
      </c>
      <c r="C8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7" s="9">
        <v>0</v>
      </c>
      <c r="H857" t="s">
        <v>707</v>
      </c>
    </row>
    <row r="858" spans="1:8">
      <c r="A858" s="2" t="s">
        <v>3181</v>
      </c>
      <c r="B858" t="b">
        <v>1</v>
      </c>
      <c r="C8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8" s="9">
        <v>0</v>
      </c>
      <c r="H858" t="s">
        <v>707</v>
      </c>
    </row>
    <row r="859" spans="1:8">
      <c r="A859" s="2" t="s">
        <v>3183</v>
      </c>
      <c r="B859" t="b">
        <v>1</v>
      </c>
      <c r="C8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9" s="9">
        <v>0</v>
      </c>
      <c r="H859" t="s">
        <v>707</v>
      </c>
    </row>
    <row r="860" spans="1:8">
      <c r="A860" s="2" t="s">
        <v>3189</v>
      </c>
      <c r="B860" t="b">
        <v>1</v>
      </c>
      <c r="C8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0" s="9">
        <v>0</v>
      </c>
      <c r="H860" t="s">
        <v>707</v>
      </c>
    </row>
    <row r="861" spans="1:8">
      <c r="A861" s="2" t="s">
        <v>3194</v>
      </c>
      <c r="B861" t="b">
        <v>1</v>
      </c>
      <c r="C8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1" s="9">
        <v>0</v>
      </c>
      <c r="H861" t="s">
        <v>707</v>
      </c>
    </row>
    <row r="862" spans="1:8">
      <c r="A862" s="2" t="s">
        <v>3186</v>
      </c>
      <c r="B862" t="b">
        <v>1</v>
      </c>
      <c r="C8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2" s="9">
        <v>0</v>
      </c>
      <c r="H862" t="s">
        <v>707</v>
      </c>
    </row>
    <row r="863" spans="1:8">
      <c r="A863" t="s">
        <v>3195</v>
      </c>
      <c r="B863" t="b">
        <v>1</v>
      </c>
      <c r="C8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3" s="9">
        <v>0</v>
      </c>
      <c r="H863" t="s">
        <v>707</v>
      </c>
    </row>
    <row r="864" spans="1:8">
      <c r="A864" t="s">
        <v>3196</v>
      </c>
      <c r="B864" t="b">
        <v>1</v>
      </c>
      <c r="C8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4" s="9">
        <v>0</v>
      </c>
      <c r="H864" t="s">
        <v>707</v>
      </c>
    </row>
    <row r="865" spans="1:8">
      <c r="A865" t="s">
        <v>3197</v>
      </c>
      <c r="B865" t="b">
        <v>1</v>
      </c>
      <c r="C8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5" s="9">
        <v>0</v>
      </c>
      <c r="H865" t="s">
        <v>707</v>
      </c>
    </row>
    <row r="866" spans="1:8">
      <c r="A866" s="2" t="s">
        <v>3202</v>
      </c>
      <c r="B866" t="b">
        <v>1</v>
      </c>
      <c r="C8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6" s="9">
        <v>0</v>
      </c>
      <c r="H866" t="s">
        <v>707</v>
      </c>
    </row>
    <row r="867" spans="1:8">
      <c r="A867" t="s">
        <v>3206</v>
      </c>
      <c r="B867" t="b">
        <v>1</v>
      </c>
      <c r="C8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67" s="9">
        <v>0</v>
      </c>
      <c r="H867" t="s">
        <v>707</v>
      </c>
    </row>
    <row r="868" spans="1:8">
      <c r="A868" s="2" t="s">
        <v>3209</v>
      </c>
      <c r="B868" t="b">
        <v>1</v>
      </c>
      <c r="C8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68" s="9">
        <v>0</v>
      </c>
      <c r="H868" t="s">
        <v>707</v>
      </c>
    </row>
    <row r="869" spans="1:8">
      <c r="A869" s="2" t="s">
        <v>3210</v>
      </c>
      <c r="B869" t="b">
        <v>1</v>
      </c>
      <c r="C8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9" s="9">
        <v>0</v>
      </c>
      <c r="H869" t="s">
        <v>707</v>
      </c>
    </row>
    <row r="870" spans="1:8">
      <c r="A870" s="2" t="s">
        <v>3213</v>
      </c>
      <c r="B870" t="b">
        <v>1</v>
      </c>
      <c r="C8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0" s="9">
        <v>0</v>
      </c>
      <c r="H870" t="s">
        <v>707</v>
      </c>
    </row>
    <row r="871" spans="1:8">
      <c r="A871" s="2" t="s">
        <v>3215</v>
      </c>
      <c r="B871" t="b">
        <v>1</v>
      </c>
      <c r="C8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1" s="9">
        <v>0</v>
      </c>
      <c r="H871" t="s">
        <v>707</v>
      </c>
    </row>
    <row r="872" spans="1:8">
      <c r="A872" s="2" t="s">
        <v>3219</v>
      </c>
      <c r="B872" t="b">
        <v>1</v>
      </c>
      <c r="C8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2" s="9">
        <v>0</v>
      </c>
      <c r="H872" t="s">
        <v>707</v>
      </c>
    </row>
    <row r="873" spans="1:8">
      <c r="A873" s="2" t="s">
        <v>3222</v>
      </c>
      <c r="B873" t="b">
        <v>1</v>
      </c>
      <c r="C8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3" s="9">
        <v>0</v>
      </c>
      <c r="H873" t="s">
        <v>707</v>
      </c>
    </row>
    <row r="874" spans="1:8">
      <c r="A874" s="2" t="s">
        <v>3227</v>
      </c>
      <c r="B874" t="b">
        <v>1</v>
      </c>
      <c r="C8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4" s="9">
        <v>0</v>
      </c>
      <c r="H874" t="s">
        <v>707</v>
      </c>
    </row>
    <row r="875" spans="1:8">
      <c r="A875" s="2" t="s">
        <v>3230</v>
      </c>
      <c r="B875" t="b">
        <v>1</v>
      </c>
      <c r="C8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75" s="9">
        <v>0</v>
      </c>
      <c r="H875" t="s">
        <v>707</v>
      </c>
    </row>
    <row r="876" spans="1:8">
      <c r="A876" s="2" t="s">
        <v>3232</v>
      </c>
      <c r="B876" t="b">
        <v>1</v>
      </c>
      <c r="C8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6" s="9">
        <v>0</v>
      </c>
      <c r="H876" t="s">
        <v>707</v>
      </c>
    </row>
    <row r="877" spans="1:8">
      <c r="A877" s="2" t="s">
        <v>3236</v>
      </c>
      <c r="B877" t="b">
        <v>1</v>
      </c>
      <c r="C8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7" s="9">
        <v>0</v>
      </c>
      <c r="H877" t="s">
        <v>707</v>
      </c>
    </row>
    <row r="878" spans="1:8">
      <c r="A878" s="2" t="s">
        <v>3239</v>
      </c>
      <c r="B878" t="b">
        <v>1</v>
      </c>
      <c r="C8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8" s="9">
        <v>0</v>
      </c>
      <c r="H878" t="s">
        <v>707</v>
      </c>
    </row>
    <row r="879" spans="1:8">
      <c r="A879" s="2" t="s">
        <v>3242</v>
      </c>
      <c r="B879" t="b">
        <v>1</v>
      </c>
      <c r="C8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9" s="9">
        <v>0</v>
      </c>
      <c r="H879" t="s">
        <v>707</v>
      </c>
    </row>
    <row r="880" spans="1:8">
      <c r="A880" s="2" t="s">
        <v>3244</v>
      </c>
      <c r="B880" t="b">
        <v>1</v>
      </c>
      <c r="C8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80" s="9">
        <v>0</v>
      </c>
      <c r="H880" t="s">
        <v>707</v>
      </c>
    </row>
    <row r="881" spans="1:8">
      <c r="A881" t="s">
        <v>3247</v>
      </c>
      <c r="B881" t="b">
        <v>1</v>
      </c>
      <c r="C8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1" s="9">
        <v>0</v>
      </c>
      <c r="H881" t="s">
        <v>707</v>
      </c>
    </row>
    <row r="882" spans="1:8">
      <c r="A882" s="2" t="s">
        <v>3250</v>
      </c>
      <c r="B882" t="b">
        <v>1</v>
      </c>
      <c r="C8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2" s="9">
        <v>0</v>
      </c>
      <c r="H882" t="s">
        <v>707</v>
      </c>
    </row>
    <row r="883" spans="1:8">
      <c r="A883" s="2" t="s">
        <v>3254</v>
      </c>
      <c r="B883" t="b">
        <v>1</v>
      </c>
      <c r="C8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3" s="9">
        <v>0</v>
      </c>
      <c r="H883" t="s">
        <v>707</v>
      </c>
    </row>
    <row r="884" spans="1:8">
      <c r="A884" t="s">
        <v>3256</v>
      </c>
      <c r="B884" t="b">
        <v>1</v>
      </c>
      <c r="C8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4" s="9">
        <v>0</v>
      </c>
      <c r="H884" t="s">
        <v>707</v>
      </c>
    </row>
    <row r="885" spans="1:8">
      <c r="A885" s="2" t="s">
        <v>3259</v>
      </c>
      <c r="B885" t="b">
        <v>1</v>
      </c>
      <c r="C8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5" s="9">
        <v>0</v>
      </c>
      <c r="H885" t="s">
        <v>707</v>
      </c>
    </row>
    <row r="886" spans="1:8">
      <c r="A886" s="2" t="s">
        <v>3261</v>
      </c>
      <c r="B886" t="b">
        <v>1</v>
      </c>
      <c r="C8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6" s="9">
        <v>0</v>
      </c>
      <c r="H886" t="s">
        <v>707</v>
      </c>
    </row>
    <row r="887" spans="1:8">
      <c r="A887" s="2" t="s">
        <v>3264</v>
      </c>
      <c r="B887" t="b">
        <v>1</v>
      </c>
      <c r="C8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7" s="9">
        <v>0</v>
      </c>
      <c r="H887" t="s">
        <v>707</v>
      </c>
    </row>
    <row r="888" spans="1:8">
      <c r="A888" t="s">
        <v>3267</v>
      </c>
      <c r="B888" t="b">
        <v>1</v>
      </c>
      <c r="C8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88" s="9">
        <v>0</v>
      </c>
      <c r="H888" t="s">
        <v>707</v>
      </c>
    </row>
    <row r="889" spans="1:8">
      <c r="A889" s="2" t="s">
        <v>3271</v>
      </c>
      <c r="B889" t="b">
        <v>1</v>
      </c>
      <c r="C8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89" s="9">
        <v>0</v>
      </c>
      <c r="H889" t="s">
        <v>707</v>
      </c>
    </row>
    <row r="890" spans="1:8">
      <c r="A890" s="2" t="s">
        <v>3284</v>
      </c>
      <c r="B890" t="b">
        <v>1</v>
      </c>
      <c r="C8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0" s="9">
        <v>0</v>
      </c>
      <c r="H890" t="s">
        <v>707</v>
      </c>
    </row>
    <row r="891" spans="1:8">
      <c r="A891" s="2" t="s">
        <v>3278</v>
      </c>
      <c r="B891" t="b">
        <v>1</v>
      </c>
      <c r="C8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91" s="9">
        <v>0</v>
      </c>
      <c r="H891" t="s">
        <v>707</v>
      </c>
    </row>
    <row r="892" spans="1:8">
      <c r="A892" s="2" t="s">
        <v>3282</v>
      </c>
      <c r="B892" t="b">
        <v>1</v>
      </c>
      <c r="C8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2" s="9">
        <v>0</v>
      </c>
      <c r="H892" t="s">
        <v>707</v>
      </c>
    </row>
    <row r="893" spans="1:8">
      <c r="A893" s="2" t="s">
        <v>3285</v>
      </c>
      <c r="B893" t="b">
        <v>1</v>
      </c>
      <c r="C8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3" s="9">
        <v>0</v>
      </c>
      <c r="H893" t="s">
        <v>707</v>
      </c>
    </row>
    <row r="894" spans="1:8">
      <c r="A894" s="2" t="s">
        <v>3289</v>
      </c>
      <c r="B894" t="b">
        <v>1</v>
      </c>
      <c r="C8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4" s="9">
        <v>0</v>
      </c>
      <c r="H894" t="s">
        <v>707</v>
      </c>
    </row>
    <row r="895" spans="1:8">
      <c r="A895" s="2" t="s">
        <v>3292</v>
      </c>
      <c r="B895" t="b">
        <v>1</v>
      </c>
      <c r="C8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95" s="9">
        <v>0</v>
      </c>
      <c r="H895" t="s">
        <v>707</v>
      </c>
    </row>
    <row r="896" spans="1:8">
      <c r="A896" t="s">
        <v>3302</v>
      </c>
      <c r="B896" t="b">
        <v>1</v>
      </c>
      <c r="C8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96" s="9">
        <v>0</v>
      </c>
      <c r="H896" t="s">
        <v>707</v>
      </c>
    </row>
    <row r="897" spans="1:8">
      <c r="A897" s="2" t="s">
        <v>3304</v>
      </c>
      <c r="B897" t="b">
        <v>1</v>
      </c>
      <c r="C8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7" s="9">
        <v>0</v>
      </c>
      <c r="H897" t="s">
        <v>707</v>
      </c>
    </row>
    <row r="898" spans="1:8">
      <c r="A898" s="2" t="s">
        <v>3308</v>
      </c>
      <c r="B898" t="b">
        <v>1</v>
      </c>
      <c r="C8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8" s="9">
        <v>0</v>
      </c>
      <c r="H898" t="s">
        <v>707</v>
      </c>
    </row>
    <row r="899" spans="1:8">
      <c r="A899" s="2" t="s">
        <v>3312</v>
      </c>
      <c r="B899" t="b">
        <v>1</v>
      </c>
      <c r="C8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9" s="9">
        <v>0</v>
      </c>
      <c r="H899" t="s">
        <v>707</v>
      </c>
    </row>
    <row r="900" spans="1:8">
      <c r="A900" t="s">
        <v>3314</v>
      </c>
      <c r="B900" t="b">
        <v>1</v>
      </c>
      <c r="C9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0" s="9">
        <v>0</v>
      </c>
      <c r="H900" t="s">
        <v>707</v>
      </c>
    </row>
    <row r="901" spans="1:8">
      <c r="A901" s="2" t="s">
        <v>3315</v>
      </c>
      <c r="B901" t="b">
        <v>1</v>
      </c>
      <c r="C9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01" s="9">
        <v>0</v>
      </c>
      <c r="H901" t="s">
        <v>707</v>
      </c>
    </row>
    <row r="902" spans="1:8">
      <c r="A902" s="2" t="s">
        <v>3326</v>
      </c>
      <c r="B902" t="b">
        <v>1</v>
      </c>
      <c r="C9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2" s="9">
        <v>0</v>
      </c>
      <c r="H902" t="s">
        <v>707</v>
      </c>
    </row>
    <row r="903" spans="1:8">
      <c r="A903" s="2" t="s">
        <v>3325</v>
      </c>
      <c r="B903" t="b">
        <v>1</v>
      </c>
      <c r="C9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3" s="9">
        <v>0</v>
      </c>
      <c r="H903" t="s">
        <v>707</v>
      </c>
    </row>
    <row r="904" spans="1:8">
      <c r="A904" s="2" t="s">
        <v>3321</v>
      </c>
      <c r="B904" t="b">
        <v>1</v>
      </c>
      <c r="C9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04" s="9">
        <v>0</v>
      </c>
      <c r="H904" t="s">
        <v>707</v>
      </c>
    </row>
    <row r="905" spans="1:8">
      <c r="A905" s="2" t="s">
        <v>3327</v>
      </c>
      <c r="B905" t="b">
        <v>1</v>
      </c>
      <c r="C9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05" s="9">
        <v>0</v>
      </c>
      <c r="H905" t="s">
        <v>707</v>
      </c>
    </row>
    <row r="906" spans="1:8">
      <c r="A906" s="2" t="s">
        <v>3330</v>
      </c>
      <c r="B906" t="b">
        <v>1</v>
      </c>
      <c r="C9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6" s="9">
        <v>0</v>
      </c>
      <c r="H906" t="s">
        <v>707</v>
      </c>
    </row>
    <row r="907" spans="1:8">
      <c r="A907" s="2" t="s">
        <v>3339</v>
      </c>
      <c r="B907" t="b">
        <v>1</v>
      </c>
      <c r="C9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7" s="9">
        <v>0</v>
      </c>
      <c r="H907" t="s">
        <v>707</v>
      </c>
    </row>
    <row r="908" spans="1:8">
      <c r="A908" s="2" t="s">
        <v>3342</v>
      </c>
      <c r="B908" t="b">
        <v>1</v>
      </c>
      <c r="C9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8" s="9">
        <v>0</v>
      </c>
      <c r="H908" t="s">
        <v>707</v>
      </c>
    </row>
    <row r="909" spans="1:8">
      <c r="A909" s="2" t="s">
        <v>3345</v>
      </c>
      <c r="B909" t="b">
        <v>1</v>
      </c>
      <c r="C9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9" s="9">
        <v>0</v>
      </c>
      <c r="H909" t="s">
        <v>707</v>
      </c>
    </row>
    <row r="910" spans="1:8">
      <c r="A910" s="2" t="s">
        <v>3348</v>
      </c>
      <c r="B910" t="b">
        <v>1</v>
      </c>
      <c r="C9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0" s="9">
        <v>0</v>
      </c>
      <c r="H910" t="s">
        <v>707</v>
      </c>
    </row>
    <row r="911" spans="1:8">
      <c r="A911" s="2" t="s">
        <v>3351</v>
      </c>
      <c r="B911" t="b">
        <v>1</v>
      </c>
      <c r="C9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1" s="9">
        <v>0</v>
      </c>
      <c r="H911" t="s">
        <v>707</v>
      </c>
    </row>
    <row r="912" spans="1:8">
      <c r="A912" s="2" t="s">
        <v>3353</v>
      </c>
      <c r="B912" t="b">
        <v>1</v>
      </c>
      <c r="C9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2" s="9">
        <v>0</v>
      </c>
      <c r="H912" t="s">
        <v>707</v>
      </c>
    </row>
    <row r="913" spans="1:8">
      <c r="A913" s="2" t="s">
        <v>3354</v>
      </c>
      <c r="B913" t="b">
        <v>1</v>
      </c>
      <c r="C9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3" s="9">
        <v>0</v>
      </c>
      <c r="H913" t="s">
        <v>707</v>
      </c>
    </row>
    <row r="914" spans="1:8">
      <c r="A914" s="2" t="s">
        <v>3357</v>
      </c>
      <c r="B914" t="b">
        <v>1</v>
      </c>
      <c r="C9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4" s="9">
        <v>0</v>
      </c>
      <c r="H914" t="s">
        <v>707</v>
      </c>
    </row>
    <row r="915" spans="1:8">
      <c r="A915" s="2" t="s">
        <v>3358</v>
      </c>
      <c r="B915" t="b">
        <v>1</v>
      </c>
      <c r="C9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5" s="9">
        <v>0</v>
      </c>
      <c r="H915" t="s">
        <v>707</v>
      </c>
    </row>
    <row r="916" spans="1:8">
      <c r="A916" s="2" t="s">
        <v>3361</v>
      </c>
      <c r="B916" t="b">
        <v>1</v>
      </c>
      <c r="C9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1</v>
      </c>
      <c r="F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6" s="9">
        <v>0</v>
      </c>
      <c r="H916" t="s">
        <v>707</v>
      </c>
    </row>
    <row r="917" spans="1:8">
      <c r="A917" s="2" t="s">
        <v>3362</v>
      </c>
      <c r="B917" t="b">
        <v>1</v>
      </c>
      <c r="C9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7" s="9">
        <v>0</v>
      </c>
      <c r="H917" t="s">
        <v>707</v>
      </c>
    </row>
    <row r="918" spans="1:8">
      <c r="A918" s="2" t="s">
        <v>3365</v>
      </c>
      <c r="B918" t="b">
        <v>1</v>
      </c>
      <c r="C9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1</v>
      </c>
      <c r="F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8" s="9">
        <v>0</v>
      </c>
      <c r="H918" t="s">
        <v>707</v>
      </c>
    </row>
    <row r="919" spans="1:8">
      <c r="A919" s="2" t="s">
        <v>3367</v>
      </c>
      <c r="B919" t="b">
        <v>1</v>
      </c>
      <c r="C9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1</v>
      </c>
      <c r="F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9" s="9">
        <v>0</v>
      </c>
      <c r="H919" t="s">
        <v>707</v>
      </c>
    </row>
    <row r="920" spans="1:8">
      <c r="A920" s="2" t="s">
        <v>3369</v>
      </c>
      <c r="B920" t="b">
        <v>1</v>
      </c>
      <c r="C9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1</v>
      </c>
      <c r="F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0" s="9">
        <v>0</v>
      </c>
      <c r="H920" t="s">
        <v>707</v>
      </c>
    </row>
    <row r="921" spans="1:8">
      <c r="A921" s="2" t="s">
        <v>3371</v>
      </c>
      <c r="B921" t="b">
        <v>1</v>
      </c>
      <c r="C9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1" s="9">
        <v>0</v>
      </c>
      <c r="H921" t="s">
        <v>707</v>
      </c>
    </row>
    <row r="922" spans="1:8">
      <c r="A922" s="2" t="s">
        <v>3373</v>
      </c>
      <c r="B922" t="b">
        <v>1</v>
      </c>
      <c r="C9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2" s="9">
        <v>0</v>
      </c>
      <c r="H922" t="s">
        <v>707</v>
      </c>
    </row>
    <row r="923" spans="1:8">
      <c r="A923" s="2" t="s">
        <v>3375</v>
      </c>
      <c r="B923" t="b">
        <v>1</v>
      </c>
      <c r="C9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3" s="9">
        <v>0</v>
      </c>
      <c r="H923" t="s">
        <v>707</v>
      </c>
    </row>
    <row r="924" spans="1:8">
      <c r="A924" s="2" t="s">
        <v>3376</v>
      </c>
      <c r="B924" t="b">
        <v>1</v>
      </c>
      <c r="C9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4" s="9">
        <v>0</v>
      </c>
      <c r="H924" t="s">
        <v>707</v>
      </c>
    </row>
    <row r="925" spans="1:8">
      <c r="A925" s="2" t="s">
        <v>3381</v>
      </c>
      <c r="B925" t="b">
        <v>1</v>
      </c>
      <c r="C9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1</v>
      </c>
      <c r="F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5" s="9">
        <v>0</v>
      </c>
      <c r="H925" t="s">
        <v>707</v>
      </c>
    </row>
    <row r="926" spans="1:8">
      <c r="A926" s="2" t="s">
        <v>3383</v>
      </c>
      <c r="B926" t="b">
        <v>1</v>
      </c>
      <c r="C9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6" s="9">
        <v>0</v>
      </c>
      <c r="H926" t="s">
        <v>707</v>
      </c>
    </row>
    <row r="927" spans="1:8">
      <c r="A927" s="2" t="s">
        <v>3384</v>
      </c>
      <c r="B927" t="b">
        <v>1</v>
      </c>
      <c r="C9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7" s="9">
        <v>0</v>
      </c>
      <c r="H927" t="s">
        <v>707</v>
      </c>
    </row>
    <row r="928" spans="1:8">
      <c r="A928" s="2" t="s">
        <v>3386</v>
      </c>
      <c r="B928" t="b">
        <v>1</v>
      </c>
      <c r="C9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8" s="9">
        <v>0</v>
      </c>
      <c r="H928" t="s">
        <v>707</v>
      </c>
    </row>
    <row r="929" spans="1:8">
      <c r="A929" t="s">
        <v>3388</v>
      </c>
      <c r="B929" t="b">
        <v>1</v>
      </c>
      <c r="C9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9" s="9">
        <v>0</v>
      </c>
      <c r="H929" t="s">
        <v>707</v>
      </c>
    </row>
    <row r="930" spans="1:8">
      <c r="A930" t="s">
        <v>3389</v>
      </c>
      <c r="B930" t="b">
        <v>1</v>
      </c>
      <c r="C9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30" s="9">
        <v>0</v>
      </c>
      <c r="H930" t="s">
        <v>707</v>
      </c>
    </row>
    <row r="931" spans="1:8">
      <c r="A931" s="2" t="s">
        <v>3397</v>
      </c>
      <c r="B931" t="b">
        <v>1</v>
      </c>
      <c r="C9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31" s="9">
        <v>0</v>
      </c>
      <c r="H931" t="s">
        <v>707</v>
      </c>
    </row>
    <row r="932" spans="1:8">
      <c r="A932" s="2" t="s">
        <v>3398</v>
      </c>
      <c r="B932" t="b">
        <v>1</v>
      </c>
      <c r="C9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32" s="9">
        <v>0</v>
      </c>
      <c r="H932" t="s">
        <v>707</v>
      </c>
    </row>
    <row r="933" spans="1:8">
      <c r="A933" s="2" t="s">
        <v>3400</v>
      </c>
      <c r="B933" t="b">
        <v>1</v>
      </c>
      <c r="C9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33" s="9">
        <v>0</v>
      </c>
      <c r="H933" t="s">
        <v>707</v>
      </c>
    </row>
    <row r="934" spans="1:8">
      <c r="A934" s="2" t="s">
        <v>3403</v>
      </c>
      <c r="B934" t="b">
        <v>1</v>
      </c>
      <c r="C9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34" s="9">
        <v>0</v>
      </c>
      <c r="H934" t="s">
        <v>707</v>
      </c>
    </row>
    <row r="935" spans="1:8">
      <c r="A935" s="2" t="s">
        <v>3406</v>
      </c>
      <c r="B935" t="b">
        <v>1</v>
      </c>
      <c r="C9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35" s="9">
        <v>0</v>
      </c>
      <c r="H935" t="s">
        <v>707</v>
      </c>
    </row>
    <row r="936" spans="1:8">
      <c r="A936" s="2" t="s">
        <v>3408</v>
      </c>
      <c r="B936" t="b">
        <v>1</v>
      </c>
      <c r="C9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36" s="9">
        <v>0</v>
      </c>
      <c r="H936" t="s">
        <v>707</v>
      </c>
    </row>
    <row r="937" spans="1:8">
      <c r="A937" s="2" t="s">
        <v>3412</v>
      </c>
      <c r="B937" t="b">
        <v>1</v>
      </c>
      <c r="C9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37" s="9">
        <v>0</v>
      </c>
      <c r="H937" t="s">
        <v>707</v>
      </c>
    </row>
    <row r="938" spans="1:8">
      <c r="A938" s="2" t="s">
        <v>3416</v>
      </c>
      <c r="B938" t="b">
        <v>1</v>
      </c>
      <c r="C9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38" s="9">
        <v>0</v>
      </c>
      <c r="H938" t="s">
        <v>707</v>
      </c>
    </row>
    <row r="939" spans="1:8">
      <c r="A939" s="2" t="s">
        <v>3419</v>
      </c>
      <c r="B939" t="b">
        <v>1</v>
      </c>
      <c r="C9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39" s="9">
        <v>0</v>
      </c>
      <c r="H939" t="s">
        <v>707</v>
      </c>
    </row>
    <row r="940" spans="1:8">
      <c r="A940" t="s">
        <v>3429</v>
      </c>
      <c r="B940" t="b">
        <v>1</v>
      </c>
      <c r="C9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40" s="9">
        <v>0</v>
      </c>
      <c r="H940" t="s">
        <v>707</v>
      </c>
    </row>
    <row r="941" spans="1:8">
      <c r="A941" t="s">
        <v>3433</v>
      </c>
      <c r="B941" t="b">
        <v>1</v>
      </c>
      <c r="C9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41" s="9">
        <v>0</v>
      </c>
      <c r="H941" t="s">
        <v>707</v>
      </c>
    </row>
    <row r="942" spans="1:8">
      <c r="A942" s="2" t="s">
        <v>3436</v>
      </c>
      <c r="B942" t="b">
        <v>1</v>
      </c>
      <c r="C9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42" s="9">
        <v>0</v>
      </c>
      <c r="H942" t="s">
        <v>707</v>
      </c>
    </row>
    <row r="943" spans="1:8">
      <c r="A943" s="2" t="s">
        <v>3437</v>
      </c>
      <c r="B943" t="b">
        <v>1</v>
      </c>
      <c r="C9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43" s="9">
        <v>0</v>
      </c>
      <c r="H943" t="s">
        <v>707</v>
      </c>
    </row>
    <row r="944" spans="1:8">
      <c r="A944" s="2" t="s">
        <v>3440</v>
      </c>
      <c r="B944" t="b">
        <v>1</v>
      </c>
      <c r="C9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44" s="9">
        <v>0</v>
      </c>
      <c r="H944" t="s">
        <v>707</v>
      </c>
    </row>
    <row r="945" spans="1:8">
      <c r="A945" s="2" t="s">
        <v>3443</v>
      </c>
      <c r="B945" t="b">
        <v>1</v>
      </c>
      <c r="C9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45" s="9">
        <v>0</v>
      </c>
      <c r="H945" t="s">
        <v>707</v>
      </c>
    </row>
    <row r="946" spans="1:8">
      <c r="A946" s="2" t="s">
        <v>3445</v>
      </c>
      <c r="B946" t="b">
        <v>1</v>
      </c>
      <c r="C9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46" s="9">
        <v>0</v>
      </c>
      <c r="H946" t="s">
        <v>707</v>
      </c>
    </row>
    <row r="947" spans="1:8">
      <c r="A947" s="2" t="s">
        <v>3449</v>
      </c>
      <c r="B947" t="b">
        <v>1</v>
      </c>
      <c r="C9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47" s="9">
        <v>0</v>
      </c>
      <c r="H947" t="s">
        <v>707</v>
      </c>
    </row>
    <row r="948" spans="1:8">
      <c r="A948" s="2" t="s">
        <v>3452</v>
      </c>
      <c r="B948" t="b">
        <v>1</v>
      </c>
      <c r="C9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8" s="9">
        <v>0</v>
      </c>
      <c r="H948" t="s">
        <v>707</v>
      </c>
    </row>
    <row r="949" spans="1:8">
      <c r="A949" s="2" t="s">
        <v>3453</v>
      </c>
      <c r="B949" t="b">
        <v>1</v>
      </c>
      <c r="C9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9" s="9">
        <v>0</v>
      </c>
      <c r="H949" t="s">
        <v>707</v>
      </c>
    </row>
    <row r="950" spans="1:8">
      <c r="A950" s="2"/>
      <c r="B950" t="b">
        <v>1</v>
      </c>
      <c r="C950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0" s="2" t="b">
        <v>0</v>
      </c>
      <c r="E950" s="2" t="b">
        <v>0</v>
      </c>
      <c r="F9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0" s="9">
        <v>0</v>
      </c>
      <c r="H950" t="s">
        <v>707</v>
      </c>
    </row>
    <row r="951" spans="1:8">
      <c r="A951" s="2"/>
      <c r="B951" t="b">
        <v>1</v>
      </c>
      <c r="C951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1" s="2" t="b">
        <v>0</v>
      </c>
      <c r="E951" s="2" t="b">
        <v>0</v>
      </c>
      <c r="F9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1" s="9">
        <v>0</v>
      </c>
      <c r="H951" t="s">
        <v>707</v>
      </c>
    </row>
    <row r="952" spans="1:8">
      <c r="A952" s="2"/>
      <c r="B952" t="b">
        <v>1</v>
      </c>
      <c r="C95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2" s="2" t="b">
        <v>0</v>
      </c>
      <c r="E952" s="2" t="b">
        <v>0</v>
      </c>
      <c r="F9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2" s="9">
        <v>0</v>
      </c>
      <c r="H952" t="s">
        <v>707</v>
      </c>
    </row>
    <row r="953" spans="1:8">
      <c r="A953" s="2"/>
      <c r="B953" t="b">
        <v>1</v>
      </c>
      <c r="C953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3" s="2" t="b">
        <v>0</v>
      </c>
      <c r="E953" s="2" t="b">
        <v>0</v>
      </c>
      <c r="F9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3" s="9">
        <v>0</v>
      </c>
      <c r="H953" t="s">
        <v>707</v>
      </c>
    </row>
    <row r="954" spans="1:8">
      <c r="A954" s="2"/>
      <c r="B954" t="b">
        <v>1</v>
      </c>
      <c r="C954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4" s="2" t="b">
        <v>0</v>
      </c>
      <c r="E954" s="2" t="b">
        <v>0</v>
      </c>
      <c r="F9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4" s="9">
        <v>0</v>
      </c>
      <c r="H954" t="s">
        <v>707</v>
      </c>
    </row>
    <row r="955" spans="1:8">
      <c r="A955" s="2"/>
      <c r="B955" t="b">
        <v>1</v>
      </c>
      <c r="C955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5" s="2" t="b">
        <v>0</v>
      </c>
      <c r="E955" s="2" t="b">
        <v>0</v>
      </c>
      <c r="F9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5" s="9">
        <v>0</v>
      </c>
      <c r="H955" t="s">
        <v>707</v>
      </c>
    </row>
    <row r="956" spans="1:8">
      <c r="A956" s="2"/>
      <c r="B956" t="b">
        <v>1</v>
      </c>
      <c r="C956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6" s="2" t="b">
        <v>0</v>
      </c>
      <c r="E956" s="2" t="b">
        <v>0</v>
      </c>
      <c r="F9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6" s="9">
        <v>0</v>
      </c>
      <c r="H956" t="s">
        <v>707</v>
      </c>
    </row>
    <row r="957" spans="1:8">
      <c r="A957" s="2"/>
      <c r="B957" t="b">
        <v>1</v>
      </c>
      <c r="C957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7" s="2" t="b">
        <v>0</v>
      </c>
      <c r="E957" s="2" t="b">
        <v>0</v>
      </c>
      <c r="F9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7" s="9">
        <v>0</v>
      </c>
      <c r="H957" t="s">
        <v>707</v>
      </c>
    </row>
    <row r="958" spans="1:8">
      <c r="A958" s="2"/>
      <c r="B958" t="b">
        <v>1</v>
      </c>
      <c r="C958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8" s="2" t="b">
        <v>0</v>
      </c>
      <c r="E958" s="2" t="b">
        <v>0</v>
      </c>
      <c r="F9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8" s="9">
        <v>0</v>
      </c>
      <c r="H958" t="s">
        <v>707</v>
      </c>
    </row>
    <row r="959" spans="1:8">
      <c r="A959" s="2"/>
      <c r="B959" t="b">
        <v>1</v>
      </c>
      <c r="C959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9" s="2" t="b">
        <v>0</v>
      </c>
      <c r="E959" s="2" t="b">
        <v>0</v>
      </c>
      <c r="F9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9" s="9">
        <v>0</v>
      </c>
      <c r="H959" t="s">
        <v>707</v>
      </c>
    </row>
    <row r="960" spans="1:8">
      <c r="A960" s="2"/>
      <c r="B960" t="b">
        <v>1</v>
      </c>
      <c r="C960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0" s="2" t="b">
        <v>0</v>
      </c>
      <c r="E960" s="2" t="b">
        <v>0</v>
      </c>
      <c r="F96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0" s="9">
        <v>0</v>
      </c>
      <c r="H960" t="s">
        <v>707</v>
      </c>
    </row>
    <row r="961" spans="1:8">
      <c r="A961" s="2"/>
      <c r="B961" t="b">
        <v>1</v>
      </c>
      <c r="C961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1" s="2" t="b">
        <v>0</v>
      </c>
      <c r="E961" s="2" t="b">
        <v>0</v>
      </c>
      <c r="F96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1" s="9">
        <v>0</v>
      </c>
      <c r="H961" t="s">
        <v>707</v>
      </c>
    </row>
    <row r="962" spans="1:8">
      <c r="A962" s="2"/>
      <c r="B962" t="b">
        <v>1</v>
      </c>
      <c r="C96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2" s="2" t="b">
        <v>0</v>
      </c>
      <c r="E962" s="2" t="b">
        <v>0</v>
      </c>
      <c r="F96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2" s="9">
        <v>0</v>
      </c>
      <c r="H962" t="s">
        <v>707</v>
      </c>
    </row>
    <row r="963" spans="1:8">
      <c r="A963" s="2"/>
      <c r="B963" t="b">
        <v>1</v>
      </c>
      <c r="C963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3" s="2" t="b">
        <v>0</v>
      </c>
      <c r="E963" s="2" t="b">
        <v>0</v>
      </c>
      <c r="F96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3" s="9">
        <v>0</v>
      </c>
      <c r="H963" t="s">
        <v>707</v>
      </c>
    </row>
    <row r="964" spans="1:8">
      <c r="A964" s="2"/>
      <c r="B964" t="b">
        <v>1</v>
      </c>
      <c r="C964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4" s="2" t="b">
        <v>0</v>
      </c>
      <c r="E964" s="2" t="b">
        <v>0</v>
      </c>
      <c r="F96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4" s="9">
        <v>0</v>
      </c>
      <c r="H964" t="s">
        <v>707</v>
      </c>
    </row>
    <row r="965" spans="1:8">
      <c r="A965" s="2"/>
      <c r="B965" t="b">
        <v>1</v>
      </c>
      <c r="C965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5" s="2" t="b">
        <v>0</v>
      </c>
      <c r="E965" s="2" t="b">
        <v>0</v>
      </c>
      <c r="F96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5" s="9">
        <v>0</v>
      </c>
      <c r="H965" t="s">
        <v>707</v>
      </c>
    </row>
    <row r="966" spans="1:8">
      <c r="A966" s="2"/>
      <c r="B966" t="b">
        <v>1</v>
      </c>
      <c r="C966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6" s="2" t="b">
        <v>0</v>
      </c>
      <c r="E966" s="2" t="b">
        <v>0</v>
      </c>
      <c r="F96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6" s="9">
        <v>0</v>
      </c>
      <c r="H966" t="s">
        <v>707</v>
      </c>
    </row>
    <row r="967" spans="1:8">
      <c r="A967" s="2"/>
      <c r="B967" t="b">
        <v>1</v>
      </c>
      <c r="C967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7" s="2" t="b">
        <v>0</v>
      </c>
      <c r="E967" s="2" t="b">
        <v>0</v>
      </c>
      <c r="F96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7" s="9">
        <v>0</v>
      </c>
      <c r="H967" t="s">
        <v>707</v>
      </c>
    </row>
    <row r="968" spans="1:8">
      <c r="A968" s="2"/>
      <c r="B968" t="b">
        <v>1</v>
      </c>
      <c r="C968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8" s="2" t="b">
        <v>0</v>
      </c>
      <c r="E968" s="2" t="b">
        <v>0</v>
      </c>
      <c r="F96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8" s="9">
        <v>0</v>
      </c>
      <c r="H968" t="s">
        <v>707</v>
      </c>
    </row>
    <row r="969" spans="1:8">
      <c r="A969" s="2"/>
      <c r="B969" t="b">
        <v>1</v>
      </c>
      <c r="C969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9" s="2" t="b">
        <v>0</v>
      </c>
      <c r="E969" s="2" t="b">
        <v>0</v>
      </c>
      <c r="F96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9" s="9">
        <v>0</v>
      </c>
      <c r="H969" t="s">
        <v>707</v>
      </c>
    </row>
  </sheetData>
  <conditionalFormatting sqref="A893:A939">
    <cfRule type="containsText" dxfId="118" priority="7" operator="containsText" text=" ">
      <formula>NOT(ISERROR(SEARCH(" ",A893)))</formula>
    </cfRule>
  </conditionalFormatting>
  <conditionalFormatting sqref="D1:E1 B2:E969">
    <cfRule type="cellIs" dxfId="117" priority="55" operator="equal">
      <formula>FALSE</formula>
    </cfRule>
  </conditionalFormatting>
  <conditionalFormatting sqref="A940">
    <cfRule type="containsText" dxfId="116" priority="5" operator="containsText" text=" ">
      <formula>NOT(ISERROR(SEARCH(" ",A940)))</formula>
    </cfRule>
  </conditionalFormatting>
  <conditionalFormatting sqref="A940">
    <cfRule type="containsText" dxfId="115" priority="6" operator="containsText" text=" ">
      <formula>NOT(ISERROR(SEARCH(" ",A940)))</formula>
    </cfRule>
  </conditionalFormatting>
  <conditionalFormatting sqref="A942">
    <cfRule type="containsText" dxfId="82" priority="4" operator="containsText" text=" ">
      <formula>NOT(ISERROR(SEARCH(" ",A942)))</formula>
    </cfRule>
  </conditionalFormatting>
  <conditionalFormatting sqref="A943">
    <cfRule type="containsText" dxfId="75" priority="3" operator="containsText" text=" ">
      <formula>NOT(ISERROR(SEARCH(" ",A943)))</formula>
    </cfRule>
  </conditionalFormatting>
  <conditionalFormatting sqref="A946:A947">
    <cfRule type="containsText" dxfId="18" priority="2" operator="containsText" text=" ">
      <formula>NOT(ISERROR(SEARCH(" ",A946)))</formula>
    </cfRule>
  </conditionalFormatting>
  <conditionalFormatting sqref="A948:A949">
    <cfRule type="containsText" dxfId="1" priority="1" operator="containsText" text=" ">
      <formula>NOT(ISERROR(SEARCH(" ",A948)))</formula>
    </cfRule>
  </conditionalFormatting>
  <dataValidations count="1">
    <dataValidation type="list" allowBlank="1" showInputMessage="1" showErrorMessage="1" sqref="B2:E96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959"/>
  <sheetViews>
    <sheetView zoomScaleNormal="100" workbookViewId="0">
      <pane xSplit="1" ySplit="1" topLeftCell="B934" activePane="bottomRight" state="frozen"/>
      <selection activeCell="Q19" sqref="Q19"/>
      <selection pane="topRight" activeCell="Q19" sqref="Q19"/>
      <selection pane="bottomLeft" activeCell="Q19" sqref="Q19"/>
      <selection pane="bottomRight" activeCell="A948" sqref="A948:A949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1695</v>
      </c>
      <c r="C1" s="1" t="s">
        <v>1667</v>
      </c>
      <c r="D1" s="1" t="s">
        <v>1677</v>
      </c>
    </row>
    <row r="2" spans="1:13">
      <c r="A2" t="s">
        <v>525</v>
      </c>
      <c r="B2" t="s">
        <v>1696</v>
      </c>
      <c r="C2" t="s">
        <v>1668</v>
      </c>
      <c r="D2" t="s">
        <v>1678</v>
      </c>
      <c r="K2"/>
      <c r="L2"/>
      <c r="M2"/>
    </row>
    <row r="3" spans="1:13">
      <c r="A3" t="s">
        <v>295</v>
      </c>
      <c r="B3" t="s">
        <v>1696</v>
      </c>
      <c r="C3" t="s">
        <v>1669</v>
      </c>
      <c r="D3" t="s">
        <v>1678</v>
      </c>
      <c r="K3"/>
      <c r="L3"/>
      <c r="M3"/>
    </row>
    <row r="4" spans="1:13">
      <c r="A4" t="s">
        <v>261</v>
      </c>
      <c r="B4" t="s">
        <v>1696</v>
      </c>
      <c r="C4" t="s">
        <v>1669</v>
      </c>
      <c r="D4" t="s">
        <v>1678</v>
      </c>
      <c r="K4"/>
      <c r="L4"/>
      <c r="M4"/>
    </row>
    <row r="5" spans="1:13">
      <c r="A5" t="s">
        <v>286</v>
      </c>
      <c r="B5" t="s">
        <v>1696</v>
      </c>
      <c r="C5" t="s">
        <v>1669</v>
      </c>
      <c r="D5" t="s">
        <v>1678</v>
      </c>
      <c r="K5"/>
      <c r="L5"/>
      <c r="M5"/>
    </row>
    <row r="6" spans="1:13">
      <c r="A6" t="s">
        <v>243</v>
      </c>
      <c r="B6" t="s">
        <v>1696</v>
      </c>
      <c r="C6" t="s">
        <v>1669</v>
      </c>
      <c r="D6" t="s">
        <v>1678</v>
      </c>
      <c r="K6"/>
      <c r="L6"/>
      <c r="M6"/>
    </row>
    <row r="7" spans="1:13">
      <c r="A7" t="s">
        <v>226</v>
      </c>
      <c r="B7" t="s">
        <v>1696</v>
      </c>
      <c r="C7" t="s">
        <v>1669</v>
      </c>
      <c r="D7" t="s">
        <v>1678</v>
      </c>
      <c r="K7"/>
      <c r="L7"/>
      <c r="M7"/>
    </row>
    <row r="8" spans="1:13">
      <c r="A8" t="s">
        <v>292</v>
      </c>
      <c r="B8" t="s">
        <v>1696</v>
      </c>
      <c r="C8" t="s">
        <v>1669</v>
      </c>
      <c r="D8" t="s">
        <v>1678</v>
      </c>
      <c r="K8"/>
      <c r="L8"/>
      <c r="M8"/>
    </row>
    <row r="9" spans="1:13">
      <c r="A9" t="s">
        <v>293</v>
      </c>
      <c r="B9" t="s">
        <v>1696</v>
      </c>
      <c r="C9" t="s">
        <v>1669</v>
      </c>
      <c r="D9" t="s">
        <v>1678</v>
      </c>
      <c r="K9"/>
      <c r="L9"/>
      <c r="M9"/>
    </row>
    <row r="10" spans="1:13">
      <c r="A10" t="s">
        <v>240</v>
      </c>
      <c r="B10" t="s">
        <v>1696</v>
      </c>
      <c r="C10" t="s">
        <v>1669</v>
      </c>
      <c r="D10" t="s">
        <v>1678</v>
      </c>
      <c r="K10"/>
      <c r="L10"/>
      <c r="M10"/>
    </row>
    <row r="11" spans="1:13">
      <c r="A11" t="s">
        <v>228</v>
      </c>
      <c r="B11" t="s">
        <v>1696</v>
      </c>
      <c r="C11" t="s">
        <v>1669</v>
      </c>
      <c r="D11" t="s">
        <v>1678</v>
      </c>
      <c r="K11"/>
      <c r="L11"/>
      <c r="M11"/>
    </row>
    <row r="12" spans="1:13">
      <c r="A12" t="s">
        <v>269</v>
      </c>
      <c r="B12" t="s">
        <v>1696</v>
      </c>
      <c r="C12" t="s">
        <v>1669</v>
      </c>
      <c r="D12" t="s">
        <v>1678</v>
      </c>
      <c r="K12"/>
      <c r="L12"/>
      <c r="M12"/>
    </row>
    <row r="13" spans="1:13">
      <c r="A13" t="s">
        <v>197</v>
      </c>
      <c r="B13" t="s">
        <v>1696</v>
      </c>
      <c r="C13" t="s">
        <v>1669</v>
      </c>
      <c r="D13" t="s">
        <v>1678</v>
      </c>
      <c r="K13"/>
      <c r="L13"/>
      <c r="M13"/>
    </row>
    <row r="14" spans="1:13">
      <c r="A14" t="s">
        <v>316</v>
      </c>
      <c r="B14" t="s">
        <v>1696</v>
      </c>
      <c r="C14" t="s">
        <v>1669</v>
      </c>
      <c r="D14" t="s">
        <v>1678</v>
      </c>
      <c r="K14"/>
      <c r="L14"/>
      <c r="M14"/>
    </row>
    <row r="15" spans="1:13">
      <c r="A15" t="s">
        <v>275</v>
      </c>
      <c r="B15" t="s">
        <v>1696</v>
      </c>
      <c r="C15" t="s">
        <v>1669</v>
      </c>
      <c r="D15" t="s">
        <v>1678</v>
      </c>
      <c r="K15"/>
      <c r="L15"/>
      <c r="M15"/>
    </row>
    <row r="16" spans="1:13">
      <c r="A16" t="s">
        <v>314</v>
      </c>
      <c r="B16" t="s">
        <v>1696</v>
      </c>
      <c r="C16" t="s">
        <v>1670</v>
      </c>
      <c r="D16" t="s">
        <v>1679</v>
      </c>
      <c r="K16"/>
      <c r="L16"/>
      <c r="M16"/>
    </row>
    <row r="17" spans="1:13">
      <c r="A17" t="s">
        <v>231</v>
      </c>
      <c r="B17" t="s">
        <v>1696</v>
      </c>
      <c r="C17" t="s">
        <v>1669</v>
      </c>
      <c r="D17" t="s">
        <v>1678</v>
      </c>
      <c r="K17"/>
      <c r="L17"/>
      <c r="M17"/>
    </row>
    <row r="18" spans="1:13">
      <c r="A18" t="s">
        <v>259</v>
      </c>
      <c r="B18" t="s">
        <v>1696</v>
      </c>
      <c r="C18" t="s">
        <v>1676</v>
      </c>
      <c r="D18" t="s">
        <v>1679</v>
      </c>
      <c r="K18"/>
      <c r="L18"/>
      <c r="M18"/>
    </row>
    <row r="19" spans="1:13">
      <c r="A19" t="s">
        <v>265</v>
      </c>
      <c r="B19" t="s">
        <v>1696</v>
      </c>
      <c r="C19" t="s">
        <v>1669</v>
      </c>
      <c r="D19" t="s">
        <v>1678</v>
      </c>
      <c r="K19"/>
      <c r="L19"/>
      <c r="M19"/>
    </row>
    <row r="20" spans="1:13">
      <c r="A20" t="s">
        <v>277</v>
      </c>
      <c r="B20" t="s">
        <v>1696</v>
      </c>
      <c r="C20" t="s">
        <v>1669</v>
      </c>
      <c r="D20" t="s">
        <v>1678</v>
      </c>
      <c r="K20"/>
      <c r="L20"/>
      <c r="M20"/>
    </row>
    <row r="21" spans="1:13">
      <c r="A21" t="s">
        <v>207</v>
      </c>
      <c r="B21" t="s">
        <v>1696</v>
      </c>
      <c r="C21" t="s">
        <v>1669</v>
      </c>
      <c r="D21" t="s">
        <v>1678</v>
      </c>
      <c r="K21"/>
      <c r="L21"/>
      <c r="M21"/>
    </row>
    <row r="22" spans="1:13">
      <c r="A22" t="s">
        <v>301</v>
      </c>
      <c r="B22" t="s">
        <v>1696</v>
      </c>
      <c r="C22" t="s">
        <v>1670</v>
      </c>
      <c r="D22" t="s">
        <v>1678</v>
      </c>
      <c r="K22"/>
      <c r="L22"/>
      <c r="M22"/>
    </row>
    <row r="23" spans="1:13">
      <c r="A23" t="s">
        <v>221</v>
      </c>
      <c r="B23" t="s">
        <v>1696</v>
      </c>
      <c r="C23" t="s">
        <v>1669</v>
      </c>
      <c r="D23" t="s">
        <v>1678</v>
      </c>
      <c r="K23"/>
      <c r="L23"/>
      <c r="M23"/>
    </row>
    <row r="24" spans="1:13">
      <c r="A24" t="s">
        <v>244</v>
      </c>
      <c r="B24" t="s">
        <v>1696</v>
      </c>
      <c r="C24" t="s">
        <v>1669</v>
      </c>
      <c r="D24" t="s">
        <v>1678</v>
      </c>
      <c r="K24"/>
      <c r="L24"/>
      <c r="M24"/>
    </row>
    <row r="25" spans="1:13">
      <c r="A25" t="s">
        <v>212</v>
      </c>
      <c r="B25" t="s">
        <v>1696</v>
      </c>
      <c r="C25" t="s">
        <v>1676</v>
      </c>
      <c r="D25" t="s">
        <v>1679</v>
      </c>
      <c r="K25"/>
      <c r="L25"/>
      <c r="M25"/>
    </row>
    <row r="26" spans="1:13">
      <c r="A26" t="s">
        <v>218</v>
      </c>
      <c r="B26" t="s">
        <v>1696</v>
      </c>
      <c r="C26" t="s">
        <v>1676</v>
      </c>
      <c r="D26" t="s">
        <v>1683</v>
      </c>
      <c r="K26"/>
      <c r="L26"/>
      <c r="M26"/>
    </row>
    <row r="27" spans="1:13">
      <c r="A27" t="s">
        <v>287</v>
      </c>
      <c r="B27" t="s">
        <v>1696</v>
      </c>
      <c r="C27" t="s">
        <v>1669</v>
      </c>
      <c r="D27" t="s">
        <v>1678</v>
      </c>
      <c r="K27"/>
      <c r="L27"/>
      <c r="M27"/>
    </row>
    <row r="28" spans="1:13">
      <c r="A28" t="s">
        <v>263</v>
      </c>
      <c r="B28" t="s">
        <v>1696</v>
      </c>
      <c r="C28" t="s">
        <v>1669</v>
      </c>
      <c r="D28" t="s">
        <v>1678</v>
      </c>
      <c r="K28"/>
      <c r="L28"/>
      <c r="M28"/>
    </row>
    <row r="29" spans="1:13">
      <c r="A29" t="s">
        <v>201</v>
      </c>
      <c r="B29" t="s">
        <v>1696</v>
      </c>
      <c r="C29" t="s">
        <v>1669</v>
      </c>
      <c r="D29" t="s">
        <v>1678</v>
      </c>
      <c r="K29"/>
      <c r="L29"/>
      <c r="M29"/>
    </row>
    <row r="30" spans="1:13">
      <c r="A30" t="s">
        <v>290</v>
      </c>
      <c r="B30" t="s">
        <v>1696</v>
      </c>
      <c r="C30" t="s">
        <v>1669</v>
      </c>
      <c r="D30" t="s">
        <v>1678</v>
      </c>
      <c r="K30"/>
      <c r="L30"/>
      <c r="M30"/>
    </row>
    <row r="31" spans="1:13">
      <c r="A31" t="s">
        <v>219</v>
      </c>
      <c r="B31" t="s">
        <v>1696</v>
      </c>
      <c r="C31" t="s">
        <v>1669</v>
      </c>
      <c r="D31" t="s">
        <v>1678</v>
      </c>
      <c r="K31"/>
      <c r="L31"/>
      <c r="M31"/>
    </row>
    <row r="32" spans="1:13">
      <c r="A32" t="s">
        <v>255</v>
      </c>
      <c r="B32" t="s">
        <v>1696</v>
      </c>
      <c r="C32" t="s">
        <v>1676</v>
      </c>
      <c r="D32" t="s">
        <v>1682</v>
      </c>
      <c r="K32"/>
      <c r="L32"/>
      <c r="M32"/>
    </row>
    <row r="33" spans="1:13">
      <c r="A33" t="s">
        <v>234</v>
      </c>
      <c r="B33" t="s">
        <v>1696</v>
      </c>
      <c r="C33" t="s">
        <v>1669</v>
      </c>
      <c r="D33" t="s">
        <v>1678</v>
      </c>
      <c r="K33"/>
      <c r="L33"/>
      <c r="M33"/>
    </row>
    <row r="34" spans="1:13">
      <c r="A34" t="s">
        <v>208</v>
      </c>
      <c r="B34" t="s">
        <v>1696</v>
      </c>
      <c r="C34" t="s">
        <v>1669</v>
      </c>
      <c r="D34" t="s">
        <v>1678</v>
      </c>
      <c r="K34"/>
      <c r="L34"/>
      <c r="M34"/>
    </row>
    <row r="35" spans="1:13">
      <c r="A35" t="s">
        <v>205</v>
      </c>
      <c r="B35" t="s">
        <v>1696</v>
      </c>
      <c r="C35" t="s">
        <v>1669</v>
      </c>
      <c r="D35" t="s">
        <v>1678</v>
      </c>
      <c r="K35"/>
      <c r="L35"/>
      <c r="M35"/>
    </row>
    <row r="36" spans="1:13">
      <c r="A36" t="s">
        <v>283</v>
      </c>
      <c r="B36" t="s">
        <v>1696</v>
      </c>
      <c r="C36" t="s">
        <v>1669</v>
      </c>
      <c r="D36" t="s">
        <v>1678</v>
      </c>
      <c r="K36"/>
      <c r="L36"/>
      <c r="M36"/>
    </row>
    <row r="37" spans="1:13">
      <c r="A37" t="s">
        <v>209</v>
      </c>
      <c r="B37" t="s">
        <v>1696</v>
      </c>
      <c r="C37" t="s">
        <v>1670</v>
      </c>
      <c r="D37" t="s">
        <v>1679</v>
      </c>
      <c r="K37"/>
      <c r="L37"/>
      <c r="M37"/>
    </row>
    <row r="38" spans="1:13">
      <c r="A38" t="s">
        <v>288</v>
      </c>
      <c r="B38" t="s">
        <v>1696</v>
      </c>
      <c r="C38" t="s">
        <v>1669</v>
      </c>
      <c r="D38" t="s">
        <v>1678</v>
      </c>
      <c r="K38"/>
      <c r="L38"/>
      <c r="M38"/>
    </row>
    <row r="39" spans="1:13">
      <c r="A39" t="s">
        <v>274</v>
      </c>
      <c r="B39" t="s">
        <v>1696</v>
      </c>
      <c r="C39" t="s">
        <v>1669</v>
      </c>
      <c r="D39" t="s">
        <v>1678</v>
      </c>
      <c r="K39"/>
      <c r="L39"/>
      <c r="M39"/>
    </row>
    <row r="40" spans="1:13">
      <c r="A40" t="s">
        <v>235</v>
      </c>
      <c r="B40" t="s">
        <v>1696</v>
      </c>
      <c r="C40" t="s">
        <v>1669</v>
      </c>
      <c r="D40" t="s">
        <v>1678</v>
      </c>
      <c r="K40"/>
      <c r="L40"/>
      <c r="M40"/>
    </row>
    <row r="41" spans="1:13">
      <c r="A41" t="s">
        <v>249</v>
      </c>
      <c r="B41" t="s">
        <v>1696</v>
      </c>
      <c r="C41" t="s">
        <v>1669</v>
      </c>
      <c r="D41" t="s">
        <v>1678</v>
      </c>
      <c r="K41"/>
      <c r="L41"/>
      <c r="M41"/>
    </row>
    <row r="42" spans="1:13">
      <c r="A42" t="s">
        <v>252</v>
      </c>
      <c r="B42" t="s">
        <v>1696</v>
      </c>
      <c r="C42" t="s">
        <v>1669</v>
      </c>
      <c r="D42" t="s">
        <v>1678</v>
      </c>
      <c r="K42"/>
      <c r="L42"/>
      <c r="M42"/>
    </row>
    <row r="43" spans="1:13">
      <c r="A43" t="s">
        <v>232</v>
      </c>
      <c r="B43" t="s">
        <v>1696</v>
      </c>
      <c r="C43" t="s">
        <v>1669</v>
      </c>
      <c r="D43" t="s">
        <v>1678</v>
      </c>
      <c r="K43"/>
      <c r="L43"/>
      <c r="M43"/>
    </row>
    <row r="44" spans="1:13">
      <c r="A44" t="s">
        <v>215</v>
      </c>
      <c r="B44" t="s">
        <v>1696</v>
      </c>
      <c r="C44" t="s">
        <v>1669</v>
      </c>
      <c r="D44" t="s">
        <v>1678</v>
      </c>
      <c r="K44"/>
      <c r="L44"/>
      <c r="M44"/>
    </row>
    <row r="45" spans="1:13">
      <c r="A45" t="s">
        <v>222</v>
      </c>
      <c r="B45" t="s">
        <v>1696</v>
      </c>
      <c r="C45" t="s">
        <v>1669</v>
      </c>
      <c r="D45" t="s">
        <v>1678</v>
      </c>
      <c r="K45"/>
      <c r="L45"/>
      <c r="M45"/>
    </row>
    <row r="46" spans="1:13">
      <c r="A46" t="s">
        <v>311</v>
      </c>
      <c r="B46" t="s">
        <v>1696</v>
      </c>
      <c r="C46" t="s">
        <v>1669</v>
      </c>
      <c r="D46" t="s">
        <v>1678</v>
      </c>
      <c r="K46"/>
      <c r="L46"/>
      <c r="M46"/>
    </row>
    <row r="47" spans="1:13">
      <c r="A47" t="s">
        <v>229</v>
      </c>
      <c r="B47" t="s">
        <v>1696</v>
      </c>
      <c r="C47" t="s">
        <v>1669</v>
      </c>
      <c r="D47" t="s">
        <v>1678</v>
      </c>
      <c r="K47"/>
      <c r="L47"/>
      <c r="M47"/>
    </row>
    <row r="48" spans="1:13">
      <c r="A48" t="s">
        <v>297</v>
      </c>
      <c r="B48" t="s">
        <v>1696</v>
      </c>
      <c r="C48" t="s">
        <v>1669</v>
      </c>
      <c r="D48" t="s">
        <v>1678</v>
      </c>
      <c r="K48"/>
      <c r="L48"/>
      <c r="M48"/>
    </row>
    <row r="49" spans="1:13">
      <c r="A49" t="s">
        <v>216</v>
      </c>
      <c r="B49" t="s">
        <v>1696</v>
      </c>
      <c r="C49" t="s">
        <v>1669</v>
      </c>
      <c r="D49" t="s">
        <v>1678</v>
      </c>
      <c r="K49"/>
      <c r="L49"/>
      <c r="M49"/>
    </row>
    <row r="50" spans="1:13">
      <c r="A50" t="s">
        <v>238</v>
      </c>
      <c r="B50" t="s">
        <v>1696</v>
      </c>
      <c r="C50" t="s">
        <v>1669</v>
      </c>
      <c r="D50" t="s">
        <v>1678</v>
      </c>
      <c r="K50"/>
      <c r="L50"/>
      <c r="M50"/>
    </row>
    <row r="51" spans="1:13">
      <c r="A51" t="s">
        <v>281</v>
      </c>
      <c r="B51" t="s">
        <v>1696</v>
      </c>
      <c r="C51" t="s">
        <v>1669</v>
      </c>
      <c r="D51" t="s">
        <v>1678</v>
      </c>
      <c r="K51"/>
      <c r="L51"/>
      <c r="M51"/>
    </row>
    <row r="52" spans="1:13">
      <c r="A52" t="s">
        <v>309</v>
      </c>
      <c r="B52" t="s">
        <v>1696</v>
      </c>
      <c r="C52" t="s">
        <v>1669</v>
      </c>
      <c r="D52" t="s">
        <v>1678</v>
      </c>
      <c r="K52"/>
      <c r="L52"/>
      <c r="M52"/>
    </row>
    <row r="53" spans="1:13">
      <c r="A53" t="s">
        <v>213</v>
      </c>
      <c r="B53" t="s">
        <v>1696</v>
      </c>
      <c r="C53" t="s">
        <v>1669</v>
      </c>
      <c r="D53" t="s">
        <v>1678</v>
      </c>
      <c r="K53"/>
      <c r="L53"/>
      <c r="M53"/>
    </row>
    <row r="54" spans="1:13">
      <c r="A54" t="s">
        <v>250</v>
      </c>
      <c r="B54" t="s">
        <v>1696</v>
      </c>
      <c r="C54" t="s">
        <v>1669</v>
      </c>
      <c r="D54" t="s">
        <v>1678</v>
      </c>
      <c r="K54"/>
      <c r="L54"/>
      <c r="M54"/>
    </row>
    <row r="55" spans="1:13">
      <c r="A55" t="s">
        <v>195</v>
      </c>
      <c r="B55" t="s">
        <v>1696</v>
      </c>
      <c r="C55" t="s">
        <v>1676</v>
      </c>
      <c r="D55" t="s">
        <v>1679</v>
      </c>
      <c r="K55"/>
      <c r="L55"/>
      <c r="M55"/>
    </row>
    <row r="56" spans="1:13">
      <c r="A56" t="s">
        <v>192</v>
      </c>
      <c r="B56" t="s">
        <v>1696</v>
      </c>
      <c r="C56" t="s">
        <v>1669</v>
      </c>
      <c r="D56" t="s">
        <v>1678</v>
      </c>
      <c r="K56"/>
      <c r="L56"/>
      <c r="M56"/>
    </row>
    <row r="57" spans="1:13">
      <c r="A57" t="s">
        <v>253</v>
      </c>
      <c r="B57" t="s">
        <v>1696</v>
      </c>
      <c r="C57" t="s">
        <v>1669</v>
      </c>
      <c r="D57" t="s">
        <v>1678</v>
      </c>
      <c r="K57"/>
      <c r="L57"/>
      <c r="M57"/>
    </row>
    <row r="58" spans="1:13">
      <c r="A58" t="s">
        <v>211</v>
      </c>
      <c r="B58" t="s">
        <v>1696</v>
      </c>
      <c r="C58" t="s">
        <v>1669</v>
      </c>
      <c r="D58" t="s">
        <v>1678</v>
      </c>
      <c r="K58"/>
      <c r="L58"/>
      <c r="M58"/>
    </row>
    <row r="59" spans="1:13">
      <c r="A59" t="s">
        <v>210</v>
      </c>
      <c r="B59" t="s">
        <v>1696</v>
      </c>
      <c r="C59" t="s">
        <v>1669</v>
      </c>
      <c r="D59" t="s">
        <v>1678</v>
      </c>
      <c r="K59"/>
      <c r="L59"/>
      <c r="M59"/>
    </row>
    <row r="60" spans="1:13">
      <c r="A60" t="s">
        <v>223</v>
      </c>
      <c r="B60" t="s">
        <v>1696</v>
      </c>
      <c r="C60" t="s">
        <v>1669</v>
      </c>
      <c r="D60" t="s">
        <v>1678</v>
      </c>
      <c r="K60"/>
      <c r="L60"/>
      <c r="M60"/>
    </row>
    <row r="61" spans="1:13">
      <c r="A61" t="s">
        <v>285</v>
      </c>
      <c r="B61" t="s">
        <v>1696</v>
      </c>
      <c r="C61" t="s">
        <v>1669</v>
      </c>
      <c r="D61" t="s">
        <v>1678</v>
      </c>
      <c r="K61"/>
      <c r="L61"/>
      <c r="M61"/>
    </row>
    <row r="62" spans="1:13">
      <c r="A62" t="s">
        <v>247</v>
      </c>
      <c r="B62" t="s">
        <v>1696</v>
      </c>
      <c r="C62" t="s">
        <v>1669</v>
      </c>
      <c r="D62" t="s">
        <v>1678</v>
      </c>
      <c r="K62"/>
      <c r="L62"/>
      <c r="M62"/>
    </row>
    <row r="63" spans="1:13">
      <c r="A63" t="s">
        <v>267</v>
      </c>
      <c r="B63" t="s">
        <v>1696</v>
      </c>
      <c r="C63" t="s">
        <v>1669</v>
      </c>
      <c r="D63" t="s">
        <v>1678</v>
      </c>
      <c r="K63"/>
      <c r="L63"/>
      <c r="M63"/>
    </row>
    <row r="64" spans="1:13">
      <c r="A64" t="s">
        <v>262</v>
      </c>
      <c r="B64" t="s">
        <v>1696</v>
      </c>
      <c r="C64" t="s">
        <v>1669</v>
      </c>
      <c r="D64" t="s">
        <v>1678</v>
      </c>
      <c r="K64"/>
      <c r="L64"/>
      <c r="M64"/>
    </row>
    <row r="65" spans="1:13">
      <c r="A65" t="s">
        <v>279</v>
      </c>
      <c r="B65" t="s">
        <v>1696</v>
      </c>
      <c r="C65" t="s">
        <v>1669</v>
      </c>
      <c r="D65" t="s">
        <v>1678</v>
      </c>
      <c r="K65"/>
      <c r="L65"/>
      <c r="M65"/>
    </row>
    <row r="66" spans="1:13">
      <c r="A66" t="s">
        <v>282</v>
      </c>
      <c r="B66" t="s">
        <v>1696</v>
      </c>
      <c r="C66" t="s">
        <v>1669</v>
      </c>
      <c r="D66" t="s">
        <v>1678</v>
      </c>
      <c r="K66"/>
      <c r="L66"/>
      <c r="M66"/>
    </row>
    <row r="67" spans="1:13">
      <c r="A67" t="s">
        <v>306</v>
      </c>
      <c r="B67" t="s">
        <v>1696</v>
      </c>
      <c r="C67" t="s">
        <v>1669</v>
      </c>
      <c r="D67" t="s">
        <v>1678</v>
      </c>
      <c r="K67"/>
      <c r="L67"/>
      <c r="M67"/>
    </row>
    <row r="68" spans="1:13">
      <c r="A68" t="s">
        <v>268</v>
      </c>
      <c r="B68" t="s">
        <v>1696</v>
      </c>
      <c r="C68" t="s">
        <v>1669</v>
      </c>
      <c r="D68" t="s">
        <v>1678</v>
      </c>
      <c r="K68"/>
      <c r="L68"/>
      <c r="M68"/>
    </row>
    <row r="69" spans="1:13">
      <c r="A69" t="s">
        <v>272</v>
      </c>
      <c r="B69" t="s">
        <v>1696</v>
      </c>
      <c r="C69" t="s">
        <v>1669</v>
      </c>
      <c r="D69" t="s">
        <v>1678</v>
      </c>
      <c r="K69"/>
      <c r="L69"/>
      <c r="M69"/>
    </row>
    <row r="70" spans="1:13">
      <c r="A70" t="s">
        <v>618</v>
      </c>
      <c r="B70" t="s">
        <v>1696</v>
      </c>
      <c r="C70" t="s">
        <v>1669</v>
      </c>
      <c r="D70" t="s">
        <v>1678</v>
      </c>
      <c r="K70"/>
      <c r="L70"/>
      <c r="M70"/>
    </row>
    <row r="71" spans="1:13">
      <c r="A71" t="s">
        <v>206</v>
      </c>
      <c r="B71" t="s">
        <v>1696</v>
      </c>
      <c r="C71" t="s">
        <v>1676</v>
      </c>
      <c r="D71" t="s">
        <v>1679</v>
      </c>
      <c r="K71"/>
      <c r="L71"/>
      <c r="M71"/>
    </row>
    <row r="72" spans="1:13">
      <c r="A72" t="s">
        <v>264</v>
      </c>
      <c r="B72" t="s">
        <v>1696</v>
      </c>
      <c r="C72" t="s">
        <v>1669</v>
      </c>
      <c r="D72" t="s">
        <v>1678</v>
      </c>
      <c r="K72"/>
      <c r="L72"/>
      <c r="M72"/>
    </row>
    <row r="73" spans="1:13">
      <c r="A73" t="s">
        <v>299</v>
      </c>
      <c r="B73" t="s">
        <v>1696</v>
      </c>
      <c r="C73" t="s">
        <v>1669</v>
      </c>
      <c r="D73" t="s">
        <v>1678</v>
      </c>
      <c r="K73"/>
      <c r="L73"/>
      <c r="M73"/>
    </row>
    <row r="74" spans="1:13">
      <c r="A74" t="s">
        <v>194</v>
      </c>
      <c r="B74" t="s">
        <v>1696</v>
      </c>
      <c r="C74" t="s">
        <v>1669</v>
      </c>
      <c r="D74" t="s">
        <v>1678</v>
      </c>
      <c r="K74"/>
      <c r="L74"/>
      <c r="M74"/>
    </row>
    <row r="75" spans="1:13">
      <c r="A75" t="s">
        <v>202</v>
      </c>
      <c r="B75" t="s">
        <v>1696</v>
      </c>
      <c r="C75" t="s">
        <v>1676</v>
      </c>
      <c r="D75" t="s">
        <v>1679</v>
      </c>
      <c r="K75"/>
      <c r="L75"/>
      <c r="M75"/>
    </row>
    <row r="76" spans="1:13">
      <c r="A76" t="s">
        <v>310</v>
      </c>
      <c r="B76" t="s">
        <v>1696</v>
      </c>
      <c r="C76" t="s">
        <v>1669</v>
      </c>
      <c r="D76" t="s">
        <v>1678</v>
      </c>
      <c r="K76"/>
      <c r="L76"/>
      <c r="M76"/>
    </row>
    <row r="77" spans="1:13">
      <c r="A77" t="s">
        <v>315</v>
      </c>
      <c r="B77" t="s">
        <v>1696</v>
      </c>
      <c r="C77" t="s">
        <v>1669</v>
      </c>
      <c r="D77" t="s">
        <v>1678</v>
      </c>
      <c r="K77"/>
      <c r="L77"/>
      <c r="M77"/>
    </row>
    <row r="78" spans="1:13">
      <c r="A78" t="s">
        <v>273</v>
      </c>
      <c r="B78" t="s">
        <v>1696</v>
      </c>
      <c r="C78" t="s">
        <v>1669</v>
      </c>
      <c r="D78" t="s">
        <v>1678</v>
      </c>
      <c r="K78"/>
      <c r="L78"/>
      <c r="M78"/>
    </row>
    <row r="79" spans="1:13">
      <c r="A79" t="s">
        <v>236</v>
      </c>
      <c r="B79" t="s">
        <v>1696</v>
      </c>
      <c r="C79" t="s">
        <v>1670</v>
      </c>
      <c r="D79" t="s">
        <v>1678</v>
      </c>
      <c r="K79"/>
      <c r="L79"/>
      <c r="M79"/>
    </row>
    <row r="80" spans="1:13">
      <c r="A80" t="s">
        <v>289</v>
      </c>
      <c r="B80" t="s">
        <v>1696</v>
      </c>
      <c r="C80" t="s">
        <v>1669</v>
      </c>
      <c r="D80" t="s">
        <v>1678</v>
      </c>
      <c r="K80"/>
      <c r="L80"/>
      <c r="M80"/>
    </row>
    <row r="81" spans="1:13">
      <c r="A81" t="s">
        <v>291</v>
      </c>
      <c r="B81" t="s">
        <v>1696</v>
      </c>
      <c r="C81" t="s">
        <v>1669</v>
      </c>
      <c r="D81" t="s">
        <v>1678</v>
      </c>
      <c r="K81"/>
      <c r="L81"/>
      <c r="M81"/>
    </row>
    <row r="82" spans="1:13">
      <c r="A82" t="s">
        <v>302</v>
      </c>
      <c r="B82" t="s">
        <v>1696</v>
      </c>
      <c r="C82" t="s">
        <v>1669</v>
      </c>
      <c r="D82" t="s">
        <v>1678</v>
      </c>
      <c r="K82"/>
      <c r="L82"/>
      <c r="M82"/>
    </row>
    <row r="83" spans="1:13">
      <c r="A83" t="s">
        <v>308</v>
      </c>
      <c r="B83" t="s">
        <v>1696</v>
      </c>
      <c r="C83" t="s">
        <v>1669</v>
      </c>
      <c r="D83" t="s">
        <v>1678</v>
      </c>
      <c r="K83"/>
      <c r="L83"/>
      <c r="M83"/>
    </row>
    <row r="84" spans="1:13">
      <c r="A84" t="s">
        <v>237</v>
      </c>
      <c r="B84" t="s">
        <v>1696</v>
      </c>
      <c r="C84" t="s">
        <v>1669</v>
      </c>
      <c r="D84" t="s">
        <v>1678</v>
      </c>
      <c r="K84"/>
      <c r="L84"/>
      <c r="M84"/>
    </row>
    <row r="85" spans="1:13">
      <c r="A85" t="s">
        <v>217</v>
      </c>
      <c r="B85" t="s">
        <v>1696</v>
      </c>
      <c r="C85" t="s">
        <v>1669</v>
      </c>
      <c r="D85" t="s">
        <v>1678</v>
      </c>
      <c r="K85"/>
      <c r="L85"/>
      <c r="M85"/>
    </row>
    <row r="86" spans="1:13">
      <c r="A86" t="s">
        <v>225</v>
      </c>
      <c r="B86" t="s">
        <v>1696</v>
      </c>
      <c r="C86" t="s">
        <v>1669</v>
      </c>
      <c r="D86" t="s">
        <v>1678</v>
      </c>
      <c r="K86"/>
      <c r="L86"/>
      <c r="M86"/>
    </row>
    <row r="87" spans="1:13">
      <c r="A87" t="s">
        <v>307</v>
      </c>
      <c r="B87" t="s">
        <v>1696</v>
      </c>
      <c r="C87" t="s">
        <v>1669</v>
      </c>
      <c r="D87" t="s">
        <v>1678</v>
      </c>
      <c r="K87"/>
      <c r="L87"/>
      <c r="M87"/>
    </row>
    <row r="88" spans="1:13">
      <c r="A88" t="s">
        <v>254</v>
      </c>
      <c r="B88" t="s">
        <v>1696</v>
      </c>
      <c r="C88" t="s">
        <v>1676</v>
      </c>
      <c r="D88" t="s">
        <v>1679</v>
      </c>
      <c r="K88"/>
      <c r="L88"/>
      <c r="M88"/>
    </row>
    <row r="89" spans="1:13">
      <c r="A89" t="s">
        <v>251</v>
      </c>
      <c r="B89" t="s">
        <v>1696</v>
      </c>
      <c r="C89" t="s">
        <v>1676</v>
      </c>
      <c r="D89" t="s">
        <v>1682</v>
      </c>
      <c r="K89"/>
      <c r="L89"/>
      <c r="M89"/>
    </row>
    <row r="90" spans="1:13">
      <c r="A90" t="s">
        <v>227</v>
      </c>
      <c r="B90" t="s">
        <v>1696</v>
      </c>
      <c r="C90" t="s">
        <v>1669</v>
      </c>
      <c r="D90" t="s">
        <v>1678</v>
      </c>
      <c r="K90"/>
      <c r="L90"/>
      <c r="M90"/>
    </row>
    <row r="91" spans="1:13">
      <c r="A91" t="s">
        <v>220</v>
      </c>
      <c r="B91" t="s">
        <v>1696</v>
      </c>
      <c r="C91" t="s">
        <v>1669</v>
      </c>
      <c r="D91" t="s">
        <v>1678</v>
      </c>
      <c r="K91"/>
      <c r="L91"/>
      <c r="M91"/>
    </row>
    <row r="92" spans="1:13">
      <c r="A92" t="s">
        <v>239</v>
      </c>
      <c r="B92" t="s">
        <v>1696</v>
      </c>
      <c r="C92" t="s">
        <v>1669</v>
      </c>
      <c r="D92" t="s">
        <v>1678</v>
      </c>
      <c r="K92"/>
      <c r="L92"/>
      <c r="M92"/>
    </row>
    <row r="93" spans="1:13">
      <c r="A93" t="s">
        <v>278</v>
      </c>
      <c r="B93" t="s">
        <v>1696</v>
      </c>
      <c r="C93" t="s">
        <v>1669</v>
      </c>
      <c r="D93" t="s">
        <v>1678</v>
      </c>
      <c r="K93"/>
      <c r="L93"/>
      <c r="M93"/>
    </row>
    <row r="94" spans="1:13">
      <c r="A94" t="s">
        <v>305</v>
      </c>
      <c r="B94" t="s">
        <v>1696</v>
      </c>
      <c r="C94" t="s">
        <v>1669</v>
      </c>
      <c r="D94" t="s">
        <v>1678</v>
      </c>
      <c r="K94"/>
      <c r="L94"/>
      <c r="M94"/>
    </row>
    <row r="95" spans="1:13">
      <c r="A95" t="s">
        <v>312</v>
      </c>
      <c r="B95" t="s">
        <v>1696</v>
      </c>
      <c r="C95" t="s">
        <v>1669</v>
      </c>
      <c r="D95" t="s">
        <v>1678</v>
      </c>
      <c r="K95"/>
      <c r="L95"/>
      <c r="M95"/>
    </row>
    <row r="96" spans="1:13">
      <c r="A96" t="s">
        <v>294</v>
      </c>
      <c r="B96" t="s">
        <v>1696</v>
      </c>
      <c r="C96" t="s">
        <v>1669</v>
      </c>
      <c r="D96" t="s">
        <v>1678</v>
      </c>
      <c r="K96"/>
      <c r="L96"/>
      <c r="M96"/>
    </row>
    <row r="97" spans="1:13">
      <c r="A97" t="s">
        <v>271</v>
      </c>
      <c r="B97" t="s">
        <v>1696</v>
      </c>
      <c r="C97" t="s">
        <v>1669</v>
      </c>
      <c r="D97" t="s">
        <v>1678</v>
      </c>
      <c r="K97"/>
      <c r="L97"/>
      <c r="M97"/>
    </row>
    <row r="98" spans="1:13">
      <c r="A98" t="s">
        <v>313</v>
      </c>
      <c r="B98" t="s">
        <v>1696</v>
      </c>
      <c r="C98" t="s">
        <v>1669</v>
      </c>
      <c r="D98" t="s">
        <v>1678</v>
      </c>
      <c r="K98"/>
      <c r="L98"/>
      <c r="M98"/>
    </row>
    <row r="99" spans="1:13">
      <c r="A99" t="s">
        <v>284</v>
      </c>
      <c r="B99" t="s">
        <v>1696</v>
      </c>
      <c r="C99" t="s">
        <v>1669</v>
      </c>
      <c r="D99" t="s">
        <v>1678</v>
      </c>
      <c r="K99"/>
      <c r="L99"/>
      <c r="M99"/>
    </row>
    <row r="100" spans="1:13">
      <c r="A100" t="s">
        <v>266</v>
      </c>
      <c r="B100" t="s">
        <v>1696</v>
      </c>
      <c r="C100" t="s">
        <v>1669</v>
      </c>
      <c r="D100" t="s">
        <v>1678</v>
      </c>
      <c r="K100"/>
      <c r="L100"/>
      <c r="M100"/>
    </row>
    <row r="101" spans="1:13">
      <c r="A101" t="s">
        <v>233</v>
      </c>
      <c r="B101" t="s">
        <v>1696</v>
      </c>
      <c r="C101" t="s">
        <v>1669</v>
      </c>
      <c r="D101" t="s">
        <v>1678</v>
      </c>
      <c r="K101"/>
      <c r="L101"/>
      <c r="M101"/>
    </row>
    <row r="102" spans="1:13">
      <c r="A102" t="s">
        <v>196</v>
      </c>
      <c r="B102" t="s">
        <v>1696</v>
      </c>
      <c r="C102" t="s">
        <v>1669</v>
      </c>
      <c r="D102" t="s">
        <v>1678</v>
      </c>
      <c r="K102"/>
      <c r="L102"/>
      <c r="M102"/>
    </row>
    <row r="103" spans="1:13">
      <c r="A103" t="s">
        <v>296</v>
      </c>
      <c r="B103" t="s">
        <v>1696</v>
      </c>
      <c r="C103" t="s">
        <v>1669</v>
      </c>
      <c r="D103" t="s">
        <v>1678</v>
      </c>
      <c r="K103"/>
      <c r="L103"/>
      <c r="M103"/>
    </row>
    <row r="104" spans="1:13">
      <c r="A104" t="s">
        <v>298</v>
      </c>
      <c r="B104" t="s">
        <v>1696</v>
      </c>
      <c r="C104" t="s">
        <v>1669</v>
      </c>
      <c r="D104" t="s">
        <v>1678</v>
      </c>
      <c r="K104"/>
      <c r="L104"/>
      <c r="M104"/>
    </row>
    <row r="105" spans="1:13">
      <c r="A105" t="s">
        <v>242</v>
      </c>
      <c r="B105" t="s">
        <v>1696</v>
      </c>
      <c r="C105" t="s">
        <v>1669</v>
      </c>
      <c r="D105" t="s">
        <v>1678</v>
      </c>
      <c r="K105"/>
      <c r="L105"/>
      <c r="M105"/>
    </row>
    <row r="106" spans="1:13">
      <c r="A106" t="s">
        <v>224</v>
      </c>
      <c r="B106" t="s">
        <v>1696</v>
      </c>
      <c r="C106" t="s">
        <v>1676</v>
      </c>
      <c r="D106" t="s">
        <v>1679</v>
      </c>
      <c r="K106"/>
      <c r="L106"/>
      <c r="M106"/>
    </row>
    <row r="107" spans="1:13">
      <c r="A107" t="s">
        <v>276</v>
      </c>
      <c r="B107" t="s">
        <v>1696</v>
      </c>
      <c r="C107" t="s">
        <v>1669</v>
      </c>
      <c r="D107" t="s">
        <v>1678</v>
      </c>
      <c r="K107"/>
      <c r="L107"/>
      <c r="M107"/>
    </row>
    <row r="108" spans="1:13">
      <c r="A108" t="s">
        <v>245</v>
      </c>
      <c r="B108" t="s">
        <v>1696</v>
      </c>
      <c r="C108" t="s">
        <v>1669</v>
      </c>
      <c r="D108" t="s">
        <v>1678</v>
      </c>
      <c r="K108"/>
      <c r="L108"/>
      <c r="M108"/>
    </row>
    <row r="109" spans="1:13">
      <c r="A109" t="s">
        <v>246</v>
      </c>
      <c r="B109" t="s">
        <v>1696</v>
      </c>
      <c r="C109" t="s">
        <v>1669</v>
      </c>
      <c r="D109" t="s">
        <v>1678</v>
      </c>
      <c r="K109"/>
      <c r="L109"/>
      <c r="M109"/>
    </row>
    <row r="110" spans="1:13">
      <c r="A110" t="s">
        <v>317</v>
      </c>
      <c r="B110" t="s">
        <v>1696</v>
      </c>
      <c r="C110" t="s">
        <v>1669</v>
      </c>
      <c r="D110" t="s">
        <v>1678</v>
      </c>
      <c r="K110"/>
      <c r="L110"/>
      <c r="M110"/>
    </row>
    <row r="111" spans="1:13">
      <c r="A111" t="s">
        <v>258</v>
      </c>
      <c r="B111" t="s">
        <v>1696</v>
      </c>
      <c r="C111" t="s">
        <v>1676</v>
      </c>
      <c r="D111" t="s">
        <v>1679</v>
      </c>
      <c r="K111"/>
      <c r="L111"/>
      <c r="M111"/>
    </row>
    <row r="112" spans="1:13">
      <c r="A112" t="s">
        <v>3065</v>
      </c>
      <c r="B112" t="s">
        <v>1696</v>
      </c>
      <c r="C112" t="s">
        <v>1676</v>
      </c>
      <c r="D112" t="s">
        <v>1679</v>
      </c>
      <c r="K112"/>
      <c r="L112"/>
      <c r="M112"/>
    </row>
    <row r="113" spans="1:13">
      <c r="A113" t="s">
        <v>304</v>
      </c>
      <c r="B113" t="s">
        <v>1696</v>
      </c>
      <c r="C113" t="s">
        <v>1670</v>
      </c>
      <c r="D113" t="s">
        <v>1678</v>
      </c>
      <c r="K113"/>
      <c r="L113"/>
      <c r="M113"/>
    </row>
    <row r="114" spans="1:13">
      <c r="A114" t="s">
        <v>303</v>
      </c>
      <c r="B114" t="s">
        <v>1696</v>
      </c>
      <c r="C114" t="s">
        <v>1671</v>
      </c>
      <c r="D114" t="s">
        <v>1678</v>
      </c>
      <c r="K114"/>
      <c r="L114"/>
      <c r="M114"/>
    </row>
    <row r="115" spans="1:13">
      <c r="A115" t="s">
        <v>300</v>
      </c>
      <c r="B115" t="s">
        <v>1696</v>
      </c>
      <c r="C115" t="s">
        <v>1669</v>
      </c>
      <c r="D115" t="s">
        <v>1678</v>
      </c>
      <c r="K115"/>
      <c r="L115"/>
      <c r="M115"/>
    </row>
    <row r="116" spans="1:13">
      <c r="A116" t="s">
        <v>248</v>
      </c>
      <c r="B116" t="s">
        <v>1696</v>
      </c>
      <c r="C116" t="s">
        <v>1669</v>
      </c>
      <c r="D116" t="s">
        <v>1678</v>
      </c>
      <c r="K116"/>
      <c r="L116"/>
      <c r="M116"/>
    </row>
    <row r="117" spans="1:13">
      <c r="A117" t="s">
        <v>204</v>
      </c>
      <c r="B117" t="s">
        <v>1696</v>
      </c>
      <c r="C117" t="s">
        <v>1669</v>
      </c>
      <c r="D117" t="s">
        <v>1678</v>
      </c>
      <c r="K117"/>
      <c r="L117"/>
      <c r="M117"/>
    </row>
    <row r="118" spans="1:13">
      <c r="A118" t="s">
        <v>318</v>
      </c>
      <c r="B118" t="s">
        <v>1696</v>
      </c>
      <c r="C118" t="s">
        <v>1669</v>
      </c>
      <c r="D118" t="s">
        <v>1678</v>
      </c>
      <c r="K118"/>
      <c r="L118"/>
      <c r="M118"/>
    </row>
    <row r="119" spans="1:13">
      <c r="A119" t="s">
        <v>214</v>
      </c>
      <c r="B119" t="s">
        <v>1696</v>
      </c>
      <c r="C119" t="s">
        <v>1669</v>
      </c>
      <c r="D119" t="s">
        <v>1678</v>
      </c>
      <c r="K119"/>
      <c r="L119"/>
      <c r="M119"/>
    </row>
    <row r="120" spans="1:13">
      <c r="A120" t="s">
        <v>241</v>
      </c>
      <c r="B120" t="s">
        <v>1696</v>
      </c>
      <c r="C120" t="s">
        <v>1676</v>
      </c>
      <c r="D120" t="s">
        <v>1683</v>
      </c>
      <c r="K120"/>
      <c r="L120"/>
      <c r="M120"/>
    </row>
    <row r="121" spans="1:13">
      <c r="A121" t="s">
        <v>892</v>
      </c>
      <c r="B121" t="s">
        <v>1696</v>
      </c>
      <c r="C121" t="s">
        <v>1676</v>
      </c>
      <c r="D121" t="s">
        <v>1683</v>
      </c>
      <c r="K121"/>
      <c r="L121"/>
      <c r="M121"/>
    </row>
    <row r="122" spans="1:13">
      <c r="A122" t="s">
        <v>199</v>
      </c>
      <c r="B122" t="s">
        <v>1696</v>
      </c>
      <c r="C122" t="s">
        <v>1670</v>
      </c>
      <c r="D122" t="s">
        <v>1679</v>
      </c>
      <c r="K122"/>
      <c r="L122"/>
      <c r="M122"/>
    </row>
    <row r="123" spans="1:13">
      <c r="A123" t="s">
        <v>193</v>
      </c>
      <c r="B123" t="s">
        <v>1696</v>
      </c>
      <c r="C123" t="s">
        <v>1669</v>
      </c>
      <c r="D123" t="s">
        <v>1678</v>
      </c>
      <c r="K123"/>
      <c r="L123"/>
      <c r="M123"/>
    </row>
    <row r="124" spans="1:13">
      <c r="A124" t="s">
        <v>280</v>
      </c>
      <c r="B124" t="s">
        <v>1696</v>
      </c>
      <c r="C124" t="s">
        <v>1669</v>
      </c>
      <c r="D124" t="s">
        <v>1678</v>
      </c>
      <c r="K124"/>
      <c r="L124"/>
      <c r="M124"/>
    </row>
    <row r="125" spans="1:13">
      <c r="A125" t="s">
        <v>257</v>
      </c>
      <c r="B125" t="s">
        <v>1696</v>
      </c>
      <c r="C125" t="s">
        <v>1669</v>
      </c>
      <c r="D125" t="s">
        <v>1678</v>
      </c>
      <c r="K125"/>
      <c r="L125"/>
      <c r="M125"/>
    </row>
    <row r="126" spans="1:13">
      <c r="A126" t="s">
        <v>203</v>
      </c>
      <c r="B126" t="s">
        <v>1696</v>
      </c>
      <c r="C126" t="s">
        <v>1670</v>
      </c>
      <c r="D126" t="s">
        <v>1679</v>
      </c>
      <c r="K126"/>
      <c r="L126"/>
      <c r="M126"/>
    </row>
    <row r="127" spans="1:13">
      <c r="A127" t="s">
        <v>260</v>
      </c>
      <c r="B127" t="s">
        <v>1696</v>
      </c>
      <c r="C127" t="s">
        <v>1669</v>
      </c>
      <c r="D127" t="s">
        <v>1678</v>
      </c>
      <c r="K127"/>
      <c r="L127"/>
      <c r="M127"/>
    </row>
    <row r="128" spans="1:13">
      <c r="A128" t="s">
        <v>256</v>
      </c>
      <c r="B128" t="s">
        <v>1696</v>
      </c>
      <c r="C128" t="s">
        <v>1669</v>
      </c>
      <c r="D128" t="s">
        <v>1678</v>
      </c>
      <c r="K128"/>
      <c r="L128"/>
      <c r="M128"/>
    </row>
    <row r="129" spans="1:13">
      <c r="A129" t="s">
        <v>230</v>
      </c>
      <c r="B129" t="s">
        <v>1696</v>
      </c>
      <c r="C129" t="s">
        <v>1672</v>
      </c>
      <c r="D129" t="s">
        <v>1678</v>
      </c>
      <c r="K129"/>
      <c r="L129"/>
      <c r="M129"/>
    </row>
    <row r="130" spans="1:13">
      <c r="A130" t="s">
        <v>200</v>
      </c>
      <c r="B130" t="s">
        <v>1696</v>
      </c>
      <c r="C130" t="s">
        <v>1670</v>
      </c>
      <c r="D130" t="s">
        <v>1679</v>
      </c>
      <c r="K130"/>
      <c r="L130"/>
      <c r="M130"/>
    </row>
    <row r="131" spans="1:13">
      <c r="A131" t="s">
        <v>198</v>
      </c>
      <c r="B131" t="s">
        <v>1696</v>
      </c>
      <c r="C131" t="s">
        <v>1669</v>
      </c>
      <c r="D131" t="s">
        <v>1678</v>
      </c>
      <c r="K131"/>
      <c r="L131"/>
      <c r="M131"/>
    </row>
    <row r="132" spans="1:13">
      <c r="A132" t="s">
        <v>270</v>
      </c>
      <c r="B132" t="s">
        <v>1696</v>
      </c>
      <c r="C132" t="s">
        <v>1669</v>
      </c>
      <c r="D132" t="s">
        <v>1678</v>
      </c>
      <c r="K132"/>
      <c r="L132"/>
      <c r="M132"/>
    </row>
    <row r="133" spans="1:13">
      <c r="A133" t="s">
        <v>515</v>
      </c>
      <c r="B133" t="s">
        <v>1696</v>
      </c>
      <c r="C133" t="s">
        <v>1673</v>
      </c>
      <c r="D133" t="s">
        <v>1678</v>
      </c>
      <c r="K133"/>
      <c r="L133"/>
      <c r="M133"/>
    </row>
    <row r="134" spans="1:13">
      <c r="A134" t="s">
        <v>520</v>
      </c>
      <c r="B134" t="s">
        <v>1696</v>
      </c>
      <c r="C134" t="s">
        <v>1673</v>
      </c>
      <c r="D134" t="s">
        <v>1678</v>
      </c>
      <c r="K134"/>
      <c r="L134"/>
      <c r="M134"/>
    </row>
    <row r="135" spans="1:13">
      <c r="A135" t="s">
        <v>492</v>
      </c>
      <c r="B135" t="s">
        <v>1696</v>
      </c>
      <c r="C135" t="s">
        <v>1673</v>
      </c>
      <c r="D135" t="s">
        <v>1678</v>
      </c>
      <c r="K135"/>
      <c r="L135"/>
      <c r="M135"/>
    </row>
    <row r="136" spans="1:13">
      <c r="A136" t="s">
        <v>474</v>
      </c>
      <c r="B136" t="s">
        <v>1696</v>
      </c>
      <c r="C136" t="s">
        <v>1673</v>
      </c>
      <c r="D136" t="s">
        <v>1678</v>
      </c>
      <c r="K136"/>
      <c r="L136"/>
      <c r="M136"/>
    </row>
    <row r="137" spans="1:13">
      <c r="A137" t="s">
        <v>503</v>
      </c>
      <c r="B137" t="s">
        <v>1696</v>
      </c>
      <c r="C137" t="s">
        <v>1673</v>
      </c>
      <c r="D137" t="s">
        <v>1678</v>
      </c>
      <c r="K137"/>
      <c r="L137"/>
      <c r="M137"/>
    </row>
    <row r="138" spans="1:13">
      <c r="A138" t="s">
        <v>477</v>
      </c>
      <c r="B138" t="s">
        <v>1696</v>
      </c>
      <c r="C138" t="s">
        <v>1673</v>
      </c>
      <c r="D138" t="s">
        <v>1678</v>
      </c>
      <c r="K138"/>
      <c r="L138"/>
      <c r="M138"/>
    </row>
    <row r="139" spans="1:13">
      <c r="A139" t="s">
        <v>518</v>
      </c>
      <c r="B139" t="s">
        <v>1696</v>
      </c>
      <c r="C139" t="s">
        <v>1673</v>
      </c>
      <c r="D139" t="s">
        <v>1678</v>
      </c>
      <c r="K139"/>
      <c r="L139"/>
      <c r="M139"/>
    </row>
    <row r="140" spans="1:13">
      <c r="A140" t="s">
        <v>502</v>
      </c>
      <c r="B140" t="s">
        <v>1696</v>
      </c>
      <c r="C140" t="s">
        <v>1673</v>
      </c>
      <c r="D140" t="s">
        <v>1678</v>
      </c>
      <c r="K140"/>
      <c r="L140"/>
      <c r="M140"/>
    </row>
    <row r="141" spans="1:13">
      <c r="A141" t="s">
        <v>491</v>
      </c>
      <c r="B141" t="s">
        <v>1696</v>
      </c>
      <c r="C141" t="s">
        <v>1673</v>
      </c>
      <c r="D141" t="s">
        <v>1678</v>
      </c>
      <c r="K141"/>
      <c r="L141"/>
      <c r="M141"/>
    </row>
    <row r="142" spans="1:13">
      <c r="A142" t="s">
        <v>510</v>
      </c>
      <c r="B142" t="s">
        <v>1696</v>
      </c>
      <c r="C142" t="s">
        <v>1673</v>
      </c>
      <c r="D142" t="s">
        <v>1678</v>
      </c>
      <c r="K142"/>
      <c r="L142"/>
      <c r="M142"/>
    </row>
    <row r="143" spans="1:13">
      <c r="A143" t="s">
        <v>508</v>
      </c>
      <c r="B143" t="s">
        <v>1696</v>
      </c>
      <c r="C143" t="s">
        <v>1673</v>
      </c>
      <c r="D143" t="s">
        <v>1678</v>
      </c>
      <c r="K143"/>
      <c r="L143"/>
      <c r="M143"/>
    </row>
    <row r="144" spans="1:13">
      <c r="A144" t="s">
        <v>480</v>
      </c>
      <c r="B144" t="s">
        <v>1696</v>
      </c>
      <c r="C144" t="s">
        <v>1673</v>
      </c>
      <c r="D144" t="s">
        <v>1678</v>
      </c>
      <c r="K144"/>
      <c r="L144"/>
      <c r="M144"/>
    </row>
    <row r="145" spans="1:13">
      <c r="A145" t="s">
        <v>519</v>
      </c>
      <c r="B145" t="s">
        <v>1696</v>
      </c>
      <c r="C145" t="s">
        <v>1673</v>
      </c>
      <c r="D145" t="s">
        <v>1678</v>
      </c>
      <c r="K145"/>
      <c r="L145"/>
      <c r="M145"/>
    </row>
    <row r="146" spans="1:13">
      <c r="A146" t="s">
        <v>483</v>
      </c>
      <c r="B146" t="s">
        <v>1696</v>
      </c>
      <c r="C146" t="s">
        <v>1673</v>
      </c>
      <c r="D146" t="s">
        <v>1678</v>
      </c>
      <c r="K146"/>
      <c r="L146"/>
      <c r="M146"/>
    </row>
    <row r="147" spans="1:13">
      <c r="A147" t="s">
        <v>507</v>
      </c>
      <c r="B147" t="s">
        <v>1696</v>
      </c>
      <c r="C147" t="s">
        <v>1673</v>
      </c>
      <c r="D147" t="s">
        <v>1678</v>
      </c>
      <c r="K147"/>
      <c r="L147"/>
      <c r="M147"/>
    </row>
    <row r="148" spans="1:13">
      <c r="A148" t="s">
        <v>495</v>
      </c>
      <c r="B148" t="s">
        <v>1696</v>
      </c>
      <c r="C148" t="s">
        <v>1673</v>
      </c>
      <c r="D148" t="s">
        <v>1678</v>
      </c>
      <c r="K148"/>
      <c r="L148"/>
      <c r="M148"/>
    </row>
    <row r="149" spans="1:13">
      <c r="A149" t="s">
        <v>498</v>
      </c>
      <c r="B149" t="s">
        <v>1696</v>
      </c>
      <c r="C149" t="s">
        <v>1673</v>
      </c>
      <c r="D149" t="s">
        <v>1678</v>
      </c>
      <c r="K149"/>
      <c r="L149"/>
      <c r="M149"/>
    </row>
    <row r="150" spans="1:13">
      <c r="A150" t="s">
        <v>475</v>
      </c>
      <c r="B150" t="s">
        <v>1696</v>
      </c>
      <c r="C150" t="s">
        <v>1673</v>
      </c>
      <c r="D150" t="s">
        <v>1678</v>
      </c>
      <c r="K150"/>
      <c r="L150"/>
      <c r="M150"/>
    </row>
    <row r="151" spans="1:13">
      <c r="A151" t="s">
        <v>489</v>
      </c>
      <c r="B151" t="s">
        <v>1696</v>
      </c>
      <c r="C151" t="s">
        <v>1673</v>
      </c>
      <c r="D151" t="s">
        <v>1678</v>
      </c>
      <c r="K151"/>
      <c r="L151"/>
      <c r="M151"/>
    </row>
    <row r="152" spans="1:13">
      <c r="A152" t="s">
        <v>494</v>
      </c>
      <c r="B152" t="s">
        <v>1696</v>
      </c>
      <c r="C152" t="s">
        <v>1673</v>
      </c>
      <c r="D152" t="s">
        <v>1678</v>
      </c>
      <c r="K152"/>
      <c r="L152"/>
      <c r="M152"/>
    </row>
    <row r="153" spans="1:13">
      <c r="A153" t="s">
        <v>512</v>
      </c>
      <c r="B153" t="s">
        <v>1696</v>
      </c>
      <c r="C153" t="s">
        <v>1673</v>
      </c>
      <c r="D153" t="s">
        <v>1678</v>
      </c>
      <c r="K153"/>
      <c r="L153"/>
      <c r="M153"/>
    </row>
    <row r="154" spans="1:13">
      <c r="A154" t="s">
        <v>511</v>
      </c>
      <c r="B154" t="s">
        <v>1696</v>
      </c>
      <c r="C154" t="s">
        <v>1673</v>
      </c>
      <c r="D154" t="s">
        <v>1678</v>
      </c>
      <c r="K154"/>
      <c r="L154"/>
      <c r="M154"/>
    </row>
    <row r="155" spans="1:13">
      <c r="A155" t="s">
        <v>487</v>
      </c>
      <c r="B155" t="s">
        <v>1696</v>
      </c>
      <c r="C155" t="s">
        <v>1673</v>
      </c>
      <c r="D155" t="s">
        <v>1678</v>
      </c>
      <c r="K155"/>
      <c r="L155"/>
      <c r="M155"/>
    </row>
    <row r="156" spans="1:13">
      <c r="A156" t="s">
        <v>514</v>
      </c>
      <c r="B156" t="s">
        <v>1696</v>
      </c>
      <c r="C156" t="s">
        <v>1673</v>
      </c>
      <c r="D156" t="s">
        <v>1678</v>
      </c>
      <c r="K156"/>
      <c r="L156"/>
      <c r="M156"/>
    </row>
    <row r="157" spans="1:13">
      <c r="A157" t="s">
        <v>488</v>
      </c>
      <c r="B157" t="s">
        <v>1696</v>
      </c>
      <c r="C157" t="s">
        <v>1673</v>
      </c>
      <c r="D157" t="s">
        <v>1678</v>
      </c>
      <c r="K157"/>
      <c r="L157"/>
      <c r="M157"/>
    </row>
    <row r="158" spans="1:13">
      <c r="A158" t="s">
        <v>473</v>
      </c>
      <c r="B158" t="s">
        <v>1696</v>
      </c>
      <c r="C158" t="s">
        <v>1673</v>
      </c>
      <c r="D158" t="s">
        <v>1678</v>
      </c>
      <c r="K158"/>
      <c r="L158"/>
      <c r="M158"/>
    </row>
    <row r="159" spans="1:13">
      <c r="A159" t="s">
        <v>476</v>
      </c>
      <c r="B159" t="s">
        <v>1696</v>
      </c>
      <c r="C159" t="s">
        <v>1673</v>
      </c>
      <c r="D159" t="s">
        <v>1678</v>
      </c>
      <c r="K159"/>
      <c r="L159"/>
      <c r="M159"/>
    </row>
    <row r="160" spans="1:13">
      <c r="A160" t="s">
        <v>478</v>
      </c>
      <c r="B160" t="s">
        <v>1696</v>
      </c>
      <c r="C160" t="s">
        <v>1673</v>
      </c>
      <c r="D160" t="s">
        <v>1678</v>
      </c>
      <c r="K160"/>
      <c r="L160"/>
      <c r="M160"/>
    </row>
    <row r="161" spans="1:13">
      <c r="A161" t="s">
        <v>517</v>
      </c>
      <c r="B161" t="s">
        <v>1696</v>
      </c>
      <c r="C161" t="s">
        <v>1673</v>
      </c>
      <c r="D161" t="s">
        <v>1678</v>
      </c>
      <c r="K161"/>
      <c r="L161"/>
      <c r="M161"/>
    </row>
    <row r="162" spans="1:13">
      <c r="A162" t="s">
        <v>500</v>
      </c>
      <c r="B162" t="s">
        <v>1696</v>
      </c>
      <c r="C162" t="s">
        <v>1673</v>
      </c>
      <c r="D162" t="s">
        <v>1678</v>
      </c>
      <c r="K162"/>
      <c r="L162"/>
      <c r="M162"/>
    </row>
    <row r="163" spans="1:13">
      <c r="A163" t="s">
        <v>501</v>
      </c>
      <c r="B163" t="s">
        <v>1696</v>
      </c>
      <c r="C163" t="s">
        <v>1673</v>
      </c>
      <c r="D163" t="s">
        <v>1678</v>
      </c>
      <c r="K163"/>
      <c r="L163"/>
      <c r="M163"/>
    </row>
    <row r="164" spans="1:13">
      <c r="A164" t="s">
        <v>521</v>
      </c>
      <c r="B164" t="s">
        <v>1696</v>
      </c>
      <c r="C164" t="s">
        <v>1673</v>
      </c>
      <c r="D164" t="s">
        <v>1678</v>
      </c>
      <c r="K164"/>
      <c r="L164"/>
      <c r="M164"/>
    </row>
    <row r="165" spans="1:13">
      <c r="A165" t="s">
        <v>497</v>
      </c>
      <c r="B165" t="s">
        <v>1696</v>
      </c>
      <c r="C165" t="s">
        <v>1673</v>
      </c>
      <c r="D165" t="s">
        <v>1678</v>
      </c>
      <c r="K165"/>
      <c r="L165"/>
      <c r="M165"/>
    </row>
    <row r="166" spans="1:13">
      <c r="A166" t="s">
        <v>504</v>
      </c>
      <c r="B166" t="s">
        <v>1696</v>
      </c>
      <c r="C166" t="s">
        <v>1673</v>
      </c>
      <c r="D166" t="s">
        <v>1678</v>
      </c>
      <c r="K166"/>
      <c r="L166"/>
      <c r="M166"/>
    </row>
    <row r="167" spans="1:13">
      <c r="A167" t="s">
        <v>513</v>
      </c>
      <c r="B167" t="s">
        <v>1696</v>
      </c>
      <c r="C167" t="s">
        <v>1673</v>
      </c>
      <c r="D167" t="s">
        <v>1678</v>
      </c>
      <c r="K167"/>
      <c r="L167"/>
      <c r="M167"/>
    </row>
    <row r="168" spans="1:13">
      <c r="A168" t="s">
        <v>479</v>
      </c>
      <c r="B168" t="s">
        <v>1696</v>
      </c>
      <c r="C168" t="s">
        <v>1673</v>
      </c>
      <c r="D168" t="s">
        <v>1678</v>
      </c>
      <c r="K168"/>
      <c r="L168"/>
      <c r="M168"/>
    </row>
    <row r="169" spans="1:13">
      <c r="A169" t="s">
        <v>490</v>
      </c>
      <c r="B169" t="s">
        <v>1696</v>
      </c>
      <c r="C169" t="s">
        <v>1673</v>
      </c>
      <c r="D169" t="s">
        <v>1678</v>
      </c>
      <c r="K169"/>
      <c r="L169"/>
      <c r="M169"/>
    </row>
    <row r="170" spans="1:13">
      <c r="A170" t="s">
        <v>522</v>
      </c>
      <c r="B170" t="s">
        <v>1696</v>
      </c>
      <c r="C170" t="s">
        <v>1673</v>
      </c>
      <c r="D170" t="s">
        <v>1678</v>
      </c>
      <c r="K170"/>
      <c r="L170"/>
      <c r="M170"/>
    </row>
    <row r="171" spans="1:13">
      <c r="A171" t="s">
        <v>523</v>
      </c>
      <c r="B171" t="s">
        <v>1696</v>
      </c>
      <c r="C171" t="s">
        <v>1673</v>
      </c>
      <c r="D171" t="s">
        <v>1678</v>
      </c>
      <c r="K171"/>
      <c r="L171"/>
      <c r="M171"/>
    </row>
    <row r="172" spans="1:13">
      <c r="A172" t="s">
        <v>493</v>
      </c>
      <c r="B172" t="s">
        <v>1696</v>
      </c>
      <c r="C172" t="s">
        <v>1673</v>
      </c>
      <c r="D172" t="s">
        <v>1678</v>
      </c>
      <c r="K172"/>
      <c r="L172"/>
      <c r="M172"/>
    </row>
    <row r="173" spans="1:13">
      <c r="A173" t="s">
        <v>481</v>
      </c>
      <c r="B173" t="s">
        <v>1696</v>
      </c>
      <c r="C173" t="s">
        <v>1673</v>
      </c>
      <c r="D173" t="s">
        <v>1678</v>
      </c>
      <c r="K173"/>
      <c r="L173"/>
      <c r="M173"/>
    </row>
    <row r="174" spans="1:13">
      <c r="A174" t="s">
        <v>506</v>
      </c>
      <c r="B174" t="s">
        <v>1696</v>
      </c>
      <c r="C174" t="s">
        <v>1673</v>
      </c>
      <c r="D174" t="s">
        <v>1678</v>
      </c>
      <c r="K174"/>
      <c r="L174"/>
      <c r="M174"/>
    </row>
    <row r="175" spans="1:13">
      <c r="A175" t="s">
        <v>524</v>
      </c>
      <c r="B175" t="s">
        <v>1696</v>
      </c>
      <c r="C175" t="s">
        <v>1673</v>
      </c>
      <c r="D175" t="s">
        <v>1678</v>
      </c>
      <c r="K175"/>
      <c r="L175"/>
      <c r="M175"/>
    </row>
    <row r="176" spans="1:13">
      <c r="A176" t="s">
        <v>485</v>
      </c>
      <c r="B176" t="s">
        <v>1696</v>
      </c>
      <c r="C176" t="s">
        <v>1673</v>
      </c>
      <c r="D176" t="s">
        <v>1678</v>
      </c>
      <c r="K176"/>
      <c r="L176"/>
      <c r="M176"/>
    </row>
    <row r="177" spans="1:13">
      <c r="A177" t="s">
        <v>505</v>
      </c>
      <c r="B177" t="s">
        <v>1696</v>
      </c>
      <c r="C177" t="s">
        <v>1673</v>
      </c>
      <c r="D177" t="s">
        <v>1678</v>
      </c>
      <c r="K177"/>
      <c r="L177"/>
      <c r="M177"/>
    </row>
    <row r="178" spans="1:13">
      <c r="A178" t="s">
        <v>484</v>
      </c>
      <c r="B178" t="s">
        <v>1696</v>
      </c>
      <c r="C178" t="s">
        <v>1673</v>
      </c>
      <c r="D178" t="s">
        <v>1678</v>
      </c>
      <c r="K178"/>
      <c r="L178"/>
      <c r="M178"/>
    </row>
    <row r="179" spans="1:13">
      <c r="A179" t="s">
        <v>516</v>
      </c>
      <c r="B179" t="s">
        <v>1696</v>
      </c>
      <c r="C179" t="s">
        <v>1673</v>
      </c>
      <c r="D179" t="s">
        <v>1678</v>
      </c>
      <c r="K179"/>
      <c r="L179"/>
      <c r="M179"/>
    </row>
    <row r="180" spans="1:13">
      <c r="A180" t="s">
        <v>496</v>
      </c>
      <c r="B180" t="s">
        <v>1696</v>
      </c>
      <c r="C180" t="s">
        <v>1673</v>
      </c>
      <c r="D180" t="s">
        <v>1678</v>
      </c>
      <c r="K180"/>
      <c r="L180"/>
      <c r="M180"/>
    </row>
    <row r="181" spans="1:13">
      <c r="A181" t="s">
        <v>499</v>
      </c>
      <c r="B181" t="s">
        <v>1696</v>
      </c>
      <c r="C181" t="s">
        <v>1673</v>
      </c>
      <c r="D181" t="s">
        <v>1678</v>
      </c>
      <c r="K181"/>
      <c r="L181"/>
      <c r="M181"/>
    </row>
    <row r="182" spans="1:13">
      <c r="A182" t="s">
        <v>486</v>
      </c>
      <c r="B182" t="s">
        <v>1696</v>
      </c>
      <c r="C182" t="s">
        <v>1673</v>
      </c>
      <c r="D182" t="s">
        <v>1678</v>
      </c>
      <c r="K182"/>
      <c r="L182"/>
      <c r="M182"/>
    </row>
    <row r="183" spans="1:13">
      <c r="A183" t="s">
        <v>509</v>
      </c>
      <c r="B183" t="s">
        <v>1696</v>
      </c>
      <c r="C183" t="s">
        <v>1673</v>
      </c>
      <c r="D183" t="s">
        <v>1678</v>
      </c>
      <c r="K183"/>
      <c r="L183"/>
      <c r="M183"/>
    </row>
    <row r="184" spans="1:13">
      <c r="A184" t="s">
        <v>482</v>
      </c>
      <c r="B184" t="s">
        <v>1696</v>
      </c>
      <c r="C184" t="s">
        <v>1673</v>
      </c>
      <c r="D184" t="s">
        <v>1678</v>
      </c>
      <c r="K184"/>
      <c r="L184"/>
      <c r="M184"/>
    </row>
    <row r="185" spans="1:13">
      <c r="A185" t="s">
        <v>434</v>
      </c>
      <c r="B185" t="s">
        <v>1697</v>
      </c>
      <c r="C185" t="s">
        <v>1669</v>
      </c>
      <c r="D185" t="s">
        <v>1678</v>
      </c>
      <c r="K185"/>
      <c r="L185"/>
      <c r="M185"/>
    </row>
    <row r="186" spans="1:13">
      <c r="A186" t="s">
        <v>623</v>
      </c>
      <c r="B186" t="s">
        <v>1697</v>
      </c>
      <c r="C186" t="s">
        <v>1669</v>
      </c>
      <c r="D186" t="s">
        <v>1678</v>
      </c>
      <c r="K186"/>
      <c r="L186"/>
      <c r="M186"/>
    </row>
    <row r="187" spans="1:13">
      <c r="A187" t="s">
        <v>378</v>
      </c>
      <c r="B187" t="s">
        <v>1697</v>
      </c>
      <c r="C187" t="s">
        <v>1669</v>
      </c>
      <c r="D187" t="s">
        <v>1678</v>
      </c>
      <c r="K187"/>
      <c r="L187"/>
      <c r="M187"/>
    </row>
    <row r="188" spans="1:13">
      <c r="A188" t="s">
        <v>416</v>
      </c>
      <c r="B188" t="s">
        <v>1697</v>
      </c>
      <c r="C188" t="s">
        <v>1669</v>
      </c>
      <c r="D188" t="s">
        <v>1678</v>
      </c>
      <c r="K188"/>
      <c r="L188"/>
      <c r="M188"/>
    </row>
    <row r="189" spans="1:13">
      <c r="A189" t="s">
        <v>423</v>
      </c>
      <c r="B189" t="s">
        <v>1697</v>
      </c>
      <c r="C189" t="s">
        <v>1669</v>
      </c>
      <c r="D189" t="s">
        <v>1678</v>
      </c>
      <c r="K189"/>
      <c r="L189"/>
      <c r="M189"/>
    </row>
    <row r="190" spans="1:13">
      <c r="A190" t="s">
        <v>424</v>
      </c>
      <c r="B190" t="s">
        <v>1697</v>
      </c>
      <c r="C190" t="s">
        <v>1669</v>
      </c>
      <c r="D190" t="s">
        <v>1678</v>
      </c>
      <c r="K190"/>
      <c r="L190"/>
      <c r="M190"/>
    </row>
    <row r="191" spans="1:13">
      <c r="A191" t="s">
        <v>411</v>
      </c>
      <c r="B191" t="s">
        <v>1697</v>
      </c>
      <c r="C191" t="s">
        <v>1676</v>
      </c>
      <c r="D191" t="s">
        <v>1679</v>
      </c>
      <c r="K191"/>
      <c r="L191"/>
      <c r="M191"/>
    </row>
    <row r="192" spans="1:13">
      <c r="A192" t="s">
        <v>400</v>
      </c>
      <c r="B192" t="s">
        <v>1697</v>
      </c>
      <c r="C192" t="s">
        <v>1669</v>
      </c>
      <c r="D192" t="s">
        <v>1678</v>
      </c>
      <c r="K192"/>
      <c r="L192"/>
      <c r="M192"/>
    </row>
    <row r="193" spans="1:13">
      <c r="A193" t="s">
        <v>472</v>
      </c>
      <c r="B193" t="s">
        <v>1697</v>
      </c>
      <c r="C193" t="s">
        <v>1669</v>
      </c>
      <c r="D193" t="s">
        <v>1678</v>
      </c>
      <c r="K193"/>
      <c r="L193"/>
      <c r="M193"/>
    </row>
    <row r="194" spans="1:13">
      <c r="A194" t="s">
        <v>629</v>
      </c>
      <c r="B194" t="s">
        <v>1697</v>
      </c>
      <c r="C194" t="s">
        <v>1669</v>
      </c>
      <c r="D194" t="s">
        <v>1678</v>
      </c>
      <c r="K194"/>
      <c r="L194"/>
      <c r="M194"/>
    </row>
    <row r="195" spans="1:13">
      <c r="A195" t="s">
        <v>650</v>
      </c>
      <c r="B195" t="s">
        <v>1697</v>
      </c>
      <c r="C195" t="s">
        <v>1669</v>
      </c>
      <c r="D195" t="s">
        <v>1678</v>
      </c>
      <c r="K195"/>
      <c r="L195"/>
      <c r="M195"/>
    </row>
    <row r="196" spans="1:13">
      <c r="A196" t="s">
        <v>456</v>
      </c>
      <c r="B196" t="s">
        <v>1697</v>
      </c>
      <c r="C196" t="s">
        <v>1669</v>
      </c>
      <c r="D196" t="s">
        <v>1678</v>
      </c>
      <c r="K196"/>
      <c r="L196"/>
      <c r="M196"/>
    </row>
    <row r="197" spans="1:13">
      <c r="A197" t="s">
        <v>403</v>
      </c>
      <c r="B197" t="s">
        <v>1697</v>
      </c>
      <c r="C197" t="s">
        <v>1669</v>
      </c>
      <c r="D197" t="s">
        <v>1678</v>
      </c>
      <c r="K197"/>
      <c r="L197"/>
      <c r="M197"/>
    </row>
    <row r="198" spans="1:13">
      <c r="A198" t="s">
        <v>407</v>
      </c>
      <c r="B198" t="s">
        <v>1697</v>
      </c>
      <c r="C198" t="s">
        <v>1669</v>
      </c>
      <c r="D198" t="s">
        <v>1678</v>
      </c>
      <c r="K198"/>
      <c r="L198"/>
      <c r="M198"/>
    </row>
    <row r="199" spans="1:13">
      <c r="A199" t="s">
        <v>389</v>
      </c>
      <c r="B199" t="s">
        <v>1697</v>
      </c>
      <c r="C199" t="s">
        <v>1669</v>
      </c>
      <c r="D199" t="s">
        <v>1678</v>
      </c>
      <c r="K199"/>
      <c r="L199"/>
      <c r="M199"/>
    </row>
    <row r="200" spans="1:13">
      <c r="A200" t="s">
        <v>402</v>
      </c>
      <c r="B200" t="s">
        <v>1697</v>
      </c>
      <c r="C200" t="s">
        <v>1672</v>
      </c>
      <c r="D200" t="s">
        <v>1678</v>
      </c>
      <c r="K200"/>
      <c r="L200"/>
      <c r="M200"/>
    </row>
    <row r="201" spans="1:13">
      <c r="A201" t="s">
        <v>439</v>
      </c>
      <c r="B201" t="s">
        <v>1697</v>
      </c>
      <c r="C201" t="s">
        <v>1669</v>
      </c>
      <c r="D201" t="s">
        <v>1678</v>
      </c>
      <c r="K201"/>
      <c r="L201"/>
      <c r="M201"/>
    </row>
    <row r="202" spans="1:13">
      <c r="A202" t="s">
        <v>438</v>
      </c>
      <c r="B202" t="s">
        <v>1697</v>
      </c>
      <c r="C202" t="s">
        <v>1669</v>
      </c>
      <c r="D202" t="s">
        <v>1678</v>
      </c>
      <c r="K202"/>
      <c r="L202"/>
      <c r="M202"/>
    </row>
    <row r="203" spans="1:13">
      <c r="A203" t="s">
        <v>437</v>
      </c>
      <c r="B203" t="s">
        <v>1697</v>
      </c>
      <c r="C203" t="s">
        <v>1669</v>
      </c>
      <c r="D203" t="s">
        <v>1678</v>
      </c>
      <c r="K203"/>
      <c r="L203"/>
      <c r="M203"/>
    </row>
    <row r="204" spans="1:13">
      <c r="A204" t="s">
        <v>436</v>
      </c>
      <c r="B204" t="s">
        <v>1697</v>
      </c>
      <c r="C204" t="s">
        <v>1669</v>
      </c>
      <c r="D204" t="s">
        <v>1678</v>
      </c>
      <c r="K204"/>
      <c r="L204"/>
      <c r="M204"/>
    </row>
    <row r="205" spans="1:13">
      <c r="A205" t="s">
        <v>435</v>
      </c>
      <c r="B205" t="s">
        <v>1697</v>
      </c>
      <c r="C205" t="s">
        <v>1669</v>
      </c>
      <c r="D205" t="s">
        <v>1678</v>
      </c>
      <c r="K205"/>
      <c r="L205"/>
      <c r="M205"/>
    </row>
    <row r="206" spans="1:13">
      <c r="A206" t="s">
        <v>441</v>
      </c>
      <c r="B206" t="s">
        <v>1697</v>
      </c>
      <c r="C206" t="s">
        <v>1669</v>
      </c>
      <c r="D206" t="s">
        <v>1678</v>
      </c>
      <c r="K206"/>
      <c r="L206"/>
      <c r="M206"/>
    </row>
    <row r="207" spans="1:13">
      <c r="A207" t="s">
        <v>408</v>
      </c>
      <c r="B207" t="s">
        <v>1697</v>
      </c>
      <c r="C207" t="s">
        <v>1669</v>
      </c>
      <c r="D207" t="s">
        <v>1678</v>
      </c>
      <c r="K207"/>
      <c r="L207"/>
      <c r="M207"/>
    </row>
    <row r="208" spans="1:13">
      <c r="A208" t="s">
        <v>464</v>
      </c>
      <c r="B208" t="s">
        <v>1697</v>
      </c>
      <c r="C208" t="s">
        <v>1669</v>
      </c>
      <c r="D208" t="s">
        <v>1678</v>
      </c>
      <c r="K208"/>
      <c r="L208"/>
      <c r="M208"/>
    </row>
    <row r="209" spans="1:13">
      <c r="A209" t="s">
        <v>448</v>
      </c>
      <c r="B209" t="s">
        <v>1697</v>
      </c>
      <c r="C209" t="s">
        <v>1669</v>
      </c>
      <c r="D209" t="s">
        <v>1678</v>
      </c>
      <c r="K209"/>
      <c r="L209"/>
      <c r="M209"/>
    </row>
    <row r="210" spans="1:13">
      <c r="A210" t="s">
        <v>654</v>
      </c>
      <c r="B210" t="s">
        <v>1697</v>
      </c>
      <c r="C210" t="s">
        <v>1669</v>
      </c>
      <c r="D210" t="s">
        <v>1678</v>
      </c>
      <c r="K210"/>
      <c r="L210"/>
      <c r="M210"/>
    </row>
    <row r="211" spans="1:13">
      <c r="A211" t="s">
        <v>457</v>
      </c>
      <c r="B211" t="s">
        <v>1697</v>
      </c>
      <c r="C211" t="s">
        <v>1669</v>
      </c>
      <c r="D211" t="s">
        <v>1678</v>
      </c>
      <c r="K211"/>
      <c r="L211"/>
      <c r="M211"/>
    </row>
    <row r="212" spans="1:13">
      <c r="A212" t="s">
        <v>459</v>
      </c>
      <c r="B212" t="s">
        <v>1697</v>
      </c>
      <c r="C212" t="s">
        <v>1669</v>
      </c>
      <c r="D212" t="s">
        <v>1678</v>
      </c>
      <c r="K212"/>
      <c r="L212"/>
      <c r="M212"/>
    </row>
    <row r="213" spans="1:13">
      <c r="A213" t="s">
        <v>458</v>
      </c>
      <c r="B213" t="s">
        <v>1697</v>
      </c>
      <c r="C213" t="s">
        <v>1669</v>
      </c>
      <c r="D213" t="s">
        <v>1678</v>
      </c>
      <c r="K213"/>
      <c r="L213"/>
      <c r="M213"/>
    </row>
    <row r="214" spans="1:13">
      <c r="A214" t="s">
        <v>383</v>
      </c>
      <c r="B214" t="s">
        <v>1697</v>
      </c>
      <c r="C214" t="s">
        <v>1669</v>
      </c>
      <c r="D214" t="s">
        <v>1678</v>
      </c>
      <c r="K214"/>
      <c r="L214"/>
      <c r="M214"/>
    </row>
    <row r="215" spans="1:13">
      <c r="A215" t="s">
        <v>471</v>
      </c>
      <c r="B215" t="s">
        <v>1697</v>
      </c>
      <c r="C215" t="s">
        <v>1669</v>
      </c>
      <c r="D215" t="s">
        <v>1678</v>
      </c>
      <c r="K215"/>
      <c r="L215"/>
      <c r="M215"/>
    </row>
    <row r="216" spans="1:13">
      <c r="A216" t="s">
        <v>417</v>
      </c>
      <c r="B216" t="s">
        <v>1697</v>
      </c>
      <c r="C216" t="s">
        <v>1669</v>
      </c>
      <c r="D216" t="s">
        <v>1678</v>
      </c>
      <c r="K216"/>
      <c r="L216"/>
      <c r="M216"/>
    </row>
    <row r="217" spans="1:13">
      <c r="A217" t="s">
        <v>414</v>
      </c>
      <c r="B217" t="s">
        <v>1697</v>
      </c>
      <c r="C217" t="s">
        <v>1669</v>
      </c>
      <c r="D217" t="s">
        <v>1678</v>
      </c>
      <c r="K217"/>
      <c r="L217"/>
      <c r="M217"/>
    </row>
    <row r="218" spans="1:13">
      <c r="A218" t="s">
        <v>412</v>
      </c>
      <c r="B218" t="s">
        <v>1697</v>
      </c>
      <c r="C218" t="s">
        <v>1669</v>
      </c>
      <c r="D218" t="s">
        <v>1678</v>
      </c>
      <c r="K218"/>
      <c r="L218"/>
      <c r="M218"/>
    </row>
    <row r="219" spans="1:13">
      <c r="A219" t="s">
        <v>460</v>
      </c>
      <c r="B219" t="s">
        <v>1697</v>
      </c>
      <c r="C219" t="s">
        <v>1669</v>
      </c>
      <c r="D219" t="s">
        <v>1678</v>
      </c>
      <c r="K219"/>
      <c r="L219"/>
      <c r="M219"/>
    </row>
    <row r="220" spans="1:13">
      <c r="A220" t="s">
        <v>466</v>
      </c>
      <c r="B220" t="s">
        <v>1697</v>
      </c>
      <c r="C220" t="s">
        <v>1669</v>
      </c>
      <c r="D220" t="s">
        <v>1678</v>
      </c>
      <c r="K220"/>
      <c r="L220"/>
      <c r="M220"/>
    </row>
    <row r="221" spans="1:13">
      <c r="A221" t="s">
        <v>418</v>
      </c>
      <c r="B221" t="s">
        <v>1697</v>
      </c>
      <c r="C221" t="s">
        <v>1669</v>
      </c>
      <c r="D221" t="s">
        <v>1678</v>
      </c>
      <c r="K221"/>
      <c r="L221"/>
      <c r="M221"/>
    </row>
    <row r="222" spans="1:13">
      <c r="A222" t="s">
        <v>430</v>
      </c>
      <c r="B222" t="s">
        <v>1697</v>
      </c>
      <c r="C222" t="s">
        <v>1676</v>
      </c>
      <c r="D222" t="s">
        <v>1679</v>
      </c>
      <c r="K222"/>
      <c r="L222"/>
      <c r="M222"/>
    </row>
    <row r="223" spans="1:13">
      <c r="A223" t="s">
        <v>442</v>
      </c>
      <c r="B223" t="s">
        <v>1697</v>
      </c>
      <c r="C223" t="s">
        <v>1669</v>
      </c>
      <c r="D223" t="s">
        <v>1678</v>
      </c>
      <c r="K223"/>
      <c r="L223"/>
      <c r="M223"/>
    </row>
    <row r="224" spans="1:13">
      <c r="A224" t="s">
        <v>653</v>
      </c>
      <c r="B224" t="s">
        <v>1697</v>
      </c>
      <c r="C224" t="s">
        <v>1669</v>
      </c>
      <c r="D224" t="s">
        <v>1678</v>
      </c>
      <c r="K224"/>
      <c r="L224"/>
      <c r="M224"/>
    </row>
    <row r="225" spans="1:13">
      <c r="A225" t="s">
        <v>382</v>
      </c>
      <c r="B225" t="s">
        <v>1697</v>
      </c>
      <c r="C225" t="s">
        <v>1676</v>
      </c>
      <c r="D225" t="s">
        <v>1679</v>
      </c>
      <c r="K225"/>
      <c r="L225"/>
      <c r="M225"/>
    </row>
    <row r="226" spans="1:13">
      <c r="A226" t="s">
        <v>405</v>
      </c>
      <c r="B226" t="s">
        <v>1697</v>
      </c>
      <c r="C226" t="s">
        <v>1669</v>
      </c>
      <c r="D226" t="s">
        <v>1678</v>
      </c>
      <c r="K226"/>
      <c r="L226"/>
      <c r="M226"/>
    </row>
    <row r="227" spans="1:13">
      <c r="A227" t="s">
        <v>384</v>
      </c>
      <c r="B227" t="s">
        <v>1697</v>
      </c>
      <c r="C227" t="s">
        <v>1669</v>
      </c>
      <c r="D227" t="s">
        <v>1678</v>
      </c>
      <c r="K227"/>
      <c r="L227"/>
      <c r="M227"/>
    </row>
    <row r="228" spans="1:13">
      <c r="A228" t="s">
        <v>397</v>
      </c>
      <c r="B228" t="s">
        <v>1697</v>
      </c>
      <c r="C228" t="s">
        <v>1669</v>
      </c>
      <c r="D228" t="s">
        <v>1678</v>
      </c>
      <c r="K228"/>
      <c r="L228"/>
      <c r="M228"/>
    </row>
    <row r="229" spans="1:13">
      <c r="A229" t="s">
        <v>390</v>
      </c>
      <c r="B229" t="s">
        <v>1697</v>
      </c>
      <c r="C229" t="s">
        <v>1669</v>
      </c>
      <c r="D229" t="s">
        <v>1678</v>
      </c>
      <c r="K229"/>
      <c r="L229"/>
      <c r="M229"/>
    </row>
    <row r="230" spans="1:13">
      <c r="A230" t="s">
        <v>398</v>
      </c>
      <c r="B230" t="s">
        <v>1697</v>
      </c>
      <c r="C230" t="s">
        <v>1669</v>
      </c>
      <c r="D230" t="s">
        <v>1678</v>
      </c>
      <c r="K230"/>
      <c r="L230"/>
      <c r="M230"/>
    </row>
    <row r="231" spans="1:13">
      <c r="A231" t="s">
        <v>449</v>
      </c>
      <c r="B231" t="s">
        <v>1697</v>
      </c>
      <c r="C231" t="s">
        <v>1669</v>
      </c>
      <c r="D231" t="s">
        <v>1678</v>
      </c>
      <c r="K231"/>
      <c r="L231"/>
      <c r="M231"/>
    </row>
    <row r="232" spans="1:13">
      <c r="A232" t="s">
        <v>467</v>
      </c>
      <c r="B232" t="s">
        <v>1697</v>
      </c>
      <c r="C232" t="s">
        <v>1676</v>
      </c>
      <c r="D232" t="s">
        <v>1679</v>
      </c>
      <c r="K232"/>
      <c r="L232"/>
      <c r="M232"/>
    </row>
    <row r="233" spans="1:13">
      <c r="A233" t="s">
        <v>399</v>
      </c>
      <c r="B233" t="s">
        <v>1697</v>
      </c>
      <c r="C233" t="s">
        <v>1669</v>
      </c>
      <c r="D233" t="s">
        <v>1678</v>
      </c>
      <c r="K233"/>
      <c r="L233"/>
      <c r="M233"/>
    </row>
    <row r="234" spans="1:13">
      <c r="A234" t="s">
        <v>396</v>
      </c>
      <c r="B234" t="s">
        <v>1697</v>
      </c>
      <c r="C234" t="s">
        <v>1676</v>
      </c>
      <c r="D234" t="s">
        <v>1682</v>
      </c>
      <c r="K234"/>
      <c r="L234"/>
      <c r="M234"/>
    </row>
    <row r="235" spans="1:13">
      <c r="A235" t="s">
        <v>381</v>
      </c>
      <c r="B235" t="s">
        <v>1697</v>
      </c>
      <c r="C235" t="s">
        <v>1669</v>
      </c>
      <c r="D235" t="s">
        <v>1678</v>
      </c>
      <c r="K235"/>
      <c r="L235"/>
      <c r="M235"/>
    </row>
    <row r="236" spans="1:13">
      <c r="A236" t="s">
        <v>374</v>
      </c>
      <c r="B236" t="s">
        <v>1697</v>
      </c>
      <c r="C236" t="s">
        <v>1669</v>
      </c>
      <c r="D236" t="s">
        <v>1678</v>
      </c>
      <c r="K236"/>
      <c r="L236"/>
      <c r="M236"/>
    </row>
    <row r="237" spans="1:13">
      <c r="A237" t="s">
        <v>375</v>
      </c>
      <c r="B237" t="s">
        <v>1697</v>
      </c>
      <c r="C237" t="s">
        <v>1669</v>
      </c>
      <c r="D237" t="s">
        <v>1678</v>
      </c>
      <c r="K237"/>
      <c r="L237"/>
      <c r="M237"/>
    </row>
    <row r="238" spans="1:13">
      <c r="A238" t="s">
        <v>621</v>
      </c>
      <c r="B238" t="s">
        <v>1697</v>
      </c>
      <c r="C238" t="s">
        <v>1669</v>
      </c>
      <c r="D238" t="s">
        <v>1678</v>
      </c>
      <c r="K238"/>
      <c r="L238"/>
      <c r="M238"/>
    </row>
    <row r="239" spans="1:13">
      <c r="A239" t="s">
        <v>468</v>
      </c>
      <c r="B239" t="s">
        <v>1697</v>
      </c>
      <c r="C239" t="s">
        <v>1669</v>
      </c>
      <c r="D239" t="s">
        <v>1678</v>
      </c>
      <c r="K239"/>
      <c r="L239"/>
      <c r="M239"/>
    </row>
    <row r="240" spans="1:13">
      <c r="A240" t="s">
        <v>620</v>
      </c>
      <c r="B240" t="s">
        <v>1697</v>
      </c>
      <c r="C240" t="s">
        <v>1676</v>
      </c>
      <c r="D240" t="s">
        <v>1682</v>
      </c>
      <c r="K240"/>
      <c r="L240"/>
      <c r="M240"/>
    </row>
    <row r="241" spans="1:13">
      <c r="A241" t="s">
        <v>461</v>
      </c>
      <c r="B241" t="s">
        <v>1697</v>
      </c>
      <c r="C241" t="s">
        <v>1676</v>
      </c>
      <c r="D241" t="s">
        <v>1682</v>
      </c>
      <c r="K241"/>
      <c r="L241"/>
      <c r="M241"/>
    </row>
    <row r="242" spans="1:13">
      <c r="A242" t="s">
        <v>655</v>
      </c>
      <c r="B242" t="s">
        <v>1697</v>
      </c>
      <c r="C242" t="s">
        <v>1669</v>
      </c>
      <c r="D242" t="s">
        <v>1678</v>
      </c>
      <c r="K242"/>
      <c r="L242"/>
      <c r="M242"/>
    </row>
    <row r="243" spans="1:13">
      <c r="A243" t="s">
        <v>656</v>
      </c>
      <c r="B243" t="s">
        <v>1697</v>
      </c>
      <c r="C243" t="s">
        <v>1676</v>
      </c>
      <c r="D243" t="s">
        <v>1682</v>
      </c>
      <c r="K243"/>
      <c r="L243"/>
      <c r="M243"/>
    </row>
    <row r="244" spans="1:13">
      <c r="A244" t="s">
        <v>450</v>
      </c>
      <c r="B244" t="s">
        <v>1697</v>
      </c>
      <c r="C244" t="s">
        <v>1669</v>
      </c>
      <c r="D244" t="s">
        <v>1678</v>
      </c>
      <c r="K244"/>
      <c r="L244"/>
      <c r="M244"/>
    </row>
    <row r="245" spans="1:13">
      <c r="A245" t="s">
        <v>453</v>
      </c>
      <c r="B245" t="s">
        <v>1697</v>
      </c>
      <c r="C245" t="s">
        <v>1669</v>
      </c>
      <c r="D245" t="s">
        <v>1678</v>
      </c>
      <c r="K245"/>
      <c r="L245"/>
      <c r="M245"/>
    </row>
    <row r="246" spans="1:13">
      <c r="A246" t="s">
        <v>454</v>
      </c>
      <c r="B246" t="s">
        <v>1697</v>
      </c>
      <c r="C246" t="s">
        <v>1669</v>
      </c>
      <c r="D246" t="s">
        <v>1678</v>
      </c>
      <c r="K246"/>
      <c r="L246"/>
      <c r="M246"/>
    </row>
    <row r="247" spans="1:13">
      <c r="A247" t="s">
        <v>404</v>
      </c>
      <c r="B247" t="s">
        <v>1697</v>
      </c>
      <c r="C247" t="s">
        <v>1669</v>
      </c>
      <c r="D247" t="s">
        <v>1678</v>
      </c>
      <c r="K247"/>
      <c r="L247"/>
      <c r="M247"/>
    </row>
    <row r="248" spans="1:13">
      <c r="A248" t="s">
        <v>451</v>
      </c>
      <c r="B248" t="s">
        <v>1697</v>
      </c>
      <c r="C248" t="s">
        <v>1669</v>
      </c>
      <c r="D248" t="s">
        <v>1678</v>
      </c>
      <c r="K248"/>
      <c r="L248"/>
      <c r="M248"/>
    </row>
    <row r="249" spans="1:13">
      <c r="A249" t="s">
        <v>376</v>
      </c>
      <c r="B249" t="s">
        <v>1697</v>
      </c>
      <c r="C249" t="s">
        <v>1669</v>
      </c>
      <c r="D249" t="s">
        <v>1678</v>
      </c>
      <c r="K249"/>
      <c r="L249"/>
      <c r="M249"/>
    </row>
    <row r="250" spans="1:13">
      <c r="A250" t="s">
        <v>377</v>
      </c>
      <c r="B250" t="s">
        <v>1697</v>
      </c>
      <c r="C250" t="s">
        <v>1669</v>
      </c>
      <c r="D250" t="s">
        <v>1678</v>
      </c>
      <c r="K250"/>
      <c r="L250"/>
      <c r="M250"/>
    </row>
    <row r="251" spans="1:13">
      <c r="A251" t="s">
        <v>455</v>
      </c>
      <c r="B251" t="s">
        <v>1697</v>
      </c>
      <c r="C251" t="s">
        <v>1669</v>
      </c>
      <c r="D251" t="s">
        <v>1678</v>
      </c>
      <c r="K251"/>
      <c r="L251"/>
      <c r="M251"/>
    </row>
    <row r="252" spans="1:13">
      <c r="A252" t="s">
        <v>622</v>
      </c>
      <c r="B252" t="s">
        <v>1697</v>
      </c>
      <c r="C252" t="s">
        <v>1669</v>
      </c>
      <c r="D252" t="s">
        <v>1678</v>
      </c>
      <c r="K252"/>
      <c r="L252"/>
      <c r="M252"/>
    </row>
    <row r="253" spans="1:13">
      <c r="A253" t="s">
        <v>632</v>
      </c>
      <c r="B253" t="s">
        <v>1697</v>
      </c>
      <c r="C253" t="s">
        <v>1669</v>
      </c>
      <c r="D253" t="s">
        <v>1678</v>
      </c>
      <c r="K253"/>
      <c r="L253"/>
      <c r="M253"/>
    </row>
    <row r="254" spans="1:13">
      <c r="A254" t="s">
        <v>413</v>
      </c>
      <c r="B254" t="s">
        <v>1697</v>
      </c>
      <c r="C254" t="s">
        <v>1669</v>
      </c>
      <c r="D254" t="s">
        <v>1678</v>
      </c>
      <c r="K254"/>
      <c r="L254"/>
      <c r="M254"/>
    </row>
    <row r="255" spans="1:13">
      <c r="A255" t="s">
        <v>429</v>
      </c>
      <c r="B255" t="s">
        <v>1697</v>
      </c>
      <c r="C255" t="s">
        <v>1669</v>
      </c>
      <c r="D255" t="s">
        <v>1678</v>
      </c>
      <c r="K255"/>
      <c r="L255"/>
      <c r="M255"/>
    </row>
    <row r="256" spans="1:13">
      <c r="A256" t="s">
        <v>409</v>
      </c>
      <c r="B256" t="s">
        <v>1697</v>
      </c>
      <c r="C256" t="s">
        <v>1669</v>
      </c>
      <c r="D256" t="s">
        <v>1678</v>
      </c>
      <c r="K256"/>
      <c r="L256"/>
      <c r="M256"/>
    </row>
    <row r="257" spans="1:13">
      <c r="A257" t="s">
        <v>394</v>
      </c>
      <c r="B257" t="s">
        <v>1697</v>
      </c>
      <c r="C257" t="s">
        <v>1669</v>
      </c>
      <c r="D257" t="s">
        <v>1678</v>
      </c>
      <c r="K257"/>
      <c r="L257"/>
      <c r="M257"/>
    </row>
    <row r="258" spans="1:13">
      <c r="A258" t="s">
        <v>393</v>
      </c>
      <c r="B258" t="s">
        <v>1697</v>
      </c>
      <c r="C258" t="s">
        <v>1676</v>
      </c>
      <c r="D258" t="s">
        <v>1682</v>
      </c>
      <c r="K258"/>
      <c r="L258"/>
      <c r="M258"/>
    </row>
    <row r="259" spans="1:13">
      <c r="A259" t="s">
        <v>392</v>
      </c>
      <c r="B259" t="s">
        <v>1697</v>
      </c>
      <c r="C259" t="s">
        <v>1669</v>
      </c>
      <c r="D259" t="s">
        <v>1678</v>
      </c>
      <c r="K259"/>
      <c r="L259"/>
      <c r="M259"/>
    </row>
    <row r="260" spans="1:13">
      <c r="A260" t="s">
        <v>443</v>
      </c>
      <c r="B260" t="s">
        <v>1697</v>
      </c>
      <c r="C260" t="s">
        <v>1669</v>
      </c>
      <c r="D260" t="s">
        <v>1678</v>
      </c>
      <c r="K260"/>
      <c r="L260"/>
      <c r="M260"/>
    </row>
    <row r="261" spans="1:13">
      <c r="A261" t="s">
        <v>444</v>
      </c>
      <c r="B261" t="s">
        <v>1697</v>
      </c>
      <c r="C261" t="s">
        <v>1669</v>
      </c>
      <c r="D261" t="s">
        <v>1678</v>
      </c>
      <c r="K261"/>
      <c r="L261"/>
      <c r="M261"/>
    </row>
    <row r="262" spans="1:13">
      <c r="A262" t="s">
        <v>648</v>
      </c>
      <c r="B262" t="s">
        <v>1697</v>
      </c>
      <c r="C262" t="s">
        <v>1669</v>
      </c>
      <c r="D262" t="s">
        <v>1678</v>
      </c>
      <c r="K262"/>
      <c r="L262"/>
      <c r="M262"/>
    </row>
    <row r="263" spans="1:13">
      <c r="A263" t="s">
        <v>657</v>
      </c>
      <c r="B263" t="s">
        <v>1697</v>
      </c>
      <c r="C263" t="s">
        <v>1669</v>
      </c>
      <c r="D263" t="s">
        <v>1678</v>
      </c>
      <c r="K263"/>
      <c r="L263"/>
      <c r="M263"/>
    </row>
    <row r="264" spans="1:13">
      <c r="A264" t="s">
        <v>645</v>
      </c>
      <c r="B264" t="s">
        <v>1697</v>
      </c>
      <c r="C264" t="s">
        <v>1676</v>
      </c>
      <c r="D264" t="s">
        <v>1682</v>
      </c>
      <c r="K264"/>
      <c r="L264"/>
      <c r="M264"/>
    </row>
    <row r="265" spans="1:13">
      <c r="A265" t="s">
        <v>644</v>
      </c>
      <c r="B265" t="s">
        <v>1697</v>
      </c>
      <c r="C265" t="s">
        <v>1676</v>
      </c>
      <c r="D265" t="s">
        <v>1682</v>
      </c>
      <c r="K265"/>
      <c r="L265"/>
      <c r="M265"/>
    </row>
    <row r="266" spans="1:13">
      <c r="A266" t="s">
        <v>646</v>
      </c>
      <c r="B266" t="s">
        <v>1697</v>
      </c>
      <c r="C266" t="s">
        <v>1669</v>
      </c>
      <c r="D266" t="s">
        <v>1678</v>
      </c>
      <c r="K266"/>
      <c r="L266"/>
      <c r="M266"/>
    </row>
    <row r="267" spans="1:13">
      <c r="A267" t="s">
        <v>652</v>
      </c>
      <c r="B267" t="s">
        <v>1697</v>
      </c>
      <c r="C267" t="s">
        <v>1669</v>
      </c>
      <c r="D267" t="s">
        <v>1678</v>
      </c>
      <c r="K267"/>
      <c r="L267"/>
      <c r="M267"/>
    </row>
    <row r="268" spans="1:13">
      <c r="A268" t="s">
        <v>651</v>
      </c>
      <c r="B268" t="s">
        <v>1697</v>
      </c>
      <c r="C268" t="s">
        <v>1676</v>
      </c>
      <c r="D268" t="s">
        <v>1682</v>
      </c>
      <c r="K268"/>
      <c r="L268"/>
      <c r="M268"/>
    </row>
    <row r="269" spans="1:13">
      <c r="A269" t="s">
        <v>395</v>
      </c>
      <c r="B269" t="s">
        <v>1697</v>
      </c>
      <c r="C269" t="s">
        <v>1669</v>
      </c>
      <c r="D269" t="s">
        <v>1678</v>
      </c>
      <c r="K269"/>
      <c r="L269"/>
      <c r="M269"/>
    </row>
    <row r="270" spans="1:13">
      <c r="A270" t="s">
        <v>631</v>
      </c>
      <c r="B270" t="s">
        <v>1697</v>
      </c>
      <c r="C270" t="s">
        <v>1669</v>
      </c>
      <c r="D270" t="s">
        <v>1678</v>
      </c>
      <c r="K270"/>
      <c r="L270"/>
      <c r="M270"/>
    </row>
    <row r="271" spans="1:13">
      <c r="A271" t="s">
        <v>445</v>
      </c>
      <c r="B271" t="s">
        <v>1697</v>
      </c>
      <c r="C271" t="s">
        <v>1669</v>
      </c>
      <c r="D271" t="s">
        <v>1678</v>
      </c>
      <c r="K271"/>
      <c r="L271"/>
      <c r="M271"/>
    </row>
    <row r="272" spans="1:13">
      <c r="A272" t="s">
        <v>624</v>
      </c>
      <c r="B272" t="s">
        <v>1697</v>
      </c>
      <c r="C272" t="s">
        <v>1669</v>
      </c>
      <c r="D272" t="s">
        <v>1678</v>
      </c>
      <c r="K272"/>
      <c r="L272"/>
      <c r="M272"/>
    </row>
    <row r="273" spans="1:13">
      <c r="A273" t="s">
        <v>625</v>
      </c>
      <c r="B273" t="s">
        <v>1697</v>
      </c>
      <c r="C273" t="s">
        <v>1669</v>
      </c>
      <c r="D273" t="s">
        <v>1678</v>
      </c>
      <c r="K273"/>
      <c r="L273"/>
      <c r="M273"/>
    </row>
    <row r="274" spans="1:13">
      <c r="A274" t="s">
        <v>626</v>
      </c>
      <c r="B274" t="s">
        <v>1697</v>
      </c>
      <c r="C274" t="s">
        <v>1669</v>
      </c>
      <c r="D274" t="s">
        <v>1678</v>
      </c>
      <c r="K274"/>
      <c r="L274"/>
      <c r="M274"/>
    </row>
    <row r="275" spans="1:13">
      <c r="A275" t="s">
        <v>630</v>
      </c>
      <c r="B275" t="s">
        <v>1697</v>
      </c>
      <c r="C275" t="s">
        <v>1669</v>
      </c>
      <c r="D275" t="s">
        <v>1678</v>
      </c>
      <c r="K275"/>
      <c r="L275"/>
      <c r="M275"/>
    </row>
    <row r="276" spans="1:13">
      <c r="A276" t="s">
        <v>406</v>
      </c>
      <c r="B276" t="s">
        <v>1697</v>
      </c>
      <c r="C276" t="s">
        <v>1669</v>
      </c>
      <c r="D276" t="s">
        <v>1678</v>
      </c>
      <c r="K276"/>
      <c r="L276"/>
      <c r="M276"/>
    </row>
    <row r="277" spans="1:13">
      <c r="A277" t="s">
        <v>391</v>
      </c>
      <c r="B277" t="s">
        <v>1697</v>
      </c>
      <c r="C277" t="s">
        <v>1669</v>
      </c>
      <c r="D277" t="s">
        <v>1678</v>
      </c>
      <c r="K277"/>
      <c r="L277"/>
      <c r="M277"/>
    </row>
    <row r="278" spans="1:13">
      <c r="A278" t="s">
        <v>446</v>
      </c>
      <c r="B278" t="s">
        <v>1697</v>
      </c>
      <c r="C278" t="s">
        <v>1669</v>
      </c>
      <c r="D278" t="s">
        <v>1678</v>
      </c>
      <c r="K278"/>
      <c r="L278"/>
      <c r="M278"/>
    </row>
    <row r="279" spans="1:13">
      <c r="A279" t="s">
        <v>401</v>
      </c>
      <c r="B279" t="s">
        <v>1697</v>
      </c>
      <c r="C279" t="s">
        <v>1669</v>
      </c>
      <c r="D279" t="s">
        <v>1678</v>
      </c>
      <c r="K279"/>
      <c r="L279"/>
      <c r="M279"/>
    </row>
    <row r="280" spans="1:13">
      <c r="A280" t="s">
        <v>465</v>
      </c>
      <c r="B280" t="s">
        <v>1697</v>
      </c>
      <c r="C280" t="s">
        <v>1669</v>
      </c>
      <c r="D280" t="s">
        <v>1678</v>
      </c>
      <c r="K280"/>
      <c r="L280"/>
      <c r="M280"/>
    </row>
    <row r="281" spans="1:13">
      <c r="A281" t="s">
        <v>425</v>
      </c>
      <c r="B281" t="s">
        <v>1697</v>
      </c>
      <c r="C281" t="s">
        <v>1670</v>
      </c>
      <c r="D281" t="s">
        <v>1682</v>
      </c>
      <c r="K281"/>
      <c r="L281"/>
      <c r="M281"/>
    </row>
    <row r="282" spans="1:13">
      <c r="A282" t="s">
        <v>426</v>
      </c>
      <c r="B282" t="s">
        <v>1697</v>
      </c>
      <c r="C282" t="s">
        <v>1676</v>
      </c>
      <c r="D282" t="s">
        <v>1682</v>
      </c>
      <c r="K282"/>
      <c r="L282"/>
      <c r="M282"/>
    </row>
    <row r="283" spans="1:13">
      <c r="A283" t="s">
        <v>428</v>
      </c>
      <c r="B283" t="s">
        <v>1697</v>
      </c>
      <c r="C283" t="s">
        <v>1669</v>
      </c>
      <c r="D283" t="s">
        <v>1678</v>
      </c>
      <c r="K283"/>
      <c r="L283"/>
      <c r="M283"/>
    </row>
    <row r="284" spans="1:13">
      <c r="A284" t="s">
        <v>427</v>
      </c>
      <c r="B284" t="s">
        <v>1697</v>
      </c>
      <c r="C284" t="s">
        <v>1670</v>
      </c>
      <c r="D284" t="s">
        <v>1681</v>
      </c>
      <c r="K284"/>
      <c r="L284"/>
      <c r="M284"/>
    </row>
    <row r="285" spans="1:13">
      <c r="A285" t="s">
        <v>419</v>
      </c>
      <c r="B285" t="s">
        <v>1697</v>
      </c>
      <c r="C285" t="s">
        <v>1669</v>
      </c>
      <c r="D285" t="s">
        <v>1678</v>
      </c>
      <c r="K285"/>
      <c r="L285"/>
      <c r="M285"/>
    </row>
    <row r="286" spans="1:13">
      <c r="A286" t="s">
        <v>619</v>
      </c>
      <c r="B286" t="s">
        <v>1697</v>
      </c>
      <c r="C286" t="s">
        <v>1669</v>
      </c>
      <c r="D286" t="s">
        <v>1678</v>
      </c>
      <c r="K286"/>
      <c r="L286"/>
      <c r="M286"/>
    </row>
    <row r="287" spans="1:13">
      <c r="A287" t="s">
        <v>627</v>
      </c>
      <c r="B287" t="s">
        <v>1697</v>
      </c>
      <c r="C287" t="s">
        <v>1669</v>
      </c>
      <c r="D287" t="s">
        <v>1678</v>
      </c>
      <c r="K287"/>
      <c r="L287"/>
      <c r="M287"/>
    </row>
    <row r="288" spans="1:13">
      <c r="A288" t="s">
        <v>628</v>
      </c>
      <c r="B288" t="s">
        <v>1697</v>
      </c>
      <c r="C288" t="s">
        <v>1676</v>
      </c>
      <c r="D288" t="s">
        <v>1679</v>
      </c>
      <c r="K288"/>
      <c r="L288"/>
      <c r="M288"/>
    </row>
    <row r="289" spans="1:13">
      <c r="A289" t="s">
        <v>420</v>
      </c>
      <c r="B289" t="s">
        <v>1697</v>
      </c>
      <c r="C289" t="s">
        <v>1669</v>
      </c>
      <c r="D289" t="s">
        <v>1678</v>
      </c>
      <c r="K289"/>
      <c r="L289"/>
      <c r="M289"/>
    </row>
    <row r="290" spans="1:13">
      <c r="A290" t="s">
        <v>422</v>
      </c>
      <c r="B290" t="s">
        <v>1697</v>
      </c>
      <c r="C290" t="s">
        <v>1669</v>
      </c>
      <c r="D290" t="s">
        <v>1678</v>
      </c>
      <c r="K290"/>
      <c r="L290"/>
      <c r="M290"/>
    </row>
    <row r="291" spans="1:13">
      <c r="A291" t="s">
        <v>421</v>
      </c>
      <c r="B291" t="s">
        <v>1697</v>
      </c>
      <c r="C291" t="s">
        <v>1669</v>
      </c>
      <c r="D291" t="s">
        <v>1678</v>
      </c>
      <c r="K291"/>
      <c r="L291"/>
      <c r="M291"/>
    </row>
    <row r="292" spans="1:13">
      <c r="A292" t="s">
        <v>385</v>
      </c>
      <c r="B292" t="s">
        <v>1697</v>
      </c>
      <c r="C292" t="s">
        <v>1669</v>
      </c>
      <c r="D292" t="s">
        <v>1678</v>
      </c>
      <c r="K292"/>
      <c r="L292"/>
      <c r="M292"/>
    </row>
    <row r="293" spans="1:13">
      <c r="A293" t="s">
        <v>452</v>
      </c>
      <c r="B293" t="s">
        <v>1697</v>
      </c>
      <c r="C293" t="s">
        <v>1669</v>
      </c>
      <c r="D293" t="s">
        <v>1678</v>
      </c>
      <c r="K293"/>
      <c r="L293"/>
      <c r="M293"/>
    </row>
    <row r="294" spans="1:13">
      <c r="A294" t="s">
        <v>469</v>
      </c>
      <c r="B294" t="s">
        <v>1697</v>
      </c>
      <c r="C294" t="s">
        <v>1669</v>
      </c>
      <c r="D294" t="s">
        <v>1678</v>
      </c>
      <c r="K294"/>
      <c r="L294"/>
      <c r="M294"/>
    </row>
    <row r="295" spans="1:13">
      <c r="A295" t="s">
        <v>386</v>
      </c>
      <c r="B295" t="s">
        <v>1697</v>
      </c>
      <c r="C295" t="s">
        <v>1669</v>
      </c>
      <c r="D295" t="s">
        <v>1678</v>
      </c>
      <c r="K295"/>
      <c r="L295"/>
      <c r="M295"/>
    </row>
    <row r="296" spans="1:13">
      <c r="A296" t="s">
        <v>373</v>
      </c>
      <c r="B296" t="s">
        <v>1697</v>
      </c>
      <c r="C296" t="s">
        <v>1669</v>
      </c>
      <c r="D296" t="s">
        <v>1678</v>
      </c>
      <c r="K296"/>
      <c r="L296"/>
      <c r="M296"/>
    </row>
    <row r="297" spans="1:13">
      <c r="A297" t="s">
        <v>379</v>
      </c>
      <c r="B297" t="s">
        <v>1697</v>
      </c>
      <c r="C297" t="s">
        <v>1669</v>
      </c>
      <c r="D297" t="s">
        <v>1678</v>
      </c>
      <c r="K297"/>
      <c r="L297"/>
      <c r="M297"/>
    </row>
    <row r="298" spans="1:13">
      <c r="A298" t="s">
        <v>649</v>
      </c>
      <c r="B298" t="s">
        <v>1697</v>
      </c>
      <c r="C298" t="s">
        <v>1670</v>
      </c>
      <c r="D298" t="s">
        <v>1678</v>
      </c>
      <c r="K298"/>
      <c r="L298"/>
      <c r="M298"/>
    </row>
    <row r="299" spans="1:13">
      <c r="A299" t="s">
        <v>647</v>
      </c>
      <c r="B299" t="s">
        <v>1697</v>
      </c>
      <c r="C299" t="s">
        <v>1670</v>
      </c>
      <c r="D299" t="s">
        <v>1678</v>
      </c>
      <c r="K299"/>
      <c r="L299"/>
      <c r="M299"/>
    </row>
    <row r="300" spans="1:13">
      <c r="A300" t="s">
        <v>447</v>
      </c>
      <c r="B300" t="s">
        <v>1697</v>
      </c>
      <c r="C300" t="s">
        <v>1669</v>
      </c>
      <c r="D300" t="s">
        <v>1678</v>
      </c>
      <c r="K300"/>
      <c r="L300"/>
      <c r="M300"/>
    </row>
    <row r="301" spans="1:13">
      <c r="A301" t="s">
        <v>470</v>
      </c>
      <c r="B301" t="s">
        <v>1697</v>
      </c>
      <c r="C301" t="s">
        <v>1669</v>
      </c>
      <c r="D301" t="s">
        <v>1678</v>
      </c>
      <c r="K301"/>
      <c r="L301"/>
      <c r="M301"/>
    </row>
    <row r="302" spans="1:13">
      <c r="A302" t="s">
        <v>462</v>
      </c>
      <c r="B302" t="s">
        <v>1697</v>
      </c>
      <c r="C302" t="s">
        <v>1669</v>
      </c>
      <c r="D302" t="s">
        <v>1678</v>
      </c>
      <c r="K302"/>
      <c r="L302"/>
      <c r="M302"/>
    </row>
    <row r="303" spans="1:13">
      <c r="A303" t="s">
        <v>463</v>
      </c>
      <c r="B303" t="s">
        <v>1697</v>
      </c>
      <c r="C303" t="s">
        <v>1669</v>
      </c>
      <c r="D303" t="s">
        <v>1678</v>
      </c>
      <c r="K303"/>
      <c r="L303"/>
      <c r="M303"/>
    </row>
    <row r="304" spans="1:13">
      <c r="A304" t="s">
        <v>432</v>
      </c>
      <c r="B304" t="s">
        <v>1697</v>
      </c>
      <c r="C304" t="s">
        <v>1672</v>
      </c>
      <c r="D304" t="s">
        <v>1678</v>
      </c>
      <c r="K304"/>
      <c r="L304"/>
      <c r="M304"/>
    </row>
    <row r="305" spans="1:13">
      <c r="A305" t="s">
        <v>388</v>
      </c>
      <c r="B305" t="s">
        <v>1697</v>
      </c>
      <c r="C305" t="s">
        <v>1672</v>
      </c>
      <c r="D305" t="s">
        <v>1678</v>
      </c>
      <c r="K305"/>
      <c r="L305"/>
      <c r="M305"/>
    </row>
    <row r="306" spans="1:13">
      <c r="A306" t="s">
        <v>387</v>
      </c>
      <c r="B306" t="s">
        <v>1697</v>
      </c>
      <c r="C306" t="s">
        <v>1669</v>
      </c>
      <c r="D306" t="s">
        <v>1678</v>
      </c>
      <c r="K306"/>
      <c r="L306"/>
      <c r="M306"/>
    </row>
    <row r="307" spans="1:13">
      <c r="A307" t="s">
        <v>380</v>
      </c>
      <c r="B307" t="s">
        <v>1697</v>
      </c>
      <c r="C307" t="s">
        <v>1669</v>
      </c>
      <c r="D307" t="s">
        <v>1678</v>
      </c>
      <c r="K307"/>
      <c r="L307"/>
      <c r="M307"/>
    </row>
    <row r="308" spans="1:13">
      <c r="A308" t="s">
        <v>410</v>
      </c>
      <c r="B308" t="s">
        <v>1697</v>
      </c>
      <c r="C308" t="s">
        <v>1671</v>
      </c>
      <c r="D308" t="s">
        <v>1680</v>
      </c>
      <c r="K308"/>
      <c r="L308"/>
      <c r="M308"/>
    </row>
    <row r="309" spans="1:13">
      <c r="A309" t="s">
        <v>415</v>
      </c>
      <c r="B309" t="s">
        <v>1697</v>
      </c>
      <c r="C309" t="s">
        <v>1672</v>
      </c>
      <c r="D309" t="s">
        <v>1678</v>
      </c>
      <c r="K309"/>
      <c r="L309"/>
      <c r="M309"/>
    </row>
    <row r="310" spans="1:13">
      <c r="A310" t="s">
        <v>433</v>
      </c>
      <c r="B310" t="s">
        <v>1697</v>
      </c>
      <c r="C310" t="s">
        <v>1669</v>
      </c>
      <c r="D310" t="s">
        <v>1678</v>
      </c>
      <c r="K310"/>
      <c r="L310"/>
      <c r="M310"/>
    </row>
    <row r="311" spans="1:13">
      <c r="A311" t="s">
        <v>440</v>
      </c>
      <c r="B311" t="s">
        <v>1697</v>
      </c>
      <c r="C311" t="s">
        <v>1669</v>
      </c>
      <c r="D311" t="s">
        <v>1678</v>
      </c>
      <c r="K311"/>
      <c r="L311"/>
      <c r="M311"/>
    </row>
    <row r="312" spans="1:13">
      <c r="A312" t="s">
        <v>431</v>
      </c>
      <c r="B312" t="s">
        <v>1697</v>
      </c>
      <c r="C312" t="s">
        <v>1670</v>
      </c>
      <c r="D312" t="s">
        <v>1678</v>
      </c>
      <c r="K312"/>
      <c r="L312"/>
      <c r="M312"/>
    </row>
    <row r="313" spans="1:13">
      <c r="A313" t="s">
        <v>643</v>
      </c>
      <c r="B313" t="s">
        <v>1698</v>
      </c>
      <c r="C313" t="s">
        <v>1673</v>
      </c>
      <c r="D313" t="s">
        <v>1682</v>
      </c>
      <c r="K313"/>
      <c r="L313"/>
      <c r="M313"/>
    </row>
    <row r="314" spans="1:13">
      <c r="A314" t="s">
        <v>527</v>
      </c>
      <c r="B314" t="s">
        <v>1697</v>
      </c>
      <c r="C314" t="s">
        <v>1673</v>
      </c>
      <c r="D314" t="s">
        <v>1678</v>
      </c>
      <c r="K314"/>
      <c r="L314"/>
      <c r="M314"/>
    </row>
    <row r="315" spans="1:13">
      <c r="A315" t="s">
        <v>636</v>
      </c>
      <c r="B315" t="s">
        <v>1697</v>
      </c>
      <c r="C315" t="s">
        <v>1673</v>
      </c>
      <c r="D315" t="s">
        <v>1678</v>
      </c>
      <c r="K315"/>
      <c r="L315"/>
      <c r="M315"/>
    </row>
    <row r="316" spans="1:13">
      <c r="A316" t="s">
        <v>635</v>
      </c>
      <c r="B316" t="s">
        <v>1697</v>
      </c>
      <c r="C316" t="s">
        <v>1673</v>
      </c>
      <c r="D316" t="s">
        <v>1678</v>
      </c>
      <c r="K316"/>
      <c r="L316"/>
      <c r="M316"/>
    </row>
    <row r="317" spans="1:13">
      <c r="A317" t="s">
        <v>637</v>
      </c>
      <c r="B317" t="s">
        <v>1697</v>
      </c>
      <c r="C317" t="s">
        <v>1673</v>
      </c>
      <c r="D317" t="s">
        <v>1678</v>
      </c>
      <c r="K317"/>
      <c r="L317"/>
      <c r="M317"/>
    </row>
    <row r="318" spans="1:13">
      <c r="A318" t="s">
        <v>546</v>
      </c>
      <c r="B318" t="s">
        <v>1697</v>
      </c>
      <c r="C318" t="s">
        <v>1673</v>
      </c>
      <c r="D318" t="s">
        <v>1678</v>
      </c>
      <c r="K318"/>
      <c r="L318"/>
      <c r="M318"/>
    </row>
    <row r="319" spans="1:13">
      <c r="A319" t="s">
        <v>547</v>
      </c>
      <c r="B319" t="s">
        <v>1697</v>
      </c>
      <c r="C319" t="s">
        <v>1673</v>
      </c>
      <c r="D319" t="s">
        <v>1678</v>
      </c>
      <c r="K319"/>
      <c r="L319"/>
      <c r="M319"/>
    </row>
    <row r="320" spans="1:13">
      <c r="A320" t="s">
        <v>548</v>
      </c>
      <c r="B320" t="s">
        <v>1697</v>
      </c>
      <c r="C320" t="s">
        <v>1673</v>
      </c>
      <c r="D320" t="s">
        <v>1678</v>
      </c>
      <c r="K320"/>
      <c r="L320"/>
      <c r="M320"/>
    </row>
    <row r="321" spans="1:13">
      <c r="A321" t="s">
        <v>558</v>
      </c>
      <c r="B321" t="s">
        <v>1697</v>
      </c>
      <c r="C321" t="s">
        <v>1673</v>
      </c>
      <c r="D321" t="s">
        <v>1678</v>
      </c>
      <c r="K321"/>
      <c r="L321"/>
      <c r="M321"/>
    </row>
    <row r="322" spans="1:13">
      <c r="A322" t="s">
        <v>641</v>
      </c>
      <c r="B322" t="s">
        <v>1697</v>
      </c>
      <c r="C322" t="s">
        <v>1673</v>
      </c>
      <c r="D322" t="s">
        <v>1678</v>
      </c>
      <c r="K322"/>
      <c r="L322"/>
      <c r="M322"/>
    </row>
    <row r="323" spans="1:13">
      <c r="A323" t="s">
        <v>640</v>
      </c>
      <c r="B323" t="s">
        <v>1697</v>
      </c>
      <c r="C323" t="s">
        <v>1673</v>
      </c>
      <c r="D323" t="s">
        <v>1678</v>
      </c>
      <c r="K323"/>
      <c r="L323"/>
      <c r="M323"/>
    </row>
    <row r="324" spans="1:13">
      <c r="A324" t="s">
        <v>571</v>
      </c>
      <c r="B324" t="s">
        <v>1698</v>
      </c>
      <c r="C324" t="s">
        <v>1673</v>
      </c>
      <c r="D324" t="s">
        <v>1682</v>
      </c>
      <c r="K324"/>
      <c r="L324"/>
      <c r="M324"/>
    </row>
    <row r="325" spans="1:13">
      <c r="A325" t="s">
        <v>662</v>
      </c>
      <c r="B325" t="s">
        <v>1697</v>
      </c>
      <c r="C325" t="s">
        <v>1673</v>
      </c>
      <c r="D325" t="s">
        <v>1678</v>
      </c>
      <c r="K325"/>
      <c r="L325"/>
      <c r="M325"/>
    </row>
    <row r="326" spans="1:13">
      <c r="A326" t="s">
        <v>582</v>
      </c>
      <c r="B326" t="s">
        <v>1697</v>
      </c>
      <c r="C326" t="s">
        <v>1673</v>
      </c>
      <c r="D326" t="s">
        <v>1678</v>
      </c>
      <c r="K326"/>
      <c r="L326"/>
      <c r="M326"/>
    </row>
    <row r="327" spans="1:13">
      <c r="A327" t="s">
        <v>528</v>
      </c>
      <c r="B327" t="s">
        <v>1698</v>
      </c>
      <c r="C327" t="s">
        <v>1673</v>
      </c>
      <c r="D327" t="s">
        <v>1682</v>
      </c>
      <c r="K327"/>
      <c r="L327"/>
      <c r="M327"/>
    </row>
    <row r="328" spans="1:13">
      <c r="A328" t="s">
        <v>529</v>
      </c>
      <c r="B328" t="s">
        <v>1698</v>
      </c>
      <c r="C328" t="s">
        <v>1673</v>
      </c>
      <c r="D328" t="s">
        <v>1682</v>
      </c>
      <c r="K328"/>
      <c r="L328"/>
      <c r="M328"/>
    </row>
    <row r="329" spans="1:13">
      <c r="A329" t="s">
        <v>562</v>
      </c>
      <c r="B329" t="s">
        <v>1697</v>
      </c>
      <c r="C329" t="s">
        <v>1673</v>
      </c>
      <c r="D329" t="s">
        <v>1683</v>
      </c>
      <c r="K329"/>
      <c r="L329"/>
      <c r="M329"/>
    </row>
    <row r="330" spans="1:13">
      <c r="A330" t="s">
        <v>559</v>
      </c>
      <c r="B330" t="s">
        <v>1697</v>
      </c>
      <c r="C330" t="s">
        <v>1673</v>
      </c>
      <c r="D330" t="s">
        <v>1678</v>
      </c>
      <c r="K330"/>
      <c r="L330"/>
      <c r="M330"/>
    </row>
    <row r="331" spans="1:13">
      <c r="A331" t="s">
        <v>560</v>
      </c>
      <c r="B331" t="s">
        <v>1697</v>
      </c>
      <c r="C331" t="s">
        <v>1673</v>
      </c>
      <c r="D331" t="s">
        <v>1678</v>
      </c>
      <c r="K331"/>
      <c r="L331"/>
      <c r="M331"/>
    </row>
    <row r="332" spans="1:13">
      <c r="A332" t="s">
        <v>580</v>
      </c>
      <c r="B332" t="s">
        <v>1697</v>
      </c>
      <c r="C332" t="s">
        <v>1673</v>
      </c>
      <c r="D332" t="s">
        <v>1683</v>
      </c>
      <c r="K332"/>
      <c r="L332"/>
      <c r="M332"/>
    </row>
    <row r="333" spans="1:13">
      <c r="A333" t="s">
        <v>579</v>
      </c>
      <c r="B333" t="s">
        <v>1698</v>
      </c>
      <c r="C333" t="s">
        <v>1673</v>
      </c>
      <c r="D333" t="s">
        <v>1681</v>
      </c>
      <c r="K333"/>
      <c r="L333"/>
      <c r="M333"/>
    </row>
    <row r="334" spans="1:13">
      <c r="A334" t="s">
        <v>581</v>
      </c>
      <c r="B334" t="s">
        <v>1698</v>
      </c>
      <c r="C334" t="s">
        <v>1673</v>
      </c>
      <c r="D334" t="s">
        <v>1681</v>
      </c>
      <c r="K334"/>
      <c r="L334"/>
      <c r="M334"/>
    </row>
    <row r="335" spans="1:13">
      <c r="A335" t="s">
        <v>557</v>
      </c>
      <c r="B335" t="s">
        <v>1698</v>
      </c>
      <c r="C335" t="s">
        <v>1673</v>
      </c>
      <c r="D335" t="s">
        <v>1682</v>
      </c>
      <c r="K335"/>
      <c r="L335"/>
      <c r="M335"/>
    </row>
    <row r="336" spans="1:13">
      <c r="A336" t="s">
        <v>549</v>
      </c>
      <c r="B336" t="s">
        <v>1698</v>
      </c>
      <c r="C336" t="s">
        <v>1673</v>
      </c>
      <c r="D336" t="s">
        <v>1682</v>
      </c>
      <c r="K336"/>
      <c r="L336"/>
      <c r="M336"/>
    </row>
    <row r="337" spans="1:13">
      <c r="A337" t="s">
        <v>561</v>
      </c>
      <c r="B337" t="s">
        <v>1697</v>
      </c>
      <c r="C337" t="s">
        <v>1673</v>
      </c>
      <c r="D337" t="s">
        <v>1678</v>
      </c>
      <c r="K337"/>
      <c r="L337"/>
      <c r="M337"/>
    </row>
    <row r="338" spans="1:13">
      <c r="A338" t="s">
        <v>530</v>
      </c>
      <c r="B338" t="s">
        <v>1697</v>
      </c>
      <c r="C338" t="s">
        <v>1673</v>
      </c>
      <c r="D338" t="s">
        <v>1678</v>
      </c>
      <c r="K338"/>
      <c r="L338"/>
      <c r="M338"/>
    </row>
    <row r="339" spans="1:13">
      <c r="A339" t="s">
        <v>545</v>
      </c>
      <c r="B339" t="s">
        <v>1697</v>
      </c>
      <c r="C339" t="s">
        <v>1673</v>
      </c>
      <c r="D339" t="s">
        <v>1678</v>
      </c>
      <c r="K339"/>
      <c r="L339"/>
      <c r="M339"/>
    </row>
    <row r="340" spans="1:13">
      <c r="A340" t="s">
        <v>542</v>
      </c>
      <c r="B340" t="s">
        <v>1697</v>
      </c>
      <c r="C340" t="s">
        <v>1673</v>
      </c>
      <c r="D340" t="s">
        <v>1678</v>
      </c>
      <c r="K340"/>
      <c r="L340"/>
      <c r="M340"/>
    </row>
    <row r="341" spans="1:13">
      <c r="A341" t="s">
        <v>539</v>
      </c>
      <c r="B341" t="s">
        <v>1697</v>
      </c>
      <c r="C341" t="s">
        <v>1673</v>
      </c>
      <c r="D341" t="s">
        <v>1678</v>
      </c>
      <c r="K341"/>
      <c r="L341"/>
      <c r="M341"/>
    </row>
    <row r="342" spans="1:13">
      <c r="A342" t="s">
        <v>540</v>
      </c>
      <c r="B342" t="s">
        <v>1698</v>
      </c>
      <c r="C342" t="s">
        <v>1673</v>
      </c>
      <c r="D342" t="s">
        <v>1682</v>
      </c>
      <c r="K342"/>
      <c r="L342"/>
      <c r="M342"/>
    </row>
    <row r="343" spans="1:13">
      <c r="A343" t="s">
        <v>541</v>
      </c>
      <c r="B343" t="s">
        <v>1697</v>
      </c>
      <c r="C343" t="s">
        <v>1673</v>
      </c>
      <c r="D343" t="s">
        <v>1678</v>
      </c>
      <c r="K343"/>
      <c r="L343"/>
      <c r="M343"/>
    </row>
    <row r="344" spans="1:13">
      <c r="A344" t="s">
        <v>573</v>
      </c>
      <c r="B344" t="s">
        <v>1698</v>
      </c>
      <c r="C344" t="s">
        <v>1673</v>
      </c>
      <c r="D344" t="s">
        <v>1681</v>
      </c>
      <c r="K344"/>
      <c r="L344"/>
      <c r="M344"/>
    </row>
    <row r="345" spans="1:13">
      <c r="A345" t="s">
        <v>574</v>
      </c>
      <c r="B345" t="s">
        <v>1698</v>
      </c>
      <c r="C345" t="s">
        <v>1673</v>
      </c>
      <c r="D345" t="s">
        <v>1681</v>
      </c>
      <c r="K345"/>
      <c r="L345"/>
      <c r="M345"/>
    </row>
    <row r="346" spans="1:13">
      <c r="A346" t="s">
        <v>563</v>
      </c>
      <c r="B346" t="s">
        <v>1698</v>
      </c>
      <c r="C346" t="s">
        <v>1673</v>
      </c>
      <c r="D346" t="s">
        <v>1682</v>
      </c>
      <c r="K346"/>
      <c r="L346"/>
      <c r="M346"/>
    </row>
    <row r="347" spans="1:13">
      <c r="A347" t="s">
        <v>564</v>
      </c>
      <c r="B347" t="s">
        <v>1698</v>
      </c>
      <c r="C347" t="s">
        <v>1673</v>
      </c>
      <c r="D347" t="s">
        <v>1682</v>
      </c>
      <c r="K347"/>
      <c r="L347"/>
      <c r="M347"/>
    </row>
    <row r="348" spans="1:13">
      <c r="A348" t="s">
        <v>565</v>
      </c>
      <c r="B348" t="s">
        <v>1698</v>
      </c>
      <c r="C348" t="s">
        <v>1673</v>
      </c>
      <c r="D348" t="s">
        <v>1682</v>
      </c>
      <c r="K348"/>
      <c r="L348"/>
      <c r="M348"/>
    </row>
    <row r="349" spans="1:13">
      <c r="A349" t="s">
        <v>634</v>
      </c>
      <c r="B349" t="s">
        <v>1698</v>
      </c>
      <c r="C349" t="s">
        <v>1673</v>
      </c>
      <c r="D349" t="s">
        <v>1682</v>
      </c>
      <c r="K349"/>
      <c r="L349"/>
      <c r="M349"/>
    </row>
    <row r="350" spans="1:13">
      <c r="A350" t="s">
        <v>633</v>
      </c>
      <c r="B350" t="s">
        <v>1698</v>
      </c>
      <c r="C350" t="s">
        <v>1673</v>
      </c>
      <c r="D350" t="s">
        <v>1682</v>
      </c>
      <c r="K350"/>
      <c r="L350"/>
      <c r="M350"/>
    </row>
    <row r="351" spans="1:13">
      <c r="A351" t="s">
        <v>566</v>
      </c>
      <c r="B351" t="s">
        <v>1697</v>
      </c>
      <c r="C351" t="s">
        <v>1673</v>
      </c>
      <c r="D351" t="s">
        <v>1678</v>
      </c>
      <c r="K351"/>
      <c r="L351"/>
      <c r="M351"/>
    </row>
    <row r="352" spans="1:13">
      <c r="A352" t="s">
        <v>567</v>
      </c>
      <c r="B352" t="s">
        <v>1697</v>
      </c>
      <c r="C352" t="s">
        <v>1673</v>
      </c>
      <c r="D352" t="s">
        <v>1678</v>
      </c>
      <c r="K352"/>
      <c r="L352"/>
      <c r="M352"/>
    </row>
    <row r="353" spans="1:13">
      <c r="A353" t="s">
        <v>543</v>
      </c>
      <c r="B353" t="s">
        <v>1697</v>
      </c>
      <c r="C353" t="s">
        <v>1673</v>
      </c>
      <c r="D353" t="s">
        <v>1678</v>
      </c>
      <c r="K353"/>
      <c r="L353"/>
      <c r="M353"/>
    </row>
    <row r="354" spans="1:13">
      <c r="A354" t="s">
        <v>576</v>
      </c>
      <c r="B354" t="s">
        <v>1698</v>
      </c>
      <c r="C354" t="s">
        <v>1673</v>
      </c>
      <c r="D354" t="s">
        <v>1681</v>
      </c>
      <c r="K354"/>
      <c r="L354"/>
      <c r="M354"/>
    </row>
    <row r="355" spans="1:13">
      <c r="A355" t="s">
        <v>536</v>
      </c>
      <c r="B355" t="s">
        <v>1697</v>
      </c>
      <c r="C355" t="s">
        <v>1673</v>
      </c>
      <c r="D355" t="s">
        <v>1678</v>
      </c>
      <c r="K355"/>
      <c r="L355"/>
      <c r="M355"/>
    </row>
    <row r="356" spans="1:13">
      <c r="A356" t="s">
        <v>575</v>
      </c>
      <c r="B356" t="s">
        <v>1697</v>
      </c>
      <c r="C356" t="s">
        <v>1673</v>
      </c>
      <c r="D356" t="s">
        <v>1678</v>
      </c>
      <c r="K356"/>
      <c r="L356"/>
      <c r="M356"/>
    </row>
    <row r="357" spans="1:13">
      <c r="A357" t="s">
        <v>535</v>
      </c>
      <c r="B357" t="s">
        <v>1697</v>
      </c>
      <c r="C357" t="s">
        <v>1673</v>
      </c>
      <c r="D357" t="s">
        <v>1678</v>
      </c>
      <c r="K357"/>
      <c r="L357"/>
      <c r="M357"/>
    </row>
    <row r="358" spans="1:13">
      <c r="A358" t="s">
        <v>531</v>
      </c>
      <c r="B358" t="s">
        <v>1697</v>
      </c>
      <c r="C358" t="s">
        <v>1673</v>
      </c>
      <c r="D358" t="s">
        <v>1678</v>
      </c>
      <c r="K358"/>
      <c r="L358"/>
      <c r="M358"/>
    </row>
    <row r="359" spans="1:13">
      <c r="A359" t="s">
        <v>532</v>
      </c>
      <c r="B359" t="s">
        <v>1697</v>
      </c>
      <c r="C359" t="s">
        <v>1673</v>
      </c>
      <c r="D359" t="s">
        <v>1678</v>
      </c>
      <c r="K359"/>
      <c r="L359"/>
      <c r="M359"/>
    </row>
    <row r="360" spans="1:13">
      <c r="A360" t="s">
        <v>533</v>
      </c>
      <c r="B360" t="s">
        <v>1697</v>
      </c>
      <c r="C360" t="s">
        <v>1673</v>
      </c>
      <c r="D360" t="s">
        <v>1678</v>
      </c>
      <c r="K360"/>
      <c r="L360"/>
      <c r="M360"/>
    </row>
    <row r="361" spans="1:13">
      <c r="A361" t="s">
        <v>537</v>
      </c>
      <c r="B361" t="s">
        <v>1697</v>
      </c>
      <c r="C361" t="s">
        <v>1673</v>
      </c>
      <c r="D361" t="s">
        <v>1678</v>
      </c>
      <c r="K361"/>
      <c r="L361"/>
      <c r="M361"/>
    </row>
    <row r="362" spans="1:13">
      <c r="A362" t="s">
        <v>534</v>
      </c>
      <c r="B362" t="s">
        <v>1697</v>
      </c>
      <c r="C362" t="s">
        <v>1673</v>
      </c>
      <c r="D362" t="s">
        <v>1678</v>
      </c>
      <c r="K362"/>
      <c r="L362"/>
      <c r="M362"/>
    </row>
    <row r="363" spans="1:13">
      <c r="A363" t="s">
        <v>638</v>
      </c>
      <c r="B363" t="s">
        <v>1697</v>
      </c>
      <c r="C363" t="s">
        <v>1673</v>
      </c>
      <c r="D363" t="s">
        <v>1678</v>
      </c>
      <c r="K363"/>
      <c r="L363"/>
      <c r="M363"/>
    </row>
    <row r="364" spans="1:13">
      <c r="A364" t="s">
        <v>551</v>
      </c>
      <c r="B364" t="s">
        <v>1697</v>
      </c>
      <c r="C364" t="s">
        <v>1673</v>
      </c>
      <c r="D364" t="s">
        <v>1678</v>
      </c>
      <c r="K364"/>
      <c r="L364"/>
      <c r="M364"/>
    </row>
    <row r="365" spans="1:13">
      <c r="A365" t="s">
        <v>550</v>
      </c>
      <c r="B365" t="s">
        <v>1698</v>
      </c>
      <c r="C365" t="s">
        <v>1673</v>
      </c>
      <c r="D365" t="s">
        <v>1682</v>
      </c>
      <c r="K365"/>
      <c r="L365"/>
      <c r="M365"/>
    </row>
    <row r="366" spans="1:13">
      <c r="A366" t="s">
        <v>544</v>
      </c>
      <c r="B366" t="s">
        <v>1698</v>
      </c>
      <c r="C366" t="s">
        <v>1673</v>
      </c>
      <c r="D366" t="s">
        <v>1682</v>
      </c>
      <c r="K366"/>
      <c r="L366"/>
      <c r="M366"/>
    </row>
    <row r="367" spans="1:13">
      <c r="A367" t="s">
        <v>538</v>
      </c>
      <c r="B367" t="s">
        <v>1697</v>
      </c>
      <c r="C367" t="s">
        <v>1673</v>
      </c>
      <c r="D367" t="s">
        <v>1678</v>
      </c>
      <c r="K367"/>
      <c r="L367"/>
      <c r="M367"/>
    </row>
    <row r="368" spans="1:13">
      <c r="A368" t="s">
        <v>568</v>
      </c>
      <c r="B368" t="s">
        <v>1697</v>
      </c>
      <c r="C368" t="s">
        <v>1673</v>
      </c>
      <c r="D368" t="s">
        <v>1678</v>
      </c>
      <c r="K368"/>
      <c r="L368"/>
      <c r="M368"/>
    </row>
    <row r="369" spans="1:13">
      <c r="A369" t="s">
        <v>660</v>
      </c>
      <c r="B369" t="s">
        <v>1698</v>
      </c>
      <c r="C369" t="s">
        <v>1673</v>
      </c>
      <c r="D369" t="s">
        <v>1682</v>
      </c>
      <c r="K369"/>
      <c r="L369"/>
      <c r="M369"/>
    </row>
    <row r="370" spans="1:13">
      <c r="A370" t="s">
        <v>663</v>
      </c>
      <c r="B370" t="s">
        <v>1698</v>
      </c>
      <c r="C370" t="s">
        <v>1673</v>
      </c>
      <c r="D370" t="s">
        <v>1682</v>
      </c>
      <c r="K370"/>
      <c r="L370"/>
      <c r="M370"/>
    </row>
    <row r="371" spans="1:13">
      <c r="A371" t="s">
        <v>661</v>
      </c>
      <c r="B371" t="s">
        <v>1697</v>
      </c>
      <c r="C371" t="s">
        <v>1673</v>
      </c>
      <c r="D371" t="s">
        <v>1678</v>
      </c>
      <c r="K371"/>
      <c r="L371"/>
      <c r="M371"/>
    </row>
    <row r="372" spans="1:13">
      <c r="A372" t="s">
        <v>569</v>
      </c>
      <c r="B372" t="s">
        <v>1697</v>
      </c>
      <c r="C372" t="s">
        <v>1673</v>
      </c>
      <c r="D372" t="s">
        <v>1678</v>
      </c>
      <c r="K372"/>
      <c r="L372"/>
      <c r="M372"/>
    </row>
    <row r="373" spans="1:13">
      <c r="A373" t="s">
        <v>639</v>
      </c>
      <c r="B373" t="s">
        <v>1697</v>
      </c>
      <c r="C373" t="s">
        <v>1673</v>
      </c>
      <c r="D373" t="s">
        <v>1678</v>
      </c>
      <c r="K373"/>
      <c r="L373"/>
      <c r="M373"/>
    </row>
    <row r="374" spans="1:13">
      <c r="A374" t="s">
        <v>583</v>
      </c>
      <c r="B374" t="s">
        <v>1697</v>
      </c>
      <c r="C374" t="s">
        <v>1673</v>
      </c>
      <c r="D374" t="s">
        <v>1678</v>
      </c>
      <c r="K374"/>
      <c r="L374"/>
      <c r="M374"/>
    </row>
    <row r="375" spans="1:13">
      <c r="A375" t="s">
        <v>552</v>
      </c>
      <c r="B375" t="s">
        <v>1697</v>
      </c>
      <c r="C375" t="s">
        <v>1673</v>
      </c>
      <c r="D375" t="s">
        <v>1678</v>
      </c>
      <c r="K375"/>
      <c r="L375"/>
      <c r="M375"/>
    </row>
    <row r="376" spans="1:13">
      <c r="A376" t="s">
        <v>553</v>
      </c>
      <c r="B376" t="s">
        <v>1698</v>
      </c>
      <c r="C376" t="s">
        <v>1673</v>
      </c>
      <c r="D376" t="s">
        <v>1682</v>
      </c>
      <c r="K376"/>
      <c r="L376"/>
      <c r="M376"/>
    </row>
    <row r="377" spans="1:13">
      <c r="A377" t="s">
        <v>555</v>
      </c>
      <c r="B377" t="s">
        <v>1697</v>
      </c>
      <c r="C377" t="s">
        <v>1673</v>
      </c>
      <c r="D377" t="s">
        <v>1678</v>
      </c>
      <c r="K377"/>
      <c r="L377"/>
      <c r="M377"/>
    </row>
    <row r="378" spans="1:13">
      <c r="A378" t="s">
        <v>577</v>
      </c>
      <c r="B378" t="s">
        <v>1698</v>
      </c>
      <c r="C378" t="s">
        <v>1673</v>
      </c>
      <c r="D378" t="s">
        <v>1682</v>
      </c>
      <c r="K378"/>
      <c r="L378"/>
      <c r="M378"/>
    </row>
    <row r="379" spans="1:13">
      <c r="A379" t="s">
        <v>554</v>
      </c>
      <c r="B379" t="s">
        <v>1697</v>
      </c>
      <c r="C379" t="s">
        <v>1673</v>
      </c>
      <c r="D379" t="s">
        <v>1678</v>
      </c>
      <c r="K379"/>
      <c r="L379"/>
      <c r="M379"/>
    </row>
    <row r="380" spans="1:13">
      <c r="A380" t="s">
        <v>642</v>
      </c>
      <c r="B380" t="s">
        <v>1698</v>
      </c>
      <c r="C380" t="s">
        <v>1673</v>
      </c>
      <c r="D380" t="s">
        <v>1682</v>
      </c>
      <c r="K380"/>
      <c r="L380"/>
      <c r="M380"/>
    </row>
    <row r="381" spans="1:13">
      <c r="A381" t="s">
        <v>570</v>
      </c>
      <c r="B381" t="s">
        <v>1697</v>
      </c>
      <c r="C381" t="s">
        <v>1673</v>
      </c>
      <c r="D381" t="s">
        <v>1678</v>
      </c>
      <c r="K381"/>
      <c r="L381"/>
      <c r="M381"/>
    </row>
    <row r="382" spans="1:13">
      <c r="A382" t="s">
        <v>584</v>
      </c>
      <c r="B382" t="s">
        <v>1697</v>
      </c>
      <c r="C382" t="s">
        <v>1673</v>
      </c>
      <c r="D382" t="s">
        <v>1678</v>
      </c>
      <c r="K382"/>
      <c r="L382"/>
      <c r="M382"/>
    </row>
    <row r="383" spans="1:13">
      <c r="A383" t="s">
        <v>556</v>
      </c>
      <c r="B383" t="s">
        <v>1697</v>
      </c>
      <c r="C383" t="s">
        <v>1673</v>
      </c>
      <c r="D383" t="s">
        <v>1678</v>
      </c>
      <c r="K383"/>
      <c r="L383"/>
      <c r="M383"/>
    </row>
    <row r="384" spans="1:13">
      <c r="A384" t="s">
        <v>578</v>
      </c>
      <c r="B384" t="s">
        <v>1697</v>
      </c>
      <c r="C384" t="s">
        <v>1673</v>
      </c>
      <c r="D384" t="s">
        <v>1678</v>
      </c>
      <c r="K384"/>
      <c r="L384"/>
      <c r="M384"/>
    </row>
    <row r="385" spans="1:13">
      <c r="A385" t="s">
        <v>572</v>
      </c>
      <c r="B385" t="s">
        <v>1697</v>
      </c>
      <c r="C385" t="s">
        <v>1673</v>
      </c>
      <c r="D385" t="s">
        <v>1678</v>
      </c>
      <c r="K385"/>
      <c r="L385"/>
      <c r="M385"/>
    </row>
    <row r="386" spans="1:13">
      <c r="A386" t="s">
        <v>3333</v>
      </c>
      <c r="B386" t="s">
        <v>1696</v>
      </c>
      <c r="C386" t="s">
        <v>1673</v>
      </c>
      <c r="D386" t="s">
        <v>1678</v>
      </c>
      <c r="K386"/>
      <c r="L386"/>
      <c r="M386"/>
    </row>
    <row r="387" spans="1:13">
      <c r="A387" t="s">
        <v>590</v>
      </c>
      <c r="B387" t="s">
        <v>1696</v>
      </c>
      <c r="C387" t="s">
        <v>1669</v>
      </c>
      <c r="D387" t="s">
        <v>1678</v>
      </c>
      <c r="K387"/>
      <c r="L387"/>
      <c r="M387"/>
    </row>
    <row r="388" spans="1:13">
      <c r="A388" t="s">
        <v>3334</v>
      </c>
      <c r="B388" t="s">
        <v>1696</v>
      </c>
      <c r="C388" t="s">
        <v>1673</v>
      </c>
      <c r="D388" t="s">
        <v>1678</v>
      </c>
      <c r="K388"/>
      <c r="L388"/>
      <c r="M388"/>
    </row>
    <row r="389" spans="1:13">
      <c r="A389" t="s">
        <v>709</v>
      </c>
      <c r="B389" t="s">
        <v>1696</v>
      </c>
      <c r="C389" t="s">
        <v>1669</v>
      </c>
      <c r="D389" t="s">
        <v>1683</v>
      </c>
      <c r="K389"/>
      <c r="L389"/>
      <c r="M389"/>
    </row>
    <row r="390" spans="1:13">
      <c r="A390" t="s">
        <v>710</v>
      </c>
      <c r="B390" t="s">
        <v>1696</v>
      </c>
      <c r="C390" t="s">
        <v>1669</v>
      </c>
      <c r="D390" t="s">
        <v>1683</v>
      </c>
      <c r="K390"/>
      <c r="L390"/>
      <c r="M390"/>
    </row>
    <row r="391" spans="1:13">
      <c r="A391" t="s">
        <v>866</v>
      </c>
      <c r="B391" t="s">
        <v>1696</v>
      </c>
      <c r="C391" t="s">
        <v>1675</v>
      </c>
      <c r="D391" t="s">
        <v>1680</v>
      </c>
      <c r="K391"/>
      <c r="L391"/>
      <c r="M391"/>
    </row>
    <row r="392" spans="1:13">
      <c r="A392" t="s">
        <v>850</v>
      </c>
      <c r="B392" t="s">
        <v>1696</v>
      </c>
      <c r="C392" t="s">
        <v>1675</v>
      </c>
      <c r="D392" t="s">
        <v>1682</v>
      </c>
      <c r="K392"/>
      <c r="L392"/>
      <c r="M392"/>
    </row>
    <row r="393" spans="1:13">
      <c r="A393" t="s">
        <v>851</v>
      </c>
      <c r="B393" t="s">
        <v>1696</v>
      </c>
      <c r="C393" t="s">
        <v>1675</v>
      </c>
      <c r="D393" t="s">
        <v>1679</v>
      </c>
      <c r="K393"/>
      <c r="L393"/>
      <c r="M393"/>
    </row>
    <row r="394" spans="1:13">
      <c r="A394" t="s">
        <v>852</v>
      </c>
      <c r="B394" t="s">
        <v>1696</v>
      </c>
      <c r="C394" t="s">
        <v>1675</v>
      </c>
      <c r="D394" t="s">
        <v>1681</v>
      </c>
      <c r="K394"/>
      <c r="L394"/>
      <c r="M394"/>
    </row>
    <row r="395" spans="1:13">
      <c r="A395" t="s">
        <v>853</v>
      </c>
      <c r="B395" t="s">
        <v>1696</v>
      </c>
      <c r="C395" t="s">
        <v>1675</v>
      </c>
      <c r="D395" t="s">
        <v>1683</v>
      </c>
      <c r="K395"/>
      <c r="L395"/>
      <c r="M395"/>
    </row>
    <row r="396" spans="1:13">
      <c r="A396" t="s">
        <v>854</v>
      </c>
      <c r="B396" t="s">
        <v>1696</v>
      </c>
      <c r="C396" t="s">
        <v>1675</v>
      </c>
      <c r="D396" t="s">
        <v>1684</v>
      </c>
      <c r="K396"/>
      <c r="L396"/>
      <c r="M396"/>
    </row>
    <row r="397" spans="1:13">
      <c r="A397" t="s">
        <v>855</v>
      </c>
      <c r="B397" t="s">
        <v>1696</v>
      </c>
      <c r="C397" t="s">
        <v>1675</v>
      </c>
      <c r="D397" t="s">
        <v>1686</v>
      </c>
      <c r="K397"/>
      <c r="L397"/>
      <c r="M397"/>
    </row>
    <row r="398" spans="1:13">
      <c r="A398" t="s">
        <v>856</v>
      </c>
      <c r="B398" t="s">
        <v>1696</v>
      </c>
      <c r="C398" t="s">
        <v>1675</v>
      </c>
      <c r="D398" t="s">
        <v>1691</v>
      </c>
      <c r="K398"/>
      <c r="L398"/>
      <c r="M398"/>
    </row>
    <row r="399" spans="1:13">
      <c r="A399" t="s">
        <v>857</v>
      </c>
      <c r="B399" t="s">
        <v>1696</v>
      </c>
      <c r="C399" t="s">
        <v>1675</v>
      </c>
      <c r="D399" t="s">
        <v>1692</v>
      </c>
      <c r="K399"/>
      <c r="L399"/>
      <c r="M399"/>
    </row>
    <row r="400" spans="1:13">
      <c r="A400" t="s">
        <v>858</v>
      </c>
      <c r="B400" t="s">
        <v>1696</v>
      </c>
      <c r="C400" t="s">
        <v>1675</v>
      </c>
      <c r="D400" t="s">
        <v>1685</v>
      </c>
      <c r="K400"/>
      <c r="L400"/>
      <c r="M400"/>
    </row>
    <row r="401" spans="1:13">
      <c r="A401" t="s">
        <v>859</v>
      </c>
      <c r="B401" t="s">
        <v>1696</v>
      </c>
      <c r="C401" t="s">
        <v>1675</v>
      </c>
      <c r="D401" t="s">
        <v>1685</v>
      </c>
      <c r="K401"/>
      <c r="L401"/>
      <c r="M401"/>
    </row>
    <row r="402" spans="1:13">
      <c r="A402" t="s">
        <v>860</v>
      </c>
      <c r="B402" t="s">
        <v>1696</v>
      </c>
      <c r="C402" t="s">
        <v>1675</v>
      </c>
      <c r="D402" t="s">
        <v>1679</v>
      </c>
      <c r="K402"/>
      <c r="L402"/>
      <c r="M402"/>
    </row>
    <row r="403" spans="1:13">
      <c r="A403" t="s">
        <v>861</v>
      </c>
      <c r="B403" t="s">
        <v>1696</v>
      </c>
      <c r="C403" t="s">
        <v>1675</v>
      </c>
      <c r="D403" t="s">
        <v>1679</v>
      </c>
      <c r="K403"/>
      <c r="L403"/>
      <c r="M403"/>
    </row>
    <row r="404" spans="1:13">
      <c r="A404" t="s">
        <v>862</v>
      </c>
      <c r="B404" t="s">
        <v>1696</v>
      </c>
      <c r="C404" t="s">
        <v>1674</v>
      </c>
      <c r="D404" t="s">
        <v>1678</v>
      </c>
      <c r="K404"/>
      <c r="L404"/>
      <c r="M404"/>
    </row>
    <row r="405" spans="1:13">
      <c r="A405" t="s">
        <v>863</v>
      </c>
      <c r="B405" t="s">
        <v>1696</v>
      </c>
      <c r="C405" t="s">
        <v>1675</v>
      </c>
      <c r="D405" t="s">
        <v>1687</v>
      </c>
      <c r="K405"/>
      <c r="L405"/>
      <c r="M405"/>
    </row>
    <row r="406" spans="1:13">
      <c r="A406" t="s">
        <v>368</v>
      </c>
      <c r="B406" t="s">
        <v>1696</v>
      </c>
      <c r="C406" t="s">
        <v>1673</v>
      </c>
      <c r="D406" t="s">
        <v>1680</v>
      </c>
      <c r="K406"/>
      <c r="L406"/>
      <c r="M406"/>
    </row>
    <row r="407" spans="1:13">
      <c r="A407" t="s">
        <v>362</v>
      </c>
      <c r="B407" t="s">
        <v>1696</v>
      </c>
      <c r="C407" t="s">
        <v>1673</v>
      </c>
      <c r="D407" t="s">
        <v>1680</v>
      </c>
      <c r="K407"/>
      <c r="L407"/>
      <c r="M407"/>
    </row>
    <row r="408" spans="1:13">
      <c r="A408" t="s">
        <v>319</v>
      </c>
      <c r="B408" t="s">
        <v>1696</v>
      </c>
      <c r="C408" t="s">
        <v>1673</v>
      </c>
      <c r="D408" t="s">
        <v>1680</v>
      </c>
      <c r="K408"/>
      <c r="L408"/>
      <c r="M408"/>
    </row>
    <row r="409" spans="1:13">
      <c r="A409" t="s">
        <v>365</v>
      </c>
      <c r="B409" t="s">
        <v>1696</v>
      </c>
      <c r="C409" t="s">
        <v>1673</v>
      </c>
      <c r="D409" t="s">
        <v>1680</v>
      </c>
      <c r="K409"/>
      <c r="L409"/>
      <c r="M409"/>
    </row>
    <row r="410" spans="1:13">
      <c r="A410" t="s">
        <v>335</v>
      </c>
      <c r="B410" t="s">
        <v>1696</v>
      </c>
      <c r="C410" t="s">
        <v>1673</v>
      </c>
      <c r="D410" t="s">
        <v>1680</v>
      </c>
      <c r="K410"/>
      <c r="L410"/>
      <c r="M410"/>
    </row>
    <row r="411" spans="1:13">
      <c r="A411" t="s">
        <v>328</v>
      </c>
      <c r="B411" t="s">
        <v>1696</v>
      </c>
      <c r="C411" t="s">
        <v>1673</v>
      </c>
      <c r="D411" t="s">
        <v>1680</v>
      </c>
      <c r="K411"/>
      <c r="L411"/>
      <c r="M411"/>
    </row>
    <row r="412" spans="1:13">
      <c r="A412" t="s">
        <v>364</v>
      </c>
      <c r="B412" t="s">
        <v>1696</v>
      </c>
      <c r="C412" t="s">
        <v>1673</v>
      </c>
      <c r="D412" t="s">
        <v>1680</v>
      </c>
      <c r="K412"/>
      <c r="L412"/>
      <c r="M412"/>
    </row>
    <row r="413" spans="1:13">
      <c r="A413" t="s">
        <v>363</v>
      </c>
      <c r="B413" t="s">
        <v>1696</v>
      </c>
      <c r="C413" t="s">
        <v>1673</v>
      </c>
      <c r="D413" t="s">
        <v>1680</v>
      </c>
      <c r="K413"/>
      <c r="L413"/>
      <c r="M413"/>
    </row>
    <row r="414" spans="1:13">
      <c r="A414" t="s">
        <v>361</v>
      </c>
      <c r="B414" t="s">
        <v>1696</v>
      </c>
      <c r="C414" t="s">
        <v>1673</v>
      </c>
      <c r="D414" t="s">
        <v>1680</v>
      </c>
      <c r="K414"/>
      <c r="L414"/>
      <c r="M414"/>
    </row>
    <row r="415" spans="1:13">
      <c r="A415" t="s">
        <v>338</v>
      </c>
      <c r="B415" t="s">
        <v>1696</v>
      </c>
      <c r="C415" t="s">
        <v>1673</v>
      </c>
      <c r="D415" t="s">
        <v>1680</v>
      </c>
      <c r="K415"/>
      <c r="L415"/>
      <c r="M415"/>
    </row>
    <row r="416" spans="1:13">
      <c r="A416" t="s">
        <v>334</v>
      </c>
      <c r="B416" t="s">
        <v>1696</v>
      </c>
      <c r="C416" t="s">
        <v>1673</v>
      </c>
      <c r="D416" t="s">
        <v>1680</v>
      </c>
      <c r="K416"/>
      <c r="L416"/>
      <c r="M416"/>
    </row>
    <row r="417" spans="1:13">
      <c r="A417" t="s">
        <v>324</v>
      </c>
      <c r="B417" t="s">
        <v>1696</v>
      </c>
      <c r="C417" t="s">
        <v>1673</v>
      </c>
      <c r="D417" t="s">
        <v>1680</v>
      </c>
      <c r="K417"/>
      <c r="L417"/>
      <c r="M417"/>
    </row>
    <row r="418" spans="1:13">
      <c r="A418" t="s">
        <v>345</v>
      </c>
      <c r="B418" t="s">
        <v>1696</v>
      </c>
      <c r="C418" t="s">
        <v>1673</v>
      </c>
      <c r="D418" t="s">
        <v>1680</v>
      </c>
      <c r="K418"/>
      <c r="L418"/>
      <c r="M418"/>
    </row>
    <row r="419" spans="1:13">
      <c r="A419" t="s">
        <v>353</v>
      </c>
      <c r="B419" t="s">
        <v>1696</v>
      </c>
      <c r="C419" t="s">
        <v>1673</v>
      </c>
      <c r="D419" t="s">
        <v>1680</v>
      </c>
      <c r="K419"/>
      <c r="L419"/>
      <c r="M419"/>
    </row>
    <row r="420" spans="1:13">
      <c r="A420" t="s">
        <v>369</v>
      </c>
      <c r="B420" t="s">
        <v>1696</v>
      </c>
      <c r="C420" t="s">
        <v>1673</v>
      </c>
      <c r="D420" t="s">
        <v>1680</v>
      </c>
      <c r="K420"/>
      <c r="L420"/>
      <c r="M420"/>
    </row>
    <row r="421" spans="1:13">
      <c r="A421" t="s">
        <v>323</v>
      </c>
      <c r="B421" t="s">
        <v>1696</v>
      </c>
      <c r="C421" t="s">
        <v>1673</v>
      </c>
      <c r="D421" t="s">
        <v>1680</v>
      </c>
      <c r="K421"/>
      <c r="L421"/>
      <c r="M421"/>
    </row>
    <row r="422" spans="1:13">
      <c r="A422" t="s">
        <v>329</v>
      </c>
      <c r="B422" t="s">
        <v>1696</v>
      </c>
      <c r="C422" t="s">
        <v>1673</v>
      </c>
      <c r="D422" t="s">
        <v>1680</v>
      </c>
      <c r="K422"/>
      <c r="L422"/>
      <c r="M422"/>
    </row>
    <row r="423" spans="1:13">
      <c r="A423" t="s">
        <v>352</v>
      </c>
      <c r="B423" t="s">
        <v>1696</v>
      </c>
      <c r="C423" t="s">
        <v>1673</v>
      </c>
      <c r="D423" t="s">
        <v>1680</v>
      </c>
      <c r="K423"/>
      <c r="L423"/>
      <c r="M423"/>
    </row>
    <row r="424" spans="1:13">
      <c r="A424" t="s">
        <v>326</v>
      </c>
      <c r="B424" t="s">
        <v>1696</v>
      </c>
      <c r="C424" t="s">
        <v>1673</v>
      </c>
      <c r="D424" t="s">
        <v>1680</v>
      </c>
      <c r="K424"/>
      <c r="L424"/>
      <c r="M424"/>
    </row>
    <row r="425" spans="1:13">
      <c r="A425" t="s">
        <v>358</v>
      </c>
      <c r="B425" t="s">
        <v>1696</v>
      </c>
      <c r="C425" t="s">
        <v>1673</v>
      </c>
      <c r="D425" t="s">
        <v>1680</v>
      </c>
      <c r="K425"/>
      <c r="L425"/>
      <c r="M425"/>
    </row>
    <row r="426" spans="1:13">
      <c r="A426" t="s">
        <v>367</v>
      </c>
      <c r="B426" t="s">
        <v>1696</v>
      </c>
      <c r="C426" t="s">
        <v>1673</v>
      </c>
      <c r="D426" t="s">
        <v>1680</v>
      </c>
      <c r="K426"/>
      <c r="L426"/>
      <c r="M426"/>
    </row>
    <row r="427" spans="1:13">
      <c r="A427" t="s">
        <v>355</v>
      </c>
      <c r="B427" t="s">
        <v>1696</v>
      </c>
      <c r="C427" t="s">
        <v>1673</v>
      </c>
      <c r="D427" t="s">
        <v>1680</v>
      </c>
      <c r="K427"/>
      <c r="L427"/>
      <c r="M427"/>
    </row>
    <row r="428" spans="1:13">
      <c r="A428" t="s">
        <v>349</v>
      </c>
      <c r="B428" t="s">
        <v>1696</v>
      </c>
      <c r="C428" t="s">
        <v>1673</v>
      </c>
      <c r="D428" t="s">
        <v>1680</v>
      </c>
      <c r="K428"/>
      <c r="L428"/>
      <c r="M428"/>
    </row>
    <row r="429" spans="1:13">
      <c r="A429" t="s">
        <v>337</v>
      </c>
      <c r="B429" t="s">
        <v>1696</v>
      </c>
      <c r="C429" t="s">
        <v>1673</v>
      </c>
      <c r="D429" t="s">
        <v>1680</v>
      </c>
      <c r="K429"/>
      <c r="L429"/>
      <c r="M429"/>
    </row>
    <row r="430" spans="1:13">
      <c r="A430" t="s">
        <v>712</v>
      </c>
      <c r="B430" t="s">
        <v>1696</v>
      </c>
      <c r="C430" t="s">
        <v>1669</v>
      </c>
      <c r="D430" t="s">
        <v>1683</v>
      </c>
      <c r="K430"/>
      <c r="L430"/>
      <c r="M430"/>
    </row>
    <row r="431" spans="1:13">
      <c r="A431" t="s">
        <v>711</v>
      </c>
      <c r="B431" t="s">
        <v>1696</v>
      </c>
      <c r="C431" t="s">
        <v>1669</v>
      </c>
      <c r="D431" t="s">
        <v>1683</v>
      </c>
      <c r="K431"/>
      <c r="L431"/>
      <c r="M431"/>
    </row>
    <row r="432" spans="1:13">
      <c r="A432" t="s">
        <v>344</v>
      </c>
      <c r="B432" t="s">
        <v>1696</v>
      </c>
      <c r="C432" t="s">
        <v>1673</v>
      </c>
      <c r="D432" t="s">
        <v>1680</v>
      </c>
      <c r="K432"/>
      <c r="L432"/>
      <c r="M432"/>
    </row>
    <row r="433" spans="1:13">
      <c r="A433" t="s">
        <v>331</v>
      </c>
      <c r="B433" t="s">
        <v>1696</v>
      </c>
      <c r="C433" t="s">
        <v>1673</v>
      </c>
      <c r="D433" t="s">
        <v>1680</v>
      </c>
      <c r="K433"/>
      <c r="L433"/>
      <c r="M433"/>
    </row>
    <row r="434" spans="1:13">
      <c r="A434" t="s">
        <v>360</v>
      </c>
      <c r="B434" t="s">
        <v>1696</v>
      </c>
      <c r="C434" t="s">
        <v>1673</v>
      </c>
      <c r="D434" t="s">
        <v>1680</v>
      </c>
      <c r="K434"/>
      <c r="L434"/>
      <c r="M434"/>
    </row>
    <row r="435" spans="1:13">
      <c r="A435" t="s">
        <v>333</v>
      </c>
      <c r="B435" t="s">
        <v>1696</v>
      </c>
      <c r="C435" t="s">
        <v>1673</v>
      </c>
      <c r="D435" t="s">
        <v>1680</v>
      </c>
      <c r="K435"/>
      <c r="L435"/>
      <c r="M435"/>
    </row>
    <row r="436" spans="1:13">
      <c r="A436" t="s">
        <v>348</v>
      </c>
      <c r="B436" t="s">
        <v>1696</v>
      </c>
      <c r="C436" t="s">
        <v>1673</v>
      </c>
      <c r="D436" t="s">
        <v>1680</v>
      </c>
      <c r="K436"/>
      <c r="L436"/>
      <c r="M436"/>
    </row>
    <row r="437" spans="1:13">
      <c r="A437" t="s">
        <v>327</v>
      </c>
      <c r="B437" t="s">
        <v>1696</v>
      </c>
      <c r="C437" t="s">
        <v>1673</v>
      </c>
      <c r="D437" t="s">
        <v>1680</v>
      </c>
      <c r="K437"/>
      <c r="L437"/>
      <c r="M437"/>
    </row>
    <row r="438" spans="1:13">
      <c r="A438" t="s">
        <v>325</v>
      </c>
      <c r="B438" t="s">
        <v>1696</v>
      </c>
      <c r="C438" t="s">
        <v>1673</v>
      </c>
      <c r="D438" t="s">
        <v>1680</v>
      </c>
      <c r="K438"/>
      <c r="L438"/>
      <c r="M438"/>
    </row>
    <row r="439" spans="1:13">
      <c r="A439" t="s">
        <v>340</v>
      </c>
      <c r="B439" t="s">
        <v>1696</v>
      </c>
      <c r="C439" t="s">
        <v>1673</v>
      </c>
      <c r="D439" t="s">
        <v>1680</v>
      </c>
      <c r="K439"/>
      <c r="L439"/>
      <c r="M439"/>
    </row>
    <row r="440" spans="1:13">
      <c r="A440" t="s">
        <v>336</v>
      </c>
      <c r="B440" t="s">
        <v>1696</v>
      </c>
      <c r="C440" t="s">
        <v>1673</v>
      </c>
      <c r="D440" t="s">
        <v>1680</v>
      </c>
      <c r="K440"/>
      <c r="L440"/>
      <c r="M440"/>
    </row>
    <row r="441" spans="1:13">
      <c r="A441" t="s">
        <v>346</v>
      </c>
      <c r="B441" t="s">
        <v>1696</v>
      </c>
      <c r="C441" t="s">
        <v>1673</v>
      </c>
      <c r="D441" t="s">
        <v>1680</v>
      </c>
      <c r="K441"/>
      <c r="L441"/>
      <c r="M441"/>
    </row>
    <row r="442" spans="1:13">
      <c r="A442" t="s">
        <v>356</v>
      </c>
      <c r="B442" t="s">
        <v>1696</v>
      </c>
      <c r="C442" t="s">
        <v>1673</v>
      </c>
      <c r="D442" t="s">
        <v>1680</v>
      </c>
      <c r="K442"/>
      <c r="L442"/>
      <c r="M442"/>
    </row>
    <row r="443" spans="1:13">
      <c r="A443" t="s">
        <v>359</v>
      </c>
      <c r="B443" t="s">
        <v>1696</v>
      </c>
      <c r="C443" t="s">
        <v>1673</v>
      </c>
      <c r="D443" t="s">
        <v>1680</v>
      </c>
      <c r="K443"/>
      <c r="L443"/>
      <c r="M443"/>
    </row>
    <row r="444" spans="1:13">
      <c r="A444" t="s">
        <v>350</v>
      </c>
      <c r="B444" t="s">
        <v>1696</v>
      </c>
      <c r="C444" t="s">
        <v>1673</v>
      </c>
      <c r="D444" t="s">
        <v>1680</v>
      </c>
      <c r="K444"/>
      <c r="L444"/>
      <c r="M444"/>
    </row>
    <row r="445" spans="1:13">
      <c r="A445" t="s">
        <v>347</v>
      </c>
      <c r="B445" t="s">
        <v>1696</v>
      </c>
      <c r="C445" t="s">
        <v>1673</v>
      </c>
      <c r="D445" t="s">
        <v>1680</v>
      </c>
      <c r="K445"/>
      <c r="L445"/>
      <c r="M445"/>
    </row>
    <row r="446" spans="1:13">
      <c r="A446" t="s">
        <v>366</v>
      </c>
      <c r="B446" t="s">
        <v>1696</v>
      </c>
      <c r="C446" t="s">
        <v>1673</v>
      </c>
      <c r="D446" t="s">
        <v>1680</v>
      </c>
      <c r="K446"/>
      <c r="L446"/>
      <c r="M446"/>
    </row>
    <row r="447" spans="1:13">
      <c r="A447" t="s">
        <v>332</v>
      </c>
      <c r="B447" t="s">
        <v>1696</v>
      </c>
      <c r="C447" t="s">
        <v>1673</v>
      </c>
      <c r="D447" t="s">
        <v>1680</v>
      </c>
      <c r="K447"/>
      <c r="L447"/>
      <c r="M447"/>
    </row>
    <row r="448" spans="1:13">
      <c r="A448" t="s">
        <v>343</v>
      </c>
      <c r="B448" t="s">
        <v>1696</v>
      </c>
      <c r="C448" t="s">
        <v>1673</v>
      </c>
      <c r="D448" t="s">
        <v>1680</v>
      </c>
      <c r="K448"/>
      <c r="L448"/>
      <c r="M448"/>
    </row>
    <row r="449" spans="1:13">
      <c r="A449" t="s">
        <v>339</v>
      </c>
      <c r="B449" t="s">
        <v>1696</v>
      </c>
      <c r="C449" t="s">
        <v>1673</v>
      </c>
      <c r="D449" t="s">
        <v>1680</v>
      </c>
      <c r="K449"/>
      <c r="L449"/>
      <c r="M449"/>
    </row>
    <row r="450" spans="1:13">
      <c r="A450" t="s">
        <v>371</v>
      </c>
      <c r="B450" t="s">
        <v>1696</v>
      </c>
      <c r="C450" t="s">
        <v>1673</v>
      </c>
      <c r="D450" t="s">
        <v>1680</v>
      </c>
      <c r="K450"/>
      <c r="L450"/>
      <c r="M450"/>
    </row>
    <row r="451" spans="1:13">
      <c r="A451" t="s">
        <v>372</v>
      </c>
      <c r="B451" t="s">
        <v>1696</v>
      </c>
      <c r="C451" t="s">
        <v>1673</v>
      </c>
      <c r="D451" t="s">
        <v>1680</v>
      </c>
      <c r="K451"/>
      <c r="L451"/>
      <c r="M451"/>
    </row>
    <row r="452" spans="1:13">
      <c r="A452" t="s">
        <v>341</v>
      </c>
      <c r="B452" t="s">
        <v>1696</v>
      </c>
      <c r="C452" t="s">
        <v>1673</v>
      </c>
      <c r="D452" t="s">
        <v>1680</v>
      </c>
      <c r="K452"/>
      <c r="L452"/>
      <c r="M452"/>
    </row>
    <row r="453" spans="1:13">
      <c r="A453" t="s">
        <v>370</v>
      </c>
      <c r="B453" t="s">
        <v>1696</v>
      </c>
      <c r="C453" t="s">
        <v>1673</v>
      </c>
      <c r="D453" t="s">
        <v>1680</v>
      </c>
      <c r="K453"/>
      <c r="L453"/>
      <c r="M453"/>
    </row>
    <row r="454" spans="1:13">
      <c r="A454" t="s">
        <v>342</v>
      </c>
      <c r="B454" t="s">
        <v>1696</v>
      </c>
      <c r="C454" t="s">
        <v>1673</v>
      </c>
      <c r="D454" t="s">
        <v>1680</v>
      </c>
      <c r="K454"/>
      <c r="L454"/>
      <c r="M454"/>
    </row>
    <row r="455" spans="1:13">
      <c r="A455" t="s">
        <v>354</v>
      </c>
      <c r="B455" t="s">
        <v>1696</v>
      </c>
      <c r="C455" t="s">
        <v>1673</v>
      </c>
      <c r="D455" t="s">
        <v>1680</v>
      </c>
      <c r="K455"/>
      <c r="L455"/>
      <c r="M455"/>
    </row>
    <row r="456" spans="1:13">
      <c r="A456" t="s">
        <v>322</v>
      </c>
      <c r="B456" t="s">
        <v>1696</v>
      </c>
      <c r="C456" t="s">
        <v>1673</v>
      </c>
      <c r="D456" t="s">
        <v>1680</v>
      </c>
      <c r="K456"/>
      <c r="L456"/>
      <c r="M456"/>
    </row>
    <row r="457" spans="1:13">
      <c r="A457" t="s">
        <v>357</v>
      </c>
      <c r="B457" t="s">
        <v>1696</v>
      </c>
      <c r="C457" t="s">
        <v>1673</v>
      </c>
      <c r="D457" t="s">
        <v>1680</v>
      </c>
      <c r="K457"/>
      <c r="L457"/>
      <c r="M457"/>
    </row>
    <row r="458" spans="1:13">
      <c r="A458" t="s">
        <v>330</v>
      </c>
      <c r="B458" t="s">
        <v>1696</v>
      </c>
      <c r="C458" t="s">
        <v>1673</v>
      </c>
      <c r="D458" t="s">
        <v>1680</v>
      </c>
      <c r="K458"/>
      <c r="L458"/>
      <c r="M458"/>
    </row>
    <row r="459" spans="1:13">
      <c r="A459" t="s">
        <v>351</v>
      </c>
      <c r="B459" t="s">
        <v>1696</v>
      </c>
      <c r="C459" t="s">
        <v>1673</v>
      </c>
      <c r="D459" t="s">
        <v>1680</v>
      </c>
      <c r="K459"/>
      <c r="L459"/>
      <c r="M459"/>
    </row>
    <row r="460" spans="1:13">
      <c r="A460" t="s">
        <v>724</v>
      </c>
      <c r="B460" t="s">
        <v>1696</v>
      </c>
      <c r="C460" t="s">
        <v>1675</v>
      </c>
      <c r="D460" t="s">
        <v>1678</v>
      </c>
      <c r="K460"/>
      <c r="L460"/>
      <c r="M460"/>
    </row>
    <row r="461" spans="1:13">
      <c r="A461" t="s">
        <v>726</v>
      </c>
      <c r="B461" t="s">
        <v>1696</v>
      </c>
      <c r="C461" t="s">
        <v>1675</v>
      </c>
      <c r="D461" t="s">
        <v>1678</v>
      </c>
      <c r="K461"/>
      <c r="L461"/>
      <c r="M461"/>
    </row>
    <row r="462" spans="1:13">
      <c r="A462" t="s">
        <v>725</v>
      </c>
      <c r="B462" t="s">
        <v>1696</v>
      </c>
      <c r="C462" t="s">
        <v>1675</v>
      </c>
      <c r="D462" t="s">
        <v>1678</v>
      </c>
      <c r="K462"/>
      <c r="L462"/>
      <c r="M462"/>
    </row>
    <row r="463" spans="1:13">
      <c r="A463" t="s">
        <v>721</v>
      </c>
      <c r="B463" t="s">
        <v>1696</v>
      </c>
      <c r="C463" t="s">
        <v>1675</v>
      </c>
      <c r="D463" t="s">
        <v>1678</v>
      </c>
      <c r="K463"/>
      <c r="L463"/>
      <c r="M463"/>
    </row>
    <row r="464" spans="1:13">
      <c r="A464" t="s">
        <v>723</v>
      </c>
      <c r="B464" t="s">
        <v>1696</v>
      </c>
      <c r="C464" t="s">
        <v>1675</v>
      </c>
      <c r="D464" t="s">
        <v>1678</v>
      </c>
      <c r="K464"/>
      <c r="L464"/>
      <c r="M464"/>
    </row>
    <row r="465" spans="1:13">
      <c r="A465" t="s">
        <v>722</v>
      </c>
      <c r="B465" t="s">
        <v>1696</v>
      </c>
      <c r="C465" t="s">
        <v>1675</v>
      </c>
      <c r="D465" t="s">
        <v>1678</v>
      </c>
      <c r="K465"/>
      <c r="L465"/>
      <c r="M465"/>
    </row>
    <row r="466" spans="1:13">
      <c r="A466" t="s">
        <v>727</v>
      </c>
      <c r="B466" t="s">
        <v>1696</v>
      </c>
      <c r="C466" t="s">
        <v>1675</v>
      </c>
      <c r="D466" t="s">
        <v>1678</v>
      </c>
      <c r="K466"/>
      <c r="L466"/>
      <c r="M466"/>
    </row>
    <row r="467" spans="1:13">
      <c r="A467" t="s">
        <v>729</v>
      </c>
      <c r="B467" t="s">
        <v>1696</v>
      </c>
      <c r="C467" t="s">
        <v>1675</v>
      </c>
      <c r="D467" t="s">
        <v>1678</v>
      </c>
      <c r="K467"/>
      <c r="L467"/>
      <c r="M467"/>
    </row>
    <row r="468" spans="1:13">
      <c r="A468" t="s">
        <v>728</v>
      </c>
      <c r="B468" t="s">
        <v>1696</v>
      </c>
      <c r="C468" t="s">
        <v>1675</v>
      </c>
      <c r="D468" t="s">
        <v>1678</v>
      </c>
      <c r="K468"/>
      <c r="L468"/>
      <c r="M468"/>
    </row>
    <row r="469" spans="1:13">
      <c r="A469" t="s">
        <v>730</v>
      </c>
      <c r="B469" t="s">
        <v>1696</v>
      </c>
      <c r="C469" t="s">
        <v>1675</v>
      </c>
      <c r="D469" t="s">
        <v>1678</v>
      </c>
      <c r="K469"/>
      <c r="L469"/>
      <c r="M469"/>
    </row>
    <row r="470" spans="1:13">
      <c r="A470" t="s">
        <v>731</v>
      </c>
      <c r="B470" t="s">
        <v>1696</v>
      </c>
      <c r="C470" t="s">
        <v>1675</v>
      </c>
      <c r="D470" t="s">
        <v>1678</v>
      </c>
      <c r="K470"/>
      <c r="L470"/>
      <c r="M470"/>
    </row>
    <row r="471" spans="1:13">
      <c r="A471" t="s">
        <v>736</v>
      </c>
      <c r="B471" t="s">
        <v>1696</v>
      </c>
      <c r="C471" t="s">
        <v>1675</v>
      </c>
      <c r="D471" t="s">
        <v>1678</v>
      </c>
      <c r="K471"/>
      <c r="L471"/>
      <c r="M471"/>
    </row>
    <row r="472" spans="1:13">
      <c r="A472" t="s">
        <v>738</v>
      </c>
      <c r="B472" t="s">
        <v>1696</v>
      </c>
      <c r="C472" t="s">
        <v>1675</v>
      </c>
      <c r="D472" t="s">
        <v>1678</v>
      </c>
      <c r="K472"/>
      <c r="L472"/>
      <c r="M472"/>
    </row>
    <row r="473" spans="1:13">
      <c r="A473" t="s">
        <v>737</v>
      </c>
      <c r="B473" t="s">
        <v>1696</v>
      </c>
      <c r="C473" t="s">
        <v>1675</v>
      </c>
      <c r="D473" t="s">
        <v>1678</v>
      </c>
      <c r="K473"/>
      <c r="L473"/>
      <c r="M473"/>
    </row>
    <row r="474" spans="1:13">
      <c r="A474" t="s">
        <v>739</v>
      </c>
      <c r="B474" t="s">
        <v>1696</v>
      </c>
      <c r="C474" t="s">
        <v>1675</v>
      </c>
      <c r="D474" t="s">
        <v>1678</v>
      </c>
      <c r="K474"/>
      <c r="L474"/>
      <c r="M474"/>
    </row>
    <row r="475" spans="1:13">
      <c r="A475" t="s">
        <v>741</v>
      </c>
      <c r="B475" t="s">
        <v>1696</v>
      </c>
      <c r="C475" t="s">
        <v>1675</v>
      </c>
      <c r="D475" t="s">
        <v>1678</v>
      </c>
      <c r="K475"/>
      <c r="L475"/>
      <c r="M475"/>
    </row>
    <row r="476" spans="1:13">
      <c r="A476" t="s">
        <v>740</v>
      </c>
      <c r="B476" t="s">
        <v>1696</v>
      </c>
      <c r="C476" t="s">
        <v>1675</v>
      </c>
      <c r="D476" t="s">
        <v>1678</v>
      </c>
      <c r="K476"/>
      <c r="L476"/>
      <c r="M476"/>
    </row>
    <row r="477" spans="1:13">
      <c r="A477" t="s">
        <v>733</v>
      </c>
      <c r="B477" t="s">
        <v>1696</v>
      </c>
      <c r="C477" t="s">
        <v>1675</v>
      </c>
      <c r="D477" t="s">
        <v>1678</v>
      </c>
      <c r="K477"/>
      <c r="L477"/>
      <c r="M477"/>
    </row>
    <row r="478" spans="1:13">
      <c r="A478" t="s">
        <v>732</v>
      </c>
      <c r="B478" t="s">
        <v>1696</v>
      </c>
      <c r="C478" t="s">
        <v>1675</v>
      </c>
      <c r="D478" t="s">
        <v>1678</v>
      </c>
      <c r="K478"/>
      <c r="L478"/>
      <c r="M478"/>
    </row>
    <row r="479" spans="1:13">
      <c r="A479" t="s">
        <v>735</v>
      </c>
      <c r="B479" t="s">
        <v>1696</v>
      </c>
      <c r="C479" t="s">
        <v>1675</v>
      </c>
      <c r="D479" t="s">
        <v>1678</v>
      </c>
      <c r="K479"/>
      <c r="L479"/>
      <c r="M479"/>
    </row>
    <row r="480" spans="1:13">
      <c r="A480" t="s">
        <v>734</v>
      </c>
      <c r="B480" t="s">
        <v>1696</v>
      </c>
      <c r="C480" t="s">
        <v>1675</v>
      </c>
      <c r="D480" t="s">
        <v>1678</v>
      </c>
      <c r="K480"/>
      <c r="L480"/>
      <c r="M480"/>
    </row>
    <row r="481" spans="1:13">
      <c r="A481" t="s">
        <v>745</v>
      </c>
      <c r="B481" t="s">
        <v>1696</v>
      </c>
      <c r="C481" t="s">
        <v>1675</v>
      </c>
      <c r="D481" t="s">
        <v>1678</v>
      </c>
      <c r="K481"/>
      <c r="L481"/>
      <c r="M481"/>
    </row>
    <row r="482" spans="1:13">
      <c r="A482" t="s">
        <v>747</v>
      </c>
      <c r="B482" t="s">
        <v>1696</v>
      </c>
      <c r="C482" t="s">
        <v>1675</v>
      </c>
      <c r="D482" t="s">
        <v>1678</v>
      </c>
      <c r="K482"/>
      <c r="L482"/>
      <c r="M482"/>
    </row>
    <row r="483" spans="1:13">
      <c r="A483" t="s">
        <v>746</v>
      </c>
      <c r="B483" t="s">
        <v>1696</v>
      </c>
      <c r="C483" t="s">
        <v>1675</v>
      </c>
      <c r="D483" t="s">
        <v>1678</v>
      </c>
      <c r="K483"/>
      <c r="L483"/>
      <c r="M483"/>
    </row>
    <row r="484" spans="1:13">
      <c r="A484" t="s">
        <v>756</v>
      </c>
      <c r="B484" t="s">
        <v>1696</v>
      </c>
      <c r="C484" t="s">
        <v>1675</v>
      </c>
      <c r="D484" t="s">
        <v>1678</v>
      </c>
      <c r="K484"/>
      <c r="L484"/>
      <c r="M484"/>
    </row>
    <row r="485" spans="1:13">
      <c r="A485" t="s">
        <v>748</v>
      </c>
      <c r="B485" t="s">
        <v>1696</v>
      </c>
      <c r="C485" t="s">
        <v>1675</v>
      </c>
      <c r="D485" t="s">
        <v>1678</v>
      </c>
      <c r="K485"/>
      <c r="L485"/>
      <c r="M485"/>
    </row>
    <row r="486" spans="1:13">
      <c r="A486" t="s">
        <v>758</v>
      </c>
      <c r="B486" t="s">
        <v>1696</v>
      </c>
      <c r="C486" t="s">
        <v>1675</v>
      </c>
      <c r="D486" t="s">
        <v>1678</v>
      </c>
      <c r="K486"/>
      <c r="L486"/>
      <c r="M486"/>
    </row>
    <row r="487" spans="1:13">
      <c r="A487" t="s">
        <v>759</v>
      </c>
      <c r="B487" t="s">
        <v>1696</v>
      </c>
      <c r="C487" t="s">
        <v>1675</v>
      </c>
      <c r="D487" t="s">
        <v>1679</v>
      </c>
      <c r="K487"/>
      <c r="L487"/>
      <c r="M487"/>
    </row>
    <row r="488" spans="1:13">
      <c r="A488" t="s">
        <v>761</v>
      </c>
      <c r="B488" t="s">
        <v>1696</v>
      </c>
      <c r="C488" t="s">
        <v>1675</v>
      </c>
      <c r="D488" t="s">
        <v>1678</v>
      </c>
      <c r="K488"/>
      <c r="L488"/>
      <c r="M488"/>
    </row>
    <row r="489" spans="1:13">
      <c r="A489" t="s">
        <v>760</v>
      </c>
      <c r="B489" t="s">
        <v>1696</v>
      </c>
      <c r="C489" t="s">
        <v>1675</v>
      </c>
      <c r="D489" t="s">
        <v>1679</v>
      </c>
      <c r="K489"/>
      <c r="L489"/>
      <c r="M489"/>
    </row>
    <row r="490" spans="1:13">
      <c r="A490" t="s">
        <v>749</v>
      </c>
      <c r="B490" t="s">
        <v>1696</v>
      </c>
      <c r="C490" t="s">
        <v>1675</v>
      </c>
      <c r="D490" t="s">
        <v>1678</v>
      </c>
      <c r="K490"/>
      <c r="L490"/>
      <c r="M490"/>
    </row>
    <row r="491" spans="1:13">
      <c r="A491" t="s">
        <v>751</v>
      </c>
      <c r="B491" t="s">
        <v>1696</v>
      </c>
      <c r="C491" t="s">
        <v>1675</v>
      </c>
      <c r="D491" t="s">
        <v>1678</v>
      </c>
      <c r="K491"/>
      <c r="L491"/>
      <c r="M491"/>
    </row>
    <row r="492" spans="1:13">
      <c r="A492" t="s">
        <v>750</v>
      </c>
      <c r="B492" t="s">
        <v>1696</v>
      </c>
      <c r="C492" t="s">
        <v>1675</v>
      </c>
      <c r="D492" t="s">
        <v>1678</v>
      </c>
      <c r="K492"/>
      <c r="L492"/>
      <c r="M492"/>
    </row>
    <row r="493" spans="1:13">
      <c r="A493" t="s">
        <v>742</v>
      </c>
      <c r="B493" t="s">
        <v>1696</v>
      </c>
      <c r="C493" t="s">
        <v>1675</v>
      </c>
      <c r="D493" t="s">
        <v>1678</v>
      </c>
      <c r="K493"/>
      <c r="L493"/>
      <c r="M493"/>
    </row>
    <row r="494" spans="1:13">
      <c r="A494" t="s">
        <v>744</v>
      </c>
      <c r="B494" t="s">
        <v>1696</v>
      </c>
      <c r="C494" t="s">
        <v>1675</v>
      </c>
      <c r="D494" t="s">
        <v>1678</v>
      </c>
      <c r="K494"/>
      <c r="L494"/>
      <c r="M494"/>
    </row>
    <row r="495" spans="1:13">
      <c r="A495" t="s">
        <v>743</v>
      </c>
      <c r="B495" t="s">
        <v>1696</v>
      </c>
      <c r="C495" t="s">
        <v>1675</v>
      </c>
      <c r="D495" t="s">
        <v>1678</v>
      </c>
      <c r="K495"/>
      <c r="L495"/>
      <c r="M495"/>
    </row>
    <row r="496" spans="1:13">
      <c r="A496" t="s">
        <v>753</v>
      </c>
      <c r="B496" t="s">
        <v>1696</v>
      </c>
      <c r="C496" t="s">
        <v>1675</v>
      </c>
      <c r="D496" t="s">
        <v>1678</v>
      </c>
      <c r="K496"/>
      <c r="L496"/>
      <c r="M496"/>
    </row>
    <row r="497" spans="1:13">
      <c r="A497" t="s">
        <v>752</v>
      </c>
      <c r="B497" t="s">
        <v>1696</v>
      </c>
      <c r="C497" t="s">
        <v>1675</v>
      </c>
      <c r="D497" t="s">
        <v>1678</v>
      </c>
      <c r="K497"/>
      <c r="L497"/>
      <c r="M497"/>
    </row>
    <row r="498" spans="1:13">
      <c r="A498" t="s">
        <v>757</v>
      </c>
      <c r="B498" t="s">
        <v>1696</v>
      </c>
      <c r="C498" t="s">
        <v>1675</v>
      </c>
      <c r="D498" t="s">
        <v>1678</v>
      </c>
      <c r="K498"/>
      <c r="L498"/>
      <c r="M498"/>
    </row>
    <row r="499" spans="1:13">
      <c r="A499" t="s">
        <v>754</v>
      </c>
      <c r="B499" t="s">
        <v>1696</v>
      </c>
      <c r="C499" t="s">
        <v>1675</v>
      </c>
      <c r="D499" t="s">
        <v>1678</v>
      </c>
      <c r="K499"/>
      <c r="L499"/>
      <c r="M499"/>
    </row>
    <row r="500" spans="1:13">
      <c r="A500" t="s">
        <v>755</v>
      </c>
      <c r="B500" t="s">
        <v>1696</v>
      </c>
      <c r="C500" t="s">
        <v>1675</v>
      </c>
      <c r="D500" t="s">
        <v>1678</v>
      </c>
      <c r="K500"/>
      <c r="L500"/>
      <c r="M500"/>
    </row>
    <row r="501" spans="1:13">
      <c r="A501" t="s">
        <v>773</v>
      </c>
      <c r="B501" t="s">
        <v>1696</v>
      </c>
      <c r="C501" t="s">
        <v>1675</v>
      </c>
      <c r="D501" t="s">
        <v>1678</v>
      </c>
      <c r="K501"/>
      <c r="L501"/>
      <c r="M501"/>
    </row>
    <row r="502" spans="1:13">
      <c r="A502" t="s">
        <v>772</v>
      </c>
      <c r="B502" t="s">
        <v>1696</v>
      </c>
      <c r="C502" t="s">
        <v>1675</v>
      </c>
      <c r="D502" t="s">
        <v>1678</v>
      </c>
      <c r="K502"/>
      <c r="L502"/>
      <c r="M502"/>
    </row>
    <row r="503" spans="1:13">
      <c r="A503" t="s">
        <v>777</v>
      </c>
      <c r="B503" t="s">
        <v>1696</v>
      </c>
      <c r="C503" t="s">
        <v>1675</v>
      </c>
      <c r="D503" t="s">
        <v>1678</v>
      </c>
      <c r="K503"/>
      <c r="L503"/>
      <c r="M503"/>
    </row>
    <row r="504" spans="1:13">
      <c r="A504" t="s">
        <v>774</v>
      </c>
      <c r="B504" t="s">
        <v>1696</v>
      </c>
      <c r="C504" t="s">
        <v>1675</v>
      </c>
      <c r="D504" t="s">
        <v>1678</v>
      </c>
      <c r="K504"/>
      <c r="L504"/>
      <c r="M504"/>
    </row>
    <row r="505" spans="1:13">
      <c r="A505" t="s">
        <v>766</v>
      </c>
      <c r="B505" t="s">
        <v>1696</v>
      </c>
      <c r="C505" t="s">
        <v>1675</v>
      </c>
      <c r="D505" t="s">
        <v>1678</v>
      </c>
      <c r="K505"/>
      <c r="L505"/>
      <c r="M505"/>
    </row>
    <row r="506" spans="1:13">
      <c r="A506" t="s">
        <v>762</v>
      </c>
      <c r="B506" t="s">
        <v>1696</v>
      </c>
      <c r="C506" t="s">
        <v>1675</v>
      </c>
      <c r="D506" t="s">
        <v>1678</v>
      </c>
      <c r="K506"/>
      <c r="L506"/>
      <c r="M506"/>
    </row>
    <row r="507" spans="1:13">
      <c r="A507" t="s">
        <v>765</v>
      </c>
      <c r="B507" t="s">
        <v>1696</v>
      </c>
      <c r="C507" t="s">
        <v>1675</v>
      </c>
      <c r="D507" t="s">
        <v>1678</v>
      </c>
      <c r="K507"/>
      <c r="L507"/>
      <c r="M507"/>
    </row>
    <row r="508" spans="1:13">
      <c r="A508" t="s">
        <v>776</v>
      </c>
      <c r="B508" t="s">
        <v>1696</v>
      </c>
      <c r="C508" t="s">
        <v>1675</v>
      </c>
      <c r="D508" t="s">
        <v>1678</v>
      </c>
      <c r="K508"/>
      <c r="L508"/>
      <c r="M508"/>
    </row>
    <row r="509" spans="1:13">
      <c r="A509" t="s">
        <v>775</v>
      </c>
      <c r="B509" t="s">
        <v>1696</v>
      </c>
      <c r="C509" t="s">
        <v>1675</v>
      </c>
      <c r="D509" t="s">
        <v>1678</v>
      </c>
      <c r="K509"/>
      <c r="L509"/>
      <c r="M509"/>
    </row>
    <row r="510" spans="1:13">
      <c r="A510" t="s">
        <v>763</v>
      </c>
      <c r="B510" t="s">
        <v>1696</v>
      </c>
      <c r="C510" t="s">
        <v>1675</v>
      </c>
      <c r="D510" t="s">
        <v>1678</v>
      </c>
      <c r="K510"/>
      <c r="L510"/>
      <c r="M510"/>
    </row>
    <row r="511" spans="1:13">
      <c r="A511" t="s">
        <v>767</v>
      </c>
      <c r="B511" t="s">
        <v>1696</v>
      </c>
      <c r="C511" t="s">
        <v>1675</v>
      </c>
      <c r="D511" t="s">
        <v>1678</v>
      </c>
      <c r="K511"/>
      <c r="L511"/>
      <c r="M511"/>
    </row>
    <row r="512" spans="1:13">
      <c r="A512" t="s">
        <v>769</v>
      </c>
      <c r="B512" t="s">
        <v>1696</v>
      </c>
      <c r="C512" t="s">
        <v>1675</v>
      </c>
      <c r="D512" t="s">
        <v>1678</v>
      </c>
      <c r="K512"/>
      <c r="L512"/>
      <c r="M512"/>
    </row>
    <row r="513" spans="1:13">
      <c r="A513" t="s">
        <v>768</v>
      </c>
      <c r="B513" t="s">
        <v>1696</v>
      </c>
      <c r="C513" t="s">
        <v>1675</v>
      </c>
      <c r="D513" t="s">
        <v>1678</v>
      </c>
      <c r="K513"/>
      <c r="L513"/>
      <c r="M513"/>
    </row>
    <row r="514" spans="1:13">
      <c r="A514" t="s">
        <v>764</v>
      </c>
      <c r="B514" t="s">
        <v>1696</v>
      </c>
      <c r="C514" t="s">
        <v>1675</v>
      </c>
      <c r="D514" t="s">
        <v>1678</v>
      </c>
      <c r="K514"/>
      <c r="L514"/>
      <c r="M514"/>
    </row>
    <row r="515" spans="1:13">
      <c r="A515" t="s">
        <v>771</v>
      </c>
      <c r="B515" t="s">
        <v>1696</v>
      </c>
      <c r="C515" t="s">
        <v>1675</v>
      </c>
      <c r="D515" t="s">
        <v>1678</v>
      </c>
      <c r="K515"/>
      <c r="L515"/>
      <c r="M515"/>
    </row>
    <row r="516" spans="1:13">
      <c r="A516" t="s">
        <v>770</v>
      </c>
      <c r="B516" t="s">
        <v>1696</v>
      </c>
      <c r="C516" t="s">
        <v>1675</v>
      </c>
      <c r="D516" t="s">
        <v>1678</v>
      </c>
      <c r="K516"/>
      <c r="L516"/>
      <c r="M516"/>
    </row>
    <row r="517" spans="1:13">
      <c r="A517" t="s">
        <v>778</v>
      </c>
      <c r="B517" t="s">
        <v>1696</v>
      </c>
      <c r="C517" t="s">
        <v>1675</v>
      </c>
      <c r="D517" t="s">
        <v>1678</v>
      </c>
      <c r="K517"/>
      <c r="L517"/>
      <c r="M517"/>
    </row>
    <row r="518" spans="1:13">
      <c r="A518" t="s">
        <v>782</v>
      </c>
      <c r="B518" t="s">
        <v>1696</v>
      </c>
      <c r="C518" t="s">
        <v>1675</v>
      </c>
      <c r="D518" t="s">
        <v>1678</v>
      </c>
      <c r="K518"/>
      <c r="L518"/>
      <c r="M518"/>
    </row>
    <row r="519" spans="1:13">
      <c r="A519" t="s">
        <v>783</v>
      </c>
      <c r="B519" t="s">
        <v>1696</v>
      </c>
      <c r="C519" t="s">
        <v>1675</v>
      </c>
      <c r="D519" t="s">
        <v>1678</v>
      </c>
      <c r="K519"/>
      <c r="L519"/>
      <c r="M519"/>
    </row>
    <row r="520" spans="1:13">
      <c r="A520" t="s">
        <v>780</v>
      </c>
      <c r="B520" t="s">
        <v>1696</v>
      </c>
      <c r="C520" t="s">
        <v>1675</v>
      </c>
      <c r="D520" t="s">
        <v>1678</v>
      </c>
      <c r="K520"/>
      <c r="L520"/>
      <c r="M520"/>
    </row>
    <row r="521" spans="1:13">
      <c r="A521" t="s">
        <v>781</v>
      </c>
      <c r="B521" t="s">
        <v>1696</v>
      </c>
      <c r="C521" t="s">
        <v>1675</v>
      </c>
      <c r="D521" t="s">
        <v>1678</v>
      </c>
      <c r="K521"/>
      <c r="L521"/>
      <c r="M521"/>
    </row>
    <row r="522" spans="1:13">
      <c r="A522" t="s">
        <v>779</v>
      </c>
      <c r="B522" t="s">
        <v>1696</v>
      </c>
      <c r="C522" t="s">
        <v>1675</v>
      </c>
      <c r="D522" t="s">
        <v>1678</v>
      </c>
      <c r="K522"/>
      <c r="L522"/>
      <c r="M522"/>
    </row>
    <row r="523" spans="1:13">
      <c r="A523" t="s">
        <v>784</v>
      </c>
      <c r="B523" t="s">
        <v>1696</v>
      </c>
      <c r="C523" t="s">
        <v>1675</v>
      </c>
      <c r="D523" t="s">
        <v>1678</v>
      </c>
      <c r="K523"/>
      <c r="L523"/>
      <c r="M523"/>
    </row>
    <row r="524" spans="1:13">
      <c r="A524" t="s">
        <v>785</v>
      </c>
      <c r="B524" t="s">
        <v>1696</v>
      </c>
      <c r="C524" t="s">
        <v>1675</v>
      </c>
      <c r="D524" t="s">
        <v>1678</v>
      </c>
      <c r="K524"/>
      <c r="L524"/>
      <c r="M524"/>
    </row>
    <row r="525" spans="1:13">
      <c r="A525" t="s">
        <v>787</v>
      </c>
      <c r="B525" t="s">
        <v>1696</v>
      </c>
      <c r="C525" t="s">
        <v>1675</v>
      </c>
      <c r="D525" t="s">
        <v>1678</v>
      </c>
      <c r="K525"/>
      <c r="L525"/>
      <c r="M525"/>
    </row>
    <row r="526" spans="1:13">
      <c r="A526" t="s">
        <v>786</v>
      </c>
      <c r="B526" t="s">
        <v>1696</v>
      </c>
      <c r="C526" t="s">
        <v>1675</v>
      </c>
      <c r="D526" t="s">
        <v>1678</v>
      </c>
      <c r="K526"/>
      <c r="L526"/>
      <c r="M526"/>
    </row>
    <row r="527" spans="1:13">
      <c r="A527" t="s">
        <v>788</v>
      </c>
      <c r="B527" t="s">
        <v>1696</v>
      </c>
      <c r="C527" t="s">
        <v>1675</v>
      </c>
      <c r="D527" t="s">
        <v>1678</v>
      </c>
      <c r="K527"/>
      <c r="L527"/>
      <c r="M527"/>
    </row>
    <row r="528" spans="1:13">
      <c r="A528" t="s">
        <v>789</v>
      </c>
      <c r="B528" t="s">
        <v>1696</v>
      </c>
      <c r="C528" t="s">
        <v>1675</v>
      </c>
      <c r="D528" t="s">
        <v>1678</v>
      </c>
      <c r="K528"/>
      <c r="L528"/>
      <c r="M528"/>
    </row>
    <row r="529" spans="1:13">
      <c r="A529" t="s">
        <v>790</v>
      </c>
      <c r="B529" t="s">
        <v>1696</v>
      </c>
      <c r="C529" t="s">
        <v>1675</v>
      </c>
      <c r="D529" t="s">
        <v>1678</v>
      </c>
      <c r="K529"/>
      <c r="L529"/>
      <c r="M529"/>
    </row>
    <row r="530" spans="1:13">
      <c r="A530" t="s">
        <v>791</v>
      </c>
      <c r="B530" t="s">
        <v>1696</v>
      </c>
      <c r="C530" t="s">
        <v>1675</v>
      </c>
      <c r="D530" t="s">
        <v>1678</v>
      </c>
      <c r="K530"/>
      <c r="L530"/>
      <c r="M530"/>
    </row>
    <row r="531" spans="1:13">
      <c r="A531" t="s">
        <v>713</v>
      </c>
      <c r="B531" t="s">
        <v>1696</v>
      </c>
      <c r="C531" t="s">
        <v>1669</v>
      </c>
      <c r="D531" t="s">
        <v>1683</v>
      </c>
      <c r="K531"/>
      <c r="L531"/>
      <c r="M531"/>
    </row>
    <row r="532" spans="1:13">
      <c r="A532" t="s">
        <v>714</v>
      </c>
      <c r="B532" t="s">
        <v>1696</v>
      </c>
      <c r="C532" t="s">
        <v>1669</v>
      </c>
      <c r="D532" t="s">
        <v>1683</v>
      </c>
      <c r="K532"/>
      <c r="L532"/>
      <c r="M532"/>
    </row>
    <row r="533" spans="1:13">
      <c r="A533" t="s">
        <v>715</v>
      </c>
      <c r="B533" t="s">
        <v>1696</v>
      </c>
      <c r="C533" t="s">
        <v>1669</v>
      </c>
      <c r="D533" t="s">
        <v>1683</v>
      </c>
      <c r="K533"/>
      <c r="L533"/>
      <c r="M533"/>
    </row>
    <row r="534" spans="1:13">
      <c r="A534" t="s">
        <v>716</v>
      </c>
      <c r="B534" t="s">
        <v>1696</v>
      </c>
      <c r="C534" t="s">
        <v>1669</v>
      </c>
      <c r="D534" t="s">
        <v>1683</v>
      </c>
      <c r="K534"/>
      <c r="L534"/>
      <c r="M534"/>
    </row>
    <row r="535" spans="1:13">
      <c r="A535" t="s">
        <v>718</v>
      </c>
      <c r="B535" t="s">
        <v>1696</v>
      </c>
      <c r="C535" t="s">
        <v>1675</v>
      </c>
      <c r="D535" t="s">
        <v>1680</v>
      </c>
      <c r="K535"/>
      <c r="L535"/>
      <c r="M535"/>
    </row>
    <row r="536" spans="1:13">
      <c r="A536" t="s">
        <v>717</v>
      </c>
      <c r="B536" t="s">
        <v>1696</v>
      </c>
      <c r="C536" t="s">
        <v>1675</v>
      </c>
      <c r="D536" t="s">
        <v>1686</v>
      </c>
      <c r="K536"/>
      <c r="L536"/>
      <c r="M536"/>
    </row>
    <row r="537" spans="1:13">
      <c r="A537" t="s">
        <v>720</v>
      </c>
      <c r="B537" t="s">
        <v>1696</v>
      </c>
      <c r="C537" t="s">
        <v>1675</v>
      </c>
      <c r="D537" t="s">
        <v>1694</v>
      </c>
      <c r="K537"/>
      <c r="L537"/>
      <c r="M537"/>
    </row>
    <row r="538" spans="1:13">
      <c r="A538" t="s">
        <v>719</v>
      </c>
      <c r="B538" t="s">
        <v>1696</v>
      </c>
      <c r="C538" t="s">
        <v>1675</v>
      </c>
      <c r="D538" t="s">
        <v>1687</v>
      </c>
      <c r="K538"/>
      <c r="L538"/>
      <c r="M538"/>
    </row>
    <row r="539" spans="1:13">
      <c r="A539" t="s">
        <v>793</v>
      </c>
      <c r="B539" t="s">
        <v>1696</v>
      </c>
      <c r="C539" t="s">
        <v>1675</v>
      </c>
      <c r="D539" t="s">
        <v>1680</v>
      </c>
      <c r="K539"/>
      <c r="L539"/>
      <c r="M539"/>
    </row>
    <row r="540" spans="1:13">
      <c r="A540" t="s">
        <v>794</v>
      </c>
      <c r="B540" t="s">
        <v>1696</v>
      </c>
      <c r="C540" t="s">
        <v>1675</v>
      </c>
      <c r="D540" t="s">
        <v>1693</v>
      </c>
      <c r="K540"/>
      <c r="L540"/>
      <c r="M540"/>
    </row>
    <row r="541" spans="1:13">
      <c r="A541" t="s">
        <v>792</v>
      </c>
      <c r="B541" t="s">
        <v>1696</v>
      </c>
      <c r="C541" t="s">
        <v>1675</v>
      </c>
      <c r="D541" t="s">
        <v>1686</v>
      </c>
      <c r="K541"/>
      <c r="L541"/>
      <c r="M541"/>
    </row>
    <row r="542" spans="1:13">
      <c r="A542" t="s">
        <v>798</v>
      </c>
      <c r="B542" t="s">
        <v>1696</v>
      </c>
      <c r="C542" t="s">
        <v>1675</v>
      </c>
      <c r="D542" t="s">
        <v>1685</v>
      </c>
      <c r="K542"/>
      <c r="L542"/>
      <c r="M542"/>
    </row>
    <row r="543" spans="1:13">
      <c r="A543" t="s">
        <v>796</v>
      </c>
      <c r="B543" t="s">
        <v>1696</v>
      </c>
      <c r="C543" t="s">
        <v>1675</v>
      </c>
      <c r="D543" t="s">
        <v>1689</v>
      </c>
      <c r="K543"/>
      <c r="L543"/>
      <c r="M543"/>
    </row>
    <row r="544" spans="1:13">
      <c r="A544" t="s">
        <v>797</v>
      </c>
      <c r="B544" t="s">
        <v>1696</v>
      </c>
      <c r="C544" t="s">
        <v>1675</v>
      </c>
      <c r="D544" t="s">
        <v>1679</v>
      </c>
      <c r="K544"/>
      <c r="L544"/>
      <c r="M544"/>
    </row>
    <row r="545" spans="1:13">
      <c r="A545" t="s">
        <v>795</v>
      </c>
      <c r="B545" t="s">
        <v>1696</v>
      </c>
      <c r="C545" t="s">
        <v>1675</v>
      </c>
      <c r="D545" t="s">
        <v>1688</v>
      </c>
      <c r="K545"/>
      <c r="L545"/>
      <c r="M545"/>
    </row>
    <row r="546" spans="1:13">
      <c r="A546" t="s">
        <v>800</v>
      </c>
      <c r="B546" t="s">
        <v>1696</v>
      </c>
      <c r="C546" t="s">
        <v>1675</v>
      </c>
      <c r="D546" t="s">
        <v>1680</v>
      </c>
      <c r="K546"/>
      <c r="L546"/>
      <c r="M546"/>
    </row>
    <row r="547" spans="1:13">
      <c r="A547" t="s">
        <v>801</v>
      </c>
      <c r="B547" t="s">
        <v>1696</v>
      </c>
      <c r="C547" t="s">
        <v>1675</v>
      </c>
      <c r="D547" t="s">
        <v>1690</v>
      </c>
      <c r="K547"/>
      <c r="L547"/>
      <c r="M547"/>
    </row>
    <row r="548" spans="1:13">
      <c r="A548" t="s">
        <v>799</v>
      </c>
      <c r="B548" t="s">
        <v>1696</v>
      </c>
      <c r="C548" t="s">
        <v>1675</v>
      </c>
      <c r="D548" t="s">
        <v>1686</v>
      </c>
      <c r="K548"/>
      <c r="L548"/>
      <c r="M548"/>
    </row>
    <row r="549" spans="1:13">
      <c r="A549" t="s">
        <v>806</v>
      </c>
      <c r="B549" t="s">
        <v>1696</v>
      </c>
      <c r="C549" t="s">
        <v>1675</v>
      </c>
      <c r="D549" t="s">
        <v>1685</v>
      </c>
      <c r="K549"/>
      <c r="L549"/>
      <c r="M549"/>
    </row>
    <row r="550" spans="1:13">
      <c r="A550" t="s">
        <v>803</v>
      </c>
      <c r="B550" t="s">
        <v>1696</v>
      </c>
      <c r="C550" t="s">
        <v>1675</v>
      </c>
      <c r="D550" t="s">
        <v>1689</v>
      </c>
      <c r="K550"/>
      <c r="L550"/>
      <c r="M550"/>
    </row>
    <row r="551" spans="1:13">
      <c r="A551" t="s">
        <v>804</v>
      </c>
      <c r="B551" t="s">
        <v>1696</v>
      </c>
      <c r="C551" t="s">
        <v>1675</v>
      </c>
      <c r="D551" t="s">
        <v>1679</v>
      </c>
      <c r="K551"/>
      <c r="L551"/>
      <c r="M551"/>
    </row>
    <row r="552" spans="1:13">
      <c r="A552" t="s">
        <v>805</v>
      </c>
      <c r="B552" t="s">
        <v>1696</v>
      </c>
      <c r="C552" t="s">
        <v>1675</v>
      </c>
      <c r="D552" t="s">
        <v>1679</v>
      </c>
      <c r="K552"/>
      <c r="L552"/>
      <c r="M552"/>
    </row>
    <row r="553" spans="1:13">
      <c r="A553" t="s">
        <v>802</v>
      </c>
      <c r="B553" t="s">
        <v>1696</v>
      </c>
      <c r="C553" t="s">
        <v>1675</v>
      </c>
      <c r="D553" t="s">
        <v>1687</v>
      </c>
      <c r="K553"/>
      <c r="L553"/>
      <c r="M553"/>
    </row>
    <row r="554" spans="1:13">
      <c r="A554" t="s">
        <v>809</v>
      </c>
      <c r="B554" t="s">
        <v>1696</v>
      </c>
      <c r="C554" t="s">
        <v>1675</v>
      </c>
      <c r="D554" t="s">
        <v>1680</v>
      </c>
      <c r="K554"/>
      <c r="L554"/>
      <c r="M554"/>
    </row>
    <row r="555" spans="1:13">
      <c r="A555" t="s">
        <v>810</v>
      </c>
      <c r="B555" t="s">
        <v>1696</v>
      </c>
      <c r="C555" t="s">
        <v>1675</v>
      </c>
      <c r="D555" t="s">
        <v>1690</v>
      </c>
      <c r="K555"/>
      <c r="L555"/>
      <c r="M555"/>
    </row>
    <row r="556" spans="1:13">
      <c r="A556" t="s">
        <v>817</v>
      </c>
      <c r="B556" t="s">
        <v>1696</v>
      </c>
      <c r="C556" t="s">
        <v>1675</v>
      </c>
      <c r="D556" t="s">
        <v>1679</v>
      </c>
      <c r="K556"/>
      <c r="L556"/>
      <c r="M556"/>
    </row>
    <row r="557" spans="1:13">
      <c r="A557" t="s">
        <v>819</v>
      </c>
      <c r="B557" t="s">
        <v>1696</v>
      </c>
      <c r="C557" t="s">
        <v>1675</v>
      </c>
      <c r="D557" t="s">
        <v>1681</v>
      </c>
      <c r="K557"/>
      <c r="L557"/>
      <c r="M557"/>
    </row>
    <row r="558" spans="1:13">
      <c r="A558" t="s">
        <v>818</v>
      </c>
      <c r="B558" t="s">
        <v>1696</v>
      </c>
      <c r="C558" t="s">
        <v>1675</v>
      </c>
      <c r="D558" t="s">
        <v>1683</v>
      </c>
      <c r="K558"/>
      <c r="L558"/>
      <c r="M558"/>
    </row>
    <row r="559" spans="1:13">
      <c r="A559" t="s">
        <v>807</v>
      </c>
      <c r="B559" t="s">
        <v>1696</v>
      </c>
      <c r="C559" t="s">
        <v>1675</v>
      </c>
      <c r="D559" t="s">
        <v>1686</v>
      </c>
      <c r="K559"/>
      <c r="L559"/>
      <c r="M559"/>
    </row>
    <row r="560" spans="1:13">
      <c r="A560" t="s">
        <v>812</v>
      </c>
      <c r="B560" t="s">
        <v>1696</v>
      </c>
      <c r="C560" t="s">
        <v>1675</v>
      </c>
      <c r="D560" t="s">
        <v>1691</v>
      </c>
      <c r="K560"/>
      <c r="L560"/>
      <c r="M560"/>
    </row>
    <row r="561" spans="1:13">
      <c r="A561" t="s">
        <v>808</v>
      </c>
      <c r="B561" t="s">
        <v>1696</v>
      </c>
      <c r="C561" t="s">
        <v>1675</v>
      </c>
      <c r="D561" t="s">
        <v>1692</v>
      </c>
      <c r="K561"/>
      <c r="L561"/>
      <c r="M561"/>
    </row>
    <row r="562" spans="1:13">
      <c r="A562" t="s">
        <v>815</v>
      </c>
      <c r="B562" t="s">
        <v>1696</v>
      </c>
      <c r="C562" t="s">
        <v>1675</v>
      </c>
      <c r="D562" t="s">
        <v>1685</v>
      </c>
      <c r="K562"/>
      <c r="L562"/>
      <c r="M562"/>
    </row>
    <row r="563" spans="1:13">
      <c r="A563" t="s">
        <v>816</v>
      </c>
      <c r="B563" t="s">
        <v>1696</v>
      </c>
      <c r="C563" t="s">
        <v>1675</v>
      </c>
      <c r="D563" t="s">
        <v>1685</v>
      </c>
      <c r="K563"/>
      <c r="L563"/>
      <c r="M563"/>
    </row>
    <row r="564" spans="1:13">
      <c r="A564" t="s">
        <v>813</v>
      </c>
      <c r="B564" t="s">
        <v>1696</v>
      </c>
      <c r="C564" t="s">
        <v>1675</v>
      </c>
      <c r="D564" t="s">
        <v>1679</v>
      </c>
      <c r="K564"/>
      <c r="L564"/>
      <c r="M564"/>
    </row>
    <row r="565" spans="1:13">
      <c r="A565" t="s">
        <v>814</v>
      </c>
      <c r="B565" t="s">
        <v>1696</v>
      </c>
      <c r="C565" t="s">
        <v>1675</v>
      </c>
      <c r="D565" t="s">
        <v>1679</v>
      </c>
      <c r="K565"/>
      <c r="L565"/>
      <c r="M565"/>
    </row>
    <row r="566" spans="1:13">
      <c r="A566" t="s">
        <v>811</v>
      </c>
      <c r="B566" t="s">
        <v>1696</v>
      </c>
      <c r="C566" t="s">
        <v>1675</v>
      </c>
      <c r="D566" t="s">
        <v>1687</v>
      </c>
      <c r="K566"/>
      <c r="L566"/>
      <c r="M566"/>
    </row>
    <row r="567" spans="1:13">
      <c r="A567" t="s">
        <v>822</v>
      </c>
      <c r="B567" t="s">
        <v>1696</v>
      </c>
      <c r="C567" t="s">
        <v>1675</v>
      </c>
      <c r="D567" t="s">
        <v>1680</v>
      </c>
      <c r="K567"/>
      <c r="L567"/>
      <c r="M567"/>
    </row>
    <row r="568" spans="1:13">
      <c r="A568" t="s">
        <v>823</v>
      </c>
      <c r="B568" t="s">
        <v>1696</v>
      </c>
      <c r="C568" t="s">
        <v>1675</v>
      </c>
      <c r="D568" t="s">
        <v>1682</v>
      </c>
      <c r="K568"/>
      <c r="L568"/>
      <c r="M568"/>
    </row>
    <row r="569" spans="1:13">
      <c r="A569" t="s">
        <v>830</v>
      </c>
      <c r="B569" t="s">
        <v>1696</v>
      </c>
      <c r="C569" t="s">
        <v>1675</v>
      </c>
      <c r="D569" t="s">
        <v>1679</v>
      </c>
      <c r="K569"/>
      <c r="L569"/>
      <c r="M569"/>
    </row>
    <row r="570" spans="1:13">
      <c r="A570" t="s">
        <v>832</v>
      </c>
      <c r="B570" t="s">
        <v>1696</v>
      </c>
      <c r="C570" t="s">
        <v>1675</v>
      </c>
      <c r="D570" t="s">
        <v>1681</v>
      </c>
      <c r="K570"/>
      <c r="L570"/>
      <c r="M570"/>
    </row>
    <row r="571" spans="1:13">
      <c r="A571" t="s">
        <v>831</v>
      </c>
      <c r="B571" t="s">
        <v>1696</v>
      </c>
      <c r="C571" t="s">
        <v>1675</v>
      </c>
      <c r="D571" t="s">
        <v>1683</v>
      </c>
      <c r="K571"/>
      <c r="L571"/>
      <c r="M571"/>
    </row>
    <row r="572" spans="1:13">
      <c r="A572" t="s">
        <v>833</v>
      </c>
      <c r="B572" t="s">
        <v>1696</v>
      </c>
      <c r="C572" t="s">
        <v>1675</v>
      </c>
      <c r="D572" t="s">
        <v>1684</v>
      </c>
      <c r="K572"/>
      <c r="L572"/>
      <c r="M572"/>
    </row>
    <row r="573" spans="1:13">
      <c r="A573" t="s">
        <v>820</v>
      </c>
      <c r="B573" t="s">
        <v>1696</v>
      </c>
      <c r="C573" t="s">
        <v>1675</v>
      </c>
      <c r="D573" t="s">
        <v>1686</v>
      </c>
      <c r="K573"/>
      <c r="L573"/>
      <c r="M573"/>
    </row>
    <row r="574" spans="1:13">
      <c r="A574" t="s">
        <v>825</v>
      </c>
      <c r="B574" t="s">
        <v>1696</v>
      </c>
      <c r="C574" t="s">
        <v>1675</v>
      </c>
      <c r="D574" t="s">
        <v>1691</v>
      </c>
      <c r="K574"/>
      <c r="L574"/>
      <c r="M574"/>
    </row>
    <row r="575" spans="1:13">
      <c r="A575" t="s">
        <v>821</v>
      </c>
      <c r="B575" t="s">
        <v>1696</v>
      </c>
      <c r="C575" t="s">
        <v>1675</v>
      </c>
      <c r="D575" t="s">
        <v>1692</v>
      </c>
      <c r="K575"/>
      <c r="L575"/>
      <c r="M575"/>
    </row>
    <row r="576" spans="1:13">
      <c r="A576" t="s">
        <v>828</v>
      </c>
      <c r="B576" t="s">
        <v>1696</v>
      </c>
      <c r="C576" t="s">
        <v>1675</v>
      </c>
      <c r="D576" t="s">
        <v>1685</v>
      </c>
      <c r="K576"/>
      <c r="L576"/>
      <c r="M576"/>
    </row>
    <row r="577" spans="1:13">
      <c r="A577" t="s">
        <v>829</v>
      </c>
      <c r="B577" t="s">
        <v>1696</v>
      </c>
      <c r="C577" t="s">
        <v>1675</v>
      </c>
      <c r="D577" t="s">
        <v>1685</v>
      </c>
      <c r="K577"/>
      <c r="L577"/>
      <c r="M577"/>
    </row>
    <row r="578" spans="1:13">
      <c r="A578" t="s">
        <v>826</v>
      </c>
      <c r="B578" t="s">
        <v>1696</v>
      </c>
      <c r="C578" t="s">
        <v>1675</v>
      </c>
      <c r="D578" t="s">
        <v>1679</v>
      </c>
      <c r="K578"/>
      <c r="L578"/>
      <c r="M578"/>
    </row>
    <row r="579" spans="1:13">
      <c r="A579" t="s">
        <v>827</v>
      </c>
      <c r="B579" t="s">
        <v>1696</v>
      </c>
      <c r="C579" t="s">
        <v>1675</v>
      </c>
      <c r="D579" t="s">
        <v>1679</v>
      </c>
      <c r="K579"/>
      <c r="L579"/>
      <c r="M579"/>
    </row>
    <row r="580" spans="1:13">
      <c r="A580" t="s">
        <v>834</v>
      </c>
      <c r="B580" t="s">
        <v>1696</v>
      </c>
      <c r="C580" t="s">
        <v>1674</v>
      </c>
      <c r="D580" t="s">
        <v>1678</v>
      </c>
      <c r="K580"/>
      <c r="L580"/>
      <c r="M580"/>
    </row>
    <row r="581" spans="1:13">
      <c r="A581" t="s">
        <v>824</v>
      </c>
      <c r="B581" t="s">
        <v>1696</v>
      </c>
      <c r="C581" t="s">
        <v>1675</v>
      </c>
      <c r="D581" t="s">
        <v>1687</v>
      </c>
      <c r="K581"/>
      <c r="L581"/>
      <c r="M581"/>
    </row>
    <row r="582" spans="1:13">
      <c r="A582" t="s">
        <v>837</v>
      </c>
      <c r="B582" t="s">
        <v>1696</v>
      </c>
      <c r="C582" t="s">
        <v>1675</v>
      </c>
      <c r="D582" t="s">
        <v>1680</v>
      </c>
      <c r="K582"/>
      <c r="L582"/>
      <c r="M582"/>
    </row>
    <row r="583" spans="1:13">
      <c r="A583" t="s">
        <v>838</v>
      </c>
      <c r="B583" t="s">
        <v>1696</v>
      </c>
      <c r="C583" t="s">
        <v>1675</v>
      </c>
      <c r="D583" t="s">
        <v>1682</v>
      </c>
      <c r="K583"/>
      <c r="L583"/>
      <c r="M583"/>
    </row>
    <row r="584" spans="1:13">
      <c r="A584" t="s">
        <v>845</v>
      </c>
      <c r="B584" t="s">
        <v>1696</v>
      </c>
      <c r="C584" t="s">
        <v>1675</v>
      </c>
      <c r="D584" t="s">
        <v>1679</v>
      </c>
      <c r="K584"/>
      <c r="L584"/>
      <c r="M584"/>
    </row>
    <row r="585" spans="1:13">
      <c r="A585" t="s">
        <v>847</v>
      </c>
      <c r="B585" t="s">
        <v>1696</v>
      </c>
      <c r="C585" t="s">
        <v>1675</v>
      </c>
      <c r="D585" t="s">
        <v>1681</v>
      </c>
      <c r="K585"/>
      <c r="L585"/>
      <c r="M585"/>
    </row>
    <row r="586" spans="1:13">
      <c r="A586" t="s">
        <v>846</v>
      </c>
      <c r="B586" t="s">
        <v>1696</v>
      </c>
      <c r="C586" t="s">
        <v>1675</v>
      </c>
      <c r="D586" t="s">
        <v>1683</v>
      </c>
      <c r="K586"/>
      <c r="L586"/>
      <c r="M586"/>
    </row>
    <row r="587" spans="1:13">
      <c r="A587" t="s">
        <v>848</v>
      </c>
      <c r="B587" t="s">
        <v>1696</v>
      </c>
      <c r="C587" t="s">
        <v>1675</v>
      </c>
      <c r="D587" t="s">
        <v>1684</v>
      </c>
      <c r="K587"/>
      <c r="L587"/>
      <c r="M587"/>
    </row>
    <row r="588" spans="1:13">
      <c r="A588" t="s">
        <v>835</v>
      </c>
      <c r="B588" t="s">
        <v>1696</v>
      </c>
      <c r="C588" t="s">
        <v>1675</v>
      </c>
      <c r="D588" t="s">
        <v>1686</v>
      </c>
      <c r="K588"/>
      <c r="L588"/>
      <c r="M588"/>
    </row>
    <row r="589" spans="1:13">
      <c r="A589" t="s">
        <v>840</v>
      </c>
      <c r="B589" t="s">
        <v>1696</v>
      </c>
      <c r="C589" t="s">
        <v>1675</v>
      </c>
      <c r="D589" t="s">
        <v>1691</v>
      </c>
      <c r="K589"/>
      <c r="L589"/>
      <c r="M589"/>
    </row>
    <row r="590" spans="1:13">
      <c r="A590" t="s">
        <v>836</v>
      </c>
      <c r="B590" t="s">
        <v>1696</v>
      </c>
      <c r="C590" t="s">
        <v>1675</v>
      </c>
      <c r="D590" t="s">
        <v>1692</v>
      </c>
      <c r="K590"/>
      <c r="L590"/>
      <c r="M590"/>
    </row>
    <row r="591" spans="1:13">
      <c r="A591" t="s">
        <v>843</v>
      </c>
      <c r="B591" t="s">
        <v>1696</v>
      </c>
      <c r="C591" t="s">
        <v>1675</v>
      </c>
      <c r="D591" t="s">
        <v>1685</v>
      </c>
      <c r="K591"/>
      <c r="L591"/>
      <c r="M591"/>
    </row>
    <row r="592" spans="1:13">
      <c r="A592" t="s">
        <v>844</v>
      </c>
      <c r="B592" t="s">
        <v>1696</v>
      </c>
      <c r="C592" t="s">
        <v>1675</v>
      </c>
      <c r="D592" t="s">
        <v>1685</v>
      </c>
      <c r="K592"/>
      <c r="L592"/>
      <c r="M592"/>
    </row>
    <row r="593" spans="1:13">
      <c r="A593" t="s">
        <v>841</v>
      </c>
      <c r="B593" t="s">
        <v>1696</v>
      </c>
      <c r="C593" t="s">
        <v>1675</v>
      </c>
      <c r="D593" t="s">
        <v>1679</v>
      </c>
      <c r="K593"/>
      <c r="L593"/>
      <c r="M593"/>
    </row>
    <row r="594" spans="1:13">
      <c r="A594" t="s">
        <v>842</v>
      </c>
      <c r="B594" t="s">
        <v>1696</v>
      </c>
      <c r="C594" t="s">
        <v>1675</v>
      </c>
      <c r="D594" t="s">
        <v>1679</v>
      </c>
      <c r="K594"/>
      <c r="L594"/>
      <c r="M594"/>
    </row>
    <row r="595" spans="1:13">
      <c r="A595" t="s">
        <v>849</v>
      </c>
      <c r="B595" t="s">
        <v>1696</v>
      </c>
      <c r="C595" t="s">
        <v>1674</v>
      </c>
      <c r="D595" t="s">
        <v>1678</v>
      </c>
      <c r="K595"/>
      <c r="L595"/>
      <c r="M595"/>
    </row>
    <row r="596" spans="1:13">
      <c r="A596" t="s">
        <v>839</v>
      </c>
      <c r="B596" t="s">
        <v>1696</v>
      </c>
      <c r="C596" t="s">
        <v>1675</v>
      </c>
      <c r="D596" t="s">
        <v>1687</v>
      </c>
      <c r="K596"/>
      <c r="L596"/>
      <c r="M596"/>
    </row>
    <row r="597" spans="1:13">
      <c r="A597" t="s">
        <v>864</v>
      </c>
      <c r="B597" t="s">
        <v>1696</v>
      </c>
      <c r="C597" t="s">
        <v>1675</v>
      </c>
      <c r="D597" t="s">
        <v>1699</v>
      </c>
      <c r="K597"/>
      <c r="L597"/>
      <c r="M597"/>
    </row>
    <row r="598" spans="1:13">
      <c r="A598" t="s">
        <v>865</v>
      </c>
      <c r="B598" t="s">
        <v>1696</v>
      </c>
      <c r="C598" t="s">
        <v>1675</v>
      </c>
      <c r="D598" t="s">
        <v>1699</v>
      </c>
      <c r="K598"/>
      <c r="L598"/>
      <c r="M598"/>
    </row>
    <row r="599" spans="1:13">
      <c r="A599" t="s">
        <v>605</v>
      </c>
      <c r="B599" t="s">
        <v>1696</v>
      </c>
      <c r="C599" t="s">
        <v>1669</v>
      </c>
      <c r="D599" t="s">
        <v>1679</v>
      </c>
      <c r="K599"/>
      <c r="L599"/>
      <c r="M599"/>
    </row>
    <row r="600" spans="1:13">
      <c r="A600" t="s">
        <v>59</v>
      </c>
      <c r="B600" t="s">
        <v>1696</v>
      </c>
      <c r="C600" t="s">
        <v>1669</v>
      </c>
      <c r="D600" t="s">
        <v>1679</v>
      </c>
      <c r="K600"/>
      <c r="L600"/>
      <c r="M600"/>
    </row>
    <row r="601" spans="1:13">
      <c r="A601" t="s">
        <v>30</v>
      </c>
      <c r="B601" t="s">
        <v>1696</v>
      </c>
      <c r="C601" t="s">
        <v>1669</v>
      </c>
      <c r="D601" t="s">
        <v>1679</v>
      </c>
      <c r="K601"/>
      <c r="L601"/>
      <c r="M601"/>
    </row>
    <row r="602" spans="1:13">
      <c r="A602" t="s">
        <v>52</v>
      </c>
      <c r="B602" t="s">
        <v>1696</v>
      </c>
      <c r="C602" t="s">
        <v>1669</v>
      </c>
      <c r="D602" t="s">
        <v>1679</v>
      </c>
      <c r="K602"/>
      <c r="L602"/>
      <c r="M602"/>
    </row>
    <row r="603" spans="1:13">
      <c r="A603" t="s">
        <v>47</v>
      </c>
      <c r="B603" t="s">
        <v>1696</v>
      </c>
      <c r="C603" t="s">
        <v>1669</v>
      </c>
      <c r="D603" t="s">
        <v>1679</v>
      </c>
      <c r="K603"/>
      <c r="L603"/>
      <c r="M603"/>
    </row>
    <row r="604" spans="1:13">
      <c r="A604" t="s">
        <v>34</v>
      </c>
      <c r="B604" t="s">
        <v>1696</v>
      </c>
      <c r="C604" t="s">
        <v>1669</v>
      </c>
      <c r="D604" t="s">
        <v>1679</v>
      </c>
      <c r="K604"/>
      <c r="L604"/>
      <c r="M604"/>
    </row>
    <row r="605" spans="1:13">
      <c r="A605" t="s">
        <v>42</v>
      </c>
      <c r="B605" t="s">
        <v>1696</v>
      </c>
      <c r="C605" t="s">
        <v>1669</v>
      </c>
      <c r="D605" t="s">
        <v>1679</v>
      </c>
      <c r="K605"/>
      <c r="L605"/>
      <c r="M605"/>
    </row>
    <row r="606" spans="1:13">
      <c r="A606" t="s">
        <v>61</v>
      </c>
      <c r="B606" t="s">
        <v>1696</v>
      </c>
      <c r="C606" t="s">
        <v>1669</v>
      </c>
      <c r="D606" t="s">
        <v>1679</v>
      </c>
      <c r="K606"/>
      <c r="L606"/>
      <c r="M606"/>
    </row>
    <row r="607" spans="1:13">
      <c r="A607" t="s">
        <v>62</v>
      </c>
      <c r="B607" t="s">
        <v>1696</v>
      </c>
      <c r="C607" t="s">
        <v>1669</v>
      </c>
      <c r="D607" t="s">
        <v>1679</v>
      </c>
      <c r="K607"/>
      <c r="L607"/>
      <c r="M607"/>
    </row>
    <row r="608" spans="1:13">
      <c r="A608" t="s">
        <v>604</v>
      </c>
      <c r="B608" t="s">
        <v>1696</v>
      </c>
      <c r="C608" t="s">
        <v>1669</v>
      </c>
      <c r="D608" t="s">
        <v>1679</v>
      </c>
      <c r="K608"/>
      <c r="L608"/>
      <c r="M608"/>
    </row>
    <row r="609" spans="1:13">
      <c r="A609" t="s">
        <v>44</v>
      </c>
      <c r="B609" t="s">
        <v>1696</v>
      </c>
      <c r="C609" t="s">
        <v>1669</v>
      </c>
      <c r="D609" t="s">
        <v>1679</v>
      </c>
      <c r="K609"/>
      <c r="L609"/>
      <c r="M609"/>
    </row>
    <row r="610" spans="1:13">
      <c r="A610" t="s">
        <v>67</v>
      </c>
      <c r="B610" t="s">
        <v>1696</v>
      </c>
      <c r="C610" t="s">
        <v>1669</v>
      </c>
      <c r="D610" t="s">
        <v>1679</v>
      </c>
      <c r="K610"/>
      <c r="L610"/>
      <c r="M610"/>
    </row>
    <row r="611" spans="1:13">
      <c r="A611" t="s">
        <v>53</v>
      </c>
      <c r="B611" t="s">
        <v>1696</v>
      </c>
      <c r="C611" t="s">
        <v>1669</v>
      </c>
      <c r="D611" t="s">
        <v>1679</v>
      </c>
      <c r="K611"/>
      <c r="L611"/>
      <c r="M611"/>
    </row>
    <row r="612" spans="1:13">
      <c r="A612" t="s">
        <v>57</v>
      </c>
      <c r="B612" t="s">
        <v>1696</v>
      </c>
      <c r="C612" t="s">
        <v>1669</v>
      </c>
      <c r="D612" t="s">
        <v>1679</v>
      </c>
      <c r="K612"/>
      <c r="L612"/>
      <c r="M612"/>
    </row>
    <row r="613" spans="1:13">
      <c r="A613" t="s">
        <v>55</v>
      </c>
      <c r="B613" t="s">
        <v>1696</v>
      </c>
      <c r="C613" t="s">
        <v>1669</v>
      </c>
      <c r="D613" t="s">
        <v>1679</v>
      </c>
      <c r="K613"/>
      <c r="L613"/>
      <c r="M613"/>
    </row>
    <row r="614" spans="1:13">
      <c r="A614" t="s">
        <v>606</v>
      </c>
      <c r="B614" t="s">
        <v>1696</v>
      </c>
      <c r="C614" t="s">
        <v>1669</v>
      </c>
      <c r="D614" t="s">
        <v>1679</v>
      </c>
      <c r="K614"/>
      <c r="L614"/>
      <c r="M614"/>
    </row>
    <row r="615" spans="1:13">
      <c r="A615" t="s">
        <v>66</v>
      </c>
      <c r="B615" t="s">
        <v>1696</v>
      </c>
      <c r="C615" t="s">
        <v>1669</v>
      </c>
      <c r="D615" t="s">
        <v>1679</v>
      </c>
      <c r="K615"/>
      <c r="L615"/>
      <c r="M615"/>
    </row>
    <row r="616" spans="1:13">
      <c r="A616" t="s">
        <v>658</v>
      </c>
      <c r="B616" t="s">
        <v>1696</v>
      </c>
      <c r="C616" t="s">
        <v>1669</v>
      </c>
      <c r="D616" t="s">
        <v>1679</v>
      </c>
      <c r="K616"/>
      <c r="L616"/>
      <c r="M616"/>
    </row>
    <row r="617" spans="1:13">
      <c r="A617" t="s">
        <v>51</v>
      </c>
      <c r="B617" t="s">
        <v>1696</v>
      </c>
      <c r="C617" t="s">
        <v>1669</v>
      </c>
      <c r="D617" t="s">
        <v>1679</v>
      </c>
      <c r="K617"/>
      <c r="L617"/>
      <c r="M617"/>
    </row>
    <row r="618" spans="1:13">
      <c r="A618" t="s">
        <v>45</v>
      </c>
      <c r="B618" t="s">
        <v>1696</v>
      </c>
      <c r="C618" t="s">
        <v>1669</v>
      </c>
      <c r="D618" t="s">
        <v>1679</v>
      </c>
      <c r="K618"/>
      <c r="L618"/>
      <c r="M618"/>
    </row>
    <row r="619" spans="1:13">
      <c r="A619" t="s">
        <v>32</v>
      </c>
      <c r="B619" t="s">
        <v>1696</v>
      </c>
      <c r="C619" t="s">
        <v>1669</v>
      </c>
      <c r="D619" t="s">
        <v>1679</v>
      </c>
      <c r="K619"/>
      <c r="L619"/>
      <c r="M619"/>
    </row>
    <row r="620" spans="1:13">
      <c r="A620" t="s">
        <v>38</v>
      </c>
      <c r="B620" t="s">
        <v>1696</v>
      </c>
      <c r="C620" t="s">
        <v>1669</v>
      </c>
      <c r="D620" t="s">
        <v>1679</v>
      </c>
      <c r="K620"/>
      <c r="L620"/>
      <c r="M620"/>
    </row>
    <row r="621" spans="1:13">
      <c r="A621" t="s">
        <v>39</v>
      </c>
      <c r="B621" t="s">
        <v>1696</v>
      </c>
      <c r="C621" t="s">
        <v>1669</v>
      </c>
      <c r="D621" t="s">
        <v>1679</v>
      </c>
      <c r="K621"/>
      <c r="L621"/>
      <c r="M621"/>
    </row>
    <row r="622" spans="1:13">
      <c r="A622" t="s">
        <v>49</v>
      </c>
      <c r="B622" t="s">
        <v>1696</v>
      </c>
      <c r="C622" t="s">
        <v>1672</v>
      </c>
      <c r="D622" t="s">
        <v>1678</v>
      </c>
      <c r="K622"/>
      <c r="L622"/>
      <c r="M622"/>
    </row>
    <row r="623" spans="1:13">
      <c r="A623" t="s">
        <v>54</v>
      </c>
      <c r="B623" t="s">
        <v>1696</v>
      </c>
      <c r="C623" t="s">
        <v>1676</v>
      </c>
      <c r="D623" t="s">
        <v>1679</v>
      </c>
      <c r="K623"/>
      <c r="L623"/>
      <c r="M623"/>
    </row>
    <row r="624" spans="1:13">
      <c r="A624" t="s">
        <v>63</v>
      </c>
      <c r="B624" t="s">
        <v>1696</v>
      </c>
      <c r="C624" t="s">
        <v>1669</v>
      </c>
      <c r="D624" t="s">
        <v>1679</v>
      </c>
      <c r="K624"/>
      <c r="L624"/>
      <c r="M624"/>
    </row>
    <row r="625" spans="1:13">
      <c r="A625" t="s">
        <v>68</v>
      </c>
      <c r="B625" t="s">
        <v>1696</v>
      </c>
      <c r="C625" t="s">
        <v>1669</v>
      </c>
      <c r="D625" t="s">
        <v>1679</v>
      </c>
      <c r="K625"/>
      <c r="L625"/>
      <c r="M625"/>
    </row>
    <row r="626" spans="1:13">
      <c r="A626" t="s">
        <v>603</v>
      </c>
      <c r="B626" t="s">
        <v>1696</v>
      </c>
      <c r="C626" t="s">
        <v>1669</v>
      </c>
      <c r="D626" t="s">
        <v>1679</v>
      </c>
      <c r="K626"/>
      <c r="L626"/>
      <c r="M626"/>
    </row>
    <row r="627" spans="1:13">
      <c r="A627" t="s">
        <v>602</v>
      </c>
      <c r="B627" t="s">
        <v>1696</v>
      </c>
      <c r="C627" t="s">
        <v>1669</v>
      </c>
      <c r="D627" t="s">
        <v>1679</v>
      </c>
      <c r="K627"/>
      <c r="L627"/>
      <c r="M627"/>
    </row>
    <row r="628" spans="1:13">
      <c r="A628" t="s">
        <v>46</v>
      </c>
      <c r="B628" t="s">
        <v>1696</v>
      </c>
      <c r="C628" t="s">
        <v>1669</v>
      </c>
      <c r="D628" t="s">
        <v>1679</v>
      </c>
      <c r="K628"/>
      <c r="L628"/>
      <c r="M628"/>
    </row>
    <row r="629" spans="1:13">
      <c r="A629" t="s">
        <v>40</v>
      </c>
      <c r="B629" t="s">
        <v>1696</v>
      </c>
      <c r="C629" t="s">
        <v>1669</v>
      </c>
      <c r="D629" t="s">
        <v>1679</v>
      </c>
      <c r="K629"/>
      <c r="L629"/>
      <c r="M629"/>
    </row>
    <row r="630" spans="1:13">
      <c r="A630" t="s">
        <v>41</v>
      </c>
      <c r="B630" t="s">
        <v>1696</v>
      </c>
      <c r="C630" t="s">
        <v>1669</v>
      </c>
      <c r="D630" t="s">
        <v>1679</v>
      </c>
      <c r="K630"/>
      <c r="L630"/>
      <c r="M630"/>
    </row>
    <row r="631" spans="1:13">
      <c r="A631" t="s">
        <v>58</v>
      </c>
      <c r="B631" t="s">
        <v>1696</v>
      </c>
      <c r="C631" t="s">
        <v>1669</v>
      </c>
      <c r="D631" t="s">
        <v>1679</v>
      </c>
      <c r="K631"/>
      <c r="L631"/>
      <c r="M631"/>
    </row>
    <row r="632" spans="1:13">
      <c r="A632" t="s">
        <v>35</v>
      </c>
      <c r="B632" t="s">
        <v>1696</v>
      </c>
      <c r="C632" t="s">
        <v>1669</v>
      </c>
      <c r="D632" t="s">
        <v>1679</v>
      </c>
      <c r="K632"/>
      <c r="L632"/>
      <c r="M632"/>
    </row>
    <row r="633" spans="1:13">
      <c r="A633" t="s">
        <v>56</v>
      </c>
      <c r="B633" t="s">
        <v>1696</v>
      </c>
      <c r="C633" t="s">
        <v>1669</v>
      </c>
      <c r="D633" t="s">
        <v>1679</v>
      </c>
      <c r="K633"/>
      <c r="L633"/>
      <c r="M633"/>
    </row>
    <row r="634" spans="1:13">
      <c r="A634" t="s">
        <v>36</v>
      </c>
      <c r="B634" t="s">
        <v>1696</v>
      </c>
      <c r="C634" t="s">
        <v>1669</v>
      </c>
      <c r="D634" t="s">
        <v>1679</v>
      </c>
      <c r="K634"/>
      <c r="L634"/>
      <c r="M634"/>
    </row>
    <row r="635" spans="1:13">
      <c r="A635" t="s">
        <v>60</v>
      </c>
      <c r="B635" t="s">
        <v>1696</v>
      </c>
      <c r="C635" t="s">
        <v>1669</v>
      </c>
      <c r="D635" t="s">
        <v>1679</v>
      </c>
      <c r="K635"/>
      <c r="L635"/>
      <c r="M635"/>
    </row>
    <row r="636" spans="1:13">
      <c r="A636" t="s">
        <v>659</v>
      </c>
      <c r="B636" t="s">
        <v>1696</v>
      </c>
      <c r="C636" t="s">
        <v>1669</v>
      </c>
      <c r="D636" t="s">
        <v>1679</v>
      </c>
      <c r="K636"/>
      <c r="L636"/>
      <c r="M636"/>
    </row>
    <row r="637" spans="1:13">
      <c r="A637" t="s">
        <v>64</v>
      </c>
      <c r="B637" t="s">
        <v>1696</v>
      </c>
      <c r="C637" t="s">
        <v>1669</v>
      </c>
      <c r="D637" t="s">
        <v>1679</v>
      </c>
      <c r="K637"/>
      <c r="L637"/>
      <c r="M637"/>
    </row>
    <row r="638" spans="1:13">
      <c r="A638" t="s">
        <v>50</v>
      </c>
      <c r="B638" t="s">
        <v>1696</v>
      </c>
      <c r="C638" t="s">
        <v>1669</v>
      </c>
      <c r="D638" t="s">
        <v>1679</v>
      </c>
      <c r="K638"/>
      <c r="L638"/>
      <c r="M638"/>
    </row>
    <row r="639" spans="1:13">
      <c r="A639" t="s">
        <v>43</v>
      </c>
      <c r="B639" t="s">
        <v>1696</v>
      </c>
      <c r="C639" t="s">
        <v>1669</v>
      </c>
      <c r="D639" t="s">
        <v>1679</v>
      </c>
      <c r="K639"/>
      <c r="L639"/>
      <c r="M639"/>
    </row>
    <row r="640" spans="1:13">
      <c r="A640" t="s">
        <v>33</v>
      </c>
      <c r="B640" t="s">
        <v>1696</v>
      </c>
      <c r="C640" t="s">
        <v>1669</v>
      </c>
      <c r="D640" t="s">
        <v>1679</v>
      </c>
      <c r="K640"/>
      <c r="L640"/>
      <c r="M640"/>
    </row>
    <row r="641" spans="1:13">
      <c r="A641" t="s">
        <v>37</v>
      </c>
      <c r="B641" t="s">
        <v>1696</v>
      </c>
      <c r="C641" t="s">
        <v>1669</v>
      </c>
      <c r="D641" t="s">
        <v>1679</v>
      </c>
      <c r="K641"/>
      <c r="L641"/>
      <c r="M641"/>
    </row>
    <row r="642" spans="1:13">
      <c r="A642" t="s">
        <v>65</v>
      </c>
      <c r="B642" t="s">
        <v>1696</v>
      </c>
      <c r="C642" t="s">
        <v>1669</v>
      </c>
      <c r="D642" t="s">
        <v>1679</v>
      </c>
      <c r="K642"/>
      <c r="L642"/>
      <c r="M642"/>
    </row>
    <row r="643" spans="1:13">
      <c r="A643" t="s">
        <v>48</v>
      </c>
      <c r="B643" t="s">
        <v>1696</v>
      </c>
      <c r="C643" t="s">
        <v>1669</v>
      </c>
      <c r="D643" t="s">
        <v>1679</v>
      </c>
      <c r="K643"/>
      <c r="L643"/>
      <c r="M643"/>
    </row>
    <row r="644" spans="1:13">
      <c r="A644" t="s">
        <v>81</v>
      </c>
      <c r="B644" t="s">
        <v>1696</v>
      </c>
      <c r="C644" t="s">
        <v>1669</v>
      </c>
      <c r="D644" t="s">
        <v>1679</v>
      </c>
      <c r="K644"/>
      <c r="L644"/>
      <c r="M644"/>
    </row>
    <row r="645" spans="1:13">
      <c r="A645" t="s">
        <v>80</v>
      </c>
      <c r="B645" t="s">
        <v>1696</v>
      </c>
      <c r="C645" t="s">
        <v>1669</v>
      </c>
      <c r="D645" t="s">
        <v>1679</v>
      </c>
      <c r="K645"/>
      <c r="L645"/>
      <c r="M645"/>
    </row>
    <row r="646" spans="1:13">
      <c r="A646" t="s">
        <v>69</v>
      </c>
      <c r="B646" t="s">
        <v>1696</v>
      </c>
      <c r="C646" t="s">
        <v>1669</v>
      </c>
      <c r="D646" t="s">
        <v>1679</v>
      </c>
      <c r="K646"/>
      <c r="L646"/>
      <c r="M646"/>
    </row>
    <row r="647" spans="1:13">
      <c r="A647" t="s">
        <v>71</v>
      </c>
      <c r="B647" t="s">
        <v>1696</v>
      </c>
      <c r="C647" t="s">
        <v>1669</v>
      </c>
      <c r="D647" t="s">
        <v>1679</v>
      </c>
      <c r="K647"/>
      <c r="L647"/>
      <c r="M647"/>
    </row>
    <row r="648" spans="1:13">
      <c r="A648" t="s">
        <v>72</v>
      </c>
      <c r="B648" t="s">
        <v>1696</v>
      </c>
      <c r="C648" t="s">
        <v>1669</v>
      </c>
      <c r="D648" t="s">
        <v>1679</v>
      </c>
      <c r="K648"/>
      <c r="L648"/>
      <c r="M648"/>
    </row>
    <row r="649" spans="1:13">
      <c r="A649" t="s">
        <v>73</v>
      </c>
      <c r="B649" t="s">
        <v>1696</v>
      </c>
      <c r="C649" t="s">
        <v>1669</v>
      </c>
      <c r="D649" t="s">
        <v>1679</v>
      </c>
      <c r="K649"/>
      <c r="L649"/>
      <c r="M649"/>
    </row>
    <row r="650" spans="1:13">
      <c r="A650" t="s">
        <v>82</v>
      </c>
      <c r="B650" t="s">
        <v>1696</v>
      </c>
      <c r="C650" t="s">
        <v>1669</v>
      </c>
      <c r="D650" t="s">
        <v>1679</v>
      </c>
      <c r="K650"/>
      <c r="L650"/>
      <c r="M650"/>
    </row>
    <row r="651" spans="1:13">
      <c r="A651" t="s">
        <v>76</v>
      </c>
      <c r="B651" t="s">
        <v>1696</v>
      </c>
      <c r="C651" t="s">
        <v>1669</v>
      </c>
      <c r="D651" t="s">
        <v>1679</v>
      </c>
      <c r="K651"/>
      <c r="L651"/>
      <c r="M651"/>
    </row>
    <row r="652" spans="1:13">
      <c r="A652" t="s">
        <v>75</v>
      </c>
      <c r="B652" t="s">
        <v>1696</v>
      </c>
      <c r="C652" t="s">
        <v>1669</v>
      </c>
      <c r="D652" t="s">
        <v>1679</v>
      </c>
      <c r="K652"/>
      <c r="L652"/>
      <c r="M652"/>
    </row>
    <row r="653" spans="1:13">
      <c r="A653" t="s">
        <v>77</v>
      </c>
      <c r="B653" t="s">
        <v>1696</v>
      </c>
      <c r="C653" t="s">
        <v>1669</v>
      </c>
      <c r="D653" t="s">
        <v>1679</v>
      </c>
      <c r="K653"/>
      <c r="L653"/>
      <c r="M653"/>
    </row>
    <row r="654" spans="1:13">
      <c r="A654" t="s">
        <v>611</v>
      </c>
      <c r="B654" t="s">
        <v>1696</v>
      </c>
      <c r="C654" t="s">
        <v>1669</v>
      </c>
      <c r="D654" t="s">
        <v>1679</v>
      </c>
      <c r="K654"/>
      <c r="L654"/>
      <c r="M654"/>
    </row>
    <row r="655" spans="1:13">
      <c r="A655" t="s">
        <v>78</v>
      </c>
      <c r="B655" t="s">
        <v>1696</v>
      </c>
      <c r="C655" t="s">
        <v>1669</v>
      </c>
      <c r="D655" t="s">
        <v>1679</v>
      </c>
      <c r="K655"/>
      <c r="L655"/>
      <c r="M655"/>
    </row>
    <row r="656" spans="1:13">
      <c r="A656" t="s">
        <v>79</v>
      </c>
      <c r="B656" t="s">
        <v>1696</v>
      </c>
      <c r="C656" t="s">
        <v>1669</v>
      </c>
      <c r="D656" t="s">
        <v>1679</v>
      </c>
      <c r="K656"/>
      <c r="L656"/>
      <c r="M656"/>
    </row>
    <row r="657" spans="1:13">
      <c r="A657" t="s">
        <v>74</v>
      </c>
      <c r="B657" t="s">
        <v>1696</v>
      </c>
      <c r="C657" t="s">
        <v>1669</v>
      </c>
      <c r="D657" t="s">
        <v>1679</v>
      </c>
      <c r="K657"/>
      <c r="L657"/>
      <c r="M657"/>
    </row>
    <row r="658" spans="1:13">
      <c r="A658" t="s">
        <v>610</v>
      </c>
      <c r="B658" t="s">
        <v>1696</v>
      </c>
      <c r="C658" t="s">
        <v>1669</v>
      </c>
      <c r="D658" t="s">
        <v>1679</v>
      </c>
      <c r="K658"/>
      <c r="L658"/>
      <c r="M658"/>
    </row>
    <row r="659" spans="1:13">
      <c r="A659" t="s">
        <v>83</v>
      </c>
      <c r="B659" t="s">
        <v>1696</v>
      </c>
      <c r="C659" t="s">
        <v>1669</v>
      </c>
      <c r="D659" t="s">
        <v>1679</v>
      </c>
      <c r="K659"/>
      <c r="L659"/>
      <c r="M659"/>
    </row>
    <row r="660" spans="1:13">
      <c r="A660" t="s">
        <v>607</v>
      </c>
      <c r="B660" t="s">
        <v>1696</v>
      </c>
      <c r="C660" t="s">
        <v>1669</v>
      </c>
      <c r="D660" t="s">
        <v>1679</v>
      </c>
      <c r="K660"/>
      <c r="L660"/>
      <c r="M660"/>
    </row>
    <row r="661" spans="1:13">
      <c r="A661" t="s">
        <v>609</v>
      </c>
      <c r="B661" t="s">
        <v>1696</v>
      </c>
      <c r="C661" t="s">
        <v>1669</v>
      </c>
      <c r="D661" t="s">
        <v>1679</v>
      </c>
      <c r="K661"/>
      <c r="L661"/>
      <c r="M661"/>
    </row>
    <row r="662" spans="1:13">
      <c r="A662" t="s">
        <v>608</v>
      </c>
      <c r="B662" t="s">
        <v>1696</v>
      </c>
      <c r="C662" t="s">
        <v>1669</v>
      </c>
      <c r="D662" t="s">
        <v>1679</v>
      </c>
      <c r="K662"/>
      <c r="L662"/>
      <c r="M662"/>
    </row>
    <row r="663" spans="1:13">
      <c r="A663" t="s">
        <v>84</v>
      </c>
      <c r="B663" t="s">
        <v>1696</v>
      </c>
      <c r="C663" t="s">
        <v>1669</v>
      </c>
      <c r="D663" t="s">
        <v>1679</v>
      </c>
      <c r="K663"/>
      <c r="L663"/>
      <c r="M663"/>
    </row>
    <row r="664" spans="1:13">
      <c r="A664" t="s">
        <v>85</v>
      </c>
      <c r="B664" t="s">
        <v>1696</v>
      </c>
      <c r="C664" t="s">
        <v>1669</v>
      </c>
      <c r="D664" t="s">
        <v>1679</v>
      </c>
      <c r="K664"/>
      <c r="L664"/>
      <c r="M664"/>
    </row>
    <row r="665" spans="1:13">
      <c r="A665" t="s">
        <v>589</v>
      </c>
      <c r="B665" t="s">
        <v>1696</v>
      </c>
      <c r="C665" t="s">
        <v>1672</v>
      </c>
      <c r="D665" t="s">
        <v>1679</v>
      </c>
      <c r="K665"/>
      <c r="L665"/>
      <c r="M665"/>
    </row>
    <row r="666" spans="1:13">
      <c r="A666" t="s">
        <v>27</v>
      </c>
      <c r="B666" t="s">
        <v>1696</v>
      </c>
      <c r="C666" t="s">
        <v>1676</v>
      </c>
      <c r="D666" t="s">
        <v>1679</v>
      </c>
      <c r="K666"/>
      <c r="L666"/>
      <c r="M666"/>
    </row>
    <row r="667" spans="1:13">
      <c r="A667" t="s">
        <v>23</v>
      </c>
      <c r="B667" t="s">
        <v>1696</v>
      </c>
      <c r="C667" t="s">
        <v>1676</v>
      </c>
      <c r="D667" t="s">
        <v>1679</v>
      </c>
      <c r="K667"/>
      <c r="L667"/>
      <c r="M667"/>
    </row>
    <row r="668" spans="1:13">
      <c r="A668" t="s">
        <v>28</v>
      </c>
      <c r="B668" t="s">
        <v>1696</v>
      </c>
      <c r="C668" t="s">
        <v>1676</v>
      </c>
      <c r="D668" t="s">
        <v>1679</v>
      </c>
      <c r="K668"/>
      <c r="L668"/>
      <c r="M668"/>
    </row>
    <row r="669" spans="1:13">
      <c r="A669" t="s">
        <v>20</v>
      </c>
      <c r="B669" t="s">
        <v>1696</v>
      </c>
      <c r="C669" t="s">
        <v>1669</v>
      </c>
      <c r="D669" t="s">
        <v>1679</v>
      </c>
      <c r="K669"/>
      <c r="L669"/>
      <c r="M669"/>
    </row>
    <row r="670" spans="1:13">
      <c r="A670" t="s">
        <v>25</v>
      </c>
      <c r="B670" t="s">
        <v>1696</v>
      </c>
      <c r="C670" t="s">
        <v>1669</v>
      </c>
      <c r="D670" t="s">
        <v>1679</v>
      </c>
      <c r="K670"/>
      <c r="L670"/>
      <c r="M670"/>
    </row>
    <row r="671" spans="1:13">
      <c r="A671" t="s">
        <v>22</v>
      </c>
      <c r="B671" t="s">
        <v>1696</v>
      </c>
      <c r="C671" t="s">
        <v>1676</v>
      </c>
      <c r="D671" t="s">
        <v>1679</v>
      </c>
      <c r="K671"/>
      <c r="L671"/>
      <c r="M671"/>
    </row>
    <row r="672" spans="1:13">
      <c r="A672" t="s">
        <v>26</v>
      </c>
      <c r="B672" t="s">
        <v>1696</v>
      </c>
      <c r="C672" t="s">
        <v>1671</v>
      </c>
      <c r="D672" t="s">
        <v>1679</v>
      </c>
      <c r="K672"/>
      <c r="L672"/>
      <c r="M672"/>
    </row>
    <row r="673" spans="1:13">
      <c r="A673" t="s">
        <v>24</v>
      </c>
      <c r="B673" t="s">
        <v>1696</v>
      </c>
      <c r="C673" t="s">
        <v>1676</v>
      </c>
      <c r="D673" t="s">
        <v>1679</v>
      </c>
      <c r="K673"/>
      <c r="L673"/>
      <c r="M673"/>
    </row>
    <row r="674" spans="1:13">
      <c r="A674" t="s">
        <v>588</v>
      </c>
      <c r="B674" t="s">
        <v>1696</v>
      </c>
      <c r="C674" t="s">
        <v>1669</v>
      </c>
      <c r="D674" t="s">
        <v>1682</v>
      </c>
      <c r="K674"/>
      <c r="L674"/>
      <c r="M674"/>
    </row>
    <row r="675" spans="1:13">
      <c r="A675" t="s">
        <v>586</v>
      </c>
      <c r="B675" t="s">
        <v>1696</v>
      </c>
      <c r="C675" t="s">
        <v>1669</v>
      </c>
      <c r="D675" t="s">
        <v>1682</v>
      </c>
      <c r="K675"/>
      <c r="L675"/>
      <c r="M675"/>
    </row>
    <row r="676" spans="1:13">
      <c r="A676" t="s">
        <v>585</v>
      </c>
      <c r="B676" t="s">
        <v>1696</v>
      </c>
      <c r="C676" t="s">
        <v>1669</v>
      </c>
      <c r="D676" t="s">
        <v>1682</v>
      </c>
      <c r="K676"/>
      <c r="L676"/>
      <c r="M676"/>
    </row>
    <row r="677" spans="1:13">
      <c r="A677" t="s">
        <v>587</v>
      </c>
      <c r="B677" t="s">
        <v>1696</v>
      </c>
      <c r="C677" t="s">
        <v>1669</v>
      </c>
      <c r="D677" t="s">
        <v>1681</v>
      </c>
      <c r="K677"/>
      <c r="L677"/>
      <c r="M677"/>
    </row>
    <row r="678" spans="1:13">
      <c r="A678" t="s">
        <v>175</v>
      </c>
      <c r="B678" t="s">
        <v>1696</v>
      </c>
      <c r="C678" t="s">
        <v>1676</v>
      </c>
      <c r="D678" t="s">
        <v>1681</v>
      </c>
      <c r="K678"/>
      <c r="L678"/>
      <c r="M678"/>
    </row>
    <row r="679" spans="1:13">
      <c r="A679" t="s">
        <v>138</v>
      </c>
      <c r="B679" t="s">
        <v>1696</v>
      </c>
      <c r="C679" t="s">
        <v>1676</v>
      </c>
      <c r="D679" t="s">
        <v>1678</v>
      </c>
      <c r="K679"/>
      <c r="L679"/>
      <c r="M679"/>
    </row>
    <row r="680" spans="1:13">
      <c r="A680" t="s">
        <v>157</v>
      </c>
      <c r="B680" t="s">
        <v>1696</v>
      </c>
      <c r="C680" t="s">
        <v>1676</v>
      </c>
      <c r="D680" t="s">
        <v>1678</v>
      </c>
      <c r="K680"/>
      <c r="L680"/>
      <c r="M680"/>
    </row>
    <row r="681" spans="1:13">
      <c r="A681" t="s">
        <v>187</v>
      </c>
      <c r="B681" t="s">
        <v>1696</v>
      </c>
      <c r="C681" t="s">
        <v>1676</v>
      </c>
      <c r="D681" t="s">
        <v>1680</v>
      </c>
      <c r="K681"/>
      <c r="L681"/>
      <c r="M681"/>
    </row>
    <row r="682" spans="1:13">
      <c r="A682" t="s">
        <v>100</v>
      </c>
      <c r="B682" t="s">
        <v>1696</v>
      </c>
      <c r="C682" t="s">
        <v>1676</v>
      </c>
      <c r="D682" t="s">
        <v>1678</v>
      </c>
      <c r="K682"/>
      <c r="L682"/>
      <c r="M682"/>
    </row>
    <row r="683" spans="1:13">
      <c r="A683" t="s">
        <v>155</v>
      </c>
      <c r="B683" t="s">
        <v>1696</v>
      </c>
      <c r="C683" t="s">
        <v>1670</v>
      </c>
      <c r="D683" t="s">
        <v>1680</v>
      </c>
      <c r="K683"/>
      <c r="L683"/>
      <c r="M683"/>
    </row>
    <row r="684" spans="1:13">
      <c r="A684" t="s">
        <v>188</v>
      </c>
      <c r="B684" t="s">
        <v>1696</v>
      </c>
      <c r="C684" t="s">
        <v>1676</v>
      </c>
      <c r="D684" t="s">
        <v>1678</v>
      </c>
      <c r="K684"/>
      <c r="L684"/>
      <c r="M684"/>
    </row>
    <row r="685" spans="1:13">
      <c r="A685" t="s">
        <v>153</v>
      </c>
      <c r="B685" t="s">
        <v>1696</v>
      </c>
      <c r="C685" t="s">
        <v>1676</v>
      </c>
      <c r="D685" t="s">
        <v>1678</v>
      </c>
      <c r="K685"/>
      <c r="L685"/>
      <c r="M685"/>
    </row>
    <row r="686" spans="1:13">
      <c r="A686" t="s">
        <v>128</v>
      </c>
      <c r="B686" t="s">
        <v>1696</v>
      </c>
      <c r="C686" t="s">
        <v>1676</v>
      </c>
      <c r="D686" t="s">
        <v>1678</v>
      </c>
      <c r="K686"/>
      <c r="L686"/>
      <c r="M686"/>
    </row>
    <row r="687" spans="1:13">
      <c r="A687" t="s">
        <v>124</v>
      </c>
      <c r="B687" t="s">
        <v>1696</v>
      </c>
      <c r="C687" t="s">
        <v>1676</v>
      </c>
      <c r="D687" t="s">
        <v>1678</v>
      </c>
      <c r="K687"/>
      <c r="L687"/>
      <c r="M687"/>
    </row>
    <row r="688" spans="1:13">
      <c r="A688" t="s">
        <v>154</v>
      </c>
      <c r="B688" t="s">
        <v>1696</v>
      </c>
      <c r="C688" t="s">
        <v>1676</v>
      </c>
      <c r="D688" t="s">
        <v>1678</v>
      </c>
      <c r="K688"/>
      <c r="L688"/>
      <c r="M688"/>
    </row>
    <row r="689" spans="1:13">
      <c r="A689" t="s">
        <v>149</v>
      </c>
      <c r="B689" t="s">
        <v>1696</v>
      </c>
      <c r="C689" t="s">
        <v>1676</v>
      </c>
      <c r="D689" t="s">
        <v>1678</v>
      </c>
      <c r="K689"/>
      <c r="L689"/>
      <c r="M689"/>
    </row>
    <row r="690" spans="1:13">
      <c r="A690" t="s">
        <v>96</v>
      </c>
      <c r="B690" t="s">
        <v>1696</v>
      </c>
      <c r="C690" t="s">
        <v>1676</v>
      </c>
      <c r="D690" t="s">
        <v>1680</v>
      </c>
      <c r="K690"/>
      <c r="L690"/>
      <c r="M690"/>
    </row>
    <row r="691" spans="1:13">
      <c r="A691" t="s">
        <v>183</v>
      </c>
      <c r="B691" t="s">
        <v>1696</v>
      </c>
      <c r="C691" t="s">
        <v>1676</v>
      </c>
      <c r="D691" t="s">
        <v>1678</v>
      </c>
      <c r="K691"/>
      <c r="L691"/>
      <c r="M691"/>
    </row>
    <row r="692" spans="1:13">
      <c r="A692" t="s">
        <v>92</v>
      </c>
      <c r="B692" t="s">
        <v>1696</v>
      </c>
      <c r="C692" t="s">
        <v>1676</v>
      </c>
      <c r="D692" t="s">
        <v>1680</v>
      </c>
      <c r="K692"/>
      <c r="L692"/>
      <c r="M692"/>
    </row>
    <row r="693" spans="1:13">
      <c r="A693" t="s">
        <v>86</v>
      </c>
      <c r="B693" t="s">
        <v>1696</v>
      </c>
      <c r="C693" t="s">
        <v>1676</v>
      </c>
      <c r="D693" t="s">
        <v>1680</v>
      </c>
      <c r="K693"/>
      <c r="L693"/>
      <c r="M693"/>
    </row>
    <row r="694" spans="1:13">
      <c r="A694" t="s">
        <v>189</v>
      </c>
      <c r="B694" t="s">
        <v>1696</v>
      </c>
      <c r="C694" t="s">
        <v>1676</v>
      </c>
      <c r="D694" t="s">
        <v>1678</v>
      </c>
      <c r="K694"/>
      <c r="L694"/>
      <c r="M694"/>
    </row>
    <row r="695" spans="1:13">
      <c r="A695" t="s">
        <v>141</v>
      </c>
      <c r="B695" t="s">
        <v>1696</v>
      </c>
      <c r="C695" t="s">
        <v>1676</v>
      </c>
      <c r="D695" t="s">
        <v>1678</v>
      </c>
      <c r="K695"/>
      <c r="L695"/>
      <c r="M695"/>
    </row>
    <row r="696" spans="1:13">
      <c r="A696" t="s">
        <v>129</v>
      </c>
      <c r="B696" t="s">
        <v>1696</v>
      </c>
      <c r="C696" t="s">
        <v>1676</v>
      </c>
      <c r="D696" t="s">
        <v>1678</v>
      </c>
      <c r="K696"/>
      <c r="L696"/>
      <c r="M696"/>
    </row>
    <row r="697" spans="1:13">
      <c r="A697" t="s">
        <v>144</v>
      </c>
      <c r="B697" t="s">
        <v>1696</v>
      </c>
      <c r="C697" t="s">
        <v>1676</v>
      </c>
      <c r="D697" t="s">
        <v>1678</v>
      </c>
      <c r="K697"/>
      <c r="L697"/>
      <c r="M697"/>
    </row>
    <row r="698" spans="1:13">
      <c r="A698" t="s">
        <v>111</v>
      </c>
      <c r="B698" t="s">
        <v>1696</v>
      </c>
      <c r="C698" t="s">
        <v>1676</v>
      </c>
      <c r="D698" t="s">
        <v>1678</v>
      </c>
      <c r="K698"/>
      <c r="L698"/>
      <c r="M698"/>
    </row>
    <row r="699" spans="1:13">
      <c r="A699" t="s">
        <v>190</v>
      </c>
      <c r="B699" t="s">
        <v>1696</v>
      </c>
      <c r="C699" t="s">
        <v>1676</v>
      </c>
      <c r="D699" t="s">
        <v>1678</v>
      </c>
      <c r="K699"/>
      <c r="L699"/>
      <c r="M699"/>
    </row>
    <row r="700" spans="1:13">
      <c r="A700" t="s">
        <v>168</v>
      </c>
      <c r="B700" t="s">
        <v>1696</v>
      </c>
      <c r="C700" t="s">
        <v>1676</v>
      </c>
      <c r="D700" t="s">
        <v>1678</v>
      </c>
      <c r="K700"/>
      <c r="L700"/>
      <c r="M700"/>
    </row>
    <row r="701" spans="1:13">
      <c r="A701" t="s">
        <v>191</v>
      </c>
      <c r="B701" t="s">
        <v>1696</v>
      </c>
      <c r="C701" t="s">
        <v>1676</v>
      </c>
      <c r="D701" t="s">
        <v>1678</v>
      </c>
      <c r="K701"/>
      <c r="L701"/>
      <c r="M701"/>
    </row>
    <row r="702" spans="1:13">
      <c r="A702" t="s">
        <v>179</v>
      </c>
      <c r="B702" t="s">
        <v>1696</v>
      </c>
      <c r="C702" t="s">
        <v>1676</v>
      </c>
      <c r="D702" t="s">
        <v>1678</v>
      </c>
      <c r="K702"/>
      <c r="L702"/>
      <c r="M702"/>
    </row>
    <row r="703" spans="1:13">
      <c r="A703" t="s">
        <v>98</v>
      </c>
      <c r="B703" t="s">
        <v>1696</v>
      </c>
      <c r="C703" t="s">
        <v>1676</v>
      </c>
      <c r="D703" t="s">
        <v>1680</v>
      </c>
      <c r="K703"/>
      <c r="L703"/>
      <c r="M703"/>
    </row>
    <row r="704" spans="1:13">
      <c r="A704" t="s">
        <v>181</v>
      </c>
      <c r="B704" t="s">
        <v>1696</v>
      </c>
      <c r="C704" t="s">
        <v>1676</v>
      </c>
      <c r="D704" t="s">
        <v>1678</v>
      </c>
      <c r="K704"/>
      <c r="L704"/>
      <c r="M704"/>
    </row>
    <row r="705" spans="1:13">
      <c r="A705" t="s">
        <v>177</v>
      </c>
      <c r="B705" t="s">
        <v>1696</v>
      </c>
      <c r="C705" t="s">
        <v>1676</v>
      </c>
      <c r="D705" t="s">
        <v>1678</v>
      </c>
      <c r="K705"/>
      <c r="L705"/>
      <c r="M705"/>
    </row>
    <row r="706" spans="1:13">
      <c r="A706" t="s">
        <v>112</v>
      </c>
      <c r="B706" t="s">
        <v>1696</v>
      </c>
      <c r="C706" t="s">
        <v>1676</v>
      </c>
      <c r="D706" t="s">
        <v>1678</v>
      </c>
      <c r="K706"/>
      <c r="L706"/>
      <c r="M706"/>
    </row>
    <row r="707" spans="1:13">
      <c r="A707" t="s">
        <v>147</v>
      </c>
      <c r="B707" t="s">
        <v>1696</v>
      </c>
      <c r="C707" t="s">
        <v>1676</v>
      </c>
      <c r="D707" t="s">
        <v>1680</v>
      </c>
      <c r="K707"/>
      <c r="L707"/>
      <c r="M707"/>
    </row>
    <row r="708" spans="1:13">
      <c r="A708" t="s">
        <v>160</v>
      </c>
      <c r="B708" t="s">
        <v>1696</v>
      </c>
      <c r="C708" t="s">
        <v>1676</v>
      </c>
      <c r="D708" t="s">
        <v>1681</v>
      </c>
      <c r="K708"/>
      <c r="L708"/>
      <c r="M708"/>
    </row>
    <row r="709" spans="1:13">
      <c r="A709" t="s">
        <v>101</v>
      </c>
      <c r="B709" t="s">
        <v>1696</v>
      </c>
      <c r="C709" t="s">
        <v>1676</v>
      </c>
      <c r="D709" t="s">
        <v>1678</v>
      </c>
      <c r="K709"/>
      <c r="L709"/>
      <c r="M709"/>
    </row>
    <row r="710" spans="1:13">
      <c r="A710" t="s">
        <v>102</v>
      </c>
      <c r="B710" t="s">
        <v>1696</v>
      </c>
      <c r="C710" t="s">
        <v>1676</v>
      </c>
      <c r="D710" t="s">
        <v>1680</v>
      </c>
      <c r="K710"/>
      <c r="L710"/>
      <c r="M710"/>
    </row>
    <row r="711" spans="1:13">
      <c r="A711" t="s">
        <v>117</v>
      </c>
      <c r="B711" t="s">
        <v>1696</v>
      </c>
      <c r="C711" t="s">
        <v>1676</v>
      </c>
      <c r="D711" t="s">
        <v>1678</v>
      </c>
      <c r="K711"/>
      <c r="L711"/>
      <c r="M711"/>
    </row>
    <row r="712" spans="1:13">
      <c r="A712" t="s">
        <v>151</v>
      </c>
      <c r="B712" t="s">
        <v>1696</v>
      </c>
      <c r="C712" t="s">
        <v>1676</v>
      </c>
      <c r="D712" t="s">
        <v>1678</v>
      </c>
      <c r="K712"/>
      <c r="L712"/>
      <c r="M712"/>
    </row>
    <row r="713" spans="1:13">
      <c r="A713" t="s">
        <v>113</v>
      </c>
      <c r="B713" t="s">
        <v>1696</v>
      </c>
      <c r="C713" t="s">
        <v>1676</v>
      </c>
      <c r="D713" t="s">
        <v>1678</v>
      </c>
      <c r="K713"/>
      <c r="L713"/>
      <c r="M713"/>
    </row>
    <row r="714" spans="1:13">
      <c r="A714" t="s">
        <v>150</v>
      </c>
      <c r="B714" t="s">
        <v>1696</v>
      </c>
      <c r="C714" t="s">
        <v>1676</v>
      </c>
      <c r="D714" t="s">
        <v>1680</v>
      </c>
      <c r="K714"/>
      <c r="L714"/>
      <c r="M714"/>
    </row>
    <row r="715" spans="1:13">
      <c r="A715" t="s">
        <v>133</v>
      </c>
      <c r="B715" t="s">
        <v>1696</v>
      </c>
      <c r="C715" t="s">
        <v>1676</v>
      </c>
      <c r="D715" t="s">
        <v>1678</v>
      </c>
      <c r="K715"/>
      <c r="L715"/>
      <c r="M715"/>
    </row>
    <row r="716" spans="1:13">
      <c r="A716" t="s">
        <v>107</v>
      </c>
      <c r="B716" t="s">
        <v>1696</v>
      </c>
      <c r="C716" t="s">
        <v>1676</v>
      </c>
      <c r="D716" t="s">
        <v>1678</v>
      </c>
      <c r="K716"/>
      <c r="L716"/>
      <c r="M716"/>
    </row>
    <row r="717" spans="1:13">
      <c r="A717" t="s">
        <v>132</v>
      </c>
      <c r="B717" t="s">
        <v>1696</v>
      </c>
      <c r="C717" t="s">
        <v>1676</v>
      </c>
      <c r="D717" t="s">
        <v>1680</v>
      </c>
      <c r="K717"/>
      <c r="L717"/>
      <c r="M717"/>
    </row>
    <row r="718" spans="1:13">
      <c r="A718" t="s">
        <v>140</v>
      </c>
      <c r="B718" t="s">
        <v>1696</v>
      </c>
      <c r="C718" t="s">
        <v>1676</v>
      </c>
      <c r="D718" t="s">
        <v>1678</v>
      </c>
      <c r="K718"/>
      <c r="L718"/>
      <c r="M718"/>
    </row>
    <row r="719" spans="1:13">
      <c r="A719" t="s">
        <v>174</v>
      </c>
      <c r="B719" t="s">
        <v>1696</v>
      </c>
      <c r="C719" t="s">
        <v>1676</v>
      </c>
      <c r="D719" t="s">
        <v>1678</v>
      </c>
      <c r="K719"/>
      <c r="L719"/>
      <c r="M719"/>
    </row>
    <row r="720" spans="1:13">
      <c r="A720" t="s">
        <v>180</v>
      </c>
      <c r="B720" t="s">
        <v>1696</v>
      </c>
      <c r="C720" t="s">
        <v>1676</v>
      </c>
      <c r="D720" t="s">
        <v>1681</v>
      </c>
      <c r="K720"/>
      <c r="L720"/>
      <c r="M720"/>
    </row>
    <row r="721" spans="1:13">
      <c r="A721" t="s">
        <v>91</v>
      </c>
      <c r="B721" t="s">
        <v>1696</v>
      </c>
      <c r="C721" t="s">
        <v>1676</v>
      </c>
      <c r="D721" t="s">
        <v>1680</v>
      </c>
      <c r="K721"/>
      <c r="L721"/>
      <c r="M721"/>
    </row>
    <row r="722" spans="1:13">
      <c r="A722" t="s">
        <v>167</v>
      </c>
      <c r="B722" t="s">
        <v>1696</v>
      </c>
      <c r="C722" t="s">
        <v>1676</v>
      </c>
      <c r="D722" t="s">
        <v>1678</v>
      </c>
      <c r="K722"/>
      <c r="L722"/>
      <c r="M722"/>
    </row>
    <row r="723" spans="1:13">
      <c r="A723" t="s">
        <v>166</v>
      </c>
      <c r="B723" t="s">
        <v>1696</v>
      </c>
      <c r="C723" t="s">
        <v>1676</v>
      </c>
      <c r="D723" t="s">
        <v>1681</v>
      </c>
      <c r="K723"/>
      <c r="L723"/>
      <c r="M723"/>
    </row>
    <row r="724" spans="1:13">
      <c r="A724" t="s">
        <v>145</v>
      </c>
      <c r="B724" t="s">
        <v>1696</v>
      </c>
      <c r="C724" t="s">
        <v>1676</v>
      </c>
      <c r="D724" t="s">
        <v>1678</v>
      </c>
      <c r="K724"/>
      <c r="L724"/>
      <c r="M724"/>
    </row>
    <row r="725" spans="1:13">
      <c r="A725" t="s">
        <v>146</v>
      </c>
      <c r="B725" t="s">
        <v>1696</v>
      </c>
      <c r="C725" t="s">
        <v>1676</v>
      </c>
      <c r="D725" t="s">
        <v>1678</v>
      </c>
      <c r="K725"/>
      <c r="L725"/>
      <c r="M725"/>
    </row>
    <row r="726" spans="1:13">
      <c r="A726" t="s">
        <v>142</v>
      </c>
      <c r="B726" t="s">
        <v>1696</v>
      </c>
      <c r="C726" t="s">
        <v>1676</v>
      </c>
      <c r="D726" t="s">
        <v>1678</v>
      </c>
      <c r="K726"/>
      <c r="L726"/>
      <c r="M726"/>
    </row>
    <row r="727" spans="1:13">
      <c r="A727" t="s">
        <v>185</v>
      </c>
      <c r="B727" t="s">
        <v>1696</v>
      </c>
      <c r="C727" t="s">
        <v>1676</v>
      </c>
      <c r="D727" t="s">
        <v>1678</v>
      </c>
      <c r="K727"/>
      <c r="L727"/>
      <c r="M727"/>
    </row>
    <row r="728" spans="1:13">
      <c r="A728" t="s">
        <v>171</v>
      </c>
      <c r="B728" t="s">
        <v>1696</v>
      </c>
      <c r="C728" t="s">
        <v>1676</v>
      </c>
      <c r="D728" t="s">
        <v>1678</v>
      </c>
      <c r="K728"/>
      <c r="L728"/>
      <c r="M728"/>
    </row>
    <row r="729" spans="1:13">
      <c r="A729" t="s">
        <v>172</v>
      </c>
      <c r="B729" t="s">
        <v>1696</v>
      </c>
      <c r="C729" t="s">
        <v>1676</v>
      </c>
      <c r="D729" t="s">
        <v>1678</v>
      </c>
      <c r="K729"/>
      <c r="L729"/>
      <c r="M729"/>
    </row>
    <row r="730" spans="1:13">
      <c r="A730" t="s">
        <v>173</v>
      </c>
      <c r="B730" t="s">
        <v>1696</v>
      </c>
      <c r="C730" t="s">
        <v>1676</v>
      </c>
      <c r="D730" t="s">
        <v>1678</v>
      </c>
      <c r="K730"/>
      <c r="L730"/>
      <c r="M730"/>
    </row>
    <row r="731" spans="1:13">
      <c r="A731" t="s">
        <v>99</v>
      </c>
      <c r="B731" t="s">
        <v>1696</v>
      </c>
      <c r="C731" t="s">
        <v>1676</v>
      </c>
      <c r="D731" t="s">
        <v>1680</v>
      </c>
      <c r="K731"/>
      <c r="L731"/>
      <c r="M731"/>
    </row>
    <row r="732" spans="1:13">
      <c r="A732" t="s">
        <v>118</v>
      </c>
      <c r="B732" t="s">
        <v>1696</v>
      </c>
      <c r="C732" t="s">
        <v>1676</v>
      </c>
      <c r="D732" t="s">
        <v>1680</v>
      </c>
      <c r="K732"/>
      <c r="L732"/>
      <c r="M732"/>
    </row>
    <row r="733" spans="1:13">
      <c r="A733" t="s">
        <v>614</v>
      </c>
      <c r="B733" t="s">
        <v>1696</v>
      </c>
      <c r="C733" t="s">
        <v>1676</v>
      </c>
      <c r="D733" t="s">
        <v>1678</v>
      </c>
      <c r="K733"/>
      <c r="L733"/>
      <c r="M733"/>
    </row>
    <row r="734" spans="1:13">
      <c r="A734" t="s">
        <v>615</v>
      </c>
      <c r="B734" t="s">
        <v>1696</v>
      </c>
      <c r="C734" t="s">
        <v>1676</v>
      </c>
      <c r="D734" t="s">
        <v>1681</v>
      </c>
      <c r="K734"/>
      <c r="L734"/>
      <c r="M734"/>
    </row>
    <row r="735" spans="1:13">
      <c r="A735" t="s">
        <v>616</v>
      </c>
      <c r="B735" t="s">
        <v>1696</v>
      </c>
      <c r="C735" t="s">
        <v>1676</v>
      </c>
      <c r="D735" t="s">
        <v>1678</v>
      </c>
      <c r="K735"/>
      <c r="L735"/>
      <c r="M735"/>
    </row>
    <row r="736" spans="1:13">
      <c r="A736" t="s">
        <v>613</v>
      </c>
      <c r="B736" t="s">
        <v>1696</v>
      </c>
      <c r="C736" t="s">
        <v>1676</v>
      </c>
      <c r="D736" t="s">
        <v>1680</v>
      </c>
      <c r="K736"/>
      <c r="L736"/>
      <c r="M736"/>
    </row>
    <row r="737" spans="1:13">
      <c r="A737" t="s">
        <v>617</v>
      </c>
      <c r="B737" t="s">
        <v>1696</v>
      </c>
      <c r="C737" t="s">
        <v>1676</v>
      </c>
      <c r="D737" t="s">
        <v>1678</v>
      </c>
      <c r="K737"/>
      <c r="L737"/>
      <c r="M737"/>
    </row>
    <row r="738" spans="1:13">
      <c r="A738" t="s">
        <v>162</v>
      </c>
      <c r="B738" t="s">
        <v>1696</v>
      </c>
      <c r="C738" t="s">
        <v>1676</v>
      </c>
      <c r="D738" t="s">
        <v>1678</v>
      </c>
      <c r="K738"/>
      <c r="L738"/>
      <c r="M738"/>
    </row>
    <row r="739" spans="1:13">
      <c r="A739" t="s">
        <v>161</v>
      </c>
      <c r="B739" t="s">
        <v>1696</v>
      </c>
      <c r="C739" t="s">
        <v>1676</v>
      </c>
      <c r="D739" t="s">
        <v>1678</v>
      </c>
      <c r="K739"/>
      <c r="L739"/>
      <c r="M739"/>
    </row>
    <row r="740" spans="1:13">
      <c r="A740" t="s">
        <v>165</v>
      </c>
      <c r="B740" t="s">
        <v>1696</v>
      </c>
      <c r="C740" t="s">
        <v>1676</v>
      </c>
      <c r="D740" t="s">
        <v>1678</v>
      </c>
      <c r="K740"/>
      <c r="L740"/>
      <c r="M740"/>
    </row>
    <row r="741" spans="1:13">
      <c r="A741" t="s">
        <v>159</v>
      </c>
      <c r="B741" t="s">
        <v>1696</v>
      </c>
      <c r="C741" t="s">
        <v>1676</v>
      </c>
      <c r="D741" t="s">
        <v>1678</v>
      </c>
      <c r="K741"/>
      <c r="L741"/>
      <c r="M741"/>
    </row>
    <row r="742" spans="1:13">
      <c r="A742" t="s">
        <v>122</v>
      </c>
      <c r="B742" t="s">
        <v>1696</v>
      </c>
      <c r="C742" t="s">
        <v>1676</v>
      </c>
      <c r="D742" t="s">
        <v>1678</v>
      </c>
      <c r="K742"/>
      <c r="L742"/>
      <c r="M742"/>
    </row>
    <row r="743" spans="1:13">
      <c r="A743" t="s">
        <v>105</v>
      </c>
      <c r="B743" t="s">
        <v>1696</v>
      </c>
      <c r="C743" t="s">
        <v>1676</v>
      </c>
      <c r="D743" t="s">
        <v>1680</v>
      </c>
      <c r="K743"/>
      <c r="L743"/>
      <c r="M743"/>
    </row>
    <row r="744" spans="1:13">
      <c r="A744" t="s">
        <v>126</v>
      </c>
      <c r="B744" t="s">
        <v>1696</v>
      </c>
      <c r="C744" t="s">
        <v>1676</v>
      </c>
      <c r="D744" t="s">
        <v>1678</v>
      </c>
      <c r="K744"/>
      <c r="L744"/>
      <c r="M744"/>
    </row>
    <row r="745" spans="1:13">
      <c r="A745" t="s">
        <v>136</v>
      </c>
      <c r="B745" t="s">
        <v>1696</v>
      </c>
      <c r="C745" t="s">
        <v>1676</v>
      </c>
      <c r="D745" t="s">
        <v>1680</v>
      </c>
      <c r="K745"/>
      <c r="L745"/>
      <c r="M745"/>
    </row>
    <row r="746" spans="1:13">
      <c r="A746" t="s">
        <v>152</v>
      </c>
      <c r="B746" t="s">
        <v>1696</v>
      </c>
      <c r="C746" t="s">
        <v>1676</v>
      </c>
      <c r="D746" t="s">
        <v>1681</v>
      </c>
      <c r="K746"/>
      <c r="L746"/>
      <c r="M746"/>
    </row>
    <row r="747" spans="1:13">
      <c r="A747" t="s">
        <v>97</v>
      </c>
      <c r="B747" t="s">
        <v>1696</v>
      </c>
      <c r="C747" t="s">
        <v>1676</v>
      </c>
      <c r="D747" t="s">
        <v>1678</v>
      </c>
      <c r="K747"/>
      <c r="L747"/>
      <c r="M747"/>
    </row>
    <row r="748" spans="1:13">
      <c r="A748" t="s">
        <v>134</v>
      </c>
      <c r="B748" t="s">
        <v>1696</v>
      </c>
      <c r="C748" t="s">
        <v>1676</v>
      </c>
      <c r="D748" t="s">
        <v>1680</v>
      </c>
      <c r="K748"/>
      <c r="L748"/>
      <c r="M748"/>
    </row>
    <row r="749" spans="1:13">
      <c r="A749" t="s">
        <v>182</v>
      </c>
      <c r="B749" t="s">
        <v>1696</v>
      </c>
      <c r="C749" t="s">
        <v>1676</v>
      </c>
      <c r="D749" t="s">
        <v>1678</v>
      </c>
      <c r="K749"/>
      <c r="L749"/>
      <c r="M749"/>
    </row>
    <row r="750" spans="1:13">
      <c r="A750" t="s">
        <v>178</v>
      </c>
      <c r="B750" t="s">
        <v>1696</v>
      </c>
      <c r="C750" t="s">
        <v>1676</v>
      </c>
      <c r="D750" t="s">
        <v>1678</v>
      </c>
      <c r="K750"/>
      <c r="L750"/>
      <c r="M750"/>
    </row>
    <row r="751" spans="1:13">
      <c r="A751" t="s">
        <v>119</v>
      </c>
      <c r="B751" t="s">
        <v>1696</v>
      </c>
      <c r="C751" t="s">
        <v>1676</v>
      </c>
      <c r="D751" t="s">
        <v>1680</v>
      </c>
      <c r="K751"/>
      <c r="L751"/>
      <c r="M751"/>
    </row>
    <row r="752" spans="1:13">
      <c r="A752" t="s">
        <v>109</v>
      </c>
      <c r="B752" t="s">
        <v>1696</v>
      </c>
      <c r="C752" t="s">
        <v>1676</v>
      </c>
      <c r="D752" t="s">
        <v>1680</v>
      </c>
      <c r="K752"/>
      <c r="L752"/>
      <c r="M752"/>
    </row>
    <row r="753" spans="1:13">
      <c r="A753" t="s">
        <v>170</v>
      </c>
      <c r="B753" t="s">
        <v>1696</v>
      </c>
      <c r="C753" t="s">
        <v>1676</v>
      </c>
      <c r="D753" t="s">
        <v>1678</v>
      </c>
      <c r="K753"/>
      <c r="L753"/>
      <c r="M753"/>
    </row>
    <row r="754" spans="1:13">
      <c r="A754" t="s">
        <v>116</v>
      </c>
      <c r="B754" t="s">
        <v>1696</v>
      </c>
      <c r="C754" t="s">
        <v>1676</v>
      </c>
      <c r="D754" t="s">
        <v>1678</v>
      </c>
      <c r="K754"/>
      <c r="L754"/>
      <c r="M754"/>
    </row>
    <row r="755" spans="1:13">
      <c r="A755" t="s">
        <v>169</v>
      </c>
      <c r="B755" t="s">
        <v>1696</v>
      </c>
      <c r="C755" t="s">
        <v>1676</v>
      </c>
      <c r="D755" t="s">
        <v>1678</v>
      </c>
      <c r="K755"/>
      <c r="L755"/>
      <c r="M755"/>
    </row>
    <row r="756" spans="1:13">
      <c r="A756" t="s">
        <v>158</v>
      </c>
      <c r="B756" t="s">
        <v>1696</v>
      </c>
      <c r="C756" t="s">
        <v>1676</v>
      </c>
      <c r="D756" t="s">
        <v>1681</v>
      </c>
      <c r="K756"/>
      <c r="L756"/>
      <c r="M756"/>
    </row>
    <row r="757" spans="1:13">
      <c r="A757" t="s">
        <v>127</v>
      </c>
      <c r="B757" t="s">
        <v>1696</v>
      </c>
      <c r="C757" t="s">
        <v>1676</v>
      </c>
      <c r="D757" t="s">
        <v>1680</v>
      </c>
      <c r="K757"/>
      <c r="L757"/>
      <c r="M757"/>
    </row>
    <row r="758" spans="1:13">
      <c r="A758" t="s">
        <v>130</v>
      </c>
      <c r="B758" t="s">
        <v>1696</v>
      </c>
      <c r="C758" t="s">
        <v>1676</v>
      </c>
      <c r="D758" t="s">
        <v>1680</v>
      </c>
      <c r="K758"/>
      <c r="L758"/>
      <c r="M758"/>
    </row>
    <row r="759" spans="1:13">
      <c r="A759" t="s">
        <v>115</v>
      </c>
      <c r="B759" t="s">
        <v>1696</v>
      </c>
      <c r="C759" t="s">
        <v>1676</v>
      </c>
      <c r="D759" t="s">
        <v>1678</v>
      </c>
      <c r="K759"/>
      <c r="L759"/>
      <c r="M759"/>
    </row>
    <row r="760" spans="1:13">
      <c r="A760" t="s">
        <v>164</v>
      </c>
      <c r="B760" t="s">
        <v>1696</v>
      </c>
      <c r="C760" t="s">
        <v>1670</v>
      </c>
      <c r="D760" t="s">
        <v>1680</v>
      </c>
      <c r="K760"/>
      <c r="L760"/>
      <c r="M760"/>
    </row>
    <row r="761" spans="1:13">
      <c r="A761" t="s">
        <v>137</v>
      </c>
      <c r="B761" t="s">
        <v>1696</v>
      </c>
      <c r="C761" t="s">
        <v>1676</v>
      </c>
      <c r="D761" t="s">
        <v>1678</v>
      </c>
      <c r="K761"/>
      <c r="L761"/>
      <c r="M761"/>
    </row>
    <row r="762" spans="1:13">
      <c r="A762" t="s">
        <v>176</v>
      </c>
      <c r="B762" t="s">
        <v>1696</v>
      </c>
      <c r="C762" t="s">
        <v>1676</v>
      </c>
      <c r="D762" t="s">
        <v>1678</v>
      </c>
      <c r="K762"/>
      <c r="L762"/>
      <c r="M762"/>
    </row>
    <row r="763" spans="1:13">
      <c r="A763" t="s">
        <v>131</v>
      </c>
      <c r="B763" t="s">
        <v>1696</v>
      </c>
      <c r="C763" t="s">
        <v>1676</v>
      </c>
      <c r="D763" t="s">
        <v>1678</v>
      </c>
      <c r="K763"/>
      <c r="L763"/>
      <c r="M763"/>
    </row>
    <row r="764" spans="1:13">
      <c r="A764" t="s">
        <v>612</v>
      </c>
      <c r="B764" t="s">
        <v>1696</v>
      </c>
      <c r="C764" t="s">
        <v>1676</v>
      </c>
      <c r="D764" t="s">
        <v>1680</v>
      </c>
      <c r="K764"/>
      <c r="L764"/>
      <c r="M764"/>
    </row>
    <row r="765" spans="1:13">
      <c r="A765" t="s">
        <v>94</v>
      </c>
      <c r="B765" t="s">
        <v>1696</v>
      </c>
      <c r="C765" t="s">
        <v>1676</v>
      </c>
      <c r="D765" t="s">
        <v>1678</v>
      </c>
      <c r="K765"/>
      <c r="L765"/>
      <c r="M765"/>
    </row>
    <row r="766" spans="1:13">
      <c r="A766" t="s">
        <v>120</v>
      </c>
      <c r="B766" t="s">
        <v>1696</v>
      </c>
      <c r="C766" t="s">
        <v>1676</v>
      </c>
      <c r="D766" t="s">
        <v>1678</v>
      </c>
      <c r="K766"/>
      <c r="L766"/>
      <c r="M766"/>
    </row>
    <row r="767" spans="1:13">
      <c r="A767" t="s">
        <v>95</v>
      </c>
      <c r="B767" t="s">
        <v>1696</v>
      </c>
      <c r="C767" t="s">
        <v>1676</v>
      </c>
      <c r="D767" t="s">
        <v>1680</v>
      </c>
      <c r="K767"/>
      <c r="L767"/>
      <c r="M767"/>
    </row>
    <row r="768" spans="1:13">
      <c r="A768" t="s">
        <v>88</v>
      </c>
      <c r="B768" t="s">
        <v>1696</v>
      </c>
      <c r="C768" t="s">
        <v>1676</v>
      </c>
      <c r="D768" t="s">
        <v>1680</v>
      </c>
      <c r="K768"/>
      <c r="L768"/>
      <c r="M768"/>
    </row>
    <row r="769" spans="1:13">
      <c r="A769" t="s">
        <v>93</v>
      </c>
      <c r="B769" t="s">
        <v>1696</v>
      </c>
      <c r="C769" t="s">
        <v>1676</v>
      </c>
      <c r="D769" t="s">
        <v>1680</v>
      </c>
      <c r="K769"/>
      <c r="L769"/>
      <c r="M769"/>
    </row>
    <row r="770" spans="1:13">
      <c r="A770" t="s">
        <v>148</v>
      </c>
      <c r="B770" t="s">
        <v>1696</v>
      </c>
      <c r="C770" t="s">
        <v>1676</v>
      </c>
      <c r="D770" t="s">
        <v>1680</v>
      </c>
      <c r="K770"/>
      <c r="L770"/>
      <c r="M770"/>
    </row>
    <row r="771" spans="1:13">
      <c r="A771" t="s">
        <v>103</v>
      </c>
      <c r="B771" t="s">
        <v>1696</v>
      </c>
      <c r="C771" t="s">
        <v>1676</v>
      </c>
      <c r="D771" t="s">
        <v>1678</v>
      </c>
      <c r="K771"/>
      <c r="L771"/>
      <c r="M771"/>
    </row>
    <row r="772" spans="1:13">
      <c r="A772" t="s">
        <v>104</v>
      </c>
      <c r="B772" t="s">
        <v>1696</v>
      </c>
      <c r="C772" t="s">
        <v>1676</v>
      </c>
      <c r="D772" t="s">
        <v>1680</v>
      </c>
      <c r="K772"/>
      <c r="L772"/>
      <c r="M772"/>
    </row>
    <row r="773" spans="1:13">
      <c r="A773" t="s">
        <v>123</v>
      </c>
      <c r="B773" t="s">
        <v>1696</v>
      </c>
      <c r="C773" t="s">
        <v>1676</v>
      </c>
      <c r="D773" t="s">
        <v>1678</v>
      </c>
      <c r="K773"/>
      <c r="L773"/>
      <c r="M773"/>
    </row>
    <row r="774" spans="1:13">
      <c r="A774" t="s">
        <v>108</v>
      </c>
      <c r="B774" t="s">
        <v>1696</v>
      </c>
      <c r="C774" t="s">
        <v>1676</v>
      </c>
      <c r="D774" t="s">
        <v>1678</v>
      </c>
      <c r="K774"/>
      <c r="L774"/>
      <c r="M774"/>
    </row>
    <row r="775" spans="1:13">
      <c r="A775" t="s">
        <v>114</v>
      </c>
      <c r="B775" t="s">
        <v>1696</v>
      </c>
      <c r="C775" t="s">
        <v>1676</v>
      </c>
      <c r="D775" t="s">
        <v>1678</v>
      </c>
      <c r="K775"/>
      <c r="L775"/>
      <c r="M775"/>
    </row>
    <row r="776" spans="1:13">
      <c r="A776" t="s">
        <v>110</v>
      </c>
      <c r="B776" t="s">
        <v>1696</v>
      </c>
      <c r="C776" t="s">
        <v>1676</v>
      </c>
      <c r="D776" t="s">
        <v>1678</v>
      </c>
      <c r="K776"/>
      <c r="L776"/>
      <c r="M776"/>
    </row>
    <row r="777" spans="1:13">
      <c r="A777" t="s">
        <v>139</v>
      </c>
      <c r="B777" t="s">
        <v>1696</v>
      </c>
      <c r="C777" t="s">
        <v>1676</v>
      </c>
      <c r="D777" t="s">
        <v>1680</v>
      </c>
      <c r="K777"/>
      <c r="L777"/>
      <c r="M777"/>
    </row>
    <row r="778" spans="1:13">
      <c r="A778" t="s">
        <v>156</v>
      </c>
      <c r="B778" t="s">
        <v>1696</v>
      </c>
      <c r="C778" t="s">
        <v>1676</v>
      </c>
      <c r="D778" t="s">
        <v>1678</v>
      </c>
      <c r="K778"/>
      <c r="L778"/>
      <c r="M778"/>
    </row>
    <row r="779" spans="1:13">
      <c r="A779" t="s">
        <v>90</v>
      </c>
      <c r="B779" t="s">
        <v>1696</v>
      </c>
      <c r="C779" t="s">
        <v>1676</v>
      </c>
      <c r="D779" t="s">
        <v>1678</v>
      </c>
      <c r="K779"/>
      <c r="L779"/>
      <c r="M779"/>
    </row>
    <row r="780" spans="1:13">
      <c r="A780" t="s">
        <v>87</v>
      </c>
      <c r="B780" t="s">
        <v>1696</v>
      </c>
      <c r="C780" t="s">
        <v>1676</v>
      </c>
      <c r="D780" t="s">
        <v>1678</v>
      </c>
      <c r="K780"/>
      <c r="L780"/>
      <c r="M780"/>
    </row>
    <row r="781" spans="1:13">
      <c r="A781" t="s">
        <v>89</v>
      </c>
      <c r="B781" t="s">
        <v>1696</v>
      </c>
      <c r="C781" t="s">
        <v>1676</v>
      </c>
      <c r="D781" t="s">
        <v>1678</v>
      </c>
      <c r="K781"/>
      <c r="L781"/>
      <c r="M781"/>
    </row>
    <row r="782" spans="1:13">
      <c r="A782" t="s">
        <v>106</v>
      </c>
      <c r="B782" t="s">
        <v>1696</v>
      </c>
      <c r="C782" t="s">
        <v>1676</v>
      </c>
      <c r="D782" t="s">
        <v>1678</v>
      </c>
      <c r="K782"/>
      <c r="L782"/>
      <c r="M782"/>
    </row>
    <row r="783" spans="1:13">
      <c r="A783" t="s">
        <v>125</v>
      </c>
      <c r="B783" t="s">
        <v>1696</v>
      </c>
      <c r="C783" t="s">
        <v>1676</v>
      </c>
      <c r="D783" t="s">
        <v>1678</v>
      </c>
      <c r="K783"/>
      <c r="L783"/>
      <c r="M783"/>
    </row>
    <row r="784" spans="1:13">
      <c r="A784" t="s">
        <v>186</v>
      </c>
      <c r="B784" t="s">
        <v>1696</v>
      </c>
      <c r="C784" t="s">
        <v>1676</v>
      </c>
      <c r="D784" t="s">
        <v>1678</v>
      </c>
      <c r="K784"/>
      <c r="L784"/>
      <c r="M784"/>
    </row>
    <row r="785" spans="1:13">
      <c r="A785" t="s">
        <v>135</v>
      </c>
      <c r="B785" t="s">
        <v>1696</v>
      </c>
      <c r="C785" t="s">
        <v>1676</v>
      </c>
      <c r="D785" t="s">
        <v>1678</v>
      </c>
      <c r="K785"/>
      <c r="L785"/>
      <c r="M785"/>
    </row>
    <row r="786" spans="1:13">
      <c r="A786" t="s">
        <v>143</v>
      </c>
      <c r="B786" t="s">
        <v>1696</v>
      </c>
      <c r="C786" t="s">
        <v>1676</v>
      </c>
      <c r="D786" t="s">
        <v>1678</v>
      </c>
      <c r="K786"/>
      <c r="L786"/>
      <c r="M786"/>
    </row>
    <row r="787" spans="1:13">
      <c r="A787" t="s">
        <v>184</v>
      </c>
      <c r="B787" t="s">
        <v>1696</v>
      </c>
      <c r="C787" t="s">
        <v>1676</v>
      </c>
      <c r="D787" t="s">
        <v>1678</v>
      </c>
      <c r="K787"/>
      <c r="L787"/>
      <c r="M787"/>
    </row>
    <row r="788" spans="1:13">
      <c r="A788" t="s">
        <v>121</v>
      </c>
      <c r="B788" t="s">
        <v>1696</v>
      </c>
      <c r="C788" t="s">
        <v>1676</v>
      </c>
      <c r="D788" t="s">
        <v>1684</v>
      </c>
      <c r="K788"/>
      <c r="L788"/>
      <c r="M788"/>
    </row>
    <row r="789" spans="1:13">
      <c r="A789" t="s">
        <v>163</v>
      </c>
      <c r="B789" t="s">
        <v>1696</v>
      </c>
      <c r="C789" t="s">
        <v>1670</v>
      </c>
      <c r="D789" t="s">
        <v>1680</v>
      </c>
      <c r="K789"/>
      <c r="L789"/>
      <c r="M789"/>
    </row>
    <row r="790" spans="1:13">
      <c r="A790" t="s">
        <v>1700</v>
      </c>
      <c r="B790" t="s">
        <v>1696</v>
      </c>
      <c r="C790" t="s">
        <v>1669</v>
      </c>
      <c r="D790" t="s">
        <v>1678</v>
      </c>
    </row>
    <row r="791" spans="1:13">
      <c r="A791" t="s">
        <v>1702</v>
      </c>
      <c r="B791" t="s">
        <v>1696</v>
      </c>
      <c r="C791" t="s">
        <v>1676</v>
      </c>
      <c r="D791" t="s">
        <v>1678</v>
      </c>
    </row>
    <row r="792" spans="1:13">
      <c r="A792" t="s">
        <v>2748</v>
      </c>
      <c r="B792" t="s">
        <v>1697</v>
      </c>
      <c r="C792" t="s">
        <v>1668</v>
      </c>
      <c r="D792" t="s">
        <v>1679</v>
      </c>
    </row>
    <row r="793" spans="1:13">
      <c r="A793" t="s">
        <v>2885</v>
      </c>
      <c r="B793" t="s">
        <v>1696</v>
      </c>
      <c r="C793" t="s">
        <v>1676</v>
      </c>
      <c r="D793" t="s">
        <v>1679</v>
      </c>
    </row>
    <row r="794" spans="1:13">
      <c r="A794" t="s">
        <v>2887</v>
      </c>
      <c r="B794" t="s">
        <v>1696</v>
      </c>
      <c r="C794" t="s">
        <v>1669</v>
      </c>
      <c r="D794" t="s">
        <v>1679</v>
      </c>
    </row>
    <row r="795" spans="1:13">
      <c r="A795" t="s">
        <v>2889</v>
      </c>
      <c r="B795" t="s">
        <v>1696</v>
      </c>
      <c r="C795" t="s">
        <v>1676</v>
      </c>
      <c r="D795" t="s">
        <v>1678</v>
      </c>
    </row>
    <row r="796" spans="1:13">
      <c r="A796" t="s">
        <v>2891</v>
      </c>
      <c r="B796" t="s">
        <v>1696</v>
      </c>
      <c r="C796" t="s">
        <v>1676</v>
      </c>
      <c r="D796" t="s">
        <v>1678</v>
      </c>
    </row>
    <row r="797" spans="1:13">
      <c r="A797" t="s">
        <v>2904</v>
      </c>
      <c r="B797" t="s">
        <v>1696</v>
      </c>
      <c r="C797" t="s">
        <v>1672</v>
      </c>
      <c r="D797" t="s">
        <v>1678</v>
      </c>
    </row>
    <row r="798" spans="1:13">
      <c r="A798" t="s">
        <v>2906</v>
      </c>
      <c r="B798" t="s">
        <v>1696</v>
      </c>
      <c r="C798" t="s">
        <v>1672</v>
      </c>
      <c r="D798" t="s">
        <v>1678</v>
      </c>
    </row>
    <row r="799" spans="1:13">
      <c r="A799" t="s">
        <v>2908</v>
      </c>
      <c r="B799" t="s">
        <v>1697</v>
      </c>
      <c r="C799" t="s">
        <v>1669</v>
      </c>
      <c r="D799" t="s">
        <v>1678</v>
      </c>
    </row>
    <row r="800" spans="1:13">
      <c r="A800" t="s">
        <v>2911</v>
      </c>
      <c r="B800" t="s">
        <v>1696</v>
      </c>
      <c r="C800" t="s">
        <v>1669</v>
      </c>
      <c r="D800" t="s">
        <v>1678</v>
      </c>
    </row>
    <row r="801" spans="1:4">
      <c r="A801" t="s">
        <v>2913</v>
      </c>
      <c r="B801" t="s">
        <v>1696</v>
      </c>
      <c r="C801" t="s">
        <v>1669</v>
      </c>
      <c r="D801" t="s">
        <v>1678</v>
      </c>
    </row>
    <row r="802" spans="1:4">
      <c r="A802" t="s">
        <v>2915</v>
      </c>
      <c r="B802" t="s">
        <v>1696</v>
      </c>
      <c r="C802" t="s">
        <v>1669</v>
      </c>
      <c r="D802" t="s">
        <v>1678</v>
      </c>
    </row>
    <row r="803" spans="1:4">
      <c r="A803" t="s">
        <v>2917</v>
      </c>
      <c r="B803" t="s">
        <v>1697</v>
      </c>
      <c r="C803" t="s">
        <v>1669</v>
      </c>
      <c r="D803" t="s">
        <v>1678</v>
      </c>
    </row>
    <row r="804" spans="1:4">
      <c r="A804" t="s">
        <v>2921</v>
      </c>
      <c r="B804" t="s">
        <v>1696</v>
      </c>
      <c r="C804" t="s">
        <v>1673</v>
      </c>
      <c r="D804" t="s">
        <v>1680</v>
      </c>
    </row>
    <row r="805" spans="1:4">
      <c r="A805" t="s">
        <v>3048</v>
      </c>
      <c r="B805" t="s">
        <v>1696</v>
      </c>
      <c r="C805" t="s">
        <v>1675</v>
      </c>
      <c r="D805" t="s">
        <v>1678</v>
      </c>
    </row>
    <row r="806" spans="1:4">
      <c r="A806" t="s">
        <v>3049</v>
      </c>
      <c r="B806" t="s">
        <v>1696</v>
      </c>
      <c r="C806" t="s">
        <v>1675</v>
      </c>
      <c r="D806" t="s">
        <v>1678</v>
      </c>
    </row>
    <row r="807" spans="1:4">
      <c r="A807" t="s">
        <v>3021</v>
      </c>
      <c r="B807" t="s">
        <v>1696</v>
      </c>
      <c r="C807" t="s">
        <v>1675</v>
      </c>
      <c r="D807" t="s">
        <v>3030</v>
      </c>
    </row>
    <row r="808" spans="1:4">
      <c r="A808" t="s">
        <v>3016</v>
      </c>
      <c r="B808" t="s">
        <v>1696</v>
      </c>
      <c r="C808" t="s">
        <v>1675</v>
      </c>
      <c r="D808" t="s">
        <v>3030</v>
      </c>
    </row>
    <row r="809" spans="1:4">
      <c r="A809" t="s">
        <v>3017</v>
      </c>
      <c r="B809" t="s">
        <v>1696</v>
      </c>
      <c r="C809" t="s">
        <v>1675</v>
      </c>
      <c r="D809" t="s">
        <v>3030</v>
      </c>
    </row>
    <row r="810" spans="1:4">
      <c r="A810" t="s">
        <v>3018</v>
      </c>
      <c r="B810" t="s">
        <v>1696</v>
      </c>
      <c r="C810" t="s">
        <v>1675</v>
      </c>
      <c r="D810" t="s">
        <v>3030</v>
      </c>
    </row>
    <row r="811" spans="1:4">
      <c r="A811" t="s">
        <v>3019</v>
      </c>
      <c r="B811" t="s">
        <v>1696</v>
      </c>
      <c r="C811" t="s">
        <v>1675</v>
      </c>
      <c r="D811" t="s">
        <v>3030</v>
      </c>
    </row>
    <row r="812" spans="1:4">
      <c r="A812" t="s">
        <v>3020</v>
      </c>
      <c r="B812" t="s">
        <v>1696</v>
      </c>
      <c r="C812" t="s">
        <v>1675</v>
      </c>
      <c r="D812" t="s">
        <v>3030</v>
      </c>
    </row>
    <row r="813" spans="1:4">
      <c r="A813" t="s">
        <v>3056</v>
      </c>
      <c r="B813" t="s">
        <v>1696</v>
      </c>
      <c r="C813" t="s">
        <v>1675</v>
      </c>
      <c r="D813" t="s">
        <v>3030</v>
      </c>
    </row>
    <row r="814" spans="1:4">
      <c r="A814" t="s">
        <v>3032</v>
      </c>
      <c r="B814" t="s">
        <v>1697</v>
      </c>
      <c r="C814" t="s">
        <v>1672</v>
      </c>
      <c r="D814" t="s">
        <v>1678</v>
      </c>
    </row>
    <row r="815" spans="1:4">
      <c r="A815" t="s">
        <v>3050</v>
      </c>
      <c r="B815" t="s">
        <v>1696</v>
      </c>
      <c r="C815" t="s">
        <v>1673</v>
      </c>
      <c r="D815" t="s">
        <v>1680</v>
      </c>
    </row>
    <row r="816" spans="1:4">
      <c r="A816" t="s">
        <v>3053</v>
      </c>
      <c r="B816" t="s">
        <v>1696</v>
      </c>
      <c r="C816" t="s">
        <v>1673</v>
      </c>
      <c r="D816" t="s">
        <v>1680</v>
      </c>
    </row>
    <row r="817" spans="1:4">
      <c r="A817" t="s">
        <v>3057</v>
      </c>
      <c r="B817" t="s">
        <v>1696</v>
      </c>
      <c r="C817" t="s">
        <v>1673</v>
      </c>
      <c r="D817" t="s">
        <v>1680</v>
      </c>
    </row>
    <row r="818" spans="1:4">
      <c r="A818" t="s">
        <v>3060</v>
      </c>
      <c r="B818" t="s">
        <v>1696</v>
      </c>
      <c r="C818" t="s">
        <v>1673</v>
      </c>
      <c r="D818" t="s">
        <v>1680</v>
      </c>
    </row>
    <row r="819" spans="1:4">
      <c r="A819" t="s">
        <v>3074</v>
      </c>
      <c r="B819" t="s">
        <v>1696</v>
      </c>
      <c r="C819" t="s">
        <v>1673</v>
      </c>
      <c r="D819" t="s">
        <v>1680</v>
      </c>
    </row>
    <row r="820" spans="1:4">
      <c r="A820" t="s">
        <v>3075</v>
      </c>
      <c r="B820" t="s">
        <v>1696</v>
      </c>
      <c r="C820" t="s">
        <v>1673</v>
      </c>
      <c r="D820" t="s">
        <v>1680</v>
      </c>
    </row>
    <row r="821" spans="1:4">
      <c r="A821" t="s">
        <v>3078</v>
      </c>
      <c r="B821" t="s">
        <v>1696</v>
      </c>
      <c r="C821" t="s">
        <v>1673</v>
      </c>
      <c r="D821" t="s">
        <v>1680</v>
      </c>
    </row>
    <row r="822" spans="1:4">
      <c r="A822" t="s">
        <v>3082</v>
      </c>
      <c r="B822" t="s">
        <v>1696</v>
      </c>
      <c r="C822" t="s">
        <v>1673</v>
      </c>
      <c r="D822" t="s">
        <v>1678</v>
      </c>
    </row>
    <row r="823" spans="1:4">
      <c r="A823" t="s">
        <v>3083</v>
      </c>
      <c r="B823" t="s">
        <v>1696</v>
      </c>
      <c r="C823" t="s">
        <v>1673</v>
      </c>
      <c r="D823" t="s">
        <v>1678</v>
      </c>
    </row>
    <row r="824" spans="1:4">
      <c r="A824" t="s">
        <v>3086</v>
      </c>
      <c r="B824" t="s">
        <v>1696</v>
      </c>
      <c r="C824" t="s">
        <v>1669</v>
      </c>
      <c r="D824" t="s">
        <v>1678</v>
      </c>
    </row>
    <row r="825" spans="1:4">
      <c r="A825" t="s">
        <v>3090</v>
      </c>
      <c r="B825" t="s">
        <v>1696</v>
      </c>
      <c r="C825" t="s">
        <v>1672</v>
      </c>
      <c r="D825" t="s">
        <v>1678</v>
      </c>
    </row>
    <row r="826" spans="1:4">
      <c r="A826" t="s">
        <v>3092</v>
      </c>
      <c r="B826" t="s">
        <v>1696</v>
      </c>
      <c r="C826" t="s">
        <v>1672</v>
      </c>
      <c r="D826" t="s">
        <v>1678</v>
      </c>
    </row>
    <row r="827" spans="1:4">
      <c r="A827" t="s">
        <v>3094</v>
      </c>
      <c r="B827" t="s">
        <v>1696</v>
      </c>
      <c r="C827" t="s">
        <v>1676</v>
      </c>
      <c r="D827" t="s">
        <v>1680</v>
      </c>
    </row>
    <row r="828" spans="1:4">
      <c r="A828" t="s">
        <v>3096</v>
      </c>
      <c r="B828" t="s">
        <v>1696</v>
      </c>
      <c r="C828" t="s">
        <v>1673</v>
      </c>
      <c r="D828" t="s">
        <v>1678</v>
      </c>
    </row>
    <row r="829" spans="1:4">
      <c r="A829" t="s">
        <v>3099</v>
      </c>
      <c r="B829" t="s">
        <v>1696</v>
      </c>
      <c r="C829" t="s">
        <v>1673</v>
      </c>
      <c r="D829" t="s">
        <v>1678</v>
      </c>
    </row>
    <row r="830" spans="1:4">
      <c r="A830" t="s">
        <v>3101</v>
      </c>
      <c r="B830" t="s">
        <v>1696</v>
      </c>
      <c r="C830" t="s">
        <v>1673</v>
      </c>
      <c r="D830" t="s">
        <v>1678</v>
      </c>
    </row>
    <row r="831" spans="1:4">
      <c r="A831" t="s">
        <v>3104</v>
      </c>
      <c r="B831" t="s">
        <v>1696</v>
      </c>
      <c r="C831" t="s">
        <v>1673</v>
      </c>
      <c r="D831" t="s">
        <v>1678</v>
      </c>
    </row>
    <row r="832" spans="1:4">
      <c r="A832" t="s">
        <v>3107</v>
      </c>
      <c r="B832" t="s">
        <v>1696</v>
      </c>
      <c r="C832" t="s">
        <v>1673</v>
      </c>
      <c r="D832" t="s">
        <v>1680</v>
      </c>
    </row>
    <row r="833" spans="1:4">
      <c r="A833" t="s">
        <v>3110</v>
      </c>
      <c r="B833" t="s">
        <v>1696</v>
      </c>
      <c r="C833" t="s">
        <v>1673</v>
      </c>
      <c r="D833" t="s">
        <v>1680</v>
      </c>
    </row>
    <row r="834" spans="1:4">
      <c r="A834" t="s">
        <v>3113</v>
      </c>
      <c r="B834" t="s">
        <v>1696</v>
      </c>
      <c r="C834" t="s">
        <v>1676</v>
      </c>
      <c r="D834" t="s">
        <v>1680</v>
      </c>
    </row>
    <row r="835" spans="1:4">
      <c r="A835" t="s">
        <v>3115</v>
      </c>
      <c r="B835" t="s">
        <v>1696</v>
      </c>
      <c r="C835" t="s">
        <v>1676</v>
      </c>
      <c r="D835" t="s">
        <v>1680</v>
      </c>
    </row>
    <row r="836" spans="1:4">
      <c r="A836" t="s">
        <v>3118</v>
      </c>
      <c r="B836" t="s">
        <v>1696</v>
      </c>
      <c r="C836" t="s">
        <v>1676</v>
      </c>
      <c r="D836" t="s">
        <v>1678</v>
      </c>
    </row>
    <row r="837" spans="1:4">
      <c r="A837" t="s">
        <v>3121</v>
      </c>
      <c r="B837" t="s">
        <v>1696</v>
      </c>
      <c r="C837" t="s">
        <v>1676</v>
      </c>
      <c r="D837" t="s">
        <v>1678</v>
      </c>
    </row>
    <row r="838" spans="1:4">
      <c r="A838" t="s">
        <v>3124</v>
      </c>
      <c r="B838" t="s">
        <v>1696</v>
      </c>
      <c r="C838" t="s">
        <v>1676</v>
      </c>
      <c r="D838" t="s">
        <v>1678</v>
      </c>
    </row>
    <row r="839" spans="1:4">
      <c r="A839" t="s">
        <v>3127</v>
      </c>
      <c r="B839" t="s">
        <v>1696</v>
      </c>
      <c r="C839" t="s">
        <v>1676</v>
      </c>
      <c r="D839" t="s">
        <v>1678</v>
      </c>
    </row>
    <row r="840" spans="1:4">
      <c r="A840" t="s">
        <v>3130</v>
      </c>
      <c r="B840" t="s">
        <v>1696</v>
      </c>
      <c r="C840" t="s">
        <v>1676</v>
      </c>
      <c r="D840" t="s">
        <v>1680</v>
      </c>
    </row>
    <row r="841" spans="1:4">
      <c r="A841" s="2" t="s">
        <v>3134</v>
      </c>
      <c r="B841" t="s">
        <v>1696</v>
      </c>
      <c r="C841" t="s">
        <v>1676</v>
      </c>
      <c r="D841" t="s">
        <v>1678</v>
      </c>
    </row>
    <row r="842" spans="1:4">
      <c r="A842" s="2" t="s">
        <v>3135</v>
      </c>
      <c r="B842" t="s">
        <v>1696</v>
      </c>
      <c r="C842" t="s">
        <v>1676</v>
      </c>
      <c r="D842" t="s">
        <v>1678</v>
      </c>
    </row>
    <row r="843" spans="1:4">
      <c r="A843" s="2" t="s">
        <v>3137</v>
      </c>
      <c r="B843" t="s">
        <v>1696</v>
      </c>
      <c r="C843" t="s">
        <v>1676</v>
      </c>
      <c r="D843" t="s">
        <v>1680</v>
      </c>
    </row>
    <row r="844" spans="1:4">
      <c r="A844" s="2" t="s">
        <v>3139</v>
      </c>
      <c r="B844" t="s">
        <v>1696</v>
      </c>
      <c r="C844" t="s">
        <v>1676</v>
      </c>
      <c r="D844" t="s">
        <v>1678</v>
      </c>
    </row>
    <row r="845" spans="1:4">
      <c r="A845" s="2" t="s">
        <v>3144</v>
      </c>
      <c r="B845" t="s">
        <v>1696</v>
      </c>
      <c r="C845" t="s">
        <v>1669</v>
      </c>
      <c r="D845" t="s">
        <v>1678</v>
      </c>
    </row>
    <row r="846" spans="1:4">
      <c r="A846" s="2" t="s">
        <v>3147</v>
      </c>
      <c r="B846" t="s">
        <v>1696</v>
      </c>
      <c r="C846" t="s">
        <v>1669</v>
      </c>
      <c r="D846" t="s">
        <v>1678</v>
      </c>
    </row>
    <row r="847" spans="1:4">
      <c r="A847" s="2" t="s">
        <v>3153</v>
      </c>
      <c r="B847" t="s">
        <v>1696</v>
      </c>
      <c r="C847" t="s">
        <v>1669</v>
      </c>
      <c r="D847" t="s">
        <v>1678</v>
      </c>
    </row>
    <row r="848" spans="1:4">
      <c r="A848" s="2" t="s">
        <v>3154</v>
      </c>
      <c r="B848" t="s">
        <v>1696</v>
      </c>
      <c r="C848" t="s">
        <v>1669</v>
      </c>
      <c r="D848" t="s">
        <v>1678</v>
      </c>
    </row>
    <row r="849" spans="1:4">
      <c r="A849" s="2" t="s">
        <v>3156</v>
      </c>
      <c r="B849" t="s">
        <v>1696</v>
      </c>
      <c r="C849" t="s">
        <v>1669</v>
      </c>
      <c r="D849" t="s">
        <v>1678</v>
      </c>
    </row>
    <row r="850" spans="1:4">
      <c r="A850" s="2" t="s">
        <v>3160</v>
      </c>
      <c r="B850" t="s">
        <v>1696</v>
      </c>
      <c r="C850" t="s">
        <v>1669</v>
      </c>
      <c r="D850" t="s">
        <v>1678</v>
      </c>
    </row>
    <row r="851" spans="1:4">
      <c r="A851" s="2" t="s">
        <v>3162</v>
      </c>
      <c r="B851" t="s">
        <v>1696</v>
      </c>
      <c r="C851" t="s">
        <v>1669</v>
      </c>
      <c r="D851" t="s">
        <v>1678</v>
      </c>
    </row>
    <row r="852" spans="1:4">
      <c r="A852" s="2" t="s">
        <v>3167</v>
      </c>
      <c r="B852" t="s">
        <v>1696</v>
      </c>
      <c r="C852" t="s">
        <v>1669</v>
      </c>
      <c r="D852" t="s">
        <v>1678</v>
      </c>
    </row>
    <row r="853" spans="1:4">
      <c r="A853" s="2" t="s">
        <v>3168</v>
      </c>
      <c r="B853" t="s">
        <v>1696</v>
      </c>
      <c r="C853" t="s">
        <v>1669</v>
      </c>
      <c r="D853" t="s">
        <v>1678</v>
      </c>
    </row>
    <row r="854" spans="1:4">
      <c r="A854" s="2" t="s">
        <v>3171</v>
      </c>
      <c r="B854" t="s">
        <v>1696</v>
      </c>
      <c r="C854" t="s">
        <v>1669</v>
      </c>
      <c r="D854" t="s">
        <v>1678</v>
      </c>
    </row>
    <row r="855" spans="1:4">
      <c r="A855" s="2" t="s">
        <v>3174</v>
      </c>
      <c r="B855" t="s">
        <v>1696</v>
      </c>
      <c r="C855" t="s">
        <v>1669</v>
      </c>
      <c r="D855" t="s">
        <v>1678</v>
      </c>
    </row>
    <row r="856" spans="1:4">
      <c r="A856" s="2" t="s">
        <v>3176</v>
      </c>
      <c r="B856" t="s">
        <v>1696</v>
      </c>
      <c r="C856" t="s">
        <v>1669</v>
      </c>
      <c r="D856" t="s">
        <v>1678</v>
      </c>
    </row>
    <row r="857" spans="1:4">
      <c r="A857" s="2" t="s">
        <v>3178</v>
      </c>
      <c r="B857" t="s">
        <v>1696</v>
      </c>
      <c r="C857" t="s">
        <v>1669</v>
      </c>
      <c r="D857" t="s">
        <v>1678</v>
      </c>
    </row>
    <row r="858" spans="1:4">
      <c r="A858" s="2" t="s">
        <v>3181</v>
      </c>
      <c r="B858" t="s">
        <v>1696</v>
      </c>
      <c r="C858" t="s">
        <v>1669</v>
      </c>
      <c r="D858" t="s">
        <v>1678</v>
      </c>
    </row>
    <row r="859" spans="1:4">
      <c r="A859" s="2" t="s">
        <v>3183</v>
      </c>
      <c r="B859" t="s">
        <v>1696</v>
      </c>
      <c r="C859" t="s">
        <v>1669</v>
      </c>
      <c r="D859" t="s">
        <v>1678</v>
      </c>
    </row>
    <row r="860" spans="1:4">
      <c r="A860" s="2" t="s">
        <v>3189</v>
      </c>
      <c r="B860" t="s">
        <v>1696</v>
      </c>
      <c r="C860" t="s">
        <v>1669</v>
      </c>
      <c r="D860" t="s">
        <v>1678</v>
      </c>
    </row>
    <row r="861" spans="1:4">
      <c r="A861" s="2" t="s">
        <v>3194</v>
      </c>
      <c r="B861" t="s">
        <v>1696</v>
      </c>
      <c r="C861" t="s">
        <v>1669</v>
      </c>
      <c r="D861" t="s">
        <v>1678</v>
      </c>
    </row>
    <row r="862" spans="1:4">
      <c r="A862" s="2" t="s">
        <v>3186</v>
      </c>
      <c r="B862" t="s">
        <v>1696</v>
      </c>
      <c r="C862" t="s">
        <v>1669</v>
      </c>
      <c r="D862" t="s">
        <v>1678</v>
      </c>
    </row>
    <row r="863" spans="1:4">
      <c r="A863" t="s">
        <v>3195</v>
      </c>
      <c r="B863" t="s">
        <v>1696</v>
      </c>
      <c r="C863" t="s">
        <v>1669</v>
      </c>
      <c r="D863" t="s">
        <v>1678</v>
      </c>
    </row>
    <row r="864" spans="1:4">
      <c r="A864" t="s">
        <v>3196</v>
      </c>
      <c r="B864" t="s">
        <v>1696</v>
      </c>
      <c r="C864" t="s">
        <v>1669</v>
      </c>
      <c r="D864" t="s">
        <v>1678</v>
      </c>
    </row>
    <row r="865" spans="1:4">
      <c r="A865" t="s">
        <v>3197</v>
      </c>
      <c r="B865" t="s">
        <v>1696</v>
      </c>
      <c r="C865" t="s">
        <v>1669</v>
      </c>
      <c r="D865" t="s">
        <v>1678</v>
      </c>
    </row>
    <row r="866" spans="1:4">
      <c r="A866" s="2" t="s">
        <v>3202</v>
      </c>
      <c r="B866" t="s">
        <v>1696</v>
      </c>
      <c r="C866" t="s">
        <v>1669</v>
      </c>
      <c r="D866" t="s">
        <v>1678</v>
      </c>
    </row>
    <row r="867" spans="1:4">
      <c r="A867" t="s">
        <v>3206</v>
      </c>
      <c r="B867" t="s">
        <v>1696</v>
      </c>
      <c r="C867" t="s">
        <v>1669</v>
      </c>
      <c r="D867" t="s">
        <v>1678</v>
      </c>
    </row>
    <row r="868" spans="1:4">
      <c r="A868" s="2" t="s">
        <v>3209</v>
      </c>
      <c r="B868" t="s">
        <v>1696</v>
      </c>
      <c r="C868" t="s">
        <v>1669</v>
      </c>
      <c r="D868" t="s">
        <v>1678</v>
      </c>
    </row>
    <row r="869" spans="1:4">
      <c r="A869" s="2" t="s">
        <v>3210</v>
      </c>
      <c r="B869" t="s">
        <v>1696</v>
      </c>
      <c r="C869" t="s">
        <v>1669</v>
      </c>
      <c r="D869" t="s">
        <v>1678</v>
      </c>
    </row>
    <row r="870" spans="1:4">
      <c r="A870" s="2" t="s">
        <v>3213</v>
      </c>
      <c r="B870" t="s">
        <v>1697</v>
      </c>
      <c r="C870" t="s">
        <v>1672</v>
      </c>
      <c r="D870" t="s">
        <v>1678</v>
      </c>
    </row>
    <row r="871" spans="1:4">
      <c r="A871" s="2" t="s">
        <v>3215</v>
      </c>
      <c r="B871" t="s">
        <v>1696</v>
      </c>
      <c r="C871" t="s">
        <v>1669</v>
      </c>
      <c r="D871" t="s">
        <v>1678</v>
      </c>
    </row>
    <row r="872" spans="1:4">
      <c r="A872" s="2" t="s">
        <v>3219</v>
      </c>
      <c r="B872" t="s">
        <v>1696</v>
      </c>
      <c r="C872" t="s">
        <v>1669</v>
      </c>
      <c r="D872" t="s">
        <v>1678</v>
      </c>
    </row>
    <row r="873" spans="1:4">
      <c r="A873" s="2" t="s">
        <v>3222</v>
      </c>
      <c r="B873" t="s">
        <v>1696</v>
      </c>
      <c r="C873" t="s">
        <v>1669</v>
      </c>
      <c r="D873" t="s">
        <v>1678</v>
      </c>
    </row>
    <row r="874" spans="1:4">
      <c r="A874" s="2" t="s">
        <v>3227</v>
      </c>
      <c r="B874" t="s">
        <v>1696</v>
      </c>
      <c r="C874" t="s">
        <v>1669</v>
      </c>
      <c r="D874" t="s">
        <v>1678</v>
      </c>
    </row>
    <row r="875" spans="1:4">
      <c r="A875" s="2" t="s">
        <v>3230</v>
      </c>
      <c r="B875" t="s">
        <v>1696</v>
      </c>
      <c r="C875" t="s">
        <v>1669</v>
      </c>
      <c r="D875" t="s">
        <v>1678</v>
      </c>
    </row>
    <row r="876" spans="1:4">
      <c r="A876" s="2" t="s">
        <v>3232</v>
      </c>
      <c r="B876" t="s">
        <v>1696</v>
      </c>
      <c r="C876" t="s">
        <v>1669</v>
      </c>
      <c r="D876" t="s">
        <v>1678</v>
      </c>
    </row>
    <row r="877" spans="1:4">
      <c r="A877" s="2" t="s">
        <v>3236</v>
      </c>
      <c r="B877" t="s">
        <v>1696</v>
      </c>
      <c r="C877" t="s">
        <v>1669</v>
      </c>
      <c r="D877" t="s">
        <v>1678</v>
      </c>
    </row>
    <row r="878" spans="1:4">
      <c r="A878" s="2" t="s">
        <v>3239</v>
      </c>
      <c r="B878" t="s">
        <v>1696</v>
      </c>
      <c r="C878" t="s">
        <v>1669</v>
      </c>
      <c r="D878" t="s">
        <v>1678</v>
      </c>
    </row>
    <row r="879" spans="1:4">
      <c r="A879" s="2" t="s">
        <v>3242</v>
      </c>
      <c r="B879" t="s">
        <v>1696</v>
      </c>
      <c r="C879" t="s">
        <v>1669</v>
      </c>
      <c r="D879" t="s">
        <v>1678</v>
      </c>
    </row>
    <row r="880" spans="1:4">
      <c r="A880" s="2" t="s">
        <v>3244</v>
      </c>
      <c r="B880" t="s">
        <v>1696</v>
      </c>
      <c r="C880" t="s">
        <v>1669</v>
      </c>
      <c r="D880" t="s">
        <v>1678</v>
      </c>
    </row>
    <row r="881" spans="1:4">
      <c r="A881" t="s">
        <v>3247</v>
      </c>
      <c r="B881" t="s">
        <v>1696</v>
      </c>
      <c r="C881" t="s">
        <v>1676</v>
      </c>
      <c r="D881" t="s">
        <v>1680</v>
      </c>
    </row>
    <row r="882" spans="1:4">
      <c r="A882" s="2" t="s">
        <v>3250</v>
      </c>
      <c r="B882" t="s">
        <v>1696</v>
      </c>
      <c r="C882" t="s">
        <v>1676</v>
      </c>
      <c r="D882" t="s">
        <v>1678</v>
      </c>
    </row>
    <row r="883" spans="1:4">
      <c r="A883" s="2" t="s">
        <v>3254</v>
      </c>
      <c r="B883" t="s">
        <v>1696</v>
      </c>
      <c r="C883" t="s">
        <v>1676</v>
      </c>
      <c r="D883" t="s">
        <v>1678</v>
      </c>
    </row>
    <row r="884" spans="1:4">
      <c r="A884" t="s">
        <v>3256</v>
      </c>
      <c r="B884" t="s">
        <v>1696</v>
      </c>
      <c r="C884" t="s">
        <v>1676</v>
      </c>
      <c r="D884" t="s">
        <v>1678</v>
      </c>
    </row>
    <row r="885" spans="1:4">
      <c r="A885" s="2" t="s">
        <v>3259</v>
      </c>
      <c r="B885" t="s">
        <v>1696</v>
      </c>
      <c r="C885" t="s">
        <v>1676</v>
      </c>
      <c r="D885" t="s">
        <v>1678</v>
      </c>
    </row>
    <row r="886" spans="1:4">
      <c r="A886" s="2" t="s">
        <v>3261</v>
      </c>
      <c r="B886" t="s">
        <v>1696</v>
      </c>
      <c r="C886" t="s">
        <v>1676</v>
      </c>
      <c r="D886" t="s">
        <v>1678</v>
      </c>
    </row>
    <row r="887" spans="1:4">
      <c r="A887" s="2" t="s">
        <v>3264</v>
      </c>
      <c r="B887" t="s">
        <v>1696</v>
      </c>
      <c r="C887" t="s">
        <v>1676</v>
      </c>
      <c r="D887" t="s">
        <v>1678</v>
      </c>
    </row>
    <row r="888" spans="1:4">
      <c r="A888" t="s">
        <v>3267</v>
      </c>
      <c r="B888" t="s">
        <v>1696</v>
      </c>
      <c r="C888" t="s">
        <v>1669</v>
      </c>
      <c r="D888" t="s">
        <v>1678</v>
      </c>
    </row>
    <row r="889" spans="1:4">
      <c r="A889" s="2" t="s">
        <v>3271</v>
      </c>
      <c r="B889" t="s">
        <v>1696</v>
      </c>
      <c r="C889" t="s">
        <v>1669</v>
      </c>
      <c r="D889" t="s">
        <v>1678</v>
      </c>
    </row>
    <row r="890" spans="1:4">
      <c r="A890" s="2" t="s">
        <v>3284</v>
      </c>
      <c r="B890" t="s">
        <v>1696</v>
      </c>
      <c r="C890" t="s">
        <v>1676</v>
      </c>
      <c r="D890" t="s">
        <v>1678</v>
      </c>
    </row>
    <row r="891" spans="1:4">
      <c r="A891" s="2" t="s">
        <v>3278</v>
      </c>
      <c r="B891" t="s">
        <v>1696</v>
      </c>
      <c r="C891" t="s">
        <v>1669</v>
      </c>
      <c r="D891" t="s">
        <v>1678</v>
      </c>
    </row>
    <row r="892" spans="1:4">
      <c r="A892" s="2" t="s">
        <v>3282</v>
      </c>
      <c r="B892" t="s">
        <v>1696</v>
      </c>
      <c r="C892" t="s">
        <v>1673</v>
      </c>
      <c r="D892" t="s">
        <v>1678</v>
      </c>
    </row>
    <row r="893" spans="1:4">
      <c r="A893" s="2" t="s">
        <v>3285</v>
      </c>
      <c r="B893" t="s">
        <v>1696</v>
      </c>
      <c r="C893" t="s">
        <v>1676</v>
      </c>
      <c r="D893" t="s">
        <v>1678</v>
      </c>
    </row>
    <row r="894" spans="1:4">
      <c r="A894" s="2" t="s">
        <v>3289</v>
      </c>
      <c r="B894" t="s">
        <v>1696</v>
      </c>
      <c r="C894" t="s">
        <v>1673</v>
      </c>
      <c r="D894" t="s">
        <v>1678</v>
      </c>
    </row>
    <row r="895" spans="1:4">
      <c r="A895" s="2" t="s">
        <v>3292</v>
      </c>
      <c r="B895" t="s">
        <v>1697</v>
      </c>
      <c r="C895" t="s">
        <v>1673</v>
      </c>
      <c r="D895" t="s">
        <v>1678</v>
      </c>
    </row>
    <row r="896" spans="1:4">
      <c r="A896" t="s">
        <v>3302</v>
      </c>
      <c r="B896" t="s">
        <v>1697</v>
      </c>
      <c r="C896" t="s">
        <v>1673</v>
      </c>
      <c r="D896" t="s">
        <v>1678</v>
      </c>
    </row>
    <row r="897" spans="1:4">
      <c r="A897" s="2" t="s">
        <v>3304</v>
      </c>
      <c r="B897" t="s">
        <v>1697</v>
      </c>
      <c r="C897" t="s">
        <v>1673</v>
      </c>
      <c r="D897" t="s">
        <v>1678</v>
      </c>
    </row>
    <row r="898" spans="1:4">
      <c r="A898" s="2" t="s">
        <v>3308</v>
      </c>
      <c r="B898" t="s">
        <v>1697</v>
      </c>
      <c r="C898" t="s">
        <v>1673</v>
      </c>
      <c r="D898" t="s">
        <v>1678</v>
      </c>
    </row>
    <row r="899" spans="1:4">
      <c r="A899" s="2" t="s">
        <v>3312</v>
      </c>
      <c r="B899" t="s">
        <v>1697</v>
      </c>
      <c r="C899" t="s">
        <v>1673</v>
      </c>
      <c r="D899" t="s">
        <v>1678</v>
      </c>
    </row>
    <row r="900" spans="1:4">
      <c r="A900" t="s">
        <v>3314</v>
      </c>
      <c r="B900" t="s">
        <v>1697</v>
      </c>
      <c r="C900" t="s">
        <v>1673</v>
      </c>
      <c r="D900" t="s">
        <v>1678</v>
      </c>
    </row>
    <row r="901" spans="1:4">
      <c r="A901" s="2" t="s">
        <v>3315</v>
      </c>
      <c r="B901" t="s">
        <v>1697</v>
      </c>
      <c r="C901" t="s">
        <v>1673</v>
      </c>
      <c r="D901" t="s">
        <v>1678</v>
      </c>
    </row>
    <row r="902" spans="1:4">
      <c r="A902" s="2" t="s">
        <v>3326</v>
      </c>
      <c r="B902" t="s">
        <v>1697</v>
      </c>
      <c r="C902" t="s">
        <v>1673</v>
      </c>
      <c r="D902" t="s">
        <v>1678</v>
      </c>
    </row>
    <row r="903" spans="1:4">
      <c r="A903" s="2" t="s">
        <v>3325</v>
      </c>
      <c r="B903" t="s">
        <v>1697</v>
      </c>
      <c r="C903" t="s">
        <v>1673</v>
      </c>
      <c r="D903" t="s">
        <v>1678</v>
      </c>
    </row>
    <row r="904" spans="1:4">
      <c r="A904" s="2" t="s">
        <v>3321</v>
      </c>
      <c r="B904" t="s">
        <v>1697</v>
      </c>
      <c r="C904" t="s">
        <v>1673</v>
      </c>
      <c r="D904" t="s">
        <v>1678</v>
      </c>
    </row>
    <row r="905" spans="1:4">
      <c r="A905" s="2" t="s">
        <v>3327</v>
      </c>
      <c r="B905" t="s">
        <v>1697</v>
      </c>
      <c r="C905" t="s">
        <v>1673</v>
      </c>
      <c r="D905" t="s">
        <v>1678</v>
      </c>
    </row>
    <row r="906" spans="1:4">
      <c r="A906" s="2" t="s">
        <v>3330</v>
      </c>
      <c r="B906" t="s">
        <v>1697</v>
      </c>
      <c r="C906" t="s">
        <v>1673</v>
      </c>
      <c r="D906" t="s">
        <v>1678</v>
      </c>
    </row>
    <row r="907" spans="1:4">
      <c r="A907" s="2" t="s">
        <v>3339</v>
      </c>
      <c r="B907" t="s">
        <v>1697</v>
      </c>
      <c r="C907" t="s">
        <v>1673</v>
      </c>
      <c r="D907" t="s">
        <v>1678</v>
      </c>
    </row>
    <row r="908" spans="1:4">
      <c r="A908" s="2" t="s">
        <v>3342</v>
      </c>
      <c r="B908" t="s">
        <v>1697</v>
      </c>
      <c r="C908" t="s">
        <v>1673</v>
      </c>
      <c r="D908" t="s">
        <v>1678</v>
      </c>
    </row>
    <row r="909" spans="1:4">
      <c r="A909" s="2" t="s">
        <v>3345</v>
      </c>
      <c r="B909" t="s">
        <v>1697</v>
      </c>
      <c r="C909" t="s">
        <v>1673</v>
      </c>
      <c r="D909" t="s">
        <v>1678</v>
      </c>
    </row>
    <row r="910" spans="1:4">
      <c r="A910" s="2" t="s">
        <v>3348</v>
      </c>
      <c r="B910" t="s">
        <v>1696</v>
      </c>
      <c r="C910" t="s">
        <v>1675</v>
      </c>
      <c r="D910" t="s">
        <v>3349</v>
      </c>
    </row>
    <row r="911" spans="1:4">
      <c r="A911" s="2" t="s">
        <v>3351</v>
      </c>
      <c r="B911" t="s">
        <v>1696</v>
      </c>
      <c r="C911" t="s">
        <v>1675</v>
      </c>
      <c r="D911" t="s">
        <v>3349</v>
      </c>
    </row>
    <row r="912" spans="1:4">
      <c r="A912" s="2" t="s">
        <v>3353</v>
      </c>
      <c r="B912" t="s">
        <v>1696</v>
      </c>
      <c r="C912" t="s">
        <v>1675</v>
      </c>
      <c r="D912" t="s">
        <v>3349</v>
      </c>
    </row>
    <row r="913" spans="1:4">
      <c r="A913" s="2" t="s">
        <v>3354</v>
      </c>
      <c r="B913" t="s">
        <v>1696</v>
      </c>
      <c r="C913" t="s">
        <v>1675</v>
      </c>
      <c r="D913" t="s">
        <v>3349</v>
      </c>
    </row>
    <row r="914" spans="1:4">
      <c r="A914" s="2" t="s">
        <v>3357</v>
      </c>
      <c r="B914" t="s">
        <v>1696</v>
      </c>
      <c r="C914" t="s">
        <v>1675</v>
      </c>
      <c r="D914" t="s">
        <v>3349</v>
      </c>
    </row>
    <row r="915" spans="1:4">
      <c r="A915" s="2" t="s">
        <v>3358</v>
      </c>
      <c r="B915" t="s">
        <v>1696</v>
      </c>
      <c r="C915" t="s">
        <v>1675</v>
      </c>
      <c r="D915" t="s">
        <v>3349</v>
      </c>
    </row>
    <row r="916" spans="1:4">
      <c r="A916" s="2" t="s">
        <v>3361</v>
      </c>
      <c r="B916" t="s">
        <v>1696</v>
      </c>
      <c r="C916" t="s">
        <v>1675</v>
      </c>
      <c r="D916" t="s">
        <v>1678</v>
      </c>
    </row>
    <row r="917" spans="1:4">
      <c r="A917" s="2" t="s">
        <v>3362</v>
      </c>
      <c r="B917" t="s">
        <v>1696</v>
      </c>
      <c r="C917" t="s">
        <v>1675</v>
      </c>
      <c r="D917" t="s">
        <v>3349</v>
      </c>
    </row>
    <row r="918" spans="1:4">
      <c r="A918" s="2" t="s">
        <v>3365</v>
      </c>
      <c r="B918" t="s">
        <v>1696</v>
      </c>
      <c r="C918" t="s">
        <v>1675</v>
      </c>
      <c r="D918" t="s">
        <v>3349</v>
      </c>
    </row>
    <row r="919" spans="1:4">
      <c r="A919" s="2" t="s">
        <v>3367</v>
      </c>
      <c r="B919" t="s">
        <v>1696</v>
      </c>
      <c r="C919" t="s">
        <v>1675</v>
      </c>
      <c r="D919" t="s">
        <v>3349</v>
      </c>
    </row>
    <row r="920" spans="1:4">
      <c r="A920" s="2" t="s">
        <v>3369</v>
      </c>
      <c r="B920" t="s">
        <v>1696</v>
      </c>
      <c r="C920" t="s">
        <v>1675</v>
      </c>
      <c r="D920" t="s">
        <v>3349</v>
      </c>
    </row>
    <row r="921" spans="1:4">
      <c r="A921" s="2" t="s">
        <v>3371</v>
      </c>
      <c r="B921" t="s">
        <v>1696</v>
      </c>
      <c r="C921" t="s">
        <v>1675</v>
      </c>
      <c r="D921" t="s">
        <v>3349</v>
      </c>
    </row>
    <row r="922" spans="1:4">
      <c r="A922" s="2" t="s">
        <v>3373</v>
      </c>
      <c r="B922" t="s">
        <v>1696</v>
      </c>
      <c r="C922" t="s">
        <v>1675</v>
      </c>
      <c r="D922" t="s">
        <v>3349</v>
      </c>
    </row>
    <row r="923" spans="1:4">
      <c r="A923" s="2" t="s">
        <v>3375</v>
      </c>
      <c r="B923" t="s">
        <v>1696</v>
      </c>
      <c r="C923" t="s">
        <v>1675</v>
      </c>
      <c r="D923" t="s">
        <v>3349</v>
      </c>
    </row>
    <row r="924" spans="1:4">
      <c r="A924" s="2" t="s">
        <v>3376</v>
      </c>
      <c r="B924" t="s">
        <v>1696</v>
      </c>
      <c r="C924" t="s">
        <v>1675</v>
      </c>
      <c r="D924" t="s">
        <v>3349</v>
      </c>
    </row>
    <row r="925" spans="1:4">
      <c r="A925" s="2" t="s">
        <v>3381</v>
      </c>
      <c r="B925" t="s">
        <v>1696</v>
      </c>
      <c r="C925" t="s">
        <v>1675</v>
      </c>
      <c r="D925" t="s">
        <v>3349</v>
      </c>
    </row>
    <row r="926" spans="1:4">
      <c r="A926" s="2" t="s">
        <v>3383</v>
      </c>
      <c r="B926" t="s">
        <v>1696</v>
      </c>
      <c r="C926" t="s">
        <v>1675</v>
      </c>
      <c r="D926" t="s">
        <v>3349</v>
      </c>
    </row>
    <row r="927" spans="1:4">
      <c r="A927" s="2" t="s">
        <v>3384</v>
      </c>
      <c r="B927" t="s">
        <v>1696</v>
      </c>
      <c r="C927" t="s">
        <v>1675</v>
      </c>
      <c r="D927" t="s">
        <v>3349</v>
      </c>
    </row>
    <row r="928" spans="1:4">
      <c r="A928" s="2" t="s">
        <v>3386</v>
      </c>
      <c r="B928" t="s">
        <v>1696</v>
      </c>
      <c r="C928" t="s">
        <v>1675</v>
      </c>
      <c r="D928" t="s">
        <v>3349</v>
      </c>
    </row>
    <row r="929" spans="1:4">
      <c r="A929" t="s">
        <v>3388</v>
      </c>
      <c r="B929" t="s">
        <v>1696</v>
      </c>
      <c r="C929" t="s">
        <v>1675</v>
      </c>
      <c r="D929" t="s">
        <v>3349</v>
      </c>
    </row>
    <row r="930" spans="1:4">
      <c r="A930" t="s">
        <v>3389</v>
      </c>
      <c r="B930" t="s">
        <v>1696</v>
      </c>
      <c r="C930" t="s">
        <v>1675</v>
      </c>
      <c r="D930" t="s">
        <v>3349</v>
      </c>
    </row>
    <row r="931" spans="1:4">
      <c r="A931" s="2" t="s">
        <v>3397</v>
      </c>
      <c r="B931" t="s">
        <v>1696</v>
      </c>
      <c r="C931" t="s">
        <v>1675</v>
      </c>
      <c r="D931" t="s">
        <v>3349</v>
      </c>
    </row>
    <row r="932" spans="1:4">
      <c r="A932" s="2" t="s">
        <v>3398</v>
      </c>
      <c r="B932" t="s">
        <v>1696</v>
      </c>
      <c r="C932" t="s">
        <v>1675</v>
      </c>
      <c r="D932" t="s">
        <v>3349</v>
      </c>
    </row>
    <row r="933" spans="1:4">
      <c r="A933" s="2" t="s">
        <v>3400</v>
      </c>
      <c r="B933" t="s">
        <v>1696</v>
      </c>
      <c r="C933" t="s">
        <v>1675</v>
      </c>
      <c r="D933" t="s">
        <v>3349</v>
      </c>
    </row>
    <row r="934" spans="1:4">
      <c r="A934" s="2" t="s">
        <v>3403</v>
      </c>
      <c r="B934" t="s">
        <v>1696</v>
      </c>
      <c r="C934" t="s">
        <v>1669</v>
      </c>
      <c r="D934" t="s">
        <v>1678</v>
      </c>
    </row>
    <row r="935" spans="1:4">
      <c r="A935" s="2" t="s">
        <v>3406</v>
      </c>
      <c r="B935" t="s">
        <v>1696</v>
      </c>
      <c r="C935" t="s">
        <v>1673</v>
      </c>
      <c r="D935" t="s">
        <v>1678</v>
      </c>
    </row>
    <row r="936" spans="1:4">
      <c r="A936" s="2" t="s">
        <v>3408</v>
      </c>
      <c r="B936" t="s">
        <v>1696</v>
      </c>
      <c r="C936" t="s">
        <v>1673</v>
      </c>
      <c r="D936" t="s">
        <v>1678</v>
      </c>
    </row>
    <row r="937" spans="1:4">
      <c r="A937" s="2" t="s">
        <v>3412</v>
      </c>
      <c r="B937" t="s">
        <v>1696</v>
      </c>
      <c r="C937" t="s">
        <v>1673</v>
      </c>
      <c r="D937" t="s">
        <v>1678</v>
      </c>
    </row>
    <row r="938" spans="1:4">
      <c r="A938" s="2" t="s">
        <v>3416</v>
      </c>
      <c r="B938" t="s">
        <v>1696</v>
      </c>
      <c r="C938" t="s">
        <v>1673</v>
      </c>
      <c r="D938" t="s">
        <v>1680</v>
      </c>
    </row>
    <row r="939" spans="1:4">
      <c r="A939" s="2" t="s">
        <v>3419</v>
      </c>
      <c r="B939" t="s">
        <v>1696</v>
      </c>
      <c r="C939" t="s">
        <v>1669</v>
      </c>
      <c r="D939" t="s">
        <v>1678</v>
      </c>
    </row>
    <row r="940" spans="1:4">
      <c r="A940" t="s">
        <v>3429</v>
      </c>
      <c r="B940" t="s">
        <v>1696</v>
      </c>
      <c r="C940" t="s">
        <v>1673</v>
      </c>
      <c r="D940" t="s">
        <v>1682</v>
      </c>
    </row>
    <row r="941" spans="1:4">
      <c r="A941" t="s">
        <v>3433</v>
      </c>
      <c r="B941" t="s">
        <v>1697</v>
      </c>
      <c r="C941" t="s">
        <v>1670</v>
      </c>
      <c r="D941" t="s">
        <v>1678</v>
      </c>
    </row>
    <row r="942" spans="1:4">
      <c r="A942" s="2" t="s">
        <v>3436</v>
      </c>
      <c r="B942" t="s">
        <v>1696</v>
      </c>
      <c r="C942" t="s">
        <v>1669</v>
      </c>
      <c r="D942" t="s">
        <v>1678</v>
      </c>
    </row>
    <row r="943" spans="1:4">
      <c r="A943" s="2" t="s">
        <v>3437</v>
      </c>
      <c r="B943" t="s">
        <v>1696</v>
      </c>
      <c r="C943" t="s">
        <v>1669</v>
      </c>
      <c r="D943" t="s">
        <v>1678</v>
      </c>
    </row>
    <row r="944" spans="1:4">
      <c r="A944" s="2" t="s">
        <v>3440</v>
      </c>
      <c r="B944" t="s">
        <v>1696</v>
      </c>
      <c r="C944" t="s">
        <v>1669</v>
      </c>
      <c r="D944" t="s">
        <v>1678</v>
      </c>
    </row>
    <row r="945" spans="1:4">
      <c r="A945" s="2" t="s">
        <v>3443</v>
      </c>
      <c r="B945" t="s">
        <v>1696</v>
      </c>
      <c r="C945" t="s">
        <v>1669</v>
      </c>
      <c r="D945" t="s">
        <v>1678</v>
      </c>
    </row>
    <row r="946" spans="1:4">
      <c r="A946" s="2" t="s">
        <v>3445</v>
      </c>
      <c r="B946" t="s">
        <v>1696</v>
      </c>
      <c r="C946" t="s">
        <v>1669</v>
      </c>
      <c r="D946" t="s">
        <v>1678</v>
      </c>
    </row>
    <row r="947" spans="1:4">
      <c r="A947" s="2" t="s">
        <v>3449</v>
      </c>
      <c r="B947" t="s">
        <v>1696</v>
      </c>
      <c r="C947" t="s">
        <v>1676</v>
      </c>
      <c r="D947" t="s">
        <v>1683</v>
      </c>
    </row>
    <row r="948" spans="1:4">
      <c r="A948" s="2" t="s">
        <v>3452</v>
      </c>
      <c r="B948" t="s">
        <v>1696</v>
      </c>
      <c r="C948" t="s">
        <v>1676</v>
      </c>
      <c r="D948" t="s">
        <v>1678</v>
      </c>
    </row>
    <row r="949" spans="1:4">
      <c r="A949" s="2" t="s">
        <v>3453</v>
      </c>
      <c r="B949" t="s">
        <v>1696</v>
      </c>
      <c r="C949" t="s">
        <v>1676</v>
      </c>
      <c r="D949" t="s">
        <v>1678</v>
      </c>
    </row>
    <row r="950" spans="1:4">
      <c r="B950" t="s">
        <v>1696</v>
      </c>
      <c r="C950" t="s">
        <v>1669</v>
      </c>
      <c r="D950" t="s">
        <v>1678</v>
      </c>
    </row>
    <row r="951" spans="1:4">
      <c r="B951" t="s">
        <v>1696</v>
      </c>
      <c r="C951" t="s">
        <v>1669</v>
      </c>
      <c r="D951" t="s">
        <v>1678</v>
      </c>
    </row>
    <row r="952" spans="1:4">
      <c r="B952" t="s">
        <v>1696</v>
      </c>
      <c r="C952" t="s">
        <v>1669</v>
      </c>
      <c r="D952" t="s">
        <v>1678</v>
      </c>
    </row>
    <row r="953" spans="1:4">
      <c r="B953" t="s">
        <v>1696</v>
      </c>
      <c r="C953" t="s">
        <v>1669</v>
      </c>
      <c r="D953" t="s">
        <v>1678</v>
      </c>
    </row>
    <row r="954" spans="1:4">
      <c r="B954" t="s">
        <v>1696</v>
      </c>
      <c r="C954" t="s">
        <v>1669</v>
      </c>
      <c r="D954" t="s">
        <v>1678</v>
      </c>
    </row>
    <row r="955" spans="1:4">
      <c r="B955" t="s">
        <v>1696</v>
      </c>
      <c r="C955" t="s">
        <v>1669</v>
      </c>
      <c r="D955" t="s">
        <v>1678</v>
      </c>
    </row>
    <row r="956" spans="1:4">
      <c r="B956" t="s">
        <v>1696</v>
      </c>
      <c r="C956" t="s">
        <v>1669</v>
      </c>
      <c r="D956" t="s">
        <v>1678</v>
      </c>
    </row>
    <row r="957" spans="1:4">
      <c r="B957" t="s">
        <v>1696</v>
      </c>
      <c r="C957" t="s">
        <v>1669</v>
      </c>
      <c r="D957" t="s">
        <v>1678</v>
      </c>
    </row>
    <row r="958" spans="1:4">
      <c r="B958" t="s">
        <v>1696</v>
      </c>
      <c r="C958" t="s">
        <v>1669</v>
      </c>
      <c r="D958" t="s">
        <v>1678</v>
      </c>
    </row>
    <row r="959" spans="1:4">
      <c r="B959" t="s">
        <v>1696</v>
      </c>
      <c r="C959" t="s">
        <v>1669</v>
      </c>
      <c r="D959" t="s">
        <v>1678</v>
      </c>
    </row>
  </sheetData>
  <conditionalFormatting sqref="A893:A939">
    <cfRule type="containsText" dxfId="114" priority="7" operator="containsText" text=" ">
      <formula>NOT(ISERROR(SEARCH(" ",A893)))</formula>
    </cfRule>
  </conditionalFormatting>
  <conditionalFormatting sqref="B1:C1048576">
    <cfRule type="containsText" dxfId="113" priority="54" operator="containsText" text="FALSE">
      <formula>NOT(ISERROR(SEARCH("FALSE",B1)))</formula>
    </cfRule>
  </conditionalFormatting>
  <conditionalFormatting sqref="A940">
    <cfRule type="containsText" dxfId="112" priority="5" operator="containsText" text=" ">
      <formula>NOT(ISERROR(SEARCH(" ",A940)))</formula>
    </cfRule>
  </conditionalFormatting>
  <conditionalFormatting sqref="A940">
    <cfRule type="containsText" dxfId="111" priority="6" operator="containsText" text=" ">
      <formula>NOT(ISERROR(SEARCH(" ",A940)))</formula>
    </cfRule>
  </conditionalFormatting>
  <conditionalFormatting sqref="A942">
    <cfRule type="containsText" dxfId="81" priority="4" operator="containsText" text=" ">
      <formula>NOT(ISERROR(SEARCH(" ",A942)))</formula>
    </cfRule>
  </conditionalFormatting>
  <conditionalFormatting sqref="A943">
    <cfRule type="containsText" dxfId="74" priority="3" operator="containsText" text=" ">
      <formula>NOT(ISERROR(SEARCH(" ",A943)))</formula>
    </cfRule>
  </conditionalFormatting>
  <conditionalFormatting sqref="A946:A947">
    <cfRule type="containsText" dxfId="17" priority="2" operator="containsText" text=" ">
      <formula>NOT(ISERROR(SEARCH(" ",A946)))</formula>
    </cfRule>
  </conditionalFormatting>
  <conditionalFormatting sqref="A948:A949">
    <cfRule type="containsText" dxfId="0" priority="1" operator="containsText" text=" ">
      <formula>NOT(ISERROR(SEARCH(" ",A948)))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P96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6"/>
  <cols>
    <col min="1" max="1" width="50.765625" bestFit="1" customWidth="1"/>
    <col min="2" max="2" width="10.69140625" bestFit="1" customWidth="1"/>
    <col min="3" max="3" width="10.765625" bestFit="1" customWidth="1"/>
    <col min="4" max="4" width="16.84375" customWidth="1"/>
    <col min="5" max="6" width="8.84375" style="35" customWidth="1"/>
    <col min="7" max="7" width="28.69140625" style="35" bestFit="1" customWidth="1"/>
    <col min="8" max="9" width="8.84375" customWidth="1"/>
  </cols>
  <sheetData>
    <row r="1" spans="1:16">
      <c r="A1" t="s">
        <v>0</v>
      </c>
      <c r="B1" t="s">
        <v>3415</v>
      </c>
      <c r="C1" t="s">
        <v>2881</v>
      </c>
      <c r="D1" t="s">
        <v>2224</v>
      </c>
      <c r="E1" s="35" t="s">
        <v>676</v>
      </c>
      <c r="F1" s="35" t="s">
        <v>677</v>
      </c>
      <c r="G1" s="35" t="s">
        <v>2882</v>
      </c>
      <c r="H1" t="s">
        <v>872</v>
      </c>
      <c r="I1" t="s">
        <v>877</v>
      </c>
      <c r="J1" t="s">
        <v>870</v>
      </c>
      <c r="K1" t="s">
        <v>875</v>
      </c>
      <c r="L1" t="s">
        <v>869</v>
      </c>
      <c r="M1" t="s">
        <v>873</v>
      </c>
      <c r="N1" t="s">
        <v>874</v>
      </c>
      <c r="O1" t="s">
        <v>876</v>
      </c>
      <c r="P1" t="s">
        <v>871</v>
      </c>
    </row>
    <row r="2" spans="1:16">
      <c r="A2" t="str" cm="1">
        <f t="array" ref="A2:A949">_xlfn.UNIQUE(CONTROL[VEHIDCODE])</f>
        <v>mglv_Maglev_Wagon_Powered</v>
      </c>
      <c r="B2" t="b" cm="1">
        <f t="array" ref="B2">_xlfn.XLOOKUP(A2,CONTROL[VEHIDCODE],PROPERTIES[EXCLUDE])</f>
        <v>0</v>
      </c>
      <c r="C2">
        <f>FLOOR(_xlfn.XLOOKUP($A2,PROPERTIES[VEHIDCODE],PROPERTIES[INTRODUCTION_YEAR]),20)</f>
        <v>2000</v>
      </c>
      <c r="D2" t="str">
        <f>_xlfn.XLOOKUP($A2,PROPERTIES[VEHIDCODE],PROPERTIES[ROLE])</f>
        <v>Powered/Unpowered Sundry</v>
      </c>
      <c r="E2" s="35" t="str">
        <f>_xlfn.XLOOKUP($A2,PROPERTIES[VEHIDCODE],PROPERTIES[REGION1])</f>
        <v>ALL_REGION</v>
      </c>
      <c r="F2" s="35" t="str">
        <f>_xlfn.XLOOKUP($A2,PROPERTIES[VEHIDCODE],PROPERTIES[REGION2])</f>
        <v>NO_REGION</v>
      </c>
      <c r="G2" s="35" t="str">
        <f>_xlfn.CONCAT($E2,"_",$F2)</f>
        <v>ALL_REGION_NO_REGION</v>
      </c>
      <c r="H2" t="b">
        <f>OR(ISNUMBER(SEARCH("ALL_REGION",$G2)),
ISNUMBER(SEARCH("AFRICA",$G2)),
ISNUMBER(SEARCH("REGIONTYPE1",$G2)),
ISNUMBER(SEARCH("REGIONTYPE2",$G2)))</f>
        <v>1</v>
      </c>
      <c r="I2" t="b">
        <f>OR(ISNUMBER(SEARCH("ALL_REGION",$G2)),
ISNUMBER(SEARCH("ASIA",$G2)),
ISNUMBER(SEARCH("REGIONTYPE1",$G2)),
ISNUMBER(SEARCH("REGIONTYPE2",$G2)),
ISNUMBER(SEARCH("REGIONTYPE3",$G2)))</f>
        <v>1</v>
      </c>
      <c r="J2" t="b">
        <f>OR(ISNUMBER(SEARCH("ALL_REGION",$G2)),
ISNUMBER(SEARCH("ALL_EUROPE",$G2)),
ISNUMBER(SEARCH(J$1,$G2)),
ISNUMBER(SEARCH("REGIONTYPE1",$G2)))</f>
        <v>1</v>
      </c>
      <c r="K2" t="b">
        <f t="shared" ref="K2:M21" si="0">OR(ISNUMBER(SEARCH("ALL_REGION",$G2)),
ISNUMBER(SEARCH("ALL_EUROPE",$G2)),
ISNUMBER(SEARCH(K$1,$G2)),
ISNUMBER(SEARCH("REGIONTYPE1",$G2)))</f>
        <v>1</v>
      </c>
      <c r="L2" t="b">
        <f t="shared" si="0"/>
        <v>1</v>
      </c>
      <c r="M2" t="b">
        <f t="shared" si="0"/>
        <v>1</v>
      </c>
      <c r="N2" t="b">
        <f>OR(ISNUMBER(SEARCH("ALL_REGION",$G2)),
ISNUMBER(SEARCH("ALL_AMERICA",$G2)),
ISNUMBER(SEARCH(N$1,$G2)),
ISNUMBER(SEARCH("REGIONTYPE2",$G2)))</f>
        <v>1</v>
      </c>
      <c r="O2" t="b">
        <f>OR(ISNUMBER(SEARCH("ALL_REGION",$G2)),
ISNUMBER(SEARCH("ALL_AMERICA",$G2)),
ISNUMBER(SEARCH(O$1,$G2)),
ISNUMBER(SEARCH("REGIONTYPE2",$G2)))</f>
        <v>1</v>
      </c>
      <c r="P2" t="b">
        <f>OR(ISNUMBER(SEARCH("ALL_REGION",$G2)),
ISNUMBER(SEARCH(P$1,$G2)),
ISNUMBER(SEARCH("REGIONTYPE3",$G2)))</f>
        <v>1</v>
      </c>
    </row>
    <row r="3" spans="1:16">
      <c r="A3" t="str">
        <v>mglv_Maglev_Wagon_Unpowered</v>
      </c>
      <c r="B3" t="b" cm="1">
        <f t="array" ref="B3">_xlfn.XLOOKUP(A3,CONTROL[VEHIDCODE],PROPERTIES[EXCLUDE])</f>
        <v>0</v>
      </c>
      <c r="C3">
        <f>FLOOR(_xlfn.XLOOKUP($A3,PROPERTIES[VEHIDCODE],PROPERTIES[INTRODUCTION_YEAR]),20)</f>
        <v>2000</v>
      </c>
      <c r="D3" t="str">
        <f>_xlfn.XLOOKUP($A3,PROPERTIES[VEHIDCODE],PROPERTIES[ROLE])</f>
        <v>Powered/Unpowered Sundry</v>
      </c>
      <c r="E3" s="35" t="str">
        <f>_xlfn.XLOOKUP($A3,PROPERTIES[VEHIDCODE],PROPERTIES[REGION1])</f>
        <v>ALL_REGION</v>
      </c>
      <c r="F3" s="35" t="str">
        <f>_xlfn.XLOOKUP($A3,PROPERTIES[VEHIDCODE],PROPERTIES[REGION2])</f>
        <v>NO_REGION</v>
      </c>
      <c r="G3" s="35" t="str">
        <f t="shared" ref="G3:G66" si="1">_xlfn.CONCAT($E3,"_",$F3)</f>
        <v>ALL_REGION_NO_REGION</v>
      </c>
      <c r="H3" t="b">
        <f t="shared" ref="H3:H66" si="2">OR(ISNUMBER(SEARCH("ALL_REGION",$G3)),
ISNUMBER(SEARCH("AFRICA",$G3)),
ISNUMBER(SEARCH("REGIONTYPE1",$G3)),
ISNUMBER(SEARCH("REGIONTYPE2",$G3)))</f>
        <v>1</v>
      </c>
      <c r="I3" t="b">
        <f t="shared" ref="I3:I66" si="3">OR(ISNUMBER(SEARCH("ALL_REGION",$G3)),
ISNUMBER(SEARCH("ASIA",$G3)),
ISNUMBER(SEARCH("REGIONTYPE1",$G3)),
ISNUMBER(SEARCH("REGIONTYPE2",$G3)),
ISNUMBER(SEARCH("REGIONTYPE3",$G3)))</f>
        <v>1</v>
      </c>
      <c r="J3" t="b">
        <f t="shared" ref="J3:M66" si="4">OR(ISNUMBER(SEARCH("ALL_REGION",$G3)),
ISNUMBER(SEARCH("ALL_EUROPE",$G3)),
ISNUMBER(SEARCH(J$1,$G3)),
ISNUMBER(SEARCH("REGIONTYPE1",$G3)))</f>
        <v>1</v>
      </c>
      <c r="K3" t="b">
        <f t="shared" si="0"/>
        <v>1</v>
      </c>
      <c r="L3" t="b">
        <f t="shared" si="0"/>
        <v>1</v>
      </c>
      <c r="M3" t="b">
        <f t="shared" si="0"/>
        <v>1</v>
      </c>
      <c r="N3" t="b">
        <f t="shared" ref="N3:O66" si="5">OR(ISNUMBER(SEARCH("ALL_REGION",$G3)),
ISNUMBER(SEARCH("ALL_AMERICA",$G3)),
ISNUMBER(SEARCH(N$1,$G3)),
ISNUMBER(SEARCH("REGIONTYPE2",$G3)))</f>
        <v>1</v>
      </c>
      <c r="O3" t="b">
        <f t="shared" si="5"/>
        <v>1</v>
      </c>
      <c r="P3" t="b">
        <f t="shared" ref="P3:P66" si="6">OR(ISNUMBER(SEARCH("ALL_REGION",$G3)),
ISNUMBER(SEARCH(P$1,$G3)),
ISNUMBER(SEARCH("REGIONTYPE3",$G3)))</f>
        <v>1</v>
      </c>
    </row>
    <row r="4" spans="1:16">
      <c r="A4" t="str">
        <v>rbs_Austria_NOLB_1</v>
      </c>
      <c r="B4" t="b" cm="1">
        <f t="array" ref="B4">_xlfn.XLOOKUP(A4,CONTROL[VEHIDCODE],PROPERTIES[EXCLUDE])</f>
        <v>0</v>
      </c>
      <c r="C4">
        <f>FLOOR(_xlfn.XLOOKUP($A4,PROPERTIES[VEHIDCODE],PROPERTIES[INTRODUCTION_YEAR]),20)</f>
        <v>1900</v>
      </c>
      <c r="D4" t="str">
        <f>_xlfn.XLOOKUP($A4,PROPERTIES[VEHIDCODE],PROPERTIES[ROLE])</f>
        <v>Commuter/Urban</v>
      </c>
      <c r="E4" s="35" t="str">
        <f>_xlfn.XLOOKUP($A4,PROPERTIES[VEHIDCODE],PROPERTIES[REGION1])</f>
        <v>WESTERN_EUROPE</v>
      </c>
      <c r="F4" s="35" t="str">
        <f>_xlfn.XLOOKUP($A4,PROPERTIES[VEHIDCODE],PROPERTIES[REGION2])</f>
        <v>NO_REGION</v>
      </c>
      <c r="G4" s="35" t="str">
        <f t="shared" si="1"/>
        <v>WESTERN_EUROPE_NO_REGION</v>
      </c>
      <c r="H4" t="b">
        <f t="shared" si="2"/>
        <v>0</v>
      </c>
      <c r="I4" t="b">
        <f t="shared" si="3"/>
        <v>0</v>
      </c>
      <c r="J4" t="b">
        <f t="shared" si="4"/>
        <v>0</v>
      </c>
      <c r="K4" t="b">
        <f t="shared" si="0"/>
        <v>0</v>
      </c>
      <c r="L4" t="b">
        <f t="shared" si="0"/>
        <v>1</v>
      </c>
      <c r="M4" t="b">
        <f t="shared" si="0"/>
        <v>0</v>
      </c>
      <c r="N4" t="b">
        <f t="shared" si="5"/>
        <v>0</v>
      </c>
      <c r="O4" t="b">
        <f t="shared" si="5"/>
        <v>0</v>
      </c>
      <c r="P4" t="b">
        <f t="shared" si="6"/>
        <v>0</v>
      </c>
    </row>
    <row r="5" spans="1:16">
      <c r="A5" t="str">
        <v>rbs_Italy_FS_86</v>
      </c>
      <c r="B5" t="b" cm="1">
        <f t="array" ref="B5">_xlfn.XLOOKUP(A5,CONTROL[VEHIDCODE],PROPERTIES[EXCLUDE])</f>
        <v>0</v>
      </c>
      <c r="C5">
        <f>FLOOR(_xlfn.XLOOKUP($A5,PROPERTIES[VEHIDCODE],PROPERTIES[INTRODUCTION_YEAR]),20)</f>
        <v>1900</v>
      </c>
      <c r="D5" t="str">
        <f>_xlfn.XLOOKUP($A5,PROPERTIES[VEHIDCODE],PROPERTIES[ROLE])</f>
        <v>Commuter/Urban</v>
      </c>
      <c r="E5" s="35" t="str">
        <f>_xlfn.XLOOKUP($A5,PROPERTIES[VEHIDCODE],PROPERTIES[REGION1])</f>
        <v>SOUTHERN_EUROPE</v>
      </c>
      <c r="F5" s="35" t="str">
        <f>_xlfn.XLOOKUP($A5,PROPERTIES[VEHIDCODE],PROPERTIES[REGION2])</f>
        <v>NO_REGION</v>
      </c>
      <c r="G5" s="35" t="str">
        <f t="shared" si="1"/>
        <v>SOUTHERN_EUROPE_NO_REGION</v>
      </c>
      <c r="H5" t="b">
        <f t="shared" si="2"/>
        <v>0</v>
      </c>
      <c r="I5" t="b">
        <f t="shared" si="3"/>
        <v>0</v>
      </c>
      <c r="J5" t="b">
        <f t="shared" si="4"/>
        <v>1</v>
      </c>
      <c r="K5" t="b">
        <f t="shared" si="0"/>
        <v>0</v>
      </c>
      <c r="L5" t="b">
        <f t="shared" si="0"/>
        <v>0</v>
      </c>
      <c r="M5" t="b">
        <f t="shared" si="0"/>
        <v>0</v>
      </c>
      <c r="N5" t="b">
        <f t="shared" si="5"/>
        <v>0</v>
      </c>
      <c r="O5" t="b">
        <f t="shared" si="5"/>
        <v>0</v>
      </c>
      <c r="P5" t="b">
        <f t="shared" si="6"/>
        <v>0</v>
      </c>
    </row>
    <row r="6" spans="1:16">
      <c r="A6" t="str">
        <v>rbs_Australia_Victorian_Railways_Rowan_Railmotor</v>
      </c>
      <c r="B6" t="b" cm="1">
        <f t="array" ref="B6">_xlfn.XLOOKUP(A6,CONTROL[VEHIDCODE],PROPERTIES[EXCLUDE])</f>
        <v>0</v>
      </c>
      <c r="C6">
        <f>FLOOR(_xlfn.XLOOKUP($A6,PROPERTIES[VEHIDCODE],PROPERTIES[INTRODUCTION_YEAR]),20)</f>
        <v>1880</v>
      </c>
      <c r="D6" t="str">
        <f>_xlfn.XLOOKUP($A6,PROPERTIES[VEHIDCODE],PROPERTIES[ROLE])</f>
        <v>Commuter/Urban</v>
      </c>
      <c r="E6" s="35" t="str">
        <f>_xlfn.XLOOKUP($A6,PROPERTIES[VEHIDCODE],PROPERTIES[REGION1])</f>
        <v>OCEANIA</v>
      </c>
      <c r="F6" s="35" t="str">
        <f>_xlfn.XLOOKUP($A6,PROPERTIES[VEHIDCODE],PROPERTIES[REGION2])</f>
        <v>NO_REGION</v>
      </c>
      <c r="G6" s="35" t="str">
        <f t="shared" si="1"/>
        <v>OCEANIA_NO_REGION</v>
      </c>
      <c r="H6" t="b">
        <f t="shared" si="2"/>
        <v>0</v>
      </c>
      <c r="I6" t="b">
        <f t="shared" si="3"/>
        <v>0</v>
      </c>
      <c r="J6" t="b">
        <f t="shared" si="4"/>
        <v>0</v>
      </c>
      <c r="K6" t="b">
        <f t="shared" si="0"/>
        <v>0</v>
      </c>
      <c r="L6" t="b">
        <f t="shared" si="0"/>
        <v>0</v>
      </c>
      <c r="M6" t="b">
        <f t="shared" si="0"/>
        <v>0</v>
      </c>
      <c r="N6" t="b">
        <f t="shared" si="5"/>
        <v>0</v>
      </c>
      <c r="O6" t="b">
        <f t="shared" si="5"/>
        <v>0</v>
      </c>
      <c r="P6" t="b">
        <f t="shared" si="6"/>
        <v>1</v>
      </c>
    </row>
    <row r="7" spans="1:16">
      <c r="A7" t="str">
        <v>rbs_Switzerland_UeBB_Czm_1_2</v>
      </c>
      <c r="B7" t="b" cm="1">
        <f t="array" ref="B7">_xlfn.XLOOKUP(A7,CONTROL[VEHIDCODE],PROPERTIES[EXCLUDE])</f>
        <v>0</v>
      </c>
      <c r="C7">
        <f>FLOOR(_xlfn.XLOOKUP($A7,PROPERTIES[VEHIDCODE],PROPERTIES[INTRODUCTION_YEAR]),20)</f>
        <v>1900</v>
      </c>
      <c r="D7" t="str">
        <f>_xlfn.XLOOKUP($A7,PROPERTIES[VEHIDCODE],PROPERTIES[ROLE])</f>
        <v>Commuter/Urban</v>
      </c>
      <c r="E7" s="35" t="str">
        <f>_xlfn.XLOOKUP($A7,PROPERTIES[VEHIDCODE],PROPERTIES[REGION1])</f>
        <v>WESTERN_EUROPE</v>
      </c>
      <c r="F7" s="35" t="str">
        <f>_xlfn.XLOOKUP($A7,PROPERTIES[VEHIDCODE],PROPERTIES[REGION2])</f>
        <v>NO_REGION</v>
      </c>
      <c r="G7" s="35" t="str">
        <f t="shared" si="1"/>
        <v>WESTERN_EUROPE_NO_REGION</v>
      </c>
      <c r="H7" t="b">
        <f t="shared" si="2"/>
        <v>0</v>
      </c>
      <c r="I7" t="b">
        <f t="shared" si="3"/>
        <v>0</v>
      </c>
      <c r="J7" t="b">
        <f t="shared" si="4"/>
        <v>0</v>
      </c>
      <c r="K7" t="b">
        <f t="shared" si="0"/>
        <v>0</v>
      </c>
      <c r="L7" t="b">
        <f t="shared" si="0"/>
        <v>1</v>
      </c>
      <c r="M7" t="b">
        <f t="shared" si="0"/>
        <v>0</v>
      </c>
      <c r="N7" t="b">
        <f t="shared" si="5"/>
        <v>0</v>
      </c>
      <c r="O7" t="b">
        <f t="shared" si="5"/>
        <v>0</v>
      </c>
      <c r="P7" t="b">
        <f t="shared" si="6"/>
        <v>0</v>
      </c>
    </row>
    <row r="8" spans="1:16">
      <c r="A8" t="str">
        <v>rbs_Germany_Bavarian_MCCi</v>
      </c>
      <c r="B8" t="b" cm="1">
        <f t="array" ref="B8">_xlfn.XLOOKUP(A8,CONTROL[VEHIDCODE],PROPERTIES[EXCLUDE])</f>
        <v>0</v>
      </c>
      <c r="C8">
        <f>FLOOR(_xlfn.XLOOKUP($A8,PROPERTIES[VEHIDCODE],PROPERTIES[INTRODUCTION_YEAR]),20)</f>
        <v>1900</v>
      </c>
      <c r="D8" t="str">
        <f>_xlfn.XLOOKUP($A8,PROPERTIES[VEHIDCODE],PROPERTIES[ROLE])</f>
        <v>Commuter/Urban</v>
      </c>
      <c r="E8" s="35" t="str">
        <f>_xlfn.XLOOKUP($A8,PROPERTIES[VEHIDCODE],PROPERTIES[REGION1])</f>
        <v>WESTERN_EUROPE</v>
      </c>
      <c r="F8" s="35" t="str">
        <f>_xlfn.XLOOKUP($A8,PROPERTIES[VEHIDCODE],PROPERTIES[REGION2])</f>
        <v>NO_REGION</v>
      </c>
      <c r="G8" s="35" t="str">
        <f t="shared" si="1"/>
        <v>WESTERN_EUROPE_NO_REGION</v>
      </c>
      <c r="H8" t="b">
        <f t="shared" si="2"/>
        <v>0</v>
      </c>
      <c r="I8" t="b">
        <f t="shared" si="3"/>
        <v>0</v>
      </c>
      <c r="J8" t="b">
        <f t="shared" si="4"/>
        <v>0</v>
      </c>
      <c r="K8" t="b">
        <f t="shared" si="0"/>
        <v>0</v>
      </c>
      <c r="L8" t="b">
        <f t="shared" si="0"/>
        <v>1</v>
      </c>
      <c r="M8" t="b">
        <f t="shared" si="0"/>
        <v>0</v>
      </c>
      <c r="N8" t="b">
        <f t="shared" si="5"/>
        <v>0</v>
      </c>
      <c r="O8" t="b">
        <f t="shared" si="5"/>
        <v>0</v>
      </c>
      <c r="P8" t="b">
        <f t="shared" si="6"/>
        <v>0</v>
      </c>
    </row>
    <row r="9" spans="1:16">
      <c r="A9" t="str">
        <v>rbs_South_Africa_CSAR_Railmotor</v>
      </c>
      <c r="B9" t="b" cm="1">
        <f t="array" ref="B9">_xlfn.XLOOKUP(A9,CONTROL[VEHIDCODE],PROPERTIES[EXCLUDE])</f>
        <v>0</v>
      </c>
      <c r="C9">
        <f>FLOOR(_xlfn.XLOOKUP($A9,PROPERTIES[VEHIDCODE],PROPERTIES[INTRODUCTION_YEAR]),20)</f>
        <v>1900</v>
      </c>
      <c r="D9" t="str">
        <f>_xlfn.XLOOKUP($A9,PROPERTIES[VEHIDCODE],PROPERTIES[ROLE])</f>
        <v>Commuter/Urban</v>
      </c>
      <c r="E9" s="35" t="str">
        <f>_xlfn.XLOOKUP($A9,PROPERTIES[VEHIDCODE],PROPERTIES[REGION1])</f>
        <v>AFRICA</v>
      </c>
      <c r="F9" s="35" t="str">
        <f>_xlfn.XLOOKUP($A9,PROPERTIES[VEHIDCODE],PROPERTIES[REGION2])</f>
        <v>NO_REGION</v>
      </c>
      <c r="G9" s="35" t="str">
        <f t="shared" si="1"/>
        <v>AFRICA_NO_REGION</v>
      </c>
      <c r="H9" t="b">
        <f t="shared" si="2"/>
        <v>1</v>
      </c>
      <c r="I9" t="b">
        <f t="shared" si="3"/>
        <v>0</v>
      </c>
      <c r="J9" t="b">
        <f t="shared" si="4"/>
        <v>0</v>
      </c>
      <c r="K9" t="b">
        <f t="shared" si="0"/>
        <v>0</v>
      </c>
      <c r="L9" t="b">
        <f t="shared" si="0"/>
        <v>0</v>
      </c>
      <c r="M9" t="b">
        <f t="shared" si="0"/>
        <v>0</v>
      </c>
      <c r="N9" t="b">
        <f t="shared" si="5"/>
        <v>0</v>
      </c>
      <c r="O9" t="b">
        <f t="shared" si="5"/>
        <v>0</v>
      </c>
      <c r="P9" t="b">
        <f t="shared" si="6"/>
        <v>0</v>
      </c>
    </row>
    <row r="10" spans="1:16">
      <c r="A10" t="str">
        <v>rbs_Australia_Victorian_Railways_Motor_Car_3</v>
      </c>
      <c r="B10" t="b" cm="1">
        <f t="array" ref="B10">_xlfn.XLOOKUP(A10,CONTROL[VEHIDCODE],PROPERTIES[EXCLUDE])</f>
        <v>0</v>
      </c>
      <c r="C10">
        <f>FLOOR(_xlfn.XLOOKUP($A10,PROPERTIES[VEHIDCODE],PROPERTIES[INTRODUCTION_YEAR]),20)</f>
        <v>1900</v>
      </c>
      <c r="D10" t="str">
        <f>_xlfn.XLOOKUP($A10,PROPERTIES[VEHIDCODE],PROPERTIES[ROLE])</f>
        <v>Commuter/Urban</v>
      </c>
      <c r="E10" s="35" t="str">
        <f>_xlfn.XLOOKUP($A10,PROPERTIES[VEHIDCODE],PROPERTIES[REGION1])</f>
        <v>OCEANIA</v>
      </c>
      <c r="F10" s="35" t="str">
        <f>_xlfn.XLOOKUP($A10,PROPERTIES[VEHIDCODE],PROPERTIES[REGION2])</f>
        <v>NO_REGION</v>
      </c>
      <c r="G10" s="35" t="str">
        <f t="shared" si="1"/>
        <v>OCEANIA_NO_REGION</v>
      </c>
      <c r="H10" t="b">
        <f t="shared" si="2"/>
        <v>0</v>
      </c>
      <c r="I10" t="b">
        <f t="shared" si="3"/>
        <v>0</v>
      </c>
      <c r="J10" t="b">
        <f t="shared" si="4"/>
        <v>0</v>
      </c>
      <c r="K10" t="b">
        <f t="shared" si="0"/>
        <v>0</v>
      </c>
      <c r="L10" t="b">
        <f t="shared" si="0"/>
        <v>0</v>
      </c>
      <c r="M10" t="b">
        <f t="shared" si="0"/>
        <v>0</v>
      </c>
      <c r="N10" t="b">
        <f t="shared" si="5"/>
        <v>0</v>
      </c>
      <c r="O10" t="b">
        <f t="shared" si="5"/>
        <v>0</v>
      </c>
      <c r="P10" t="b">
        <f t="shared" si="6"/>
        <v>1</v>
      </c>
    </row>
    <row r="11" spans="1:16">
      <c r="A11" t="str">
        <v>rbs_Austria_kkStB_4_0</v>
      </c>
      <c r="B11" t="b" cm="1">
        <f t="array" ref="B11">_xlfn.XLOOKUP(A11,CONTROL[VEHIDCODE],PROPERTIES[EXCLUDE])</f>
        <v>0</v>
      </c>
      <c r="C11">
        <f>FLOOR(_xlfn.XLOOKUP($A11,PROPERTIES[VEHIDCODE],PROPERTIES[INTRODUCTION_YEAR]),20)</f>
        <v>1880</v>
      </c>
      <c r="D11" t="str">
        <f>_xlfn.XLOOKUP($A11,PROPERTIES[VEHIDCODE],PROPERTIES[ROLE])</f>
        <v>Light Freight</v>
      </c>
      <c r="E11" s="35" t="str">
        <f>_xlfn.XLOOKUP($A11,PROPERTIES[VEHIDCODE],PROPERTIES[REGION1])</f>
        <v>WESTERN_EUROPE</v>
      </c>
      <c r="F11" s="35" t="str">
        <f>_xlfn.XLOOKUP($A11,PROPERTIES[VEHIDCODE],PROPERTIES[REGION2])</f>
        <v>NO_REGION</v>
      </c>
      <c r="G11" s="35" t="str">
        <f t="shared" si="1"/>
        <v>WESTERN_EUROPE_NO_REGION</v>
      </c>
      <c r="H11" t="b">
        <f t="shared" si="2"/>
        <v>0</v>
      </c>
      <c r="I11" t="b">
        <f t="shared" si="3"/>
        <v>0</v>
      </c>
      <c r="J11" t="b">
        <f t="shared" si="4"/>
        <v>0</v>
      </c>
      <c r="K11" t="b">
        <f t="shared" si="0"/>
        <v>0</v>
      </c>
      <c r="L11" t="b">
        <f t="shared" si="0"/>
        <v>1</v>
      </c>
      <c r="M11" t="b">
        <f t="shared" si="0"/>
        <v>0</v>
      </c>
      <c r="N11" t="b">
        <f t="shared" si="5"/>
        <v>0</v>
      </c>
      <c r="O11" t="b">
        <f t="shared" si="5"/>
        <v>0</v>
      </c>
      <c r="P11" t="b">
        <f t="shared" si="6"/>
        <v>0</v>
      </c>
    </row>
    <row r="12" spans="1:16">
      <c r="A12" t="str">
        <v>rbd_Australia_Victorian_Railways_AEC_RM1</v>
      </c>
      <c r="B12" t="b" cm="1">
        <f t="array" ref="B12">_xlfn.XLOOKUP(A12,CONTROL[VEHIDCODE],PROPERTIES[EXCLUDE])</f>
        <v>0</v>
      </c>
      <c r="C12">
        <f>FLOOR(_xlfn.XLOOKUP($A12,PROPERTIES[VEHIDCODE],PROPERTIES[INTRODUCTION_YEAR]),20)</f>
        <v>1920</v>
      </c>
      <c r="D12" t="str">
        <f>_xlfn.XLOOKUP($A12,PROPERTIES[VEHIDCODE],PROPERTIES[ROLE])</f>
        <v>Commuter/Urban</v>
      </c>
      <c r="E12" s="35" t="str">
        <f>_xlfn.XLOOKUP($A12,PROPERTIES[VEHIDCODE],PROPERTIES[REGION1])</f>
        <v>OCEANIA</v>
      </c>
      <c r="F12" s="35" t="str">
        <f>_xlfn.XLOOKUP($A12,PROPERTIES[VEHIDCODE],PROPERTIES[REGION2])</f>
        <v>NO_REGION</v>
      </c>
      <c r="G12" s="35" t="str">
        <f t="shared" si="1"/>
        <v>OCEANIA_NO_REGION</v>
      </c>
      <c r="H12" t="b">
        <f t="shared" si="2"/>
        <v>0</v>
      </c>
      <c r="I12" t="b">
        <f t="shared" si="3"/>
        <v>0</v>
      </c>
      <c r="J12" t="b">
        <f t="shared" si="4"/>
        <v>0</v>
      </c>
      <c r="K12" t="b">
        <f t="shared" si="0"/>
        <v>0</v>
      </c>
      <c r="L12" t="b">
        <f t="shared" si="0"/>
        <v>0</v>
      </c>
      <c r="M12" t="b">
        <f t="shared" si="0"/>
        <v>0</v>
      </c>
      <c r="N12" t="b">
        <f t="shared" si="5"/>
        <v>0</v>
      </c>
      <c r="O12" t="b">
        <f t="shared" si="5"/>
        <v>0</v>
      </c>
      <c r="P12" t="b">
        <f t="shared" si="6"/>
        <v>1</v>
      </c>
    </row>
    <row r="13" spans="1:16">
      <c r="A13" t="str">
        <v>rbd_Germany_DB_VT_133</v>
      </c>
      <c r="B13" t="b" cm="1">
        <f t="array" ref="B13">_xlfn.XLOOKUP(A13,CONTROL[VEHIDCODE],PROPERTIES[EXCLUDE])</f>
        <v>0</v>
      </c>
      <c r="C13">
        <f>FLOOR(_xlfn.XLOOKUP($A13,PROPERTIES[VEHIDCODE],PROPERTIES[INTRODUCTION_YEAR]),20)</f>
        <v>1920</v>
      </c>
      <c r="D13" t="str">
        <f>_xlfn.XLOOKUP($A13,PROPERTIES[VEHIDCODE],PROPERTIES[ROLE])</f>
        <v>Commuter/Urban</v>
      </c>
      <c r="E13" s="35" t="str">
        <f>_xlfn.XLOOKUP($A13,PROPERTIES[VEHIDCODE],PROPERTIES[REGION1])</f>
        <v>WESTERN_EUROPE</v>
      </c>
      <c r="F13" s="35" t="str">
        <f>_xlfn.XLOOKUP($A13,PROPERTIES[VEHIDCODE],PROPERTIES[REGION2])</f>
        <v>NO_REGION</v>
      </c>
      <c r="G13" s="35" t="str">
        <f t="shared" si="1"/>
        <v>WESTERN_EUROPE_NO_REGION</v>
      </c>
      <c r="H13" t="b">
        <f t="shared" si="2"/>
        <v>0</v>
      </c>
      <c r="I13" t="b">
        <f t="shared" si="3"/>
        <v>0</v>
      </c>
      <c r="J13" t="b">
        <f t="shared" si="4"/>
        <v>0</v>
      </c>
      <c r="K13" t="b">
        <f t="shared" si="0"/>
        <v>0</v>
      </c>
      <c r="L13" t="b">
        <f t="shared" si="0"/>
        <v>1</v>
      </c>
      <c r="M13" t="b">
        <f t="shared" si="0"/>
        <v>0</v>
      </c>
      <c r="N13" t="b">
        <f t="shared" si="5"/>
        <v>0</v>
      </c>
      <c r="O13" t="b">
        <f t="shared" si="5"/>
        <v>0</v>
      </c>
      <c r="P13" t="b">
        <f t="shared" si="6"/>
        <v>0</v>
      </c>
    </row>
    <row r="14" spans="1:16">
      <c r="A14" t="str">
        <v>rbd_United_Kingdom_GWR_AEC_Railcar</v>
      </c>
      <c r="B14" t="b" cm="1">
        <f t="array" ref="B14">_xlfn.XLOOKUP(A14,CONTROL[VEHIDCODE],PROPERTIES[EXCLUDE])</f>
        <v>0</v>
      </c>
      <c r="C14">
        <f>FLOOR(_xlfn.XLOOKUP($A14,PROPERTIES[VEHIDCODE],PROPERTIES[INTRODUCTION_YEAR]),20)</f>
        <v>1920</v>
      </c>
      <c r="D14" t="str">
        <f>_xlfn.XLOOKUP($A14,PROPERTIES[VEHIDCODE],PROPERTIES[ROLE])</f>
        <v>Commuter/Urban</v>
      </c>
      <c r="E14" s="35" t="str">
        <f>_xlfn.XLOOKUP($A14,PROPERTIES[VEHIDCODE],PROPERTIES[REGION1])</f>
        <v>NORTHERN_EUROPE</v>
      </c>
      <c r="F14" s="35" t="str">
        <f>_xlfn.XLOOKUP($A14,PROPERTIES[VEHIDCODE],PROPERTIES[REGION2])</f>
        <v>NO_REGION</v>
      </c>
      <c r="G14" s="35" t="str">
        <f t="shared" si="1"/>
        <v>NORTHERN_EUROPE_NO_REGION</v>
      </c>
      <c r="H14" t="b">
        <f t="shared" si="2"/>
        <v>0</v>
      </c>
      <c r="I14" t="b">
        <f t="shared" si="3"/>
        <v>0</v>
      </c>
      <c r="J14" t="b">
        <f t="shared" si="4"/>
        <v>0</v>
      </c>
      <c r="K14" t="b">
        <f t="shared" si="0"/>
        <v>0</v>
      </c>
      <c r="L14" t="b">
        <f t="shared" si="0"/>
        <v>0</v>
      </c>
      <c r="M14" t="b">
        <f t="shared" si="0"/>
        <v>1</v>
      </c>
      <c r="N14" t="b">
        <f t="shared" si="5"/>
        <v>0</v>
      </c>
      <c r="O14" t="b">
        <f t="shared" si="5"/>
        <v>0</v>
      </c>
      <c r="P14" t="b">
        <f t="shared" si="6"/>
        <v>0</v>
      </c>
    </row>
    <row r="15" spans="1:16">
      <c r="A15" t="str">
        <v>rbd_Austria_OBB_5042</v>
      </c>
      <c r="B15" t="b" cm="1">
        <f t="array" ref="B15">_xlfn.XLOOKUP(A15,CONTROL[VEHIDCODE],PROPERTIES[EXCLUDE])</f>
        <v>0</v>
      </c>
      <c r="C15">
        <f>FLOOR(_xlfn.XLOOKUP($A15,PROPERTIES[VEHIDCODE],PROPERTIES[INTRODUCTION_YEAR]),20)</f>
        <v>1920</v>
      </c>
      <c r="D15" t="str">
        <f>_xlfn.XLOOKUP($A15,PROPERTIES[VEHIDCODE],PROPERTIES[ROLE])</f>
        <v>Commuter/Urban</v>
      </c>
      <c r="E15" s="35" t="str">
        <f>_xlfn.XLOOKUP($A15,PROPERTIES[VEHIDCODE],PROPERTIES[REGION1])</f>
        <v>WESTERN_EUROPE</v>
      </c>
      <c r="F15" s="35" t="str">
        <f>_xlfn.XLOOKUP($A15,PROPERTIES[VEHIDCODE],PROPERTIES[REGION2])</f>
        <v>NO_REGION</v>
      </c>
      <c r="G15" s="35" t="str">
        <f t="shared" si="1"/>
        <v>WESTERN_EUROPE_NO_REGION</v>
      </c>
      <c r="H15" t="b">
        <f t="shared" si="2"/>
        <v>0</v>
      </c>
      <c r="I15" t="b">
        <f t="shared" si="3"/>
        <v>0</v>
      </c>
      <c r="J15" t="b">
        <f t="shared" si="4"/>
        <v>0</v>
      </c>
      <c r="K15" t="b">
        <f t="shared" si="0"/>
        <v>0</v>
      </c>
      <c r="L15" t="b">
        <f t="shared" si="0"/>
        <v>1</v>
      </c>
      <c r="M15" t="b">
        <f t="shared" si="0"/>
        <v>0</v>
      </c>
      <c r="N15" t="b">
        <f t="shared" si="5"/>
        <v>0</v>
      </c>
      <c r="O15" t="b">
        <f t="shared" si="5"/>
        <v>0</v>
      </c>
      <c r="P15" t="b">
        <f t="shared" si="6"/>
        <v>0</v>
      </c>
    </row>
    <row r="16" spans="1:16">
      <c r="A16" t="str">
        <v>rbd_New_Zealand_NZR_RM31</v>
      </c>
      <c r="B16" t="b" cm="1">
        <f t="array" ref="B16">_xlfn.XLOOKUP(A16,CONTROL[VEHIDCODE],PROPERTIES[EXCLUDE])</f>
        <v>0</v>
      </c>
      <c r="C16">
        <f>FLOOR(_xlfn.XLOOKUP($A16,PROPERTIES[VEHIDCODE],PROPERTIES[INTRODUCTION_YEAR]),20)</f>
        <v>1940</v>
      </c>
      <c r="D16" t="str">
        <f>_xlfn.XLOOKUP($A16,PROPERTIES[VEHIDCODE],PROPERTIES[ROLE])</f>
        <v>Express Passenger</v>
      </c>
      <c r="E16" s="35" t="str">
        <f>_xlfn.XLOOKUP($A16,PROPERTIES[VEHIDCODE],PROPERTIES[REGION1])</f>
        <v>OCEANIA</v>
      </c>
      <c r="F16" s="35" t="str">
        <f>_xlfn.XLOOKUP($A16,PROPERTIES[VEHIDCODE],PROPERTIES[REGION2])</f>
        <v>NO_REGION</v>
      </c>
      <c r="G16" s="35" t="str">
        <f t="shared" si="1"/>
        <v>OCEANIA_NO_REGION</v>
      </c>
      <c r="H16" t="b">
        <f t="shared" si="2"/>
        <v>0</v>
      </c>
      <c r="I16" t="b">
        <f t="shared" si="3"/>
        <v>0</v>
      </c>
      <c r="J16" t="b">
        <f t="shared" si="4"/>
        <v>0</v>
      </c>
      <c r="K16" t="b">
        <f t="shared" si="0"/>
        <v>0</v>
      </c>
      <c r="L16" t="b">
        <f t="shared" si="0"/>
        <v>0</v>
      </c>
      <c r="M16" t="b">
        <f t="shared" si="0"/>
        <v>0</v>
      </c>
      <c r="N16" t="b">
        <f t="shared" si="5"/>
        <v>0</v>
      </c>
      <c r="O16" t="b">
        <f t="shared" si="5"/>
        <v>0</v>
      </c>
      <c r="P16" t="b">
        <f t="shared" si="6"/>
        <v>1</v>
      </c>
    </row>
    <row r="17" spans="1:16">
      <c r="A17" t="str">
        <v>rbd_Portugal_CP_0100</v>
      </c>
      <c r="B17" t="b" cm="1">
        <f t="array" ref="B17">_xlfn.XLOOKUP(A17,CONTROL[VEHIDCODE],PROPERTIES[EXCLUDE])</f>
        <v>0</v>
      </c>
      <c r="C17">
        <f>FLOOR(_xlfn.XLOOKUP($A17,PROPERTIES[VEHIDCODE],PROPERTIES[INTRODUCTION_YEAR]),20)</f>
        <v>1940</v>
      </c>
      <c r="D17" t="str">
        <f>_xlfn.XLOOKUP($A17,PROPERTIES[VEHIDCODE],PROPERTIES[ROLE])</f>
        <v>Commuter/Urban</v>
      </c>
      <c r="E17" s="35" t="str">
        <f>_xlfn.XLOOKUP($A17,PROPERTIES[VEHIDCODE],PROPERTIES[REGION1])</f>
        <v>SOUTHERN_EUROPE</v>
      </c>
      <c r="F17" s="35" t="str">
        <f>_xlfn.XLOOKUP($A17,PROPERTIES[VEHIDCODE],PROPERTIES[REGION2])</f>
        <v>NO_REGION</v>
      </c>
      <c r="G17" s="35" t="str">
        <f t="shared" si="1"/>
        <v>SOUTHERN_EUROPE_NO_REGION</v>
      </c>
      <c r="H17" t="b">
        <f t="shared" si="2"/>
        <v>0</v>
      </c>
      <c r="I17" t="b">
        <f t="shared" si="3"/>
        <v>0</v>
      </c>
      <c r="J17" t="b">
        <f t="shared" si="4"/>
        <v>1</v>
      </c>
      <c r="K17" t="b">
        <f t="shared" si="0"/>
        <v>0</v>
      </c>
      <c r="L17" t="b">
        <f t="shared" si="0"/>
        <v>0</v>
      </c>
      <c r="M17" t="b">
        <f t="shared" si="0"/>
        <v>0</v>
      </c>
      <c r="N17" t="b">
        <f t="shared" si="5"/>
        <v>0</v>
      </c>
      <c r="O17" t="b">
        <f t="shared" si="5"/>
        <v>0</v>
      </c>
      <c r="P17" t="b">
        <f t="shared" si="6"/>
        <v>0</v>
      </c>
    </row>
    <row r="18" spans="1:16">
      <c r="A18" t="str">
        <v>rbd_USA_Amtrak_Budd_RDC</v>
      </c>
      <c r="B18" t="b" cm="1">
        <f t="array" ref="B18">_xlfn.XLOOKUP(A18,CONTROL[VEHIDCODE],PROPERTIES[EXCLUDE])</f>
        <v>0</v>
      </c>
      <c r="C18">
        <f>FLOOR(_xlfn.XLOOKUP($A18,PROPERTIES[VEHIDCODE],PROPERTIES[INTRODUCTION_YEAR]),20)</f>
        <v>1940</v>
      </c>
      <c r="D18" t="str">
        <f>_xlfn.XLOOKUP($A18,PROPERTIES[VEHIDCODE],PROPERTIES[ROLE])</f>
        <v>Commuter/Urban</v>
      </c>
      <c r="E18" s="35" t="str">
        <f>_xlfn.XLOOKUP($A18,PROPERTIES[VEHIDCODE],PROPERTIES[REGION1])</f>
        <v>NORTH_AMERICA</v>
      </c>
      <c r="F18" s="35" t="str">
        <f>_xlfn.XLOOKUP($A18,PROPERTIES[VEHIDCODE],PROPERTIES[REGION2])</f>
        <v>NO_REGION</v>
      </c>
      <c r="G18" s="35" t="str">
        <f t="shared" si="1"/>
        <v>NORTH_AMERICA_NO_REGION</v>
      </c>
      <c r="H18" t="b">
        <f t="shared" si="2"/>
        <v>0</v>
      </c>
      <c r="I18" t="b">
        <f t="shared" si="3"/>
        <v>0</v>
      </c>
      <c r="J18" t="b">
        <f t="shared" si="4"/>
        <v>0</v>
      </c>
      <c r="K18" t="b">
        <f t="shared" si="0"/>
        <v>0</v>
      </c>
      <c r="L18" t="b">
        <f t="shared" si="0"/>
        <v>0</v>
      </c>
      <c r="M18" t="b">
        <f t="shared" si="0"/>
        <v>0</v>
      </c>
      <c r="N18" t="b">
        <f t="shared" si="5"/>
        <v>1</v>
      </c>
      <c r="O18" t="b">
        <f t="shared" si="5"/>
        <v>0</v>
      </c>
      <c r="P18" t="b">
        <f t="shared" si="6"/>
        <v>0</v>
      </c>
    </row>
    <row r="19" spans="1:16">
      <c r="A19" t="str">
        <v>rbd_Germany_DB_VT_989</v>
      </c>
      <c r="B19" t="b" cm="1">
        <f t="array" ref="B19">_xlfn.XLOOKUP(A19,CONTROL[VEHIDCODE],PROPERTIES[EXCLUDE])</f>
        <v>0</v>
      </c>
      <c r="C19">
        <f>FLOOR(_xlfn.XLOOKUP($A19,PROPERTIES[VEHIDCODE],PROPERTIES[INTRODUCTION_YEAR]),20)</f>
        <v>1940</v>
      </c>
      <c r="D19" t="str">
        <f>_xlfn.XLOOKUP($A19,PROPERTIES[VEHIDCODE],PROPERTIES[ROLE])</f>
        <v>Commuter/Urban</v>
      </c>
      <c r="E19" s="35" t="str">
        <f>_xlfn.XLOOKUP($A19,PROPERTIES[VEHIDCODE],PROPERTIES[REGION1])</f>
        <v>WESTERN_EUROPE</v>
      </c>
      <c r="F19" s="35" t="str">
        <f>_xlfn.XLOOKUP($A19,PROPERTIES[VEHIDCODE],PROPERTIES[REGION2])</f>
        <v>NO_REGION</v>
      </c>
      <c r="G19" s="35" t="str">
        <f t="shared" si="1"/>
        <v>WESTERN_EUROPE_NO_REGION</v>
      </c>
      <c r="H19" t="b">
        <f t="shared" si="2"/>
        <v>0</v>
      </c>
      <c r="I19" t="b">
        <f t="shared" si="3"/>
        <v>0</v>
      </c>
      <c r="J19" t="b">
        <f t="shared" si="4"/>
        <v>0</v>
      </c>
      <c r="K19" t="b">
        <f t="shared" si="0"/>
        <v>0</v>
      </c>
      <c r="L19" t="b">
        <f t="shared" si="0"/>
        <v>1</v>
      </c>
      <c r="M19" t="b">
        <f t="shared" si="0"/>
        <v>0</v>
      </c>
      <c r="N19" t="b">
        <f t="shared" si="5"/>
        <v>0</v>
      </c>
      <c r="O19" t="b">
        <f t="shared" si="5"/>
        <v>0</v>
      </c>
      <c r="P19" t="b">
        <f t="shared" si="6"/>
        <v>0</v>
      </c>
    </row>
    <row r="20" spans="1:16">
      <c r="A20" t="str">
        <v>rbd_Germany_OHE_520_GDT</v>
      </c>
      <c r="B20" t="b" cm="1">
        <f t="array" ref="B20">_xlfn.XLOOKUP(A20,CONTROL[VEHIDCODE],PROPERTIES[EXCLUDE])</f>
        <v>0</v>
      </c>
      <c r="C20">
        <f>FLOOR(_xlfn.XLOOKUP($A20,PROPERTIES[VEHIDCODE],PROPERTIES[INTRODUCTION_YEAR]),20)</f>
        <v>1940</v>
      </c>
      <c r="D20" t="str">
        <f>_xlfn.XLOOKUP($A20,PROPERTIES[VEHIDCODE],PROPERTIES[ROLE])</f>
        <v>Commuter/Urban</v>
      </c>
      <c r="E20" s="35" t="str">
        <f>_xlfn.XLOOKUP($A20,PROPERTIES[VEHIDCODE],PROPERTIES[REGION1])</f>
        <v>WESTERN_EUROPE</v>
      </c>
      <c r="F20" s="35" t="str">
        <f>_xlfn.XLOOKUP($A20,PROPERTIES[VEHIDCODE],PROPERTIES[REGION2])</f>
        <v>NO_REGION</v>
      </c>
      <c r="G20" s="35" t="str">
        <f t="shared" si="1"/>
        <v>WESTERN_EUROPE_NO_REGION</v>
      </c>
      <c r="H20" t="b">
        <f t="shared" si="2"/>
        <v>0</v>
      </c>
      <c r="I20" t="b">
        <f t="shared" si="3"/>
        <v>0</v>
      </c>
      <c r="J20" t="b">
        <f t="shared" si="4"/>
        <v>0</v>
      </c>
      <c r="K20" t="b">
        <f t="shared" si="0"/>
        <v>0</v>
      </c>
      <c r="L20" t="b">
        <f t="shared" si="0"/>
        <v>1</v>
      </c>
      <c r="M20" t="b">
        <f t="shared" si="0"/>
        <v>0</v>
      </c>
      <c r="N20" t="b">
        <f t="shared" si="5"/>
        <v>0</v>
      </c>
      <c r="O20" t="b">
        <f t="shared" si="5"/>
        <v>0</v>
      </c>
      <c r="P20" t="b">
        <f t="shared" si="6"/>
        <v>0</v>
      </c>
    </row>
    <row r="21" spans="1:16">
      <c r="A21" t="str">
        <v>rbd_Netherlands_NS_20_Kameel</v>
      </c>
      <c r="B21" t="b" cm="1">
        <f t="array" ref="B21">_xlfn.XLOOKUP(A21,CONTROL[VEHIDCODE],PROPERTIES[EXCLUDE])</f>
        <v>0</v>
      </c>
      <c r="C21">
        <f>FLOOR(_xlfn.XLOOKUP($A21,PROPERTIES[VEHIDCODE],PROPERTIES[INTRODUCTION_YEAR]),20)</f>
        <v>1940</v>
      </c>
      <c r="D21" t="str">
        <f>_xlfn.XLOOKUP($A21,PROPERTIES[VEHIDCODE],PROPERTIES[ROLE])</f>
        <v>Commuter/Urban</v>
      </c>
      <c r="E21" s="35" t="str">
        <f>_xlfn.XLOOKUP($A21,PROPERTIES[VEHIDCODE],PROPERTIES[REGION1])</f>
        <v>WESTERN_EUROPE</v>
      </c>
      <c r="F21" s="35" t="str">
        <f>_xlfn.XLOOKUP($A21,PROPERTIES[VEHIDCODE],PROPERTIES[REGION2])</f>
        <v>NO_REGION</v>
      </c>
      <c r="G21" s="35" t="str">
        <f t="shared" si="1"/>
        <v>WESTERN_EUROPE_NO_REGION</v>
      </c>
      <c r="H21" t="b">
        <f t="shared" si="2"/>
        <v>0</v>
      </c>
      <c r="I21" t="b">
        <f t="shared" si="3"/>
        <v>0</v>
      </c>
      <c r="J21" t="b">
        <f t="shared" si="4"/>
        <v>0</v>
      </c>
      <c r="K21" t="b">
        <f t="shared" si="0"/>
        <v>0</v>
      </c>
      <c r="L21" t="b">
        <f t="shared" si="0"/>
        <v>1</v>
      </c>
      <c r="M21" t="b">
        <f t="shared" si="0"/>
        <v>0</v>
      </c>
      <c r="N21" t="b">
        <f t="shared" si="5"/>
        <v>0</v>
      </c>
      <c r="O21" t="b">
        <f t="shared" si="5"/>
        <v>0</v>
      </c>
      <c r="P21" t="b">
        <f t="shared" si="6"/>
        <v>0</v>
      </c>
    </row>
    <row r="22" spans="1:16">
      <c r="A22" t="str">
        <v>rbd_Netherlands_NS_DH1</v>
      </c>
      <c r="B22" t="b" cm="1">
        <f t="array" ref="B22">_xlfn.XLOOKUP(A22,CONTROL[VEHIDCODE],PROPERTIES[EXCLUDE])</f>
        <v>0</v>
      </c>
      <c r="C22">
        <f>FLOOR(_xlfn.XLOOKUP($A22,PROPERTIES[VEHIDCODE],PROPERTIES[INTRODUCTION_YEAR]),20)</f>
        <v>1980</v>
      </c>
      <c r="D22" t="str">
        <f>_xlfn.XLOOKUP($A22,PROPERTIES[VEHIDCODE],PROPERTIES[ROLE])</f>
        <v>Commuter/Urban</v>
      </c>
      <c r="E22" s="35" t="str">
        <f>_xlfn.XLOOKUP($A22,PROPERTIES[VEHIDCODE],PROPERTIES[REGION1])</f>
        <v>WESTERN_EUROPE</v>
      </c>
      <c r="F22" s="35" t="str">
        <f>_xlfn.XLOOKUP($A22,PROPERTIES[VEHIDCODE],PROPERTIES[REGION2])</f>
        <v>NO_REGION</v>
      </c>
      <c r="G22" s="35" t="str">
        <f t="shared" si="1"/>
        <v>WESTERN_EUROPE_NO_REGION</v>
      </c>
      <c r="H22" t="b">
        <f t="shared" si="2"/>
        <v>0</v>
      </c>
      <c r="I22" t="b">
        <f t="shared" si="3"/>
        <v>0</v>
      </c>
      <c r="J22" t="b">
        <f t="shared" si="4"/>
        <v>0</v>
      </c>
      <c r="K22" t="b">
        <f t="shared" si="4"/>
        <v>0</v>
      </c>
      <c r="L22" t="b">
        <f t="shared" si="4"/>
        <v>1</v>
      </c>
      <c r="M22" t="b">
        <f t="shared" si="4"/>
        <v>0</v>
      </c>
      <c r="N22" t="b">
        <f t="shared" si="5"/>
        <v>0</v>
      </c>
      <c r="O22" t="b">
        <f t="shared" si="5"/>
        <v>0</v>
      </c>
      <c r="P22" t="b">
        <f t="shared" si="6"/>
        <v>0</v>
      </c>
    </row>
    <row r="23" spans="1:16">
      <c r="A23" t="str">
        <v>rbd_Austria_OBB_5047</v>
      </c>
      <c r="B23" t="b" cm="1">
        <f t="array" ref="B23">_xlfn.XLOOKUP(A23,CONTROL[VEHIDCODE],PROPERTIES[EXCLUDE])</f>
        <v>0</v>
      </c>
      <c r="C23">
        <f>FLOOR(_xlfn.XLOOKUP($A23,PROPERTIES[VEHIDCODE],PROPERTIES[INTRODUCTION_YEAR]),20)</f>
        <v>1980</v>
      </c>
      <c r="D23" t="str">
        <f>_xlfn.XLOOKUP($A23,PROPERTIES[VEHIDCODE],PROPERTIES[ROLE])</f>
        <v>Commuter/Urban</v>
      </c>
      <c r="E23" s="35" t="str">
        <f>_xlfn.XLOOKUP($A23,PROPERTIES[VEHIDCODE],PROPERTIES[REGION1])</f>
        <v>WESTERN_EUROPE</v>
      </c>
      <c r="F23" s="35" t="str">
        <f>_xlfn.XLOOKUP($A23,PROPERTIES[VEHIDCODE],PROPERTIES[REGION2])</f>
        <v>NO_REGION</v>
      </c>
      <c r="G23" s="35" t="str">
        <f t="shared" si="1"/>
        <v>WESTERN_EUROPE_NO_REGION</v>
      </c>
      <c r="H23" t="b">
        <f t="shared" si="2"/>
        <v>0</v>
      </c>
      <c r="I23" t="b">
        <f t="shared" si="3"/>
        <v>0</v>
      </c>
      <c r="J23" t="b">
        <f t="shared" si="4"/>
        <v>0</v>
      </c>
      <c r="K23" t="b">
        <f t="shared" si="4"/>
        <v>0</v>
      </c>
      <c r="L23" t="b">
        <f t="shared" si="4"/>
        <v>1</v>
      </c>
      <c r="M23" t="b">
        <f t="shared" si="4"/>
        <v>0</v>
      </c>
      <c r="N23" t="b">
        <f t="shared" si="5"/>
        <v>0</v>
      </c>
      <c r="O23" t="b">
        <f t="shared" si="5"/>
        <v>0</v>
      </c>
      <c r="P23" t="b">
        <f t="shared" si="6"/>
        <v>0</v>
      </c>
    </row>
    <row r="24" spans="1:16">
      <c r="A24" t="str">
        <v>rbd_United_Kingdom_BR_153_Super_Sprinter</v>
      </c>
      <c r="B24" t="b" cm="1">
        <f t="array" ref="B24">_xlfn.XLOOKUP(A24,CONTROL[VEHIDCODE],PROPERTIES[EXCLUDE])</f>
        <v>0</v>
      </c>
      <c r="C24">
        <f>FLOOR(_xlfn.XLOOKUP($A24,PROPERTIES[VEHIDCODE],PROPERTIES[INTRODUCTION_YEAR]),20)</f>
        <v>1980</v>
      </c>
      <c r="D24" t="str">
        <f>_xlfn.XLOOKUP($A24,PROPERTIES[VEHIDCODE],PROPERTIES[ROLE])</f>
        <v>Commuter/Urban</v>
      </c>
      <c r="E24" s="35" t="str">
        <f>_xlfn.XLOOKUP($A24,PROPERTIES[VEHIDCODE],PROPERTIES[REGION1])</f>
        <v>NORTHERN_EUROPE</v>
      </c>
      <c r="F24" s="35" t="str">
        <f>_xlfn.XLOOKUP($A24,PROPERTIES[VEHIDCODE],PROPERTIES[REGION2])</f>
        <v>NO_REGION</v>
      </c>
      <c r="G24" s="35" t="str">
        <f t="shared" si="1"/>
        <v>NORTHERN_EUROPE_NO_REGION</v>
      </c>
      <c r="H24" t="b">
        <f t="shared" si="2"/>
        <v>0</v>
      </c>
      <c r="I24" t="b">
        <f t="shared" si="3"/>
        <v>0</v>
      </c>
      <c r="J24" t="b">
        <f t="shared" si="4"/>
        <v>0</v>
      </c>
      <c r="K24" t="b">
        <f t="shared" si="4"/>
        <v>0</v>
      </c>
      <c r="L24" t="b">
        <f t="shared" si="4"/>
        <v>0</v>
      </c>
      <c r="M24" t="b">
        <f t="shared" si="4"/>
        <v>1</v>
      </c>
      <c r="N24" t="b">
        <f t="shared" si="5"/>
        <v>0</v>
      </c>
      <c r="O24" t="b">
        <f t="shared" si="5"/>
        <v>0</v>
      </c>
      <c r="P24" t="b">
        <f t="shared" si="6"/>
        <v>0</v>
      </c>
    </row>
    <row r="25" spans="1:16">
      <c r="A25" t="str">
        <v>rbd_Czech_Republic_CD_809</v>
      </c>
      <c r="B25" t="b" cm="1">
        <f t="array" ref="B25">_xlfn.XLOOKUP(A25,CONTROL[VEHIDCODE],PROPERTIES[EXCLUDE])</f>
        <v>0</v>
      </c>
      <c r="C25">
        <f>FLOOR(_xlfn.XLOOKUP($A25,PROPERTIES[VEHIDCODE],PROPERTIES[INTRODUCTION_YEAR]),20)</f>
        <v>1980</v>
      </c>
      <c r="D25" t="str">
        <f>_xlfn.XLOOKUP($A25,PROPERTIES[VEHIDCODE],PROPERTIES[ROLE])</f>
        <v>Commuter/Urban</v>
      </c>
      <c r="E25" s="35" t="str">
        <f>_xlfn.XLOOKUP($A25,PROPERTIES[VEHIDCODE],PROPERTIES[REGION1])</f>
        <v>EASTERN_EUROPE</v>
      </c>
      <c r="F25" s="35" t="str">
        <f>_xlfn.XLOOKUP($A25,PROPERTIES[VEHIDCODE],PROPERTIES[REGION2])</f>
        <v>NO_REGION</v>
      </c>
      <c r="G25" s="35" t="str">
        <f t="shared" si="1"/>
        <v>EASTERN_EUROPE_NO_REGION</v>
      </c>
      <c r="H25" t="b">
        <f t="shared" si="2"/>
        <v>0</v>
      </c>
      <c r="I25" t="b">
        <f t="shared" si="3"/>
        <v>0</v>
      </c>
      <c r="J25" t="b">
        <f t="shared" si="4"/>
        <v>0</v>
      </c>
      <c r="K25" t="b">
        <f t="shared" si="4"/>
        <v>1</v>
      </c>
      <c r="L25" t="b">
        <f t="shared" si="4"/>
        <v>0</v>
      </c>
      <c r="M25" t="b">
        <f t="shared" si="4"/>
        <v>0</v>
      </c>
      <c r="N25" t="b">
        <f t="shared" si="5"/>
        <v>0</v>
      </c>
      <c r="O25" t="b">
        <f t="shared" si="5"/>
        <v>0</v>
      </c>
      <c r="P25" t="b">
        <f t="shared" si="6"/>
        <v>0</v>
      </c>
    </row>
    <row r="26" spans="1:16">
      <c r="A26" t="str">
        <v>rbd_Germany_DB_670</v>
      </c>
      <c r="B26" t="b" cm="1">
        <f t="array" ref="B26">_xlfn.XLOOKUP(A26,CONTROL[VEHIDCODE],PROPERTIES[EXCLUDE])</f>
        <v>0</v>
      </c>
      <c r="C26">
        <f>FLOOR(_xlfn.XLOOKUP($A26,PROPERTIES[VEHIDCODE],PROPERTIES[INTRODUCTION_YEAR]),20)</f>
        <v>1980</v>
      </c>
      <c r="D26" t="str">
        <f>_xlfn.XLOOKUP($A26,PROPERTIES[VEHIDCODE],PROPERTIES[ROLE])</f>
        <v>Commuter/Urban</v>
      </c>
      <c r="E26" s="35" t="str">
        <f>_xlfn.XLOOKUP($A26,PROPERTIES[VEHIDCODE],PROPERTIES[REGION1])</f>
        <v>WESTERN_EUROPE</v>
      </c>
      <c r="F26" s="35" t="str">
        <f>_xlfn.XLOOKUP($A26,PROPERTIES[VEHIDCODE],PROPERTIES[REGION2])</f>
        <v>NO_REGION</v>
      </c>
      <c r="G26" s="35" t="str">
        <f t="shared" si="1"/>
        <v>WESTERN_EUROPE_NO_REGION</v>
      </c>
      <c r="H26" t="b">
        <f t="shared" si="2"/>
        <v>0</v>
      </c>
      <c r="I26" t="b">
        <f t="shared" si="3"/>
        <v>0</v>
      </c>
      <c r="J26" t="b">
        <f t="shared" si="4"/>
        <v>0</v>
      </c>
      <c r="K26" t="b">
        <f t="shared" si="4"/>
        <v>0</v>
      </c>
      <c r="L26" t="b">
        <f t="shared" si="4"/>
        <v>1</v>
      </c>
      <c r="M26" t="b">
        <f t="shared" si="4"/>
        <v>0</v>
      </c>
      <c r="N26" t="b">
        <f t="shared" si="5"/>
        <v>0</v>
      </c>
      <c r="O26" t="b">
        <f t="shared" si="5"/>
        <v>0</v>
      </c>
      <c r="P26" t="b">
        <f t="shared" si="6"/>
        <v>0</v>
      </c>
    </row>
    <row r="27" spans="1:16">
      <c r="A27" t="str">
        <v>rbd_Lithuania_Lithuanian_Railways_AR2</v>
      </c>
      <c r="B27" t="b" cm="1">
        <f t="array" ref="B27">_xlfn.XLOOKUP(A27,CONTROL[VEHIDCODE],PROPERTIES[EXCLUDE])</f>
        <v>0</v>
      </c>
      <c r="C27">
        <f>FLOOR(_xlfn.XLOOKUP($A27,PROPERTIES[VEHIDCODE],PROPERTIES[INTRODUCTION_YEAR]),20)</f>
        <v>1980</v>
      </c>
      <c r="D27" t="str">
        <f>_xlfn.XLOOKUP($A27,PROPERTIES[VEHIDCODE],PROPERTIES[ROLE])</f>
        <v>Commuter/Urban</v>
      </c>
      <c r="E27" s="35" t="str">
        <f>_xlfn.XLOOKUP($A27,PROPERTIES[VEHIDCODE],PROPERTIES[REGION1])</f>
        <v>NORTHERN_EUROPE</v>
      </c>
      <c r="F27" s="35" t="str">
        <f>_xlfn.XLOOKUP($A27,PROPERTIES[VEHIDCODE],PROPERTIES[REGION2])</f>
        <v>NO_REGION</v>
      </c>
      <c r="G27" s="35" t="str">
        <f t="shared" si="1"/>
        <v>NORTHERN_EUROPE_NO_REGION</v>
      </c>
      <c r="H27" t="b">
        <f t="shared" si="2"/>
        <v>0</v>
      </c>
      <c r="I27" t="b">
        <f t="shared" si="3"/>
        <v>0</v>
      </c>
      <c r="J27" t="b">
        <f t="shared" si="4"/>
        <v>0</v>
      </c>
      <c r="K27" t="b">
        <f t="shared" si="4"/>
        <v>0</v>
      </c>
      <c r="L27" t="b">
        <f t="shared" si="4"/>
        <v>0</v>
      </c>
      <c r="M27" t="b">
        <f t="shared" si="4"/>
        <v>1</v>
      </c>
      <c r="N27" t="b">
        <f t="shared" si="5"/>
        <v>0</v>
      </c>
      <c r="O27" t="b">
        <f t="shared" si="5"/>
        <v>0</v>
      </c>
      <c r="P27" t="b">
        <f t="shared" si="6"/>
        <v>0</v>
      </c>
    </row>
    <row r="28" spans="1:16">
      <c r="A28" t="str">
        <v>rbd_Austria_kkStB_19</v>
      </c>
      <c r="B28" t="b" cm="1">
        <f t="array" ref="B28">_xlfn.XLOOKUP(A28,CONTROL[VEHIDCODE],PROPERTIES[EXCLUDE])</f>
        <v>0</v>
      </c>
      <c r="C28">
        <f>FLOOR(_xlfn.XLOOKUP($A28,PROPERTIES[VEHIDCODE],PROPERTIES[INTRODUCTION_YEAR]),20)</f>
        <v>1900</v>
      </c>
      <c r="D28" t="str">
        <f>_xlfn.XLOOKUP($A28,PROPERTIES[VEHIDCODE],PROPERTIES[ROLE])</f>
        <v>Commuter/Urban</v>
      </c>
      <c r="E28" s="35" t="str">
        <f>_xlfn.XLOOKUP($A28,PROPERTIES[VEHIDCODE],PROPERTIES[REGION1])</f>
        <v>WESTERN_EUROPE</v>
      </c>
      <c r="F28" s="35" t="str">
        <f>_xlfn.XLOOKUP($A28,PROPERTIES[VEHIDCODE],PROPERTIES[REGION2])</f>
        <v>NO_REGION</v>
      </c>
      <c r="G28" s="35" t="str">
        <f t="shared" si="1"/>
        <v>WESTERN_EUROPE_NO_REGION</v>
      </c>
      <c r="H28" t="b">
        <f t="shared" si="2"/>
        <v>0</v>
      </c>
      <c r="I28" t="b">
        <f t="shared" si="3"/>
        <v>0</v>
      </c>
      <c r="J28" t="b">
        <f t="shared" si="4"/>
        <v>0</v>
      </c>
      <c r="K28" t="b">
        <f t="shared" si="4"/>
        <v>0</v>
      </c>
      <c r="L28" t="b">
        <f t="shared" si="4"/>
        <v>1</v>
      </c>
      <c r="M28" t="b">
        <f t="shared" si="4"/>
        <v>0</v>
      </c>
      <c r="N28" t="b">
        <f t="shared" si="5"/>
        <v>0</v>
      </c>
      <c r="O28" t="b">
        <f t="shared" si="5"/>
        <v>0</v>
      </c>
      <c r="P28" t="b">
        <f t="shared" si="6"/>
        <v>0</v>
      </c>
    </row>
    <row r="29" spans="1:16">
      <c r="A29" t="str">
        <v>rbd_USA_Virginia_Truckee_Motor_Car_22</v>
      </c>
      <c r="B29" t="b" cm="1">
        <f t="array" ref="B29">_xlfn.XLOOKUP(A29,CONTROL[VEHIDCODE],PROPERTIES[EXCLUDE])</f>
        <v>0</v>
      </c>
      <c r="C29">
        <f>FLOOR(_xlfn.XLOOKUP($A29,PROPERTIES[VEHIDCODE],PROPERTIES[INTRODUCTION_YEAR]),20)</f>
        <v>1900</v>
      </c>
      <c r="D29" t="str">
        <f>_xlfn.XLOOKUP($A29,PROPERTIES[VEHIDCODE],PROPERTIES[ROLE])</f>
        <v>Commuter/Urban</v>
      </c>
      <c r="E29" s="35" t="str">
        <f>_xlfn.XLOOKUP($A29,PROPERTIES[VEHIDCODE],PROPERTIES[REGION1])</f>
        <v>NORTH_AMERICA</v>
      </c>
      <c r="F29" s="35" t="str">
        <f>_xlfn.XLOOKUP($A29,PROPERTIES[VEHIDCODE],PROPERTIES[REGION2])</f>
        <v>NO_REGION</v>
      </c>
      <c r="G29" s="35" t="str">
        <f t="shared" si="1"/>
        <v>NORTH_AMERICA_NO_REGION</v>
      </c>
      <c r="H29" t="b">
        <f t="shared" si="2"/>
        <v>0</v>
      </c>
      <c r="I29" t="b">
        <f t="shared" si="3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4"/>
        <v>0</v>
      </c>
      <c r="N29" t="b">
        <f t="shared" si="5"/>
        <v>1</v>
      </c>
      <c r="O29" t="b">
        <f t="shared" si="5"/>
        <v>0</v>
      </c>
      <c r="P29" t="b">
        <f t="shared" si="6"/>
        <v>0</v>
      </c>
    </row>
    <row r="30" spans="1:16">
      <c r="A30" t="str">
        <v>rbd_Germany_Saxon_DET_1_2</v>
      </c>
      <c r="B30" t="b" cm="1">
        <f t="array" ref="B30">_xlfn.XLOOKUP(A30,CONTROL[VEHIDCODE],PROPERTIES[EXCLUDE])</f>
        <v>0</v>
      </c>
      <c r="C30">
        <f>FLOOR(_xlfn.XLOOKUP($A30,PROPERTIES[VEHIDCODE],PROPERTIES[INTRODUCTION_YEAR]),20)</f>
        <v>1900</v>
      </c>
      <c r="D30" t="str">
        <f>_xlfn.XLOOKUP($A30,PROPERTIES[VEHIDCODE],PROPERTIES[ROLE])</f>
        <v>Commuter/Urban</v>
      </c>
      <c r="E30" s="35" t="str">
        <f>_xlfn.XLOOKUP($A30,PROPERTIES[VEHIDCODE],PROPERTIES[REGION1])</f>
        <v>WESTERN_EUROPE</v>
      </c>
      <c r="F30" s="35" t="str">
        <f>_xlfn.XLOOKUP($A30,PROPERTIES[VEHIDCODE],PROPERTIES[REGION2])</f>
        <v>NO_REGION</v>
      </c>
      <c r="G30" s="35" t="str">
        <f t="shared" si="1"/>
        <v>WESTERN_EUROPE_NO_REGION</v>
      </c>
      <c r="H30" t="b">
        <f t="shared" si="2"/>
        <v>0</v>
      </c>
      <c r="I30" t="b">
        <f t="shared" si="3"/>
        <v>0</v>
      </c>
      <c r="J30" t="b">
        <f t="shared" si="4"/>
        <v>0</v>
      </c>
      <c r="K30" t="b">
        <f t="shared" si="4"/>
        <v>0</v>
      </c>
      <c r="L30" t="b">
        <f t="shared" si="4"/>
        <v>1</v>
      </c>
      <c r="M30" t="b">
        <f t="shared" si="4"/>
        <v>0</v>
      </c>
      <c r="N30" t="b">
        <f t="shared" si="5"/>
        <v>0</v>
      </c>
      <c r="O30" t="b">
        <f t="shared" si="5"/>
        <v>0</v>
      </c>
      <c r="P30" t="b">
        <f t="shared" si="6"/>
        <v>0</v>
      </c>
    </row>
    <row r="31" spans="1:16">
      <c r="A31" t="str">
        <v>rbd_UK_WC_PR_Drewry_Railcar</v>
      </c>
      <c r="B31" t="b" cm="1">
        <f t="array" ref="B31">_xlfn.XLOOKUP(A31,CONTROL[VEHIDCODE],PROPERTIES[EXCLUDE])</f>
        <v>0</v>
      </c>
      <c r="C31">
        <f>FLOOR(_xlfn.XLOOKUP($A31,PROPERTIES[VEHIDCODE],PROPERTIES[INTRODUCTION_YEAR]),20)</f>
        <v>1920</v>
      </c>
      <c r="D31" t="str">
        <f>_xlfn.XLOOKUP($A31,PROPERTIES[VEHIDCODE],PROPERTIES[ROLE])</f>
        <v>Commuter/Urban</v>
      </c>
      <c r="E31" s="35" t="str">
        <f>_xlfn.XLOOKUP($A31,PROPERTIES[VEHIDCODE],PROPERTIES[REGION1])</f>
        <v>NORTHERN_EUROPE</v>
      </c>
      <c r="F31" s="35" t="str">
        <f>_xlfn.XLOOKUP($A31,PROPERTIES[VEHIDCODE],PROPERTIES[REGION2])</f>
        <v>NO_REGION</v>
      </c>
      <c r="G31" s="35" t="str">
        <f t="shared" si="1"/>
        <v>NORTHERN_EUROPE_NO_REGION</v>
      </c>
      <c r="H31" t="b">
        <f t="shared" si="2"/>
        <v>0</v>
      </c>
      <c r="I31" t="b">
        <f t="shared" si="3"/>
        <v>0</v>
      </c>
      <c r="J31" t="b">
        <f t="shared" si="4"/>
        <v>0</v>
      </c>
      <c r="K31" t="b">
        <f t="shared" si="4"/>
        <v>0</v>
      </c>
      <c r="L31" t="b">
        <f t="shared" si="4"/>
        <v>0</v>
      </c>
      <c r="M31" t="b">
        <f t="shared" si="4"/>
        <v>1</v>
      </c>
      <c r="N31" t="b">
        <f t="shared" si="5"/>
        <v>0</v>
      </c>
      <c r="O31" t="b">
        <f t="shared" si="5"/>
        <v>0</v>
      </c>
      <c r="P31" t="b">
        <f t="shared" si="6"/>
        <v>0</v>
      </c>
    </row>
    <row r="32" spans="1:16">
      <c r="A32" t="str">
        <v>rbd_Germany_BSt_6001</v>
      </c>
      <c r="B32" t="b" cm="1">
        <f t="array" ref="B32">_xlfn.XLOOKUP(A32,CONTROL[VEHIDCODE],PROPERTIES[EXCLUDE])</f>
        <v>0</v>
      </c>
      <c r="C32">
        <f>FLOOR(_xlfn.XLOOKUP($A32,PROPERTIES[VEHIDCODE],PROPERTIES[INTRODUCTION_YEAR]),20)</f>
        <v>1920</v>
      </c>
      <c r="D32" t="str">
        <f>_xlfn.XLOOKUP($A32,PROPERTIES[VEHIDCODE],PROPERTIES[ROLE])</f>
        <v>Commuter/Urban</v>
      </c>
      <c r="E32" s="35" t="str">
        <f>_xlfn.XLOOKUP($A32,PROPERTIES[VEHIDCODE],PROPERTIES[REGION1])</f>
        <v>WESTERN_EUROPE</v>
      </c>
      <c r="F32" s="35" t="str">
        <f>_xlfn.XLOOKUP($A32,PROPERTIES[VEHIDCODE],PROPERTIES[REGION2])</f>
        <v>NO_REGION</v>
      </c>
      <c r="G32" s="35" t="str">
        <f t="shared" si="1"/>
        <v>WESTERN_EUROPE_NO_REGION</v>
      </c>
      <c r="H32" t="b">
        <f t="shared" si="2"/>
        <v>0</v>
      </c>
      <c r="I32" t="b">
        <f t="shared" si="3"/>
        <v>0</v>
      </c>
      <c r="J32" t="b">
        <f t="shared" si="4"/>
        <v>0</v>
      </c>
      <c r="K32" t="b">
        <f t="shared" si="4"/>
        <v>0</v>
      </c>
      <c r="L32" t="b">
        <f t="shared" si="4"/>
        <v>1</v>
      </c>
      <c r="M32" t="b">
        <f t="shared" si="4"/>
        <v>0</v>
      </c>
      <c r="N32" t="b">
        <f t="shared" si="5"/>
        <v>0</v>
      </c>
      <c r="O32" t="b">
        <f t="shared" si="5"/>
        <v>0</v>
      </c>
      <c r="P32" t="b">
        <f t="shared" si="6"/>
        <v>0</v>
      </c>
    </row>
    <row r="33" spans="1:16">
      <c r="A33" t="str">
        <v>rbd_Australia_Victorian_Railways_DERM</v>
      </c>
      <c r="B33" t="b" cm="1">
        <f t="array" ref="B33">_xlfn.XLOOKUP(A33,CONTROL[VEHIDCODE],PROPERTIES[EXCLUDE])</f>
        <v>0</v>
      </c>
      <c r="C33">
        <f>FLOOR(_xlfn.XLOOKUP($A33,PROPERTIES[VEHIDCODE],PROPERTIES[INTRODUCTION_YEAR]),20)</f>
        <v>1920</v>
      </c>
      <c r="D33" t="str">
        <f>_xlfn.XLOOKUP($A33,PROPERTIES[VEHIDCODE],PROPERTIES[ROLE])</f>
        <v>Commuter/Urban</v>
      </c>
      <c r="E33" s="35" t="str">
        <f>_xlfn.XLOOKUP($A33,PROPERTIES[VEHIDCODE],PROPERTIES[REGION1])</f>
        <v>OCEANIA</v>
      </c>
      <c r="F33" s="35" t="str">
        <f>_xlfn.XLOOKUP($A33,PROPERTIES[VEHIDCODE],PROPERTIES[REGION2])</f>
        <v>NO_REGION</v>
      </c>
      <c r="G33" s="35" t="str">
        <f t="shared" si="1"/>
        <v>OCEANIA_NO_REGION</v>
      </c>
      <c r="H33" t="b">
        <f t="shared" si="2"/>
        <v>0</v>
      </c>
      <c r="I33" t="b">
        <f t="shared" si="3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4"/>
        <v>0</v>
      </c>
      <c r="N33" t="b">
        <f t="shared" si="5"/>
        <v>0</v>
      </c>
      <c r="O33" t="b">
        <f t="shared" si="5"/>
        <v>0</v>
      </c>
      <c r="P33" t="b">
        <f t="shared" si="6"/>
        <v>1</v>
      </c>
    </row>
    <row r="34" spans="1:16">
      <c r="A34" t="str">
        <v>rbd_Czech_Republic_CD_M120</v>
      </c>
      <c r="B34" t="b" cm="1">
        <f t="array" ref="B34">_xlfn.XLOOKUP(A34,CONTROL[VEHIDCODE],PROPERTIES[EXCLUDE])</f>
        <v>0</v>
      </c>
      <c r="C34">
        <f>FLOOR(_xlfn.XLOOKUP($A34,PROPERTIES[VEHIDCODE],PROPERTIES[INTRODUCTION_YEAR]),20)</f>
        <v>1920</v>
      </c>
      <c r="D34" t="str">
        <f>_xlfn.XLOOKUP($A34,PROPERTIES[VEHIDCODE],PROPERTIES[ROLE])</f>
        <v>Commuter/Urban</v>
      </c>
      <c r="E34" s="35" t="str">
        <f>_xlfn.XLOOKUP($A34,PROPERTIES[VEHIDCODE],PROPERTIES[REGION1])</f>
        <v>EASTERN_EUROPE</v>
      </c>
      <c r="F34" s="35" t="str">
        <f>_xlfn.XLOOKUP($A34,PROPERTIES[VEHIDCODE],PROPERTIES[REGION2])</f>
        <v>NO_REGION</v>
      </c>
      <c r="G34" s="35" t="str">
        <f t="shared" si="1"/>
        <v>EASTERN_EUROPE_NO_REGION</v>
      </c>
      <c r="H34" t="b">
        <f t="shared" si="2"/>
        <v>0</v>
      </c>
      <c r="I34" t="b">
        <f t="shared" si="3"/>
        <v>0</v>
      </c>
      <c r="J34" t="b">
        <f t="shared" si="4"/>
        <v>0</v>
      </c>
      <c r="K34" t="b">
        <f t="shared" si="4"/>
        <v>1</v>
      </c>
      <c r="L34" t="b">
        <f t="shared" si="4"/>
        <v>0</v>
      </c>
      <c r="M34" t="b">
        <f t="shared" si="4"/>
        <v>0</v>
      </c>
      <c r="N34" t="b">
        <f t="shared" si="5"/>
        <v>0</v>
      </c>
      <c r="O34" t="b">
        <f t="shared" si="5"/>
        <v>0</v>
      </c>
      <c r="P34" t="b">
        <f t="shared" si="6"/>
        <v>0</v>
      </c>
    </row>
    <row r="35" spans="1:16">
      <c r="A35" t="str">
        <v>rbd_Germany_Schienenzeppelin</v>
      </c>
      <c r="B35" t="b" cm="1">
        <f t="array" ref="B35">_xlfn.XLOOKUP(A35,CONTROL[VEHIDCODE],PROPERTIES[EXCLUDE])</f>
        <v>0</v>
      </c>
      <c r="C35">
        <f>FLOOR(_xlfn.XLOOKUP($A35,PROPERTIES[VEHIDCODE],PROPERTIES[INTRODUCTION_YEAR]),20)</f>
        <v>1920</v>
      </c>
      <c r="D35" t="str">
        <f>_xlfn.XLOOKUP($A35,PROPERTIES[VEHIDCODE],PROPERTIES[ROLE])</f>
        <v>Express Passenger</v>
      </c>
      <c r="E35" s="35" t="str">
        <f>_xlfn.XLOOKUP($A35,PROPERTIES[VEHIDCODE],PROPERTIES[REGION1])</f>
        <v>WESTERN_EUROPE</v>
      </c>
      <c r="F35" s="35" t="str">
        <f>_xlfn.XLOOKUP($A35,PROPERTIES[VEHIDCODE],PROPERTIES[REGION2])</f>
        <v>NO_REGION</v>
      </c>
      <c r="G35" s="35" t="str">
        <f t="shared" si="1"/>
        <v>WESTERN_EUROPE_NO_REGION</v>
      </c>
      <c r="H35" t="b">
        <f t="shared" si="2"/>
        <v>0</v>
      </c>
      <c r="I35" t="b">
        <f t="shared" si="3"/>
        <v>0</v>
      </c>
      <c r="J35" t="b">
        <f t="shared" si="4"/>
        <v>0</v>
      </c>
      <c r="K35" t="b">
        <f t="shared" si="4"/>
        <v>0</v>
      </c>
      <c r="L35" t="b">
        <f t="shared" si="4"/>
        <v>1</v>
      </c>
      <c r="M35" t="b">
        <f t="shared" si="4"/>
        <v>0</v>
      </c>
      <c r="N35" t="b">
        <f t="shared" si="5"/>
        <v>0</v>
      </c>
      <c r="O35" t="b">
        <f t="shared" si="5"/>
        <v>0</v>
      </c>
      <c r="P35" t="b">
        <f t="shared" si="6"/>
        <v>0</v>
      </c>
    </row>
    <row r="36" spans="1:16">
      <c r="A36" t="str">
        <v>rbd_Denmark_DSB_MO</v>
      </c>
      <c r="B36" t="b" cm="1">
        <f t="array" ref="B36">_xlfn.XLOOKUP(A36,CONTROL[VEHIDCODE],PROPERTIES[EXCLUDE])</f>
        <v>0</v>
      </c>
      <c r="C36">
        <f>FLOOR(_xlfn.XLOOKUP($A36,PROPERTIES[VEHIDCODE],PROPERTIES[INTRODUCTION_YEAR]),20)</f>
        <v>1920</v>
      </c>
      <c r="D36" t="str">
        <f>_xlfn.XLOOKUP($A36,PROPERTIES[VEHIDCODE],PROPERTIES[ROLE])</f>
        <v>Commuter/Urban</v>
      </c>
      <c r="E36" s="35" t="str">
        <f>_xlfn.XLOOKUP($A36,PROPERTIES[VEHIDCODE],PROPERTIES[REGION1])</f>
        <v>NORTHERN_EUROPE</v>
      </c>
      <c r="F36" s="35" t="str">
        <f>_xlfn.XLOOKUP($A36,PROPERTIES[VEHIDCODE],PROPERTIES[REGION2])</f>
        <v>NO_REGION</v>
      </c>
      <c r="G36" s="35" t="str">
        <f t="shared" si="1"/>
        <v>NORTHERN_EUROPE_NO_REGION</v>
      </c>
      <c r="H36" t="b">
        <f t="shared" si="2"/>
        <v>0</v>
      </c>
      <c r="I36" t="b">
        <f t="shared" si="3"/>
        <v>0</v>
      </c>
      <c r="J36" t="b">
        <f t="shared" si="4"/>
        <v>0</v>
      </c>
      <c r="K36" t="b">
        <f t="shared" si="4"/>
        <v>0</v>
      </c>
      <c r="L36" t="b">
        <f t="shared" si="4"/>
        <v>0</v>
      </c>
      <c r="M36" t="b">
        <f t="shared" si="4"/>
        <v>1</v>
      </c>
      <c r="N36" t="b">
        <f t="shared" si="5"/>
        <v>0</v>
      </c>
      <c r="O36" t="b">
        <f t="shared" si="5"/>
        <v>0</v>
      </c>
      <c r="P36" t="b">
        <f t="shared" si="6"/>
        <v>0</v>
      </c>
    </row>
    <row r="37" spans="1:16">
      <c r="A37" t="str">
        <v>rbd_Norway_NSB_Cmb_17</v>
      </c>
      <c r="B37" t="b" cm="1">
        <f t="array" ref="B37">_xlfn.XLOOKUP(A37,CONTROL[VEHIDCODE],PROPERTIES[EXCLUDE])</f>
        <v>0</v>
      </c>
      <c r="C37">
        <f>FLOOR(_xlfn.XLOOKUP($A37,PROPERTIES[VEHIDCODE],PROPERTIES[INTRODUCTION_YEAR]),20)</f>
        <v>1920</v>
      </c>
      <c r="D37" t="str">
        <f>_xlfn.XLOOKUP($A37,PROPERTIES[VEHIDCODE],PROPERTIES[ROLE])</f>
        <v>Commuter/Urban</v>
      </c>
      <c r="E37" s="35" t="str">
        <f>_xlfn.XLOOKUP($A37,PROPERTIES[VEHIDCODE],PROPERTIES[REGION1])</f>
        <v>NORTHERN_EUROPE</v>
      </c>
      <c r="F37" s="35" t="str">
        <f>_xlfn.XLOOKUP($A37,PROPERTIES[VEHIDCODE],PROPERTIES[REGION2])</f>
        <v>NO_REGION</v>
      </c>
      <c r="G37" s="35" t="str">
        <f t="shared" si="1"/>
        <v>NORTHERN_EUROPE_NO_REGION</v>
      </c>
      <c r="H37" t="b">
        <f t="shared" si="2"/>
        <v>0</v>
      </c>
      <c r="I37" t="b">
        <f t="shared" si="3"/>
        <v>0</v>
      </c>
      <c r="J37" t="b">
        <f t="shared" si="4"/>
        <v>0</v>
      </c>
      <c r="K37" t="b">
        <f t="shared" si="4"/>
        <v>0</v>
      </c>
      <c r="L37" t="b">
        <f t="shared" si="4"/>
        <v>0</v>
      </c>
      <c r="M37" t="b">
        <f t="shared" si="4"/>
        <v>1</v>
      </c>
      <c r="N37" t="b">
        <f t="shared" si="5"/>
        <v>0</v>
      </c>
      <c r="O37" t="b">
        <f t="shared" si="5"/>
        <v>0</v>
      </c>
      <c r="P37" t="b">
        <f t="shared" si="6"/>
        <v>0</v>
      </c>
    </row>
    <row r="38" spans="1:16">
      <c r="A38" t="str">
        <v>rbd_Czech_Republic_CD_M290</v>
      </c>
      <c r="B38" t="b" cm="1">
        <f t="array" ref="B38">_xlfn.XLOOKUP(A38,CONTROL[VEHIDCODE],PROPERTIES[EXCLUDE])</f>
        <v>0</v>
      </c>
      <c r="C38">
        <f>FLOOR(_xlfn.XLOOKUP($A38,PROPERTIES[VEHIDCODE],PROPERTIES[INTRODUCTION_YEAR]),20)</f>
        <v>1920</v>
      </c>
      <c r="D38" t="str">
        <f>_xlfn.XLOOKUP($A38,PROPERTIES[VEHIDCODE],PROPERTIES[ROLE])</f>
        <v>Commuter/Urban</v>
      </c>
      <c r="E38" s="35" t="str">
        <f>_xlfn.XLOOKUP($A38,PROPERTIES[VEHIDCODE],PROPERTIES[REGION1])</f>
        <v>EASTERN_EUROPE</v>
      </c>
      <c r="F38" s="35" t="str">
        <f>_xlfn.XLOOKUP($A38,PROPERTIES[VEHIDCODE],PROPERTIES[REGION2])</f>
        <v>NO_REGION</v>
      </c>
      <c r="G38" s="35" t="str">
        <f t="shared" si="1"/>
        <v>EASTERN_EUROPE_NO_REGION</v>
      </c>
      <c r="H38" t="b">
        <f t="shared" si="2"/>
        <v>0</v>
      </c>
      <c r="I38" t="b">
        <f t="shared" si="3"/>
        <v>0</v>
      </c>
      <c r="J38" t="b">
        <f t="shared" si="4"/>
        <v>0</v>
      </c>
      <c r="K38" t="b">
        <f t="shared" si="4"/>
        <v>1</v>
      </c>
      <c r="L38" t="b">
        <f t="shared" si="4"/>
        <v>0</v>
      </c>
      <c r="M38" t="b">
        <f t="shared" si="4"/>
        <v>0</v>
      </c>
      <c r="N38" t="b">
        <f t="shared" si="5"/>
        <v>0</v>
      </c>
      <c r="O38" t="b">
        <f t="shared" si="5"/>
        <v>0</v>
      </c>
      <c r="P38" t="b">
        <f t="shared" si="6"/>
        <v>0</v>
      </c>
    </row>
    <row r="39" spans="1:16">
      <c r="A39" t="str">
        <v>rbd_Netherlands_NS_omBC</v>
      </c>
      <c r="B39" t="b" cm="1">
        <f t="array" ref="B39">_xlfn.XLOOKUP(A39,CONTROL[VEHIDCODE],PROPERTIES[EXCLUDE])</f>
        <v>0</v>
      </c>
      <c r="C39">
        <f>FLOOR(_xlfn.XLOOKUP($A39,PROPERTIES[VEHIDCODE],PROPERTIES[INTRODUCTION_YEAR]),20)</f>
        <v>1920</v>
      </c>
      <c r="D39" t="str">
        <f>_xlfn.XLOOKUP($A39,PROPERTIES[VEHIDCODE],PROPERTIES[ROLE])</f>
        <v>Commuter/Urban</v>
      </c>
      <c r="E39" s="35" t="str">
        <f>_xlfn.XLOOKUP($A39,PROPERTIES[VEHIDCODE],PROPERTIES[REGION1])</f>
        <v>WESTERN_EUROPE</v>
      </c>
      <c r="F39" s="35" t="str">
        <f>_xlfn.XLOOKUP($A39,PROPERTIES[VEHIDCODE],PROPERTIES[REGION2])</f>
        <v>NO_REGION</v>
      </c>
      <c r="G39" s="35" t="str">
        <f t="shared" si="1"/>
        <v>WESTERN_EUROPE_NO_REGION</v>
      </c>
      <c r="H39" t="b">
        <f t="shared" si="2"/>
        <v>0</v>
      </c>
      <c r="I39" t="b">
        <f t="shared" si="3"/>
        <v>0</v>
      </c>
      <c r="J39" t="b">
        <f t="shared" si="4"/>
        <v>0</v>
      </c>
      <c r="K39" t="b">
        <f t="shared" si="4"/>
        <v>0</v>
      </c>
      <c r="L39" t="b">
        <f t="shared" si="4"/>
        <v>1</v>
      </c>
      <c r="M39" t="b">
        <f t="shared" si="4"/>
        <v>0</v>
      </c>
      <c r="N39" t="b">
        <f t="shared" si="5"/>
        <v>0</v>
      </c>
      <c r="O39" t="b">
        <f t="shared" si="5"/>
        <v>0</v>
      </c>
      <c r="P39" t="b">
        <f t="shared" si="6"/>
        <v>0</v>
      </c>
    </row>
    <row r="40" spans="1:16">
      <c r="A40" t="str">
        <v>rbd_Australia_NSWGR_Class_400</v>
      </c>
      <c r="B40" t="b" cm="1">
        <f t="array" ref="B40">_xlfn.XLOOKUP(A40,CONTROL[VEHIDCODE],PROPERTIES[EXCLUDE])</f>
        <v>0</v>
      </c>
      <c r="C40">
        <f>FLOOR(_xlfn.XLOOKUP($A40,PROPERTIES[VEHIDCODE],PROPERTIES[INTRODUCTION_YEAR]),20)</f>
        <v>1920</v>
      </c>
      <c r="D40" t="str">
        <f>_xlfn.XLOOKUP($A40,PROPERTIES[VEHIDCODE],PROPERTIES[ROLE])</f>
        <v>Commuter/Urban</v>
      </c>
      <c r="E40" s="35" t="str">
        <f>_xlfn.XLOOKUP($A40,PROPERTIES[VEHIDCODE],PROPERTIES[REGION1])</f>
        <v>OCEANIA</v>
      </c>
      <c r="F40" s="35" t="str">
        <f>_xlfn.XLOOKUP($A40,PROPERTIES[VEHIDCODE],PROPERTIES[REGION2])</f>
        <v>NO_REGION</v>
      </c>
      <c r="G40" s="35" t="str">
        <f t="shared" si="1"/>
        <v>OCEANIA_NO_REGION</v>
      </c>
      <c r="H40" t="b">
        <f t="shared" si="2"/>
        <v>0</v>
      </c>
      <c r="I40" t="b">
        <f t="shared" si="3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4"/>
        <v>0</v>
      </c>
      <c r="N40" t="b">
        <f t="shared" si="5"/>
        <v>0</v>
      </c>
      <c r="O40" t="b">
        <f t="shared" si="5"/>
        <v>0</v>
      </c>
      <c r="P40" t="b">
        <f t="shared" si="6"/>
        <v>1</v>
      </c>
    </row>
    <row r="41" spans="1:16">
      <c r="A41" t="str">
        <v>rbd_Portugal_CP_USD_9050</v>
      </c>
      <c r="B41" t="b" cm="1">
        <f t="array" ref="B41">_xlfn.XLOOKUP(A41,CONTROL[VEHIDCODE],PROPERTIES[EXCLUDE])</f>
        <v>0</v>
      </c>
      <c r="C41">
        <f>FLOOR(_xlfn.XLOOKUP($A41,PROPERTIES[VEHIDCODE],PROPERTIES[INTRODUCTION_YEAR]),20)</f>
        <v>1940</v>
      </c>
      <c r="D41" t="str">
        <f>_xlfn.XLOOKUP($A41,PROPERTIES[VEHIDCODE],PROPERTIES[ROLE])</f>
        <v>Commuter/Urban</v>
      </c>
      <c r="E41" s="35" t="str">
        <f>_xlfn.XLOOKUP($A41,PROPERTIES[VEHIDCODE],PROPERTIES[REGION1])</f>
        <v>SOUTHERN_EUROPE</v>
      </c>
      <c r="F41" s="35" t="str">
        <f>_xlfn.XLOOKUP($A41,PROPERTIES[VEHIDCODE],PROPERTIES[REGION2])</f>
        <v>NO_REGION</v>
      </c>
      <c r="G41" s="35" t="str">
        <f t="shared" si="1"/>
        <v>SOUTHERN_EUROPE_NO_REGION</v>
      </c>
      <c r="H41" t="b">
        <f t="shared" si="2"/>
        <v>0</v>
      </c>
      <c r="I41" t="b">
        <f t="shared" si="3"/>
        <v>0</v>
      </c>
      <c r="J41" t="b">
        <f t="shared" si="4"/>
        <v>1</v>
      </c>
      <c r="K41" t="b">
        <f t="shared" si="4"/>
        <v>0</v>
      </c>
      <c r="L41" t="b">
        <f t="shared" si="4"/>
        <v>0</v>
      </c>
      <c r="M41" t="b">
        <f t="shared" si="4"/>
        <v>0</v>
      </c>
      <c r="N41" t="b">
        <f t="shared" si="5"/>
        <v>0</v>
      </c>
      <c r="O41" t="b">
        <f t="shared" si="5"/>
        <v>0</v>
      </c>
      <c r="P41" t="b">
        <f t="shared" si="6"/>
        <v>0</v>
      </c>
    </row>
    <row r="42" spans="1:16">
      <c r="A42" t="str">
        <v>rbd_Belgium_SNCB_Class_42</v>
      </c>
      <c r="B42" t="b" cm="1">
        <f t="array" ref="B42">_xlfn.XLOOKUP(A42,CONTROL[VEHIDCODE],PROPERTIES[EXCLUDE])</f>
        <v>0</v>
      </c>
      <c r="C42">
        <f>FLOOR(_xlfn.XLOOKUP($A42,PROPERTIES[VEHIDCODE],PROPERTIES[INTRODUCTION_YEAR]),20)</f>
        <v>1940</v>
      </c>
      <c r="D42" t="str">
        <f>_xlfn.XLOOKUP($A42,PROPERTIES[VEHIDCODE],PROPERTIES[ROLE])</f>
        <v>Commuter/Urban</v>
      </c>
      <c r="E42" s="35" t="str">
        <f>_xlfn.XLOOKUP($A42,PROPERTIES[VEHIDCODE],PROPERTIES[REGION1])</f>
        <v>WESTERN_EUROPE</v>
      </c>
      <c r="F42" s="35" t="str">
        <f>_xlfn.XLOOKUP($A42,PROPERTIES[VEHIDCODE],PROPERTIES[REGION2])</f>
        <v>NO_REGION</v>
      </c>
      <c r="G42" s="35" t="str">
        <f t="shared" si="1"/>
        <v>WESTERN_EUROPE_NO_REGION</v>
      </c>
      <c r="H42" t="b">
        <f t="shared" si="2"/>
        <v>0</v>
      </c>
      <c r="I42" t="b">
        <f t="shared" si="3"/>
        <v>0</v>
      </c>
      <c r="J42" t="b">
        <f t="shared" si="4"/>
        <v>0</v>
      </c>
      <c r="K42" t="b">
        <f t="shared" si="4"/>
        <v>0</v>
      </c>
      <c r="L42" t="b">
        <f t="shared" si="4"/>
        <v>1</v>
      </c>
      <c r="M42" t="b">
        <f t="shared" si="4"/>
        <v>0</v>
      </c>
      <c r="N42" t="b">
        <f t="shared" si="5"/>
        <v>0</v>
      </c>
      <c r="O42" t="b">
        <f t="shared" si="5"/>
        <v>0</v>
      </c>
      <c r="P42" t="b">
        <f t="shared" si="6"/>
        <v>0</v>
      </c>
    </row>
    <row r="43" spans="1:16">
      <c r="A43" t="str">
        <v>rbd_Bulgaria_BDZ_19</v>
      </c>
      <c r="B43" t="b" cm="1">
        <f t="array" ref="B43">_xlfn.XLOOKUP(A43,CONTROL[VEHIDCODE],PROPERTIES[EXCLUDE])</f>
        <v>0</v>
      </c>
      <c r="C43">
        <f>FLOOR(_xlfn.XLOOKUP($A43,PROPERTIES[VEHIDCODE],PROPERTIES[INTRODUCTION_YEAR]),20)</f>
        <v>1960</v>
      </c>
      <c r="D43" t="str">
        <f>_xlfn.XLOOKUP($A43,PROPERTIES[VEHIDCODE],PROPERTIES[ROLE])</f>
        <v>Commuter/Urban</v>
      </c>
      <c r="E43" s="35" t="str">
        <f>_xlfn.XLOOKUP($A43,PROPERTIES[VEHIDCODE],PROPERTIES[REGION1])</f>
        <v>EASTERN_EUROPE</v>
      </c>
      <c r="F43" s="35" t="str">
        <f>_xlfn.XLOOKUP($A43,PROPERTIES[VEHIDCODE],PROPERTIES[REGION2])</f>
        <v>NO_REGION</v>
      </c>
      <c r="G43" s="35" t="str">
        <f t="shared" si="1"/>
        <v>EASTERN_EUROPE_NO_REGION</v>
      </c>
      <c r="H43" t="b">
        <f t="shared" si="2"/>
        <v>0</v>
      </c>
      <c r="I43" t="b">
        <f t="shared" si="3"/>
        <v>0</v>
      </c>
      <c r="J43" t="b">
        <f t="shared" si="4"/>
        <v>0</v>
      </c>
      <c r="K43" t="b">
        <f t="shared" si="4"/>
        <v>1</v>
      </c>
      <c r="L43" t="b">
        <f t="shared" si="4"/>
        <v>0</v>
      </c>
      <c r="M43" t="b">
        <f t="shared" si="4"/>
        <v>0</v>
      </c>
      <c r="N43" t="b">
        <f t="shared" si="5"/>
        <v>0</v>
      </c>
      <c r="O43" t="b">
        <f t="shared" si="5"/>
        <v>0</v>
      </c>
      <c r="P43" t="b">
        <f t="shared" si="6"/>
        <v>0</v>
      </c>
    </row>
    <row r="44" spans="1:16">
      <c r="A44" t="str">
        <v>rbd_Greece_OSE_AA71</v>
      </c>
      <c r="B44" t="b" cm="1">
        <f t="array" ref="B44">_xlfn.XLOOKUP(A44,CONTROL[VEHIDCODE],PROPERTIES[EXCLUDE])</f>
        <v>0</v>
      </c>
      <c r="C44">
        <f>FLOOR(_xlfn.XLOOKUP($A44,PROPERTIES[VEHIDCODE],PROPERTIES[INTRODUCTION_YEAR]),20)</f>
        <v>1960</v>
      </c>
      <c r="D44" t="str">
        <f>_xlfn.XLOOKUP($A44,PROPERTIES[VEHIDCODE],PROPERTIES[ROLE])</f>
        <v>Commuter/Urban</v>
      </c>
      <c r="E44" s="35" t="str">
        <f>_xlfn.XLOOKUP($A44,PROPERTIES[VEHIDCODE],PROPERTIES[REGION1])</f>
        <v>SOUTHERN_EUROPE</v>
      </c>
      <c r="F44" s="35" t="str">
        <f>_xlfn.XLOOKUP($A44,PROPERTIES[VEHIDCODE],PROPERTIES[REGION2])</f>
        <v>NO_REGION</v>
      </c>
      <c r="G44" s="35" t="str">
        <f t="shared" si="1"/>
        <v>SOUTHERN_EUROPE_NO_REGION</v>
      </c>
      <c r="H44" t="b">
        <f t="shared" si="2"/>
        <v>0</v>
      </c>
      <c r="I44" t="b">
        <f t="shared" si="3"/>
        <v>0</v>
      </c>
      <c r="J44" t="b">
        <f t="shared" si="4"/>
        <v>1</v>
      </c>
      <c r="K44" t="b">
        <f t="shared" si="4"/>
        <v>0</v>
      </c>
      <c r="L44" t="b">
        <f t="shared" si="4"/>
        <v>0</v>
      </c>
      <c r="M44" t="b">
        <f t="shared" si="4"/>
        <v>0</v>
      </c>
      <c r="N44" t="b">
        <f t="shared" si="5"/>
        <v>0</v>
      </c>
      <c r="O44" t="b">
        <f t="shared" si="5"/>
        <v>0</v>
      </c>
      <c r="P44" t="b">
        <f t="shared" si="6"/>
        <v>0</v>
      </c>
    </row>
    <row r="45" spans="1:16">
      <c r="A45" t="str">
        <v>rbd_Tunisia_SNCFT_Z431</v>
      </c>
      <c r="B45" t="b" cm="1">
        <f t="array" ref="B45">_xlfn.XLOOKUP(A45,CONTROL[VEHIDCODE],PROPERTIES[EXCLUDE])</f>
        <v>0</v>
      </c>
      <c r="C45">
        <f>FLOOR(_xlfn.XLOOKUP($A45,PROPERTIES[VEHIDCODE],PROPERTIES[INTRODUCTION_YEAR]),20)</f>
        <v>1960</v>
      </c>
      <c r="D45" t="str">
        <f>_xlfn.XLOOKUP($A45,PROPERTIES[VEHIDCODE],PROPERTIES[ROLE])</f>
        <v>Commuter/Urban</v>
      </c>
      <c r="E45" s="35" t="str">
        <f>_xlfn.XLOOKUP($A45,PROPERTIES[VEHIDCODE],PROPERTIES[REGION1])</f>
        <v>AFRICA</v>
      </c>
      <c r="F45" s="35" t="str">
        <f>_xlfn.XLOOKUP($A45,PROPERTIES[VEHIDCODE],PROPERTIES[REGION2])</f>
        <v>NO_REGION</v>
      </c>
      <c r="G45" s="35" t="str">
        <f t="shared" si="1"/>
        <v>AFRICA_NO_REGION</v>
      </c>
      <c r="H45" t="b">
        <f t="shared" si="2"/>
        <v>1</v>
      </c>
      <c r="I45" t="b">
        <f t="shared" si="3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4"/>
        <v>0</v>
      </c>
      <c r="N45" t="b">
        <f t="shared" si="5"/>
        <v>0</v>
      </c>
      <c r="O45" t="b">
        <f t="shared" si="5"/>
        <v>0</v>
      </c>
      <c r="P45" t="b">
        <f t="shared" si="6"/>
        <v>0</v>
      </c>
    </row>
    <row r="46" spans="1:16">
      <c r="A46" t="str">
        <v>rbd_USA_Amtrak_SPV_200</v>
      </c>
      <c r="B46" t="b" cm="1">
        <f t="array" ref="B46">_xlfn.XLOOKUP(A46,CONTROL[VEHIDCODE],PROPERTIES[EXCLUDE])</f>
        <v>0</v>
      </c>
      <c r="C46">
        <f>FLOOR(_xlfn.XLOOKUP($A46,PROPERTIES[VEHIDCODE],PROPERTIES[INTRODUCTION_YEAR]),20)</f>
        <v>1960</v>
      </c>
      <c r="D46" t="str">
        <f>_xlfn.XLOOKUP($A46,PROPERTIES[VEHIDCODE],PROPERTIES[ROLE])</f>
        <v>Commuter/Urban</v>
      </c>
      <c r="E46" s="35" t="str">
        <f>_xlfn.XLOOKUP($A46,PROPERTIES[VEHIDCODE],PROPERTIES[REGION1])</f>
        <v>NORTH_AMERICA</v>
      </c>
      <c r="F46" s="35" t="str">
        <f>_xlfn.XLOOKUP($A46,PROPERTIES[VEHIDCODE],PROPERTIES[REGION2])</f>
        <v>NO_REGION</v>
      </c>
      <c r="G46" s="35" t="str">
        <f t="shared" si="1"/>
        <v>NORTH_AMERICA_NO_REGION</v>
      </c>
      <c r="H46" t="b">
        <f t="shared" si="2"/>
        <v>0</v>
      </c>
      <c r="I46" t="b">
        <f t="shared" si="3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4"/>
        <v>0</v>
      </c>
      <c r="N46" t="b">
        <f t="shared" si="5"/>
        <v>1</v>
      </c>
      <c r="O46" t="b">
        <f t="shared" si="5"/>
        <v>0</v>
      </c>
      <c r="P46" t="b">
        <f t="shared" si="6"/>
        <v>0</v>
      </c>
    </row>
    <row r="47" spans="1:16">
      <c r="A47" t="str">
        <v>rbd_Finland_VR_Dm12</v>
      </c>
      <c r="B47" t="b" cm="1">
        <f t="array" ref="B47">_xlfn.XLOOKUP(A47,CONTROL[VEHIDCODE],PROPERTIES[EXCLUDE])</f>
        <v>0</v>
      </c>
      <c r="C47">
        <f>FLOOR(_xlfn.XLOOKUP($A47,PROPERTIES[VEHIDCODE],PROPERTIES[INTRODUCTION_YEAR]),20)</f>
        <v>2000</v>
      </c>
      <c r="D47" t="str">
        <f>_xlfn.XLOOKUP($A47,PROPERTIES[VEHIDCODE],PROPERTIES[ROLE])</f>
        <v>Commuter/Urban</v>
      </c>
      <c r="E47" s="35" t="str">
        <f>_xlfn.XLOOKUP($A47,PROPERTIES[VEHIDCODE],PROPERTIES[REGION1])</f>
        <v>NORTHERN_EUROPE</v>
      </c>
      <c r="F47" s="35" t="str">
        <f>_xlfn.XLOOKUP($A47,PROPERTIES[VEHIDCODE],PROPERTIES[REGION2])</f>
        <v>NO_REGION</v>
      </c>
      <c r="G47" s="35" t="str">
        <f t="shared" si="1"/>
        <v>NORTHERN_EUROPE_NO_REGION</v>
      </c>
      <c r="H47" t="b">
        <f t="shared" si="2"/>
        <v>0</v>
      </c>
      <c r="I47" t="b">
        <f t="shared" si="3"/>
        <v>0</v>
      </c>
      <c r="J47" t="b">
        <f t="shared" si="4"/>
        <v>0</v>
      </c>
      <c r="K47" t="b">
        <f t="shared" si="4"/>
        <v>0</v>
      </c>
      <c r="L47" t="b">
        <f t="shared" si="4"/>
        <v>0</v>
      </c>
      <c r="M47" t="b">
        <f t="shared" si="4"/>
        <v>1</v>
      </c>
      <c r="N47" t="b">
        <f t="shared" si="5"/>
        <v>0</v>
      </c>
      <c r="O47" t="b">
        <f t="shared" si="5"/>
        <v>0</v>
      </c>
      <c r="P47" t="b">
        <f t="shared" si="6"/>
        <v>0</v>
      </c>
    </row>
    <row r="48" spans="1:16">
      <c r="A48" t="str">
        <v>rbd_Czech_Republic_CD_840</v>
      </c>
      <c r="B48" t="b" cm="1">
        <f t="array" ref="B48">_xlfn.XLOOKUP(A48,CONTROL[VEHIDCODE],PROPERTIES[EXCLUDE])</f>
        <v>0</v>
      </c>
      <c r="C48">
        <f>FLOOR(_xlfn.XLOOKUP($A48,PROPERTIES[VEHIDCODE],PROPERTIES[INTRODUCTION_YEAR]),20)</f>
        <v>2000</v>
      </c>
      <c r="D48" t="str">
        <f>_xlfn.XLOOKUP($A48,PROPERTIES[VEHIDCODE],PROPERTIES[ROLE])</f>
        <v>Commuter/Urban</v>
      </c>
      <c r="E48" s="35" t="str">
        <f>_xlfn.XLOOKUP($A48,PROPERTIES[VEHIDCODE],PROPERTIES[REGION1])</f>
        <v>EASTERN_EUROPE</v>
      </c>
      <c r="F48" s="35" t="str">
        <f>_xlfn.XLOOKUP($A48,PROPERTIES[VEHIDCODE],PROPERTIES[REGION2])</f>
        <v>NO_REGION</v>
      </c>
      <c r="G48" s="35" t="str">
        <f t="shared" si="1"/>
        <v>EASTERN_EUROPE_NO_REGION</v>
      </c>
      <c r="H48" t="b">
        <f t="shared" si="2"/>
        <v>0</v>
      </c>
      <c r="I48" t="b">
        <f t="shared" si="3"/>
        <v>0</v>
      </c>
      <c r="J48" t="b">
        <f t="shared" si="4"/>
        <v>0</v>
      </c>
      <c r="K48" t="b">
        <f t="shared" si="4"/>
        <v>1</v>
      </c>
      <c r="L48" t="b">
        <f t="shared" si="4"/>
        <v>0</v>
      </c>
      <c r="M48" t="b">
        <f t="shared" si="4"/>
        <v>0</v>
      </c>
      <c r="N48" t="b">
        <f t="shared" si="5"/>
        <v>0</v>
      </c>
      <c r="O48" t="b">
        <f t="shared" si="5"/>
        <v>0</v>
      </c>
      <c r="P48" t="b">
        <f t="shared" si="6"/>
        <v>0</v>
      </c>
    </row>
    <row r="49" spans="1:16">
      <c r="A49" t="str">
        <v>rbd_Italy_FS_ALn_668</v>
      </c>
      <c r="B49" t="b" cm="1">
        <f t="array" ref="B49">_xlfn.XLOOKUP(A49,CONTROL[VEHIDCODE],PROPERTIES[EXCLUDE])</f>
        <v>0</v>
      </c>
      <c r="C49">
        <f>FLOOR(_xlfn.XLOOKUP($A49,PROPERTIES[VEHIDCODE],PROPERTIES[INTRODUCTION_YEAR]),20)</f>
        <v>1940</v>
      </c>
      <c r="D49" t="str">
        <f>_xlfn.XLOOKUP($A49,PROPERTIES[VEHIDCODE],PROPERTIES[ROLE])</f>
        <v>Commuter/Urban</v>
      </c>
      <c r="E49" s="35" t="str">
        <f>_xlfn.XLOOKUP($A49,PROPERTIES[VEHIDCODE],PROPERTIES[REGION1])</f>
        <v>SOUTHERN_EUROPE</v>
      </c>
      <c r="F49" s="35" t="str">
        <f>_xlfn.XLOOKUP($A49,PROPERTIES[VEHIDCODE],PROPERTIES[REGION2])</f>
        <v>NO_REGION</v>
      </c>
      <c r="G49" s="35" t="str">
        <f t="shared" si="1"/>
        <v>SOUTHERN_EUROPE_NO_REGION</v>
      </c>
      <c r="H49" t="b">
        <f t="shared" si="2"/>
        <v>0</v>
      </c>
      <c r="I49" t="b">
        <f t="shared" si="3"/>
        <v>0</v>
      </c>
      <c r="J49" t="b">
        <f t="shared" si="4"/>
        <v>1</v>
      </c>
      <c r="K49" t="b">
        <f t="shared" si="4"/>
        <v>0</v>
      </c>
      <c r="L49" t="b">
        <f t="shared" si="4"/>
        <v>0</v>
      </c>
      <c r="M49" t="b">
        <f t="shared" si="4"/>
        <v>0</v>
      </c>
      <c r="N49" t="b">
        <f t="shared" si="5"/>
        <v>0</v>
      </c>
      <c r="O49" t="b">
        <f t="shared" si="5"/>
        <v>0</v>
      </c>
      <c r="P49" t="b">
        <f t="shared" si="6"/>
        <v>0</v>
      </c>
    </row>
    <row r="50" spans="1:16">
      <c r="A50" t="str">
        <v>rbe_Czech_Republic_CD_M400</v>
      </c>
      <c r="B50" t="b" cm="1">
        <f t="array" ref="B50">_xlfn.XLOOKUP(A50,CONTROL[VEHIDCODE],PROPERTIES[EXCLUDE])</f>
        <v>0</v>
      </c>
      <c r="C50">
        <f>FLOOR(_xlfn.XLOOKUP($A50,PROPERTIES[VEHIDCODE],PROPERTIES[INTRODUCTION_YEAR]),20)</f>
        <v>1900</v>
      </c>
      <c r="D50" t="str">
        <f>_xlfn.XLOOKUP($A50,PROPERTIES[VEHIDCODE],PROPERTIES[ROLE])</f>
        <v>Commuter/Urban</v>
      </c>
      <c r="E50" s="35" t="str">
        <f>_xlfn.XLOOKUP($A50,PROPERTIES[VEHIDCODE],PROPERTIES[REGION1])</f>
        <v>EASTERN_EUROPE</v>
      </c>
      <c r="F50" s="35" t="str">
        <f>_xlfn.XLOOKUP($A50,PROPERTIES[VEHIDCODE],PROPERTIES[REGION2])</f>
        <v>NO_REGION</v>
      </c>
      <c r="G50" s="35" t="str">
        <f t="shared" si="1"/>
        <v>EASTERN_EUROPE_NO_REGION</v>
      </c>
      <c r="H50" t="b">
        <f t="shared" si="2"/>
        <v>0</v>
      </c>
      <c r="I50" t="b">
        <f t="shared" si="3"/>
        <v>0</v>
      </c>
      <c r="J50" t="b">
        <f t="shared" si="4"/>
        <v>0</v>
      </c>
      <c r="K50" t="b">
        <f t="shared" si="4"/>
        <v>1</v>
      </c>
      <c r="L50" t="b">
        <f t="shared" si="4"/>
        <v>0</v>
      </c>
      <c r="M50" t="b">
        <f t="shared" si="4"/>
        <v>0</v>
      </c>
      <c r="N50" t="b">
        <f t="shared" si="5"/>
        <v>0</v>
      </c>
      <c r="O50" t="b">
        <f t="shared" si="5"/>
        <v>0</v>
      </c>
      <c r="P50" t="b">
        <f t="shared" si="6"/>
        <v>0</v>
      </c>
    </row>
    <row r="51" spans="1:16">
      <c r="A51" t="str">
        <v>rbe_France_SNCF_Z_7100</v>
      </c>
      <c r="B51" t="b" cm="1">
        <f t="array" ref="B51">_xlfn.XLOOKUP(A51,CONTROL[VEHIDCODE],PROPERTIES[EXCLUDE])</f>
        <v>0</v>
      </c>
      <c r="C51">
        <f>FLOOR(_xlfn.XLOOKUP($A51,PROPERTIES[VEHIDCODE],PROPERTIES[INTRODUCTION_YEAR]),20)</f>
        <v>1960</v>
      </c>
      <c r="D51" t="str">
        <f>_xlfn.XLOOKUP($A51,PROPERTIES[VEHIDCODE],PROPERTIES[ROLE])</f>
        <v>Commuter/Urban</v>
      </c>
      <c r="E51" s="35" t="str">
        <f>_xlfn.XLOOKUP($A51,PROPERTIES[VEHIDCODE],PROPERTIES[REGION1])</f>
        <v>WESTERN_EUROPE</v>
      </c>
      <c r="F51" s="35" t="str">
        <f>_xlfn.XLOOKUP($A51,PROPERTIES[VEHIDCODE],PROPERTIES[REGION2])</f>
        <v>NO_REGION</v>
      </c>
      <c r="G51" s="35" t="str">
        <f t="shared" si="1"/>
        <v>WESTERN_EUROPE_NO_REGION</v>
      </c>
      <c r="H51" t="b">
        <f t="shared" si="2"/>
        <v>0</v>
      </c>
      <c r="I51" t="b">
        <f t="shared" si="3"/>
        <v>0</v>
      </c>
      <c r="J51" t="b">
        <f t="shared" si="4"/>
        <v>0</v>
      </c>
      <c r="K51" t="b">
        <f t="shared" si="4"/>
        <v>0</v>
      </c>
      <c r="L51" t="b">
        <f t="shared" si="4"/>
        <v>1</v>
      </c>
      <c r="M51" t="b">
        <f t="shared" si="4"/>
        <v>0</v>
      </c>
      <c r="N51" t="b">
        <f t="shared" si="5"/>
        <v>0</v>
      </c>
      <c r="O51" t="b">
        <f t="shared" si="5"/>
        <v>0</v>
      </c>
      <c r="P51" t="b">
        <f t="shared" si="6"/>
        <v>0</v>
      </c>
    </row>
    <row r="52" spans="1:16">
      <c r="A52" t="str">
        <v>rbe_Germany_Buckower_Kleinbahn_Nr_1_3</v>
      </c>
      <c r="B52" t="b" cm="1">
        <f t="array" ref="B52">_xlfn.XLOOKUP(A52,CONTROL[VEHIDCODE],PROPERTIES[EXCLUDE])</f>
        <v>0</v>
      </c>
      <c r="C52">
        <f>FLOOR(_xlfn.XLOOKUP($A52,PROPERTIES[VEHIDCODE],PROPERTIES[INTRODUCTION_YEAR]),20)</f>
        <v>1920</v>
      </c>
      <c r="D52" t="str">
        <f>_xlfn.XLOOKUP($A52,PROPERTIES[VEHIDCODE],PROPERTIES[ROLE])</f>
        <v>Commuter/Urban</v>
      </c>
      <c r="E52" s="35" t="str">
        <f>_xlfn.XLOOKUP($A52,PROPERTIES[VEHIDCODE],PROPERTIES[REGION1])</f>
        <v>WESTERN_EUROPE</v>
      </c>
      <c r="F52" s="35" t="str">
        <f>_xlfn.XLOOKUP($A52,PROPERTIES[VEHIDCODE],PROPERTIES[REGION2])</f>
        <v>NO_REGION</v>
      </c>
      <c r="G52" s="35" t="str">
        <f t="shared" si="1"/>
        <v>WESTERN_EUROPE_NO_REGION</v>
      </c>
      <c r="H52" t="b">
        <f t="shared" si="2"/>
        <v>0</v>
      </c>
      <c r="I52" t="b">
        <f t="shared" si="3"/>
        <v>0</v>
      </c>
      <c r="J52" t="b">
        <f t="shared" si="4"/>
        <v>0</v>
      </c>
      <c r="K52" t="b">
        <f t="shared" si="4"/>
        <v>0</v>
      </c>
      <c r="L52" t="b">
        <f t="shared" si="4"/>
        <v>1</v>
      </c>
      <c r="M52" t="b">
        <f t="shared" si="4"/>
        <v>0</v>
      </c>
      <c r="N52" t="b">
        <f t="shared" si="5"/>
        <v>0</v>
      </c>
      <c r="O52" t="b">
        <f t="shared" si="5"/>
        <v>0</v>
      </c>
      <c r="P52" t="b">
        <f t="shared" si="6"/>
        <v>0</v>
      </c>
    </row>
    <row r="53" spans="1:16">
      <c r="A53" t="str">
        <v>rbe_Germany_DB_4792</v>
      </c>
      <c r="B53" t="b" cm="1">
        <f t="array" ref="B53">_xlfn.XLOOKUP(A53,CONTROL[VEHIDCODE],PROPERTIES[EXCLUDE])</f>
        <v>0</v>
      </c>
      <c r="C53">
        <f>FLOOR(_xlfn.XLOOKUP($A53,PROPERTIES[VEHIDCODE],PROPERTIES[INTRODUCTION_YEAR]),20)</f>
        <v>1980</v>
      </c>
      <c r="D53" t="str">
        <f>_xlfn.XLOOKUP($A53,PROPERTIES[VEHIDCODE],PROPERTIES[ROLE])</f>
        <v>Commuter/Urban</v>
      </c>
      <c r="E53" s="35" t="str">
        <f>_xlfn.XLOOKUP($A53,PROPERTIES[VEHIDCODE],PROPERTIES[REGION1])</f>
        <v>WESTERN_EUROPE</v>
      </c>
      <c r="F53" s="35" t="str">
        <f>_xlfn.XLOOKUP($A53,PROPERTIES[VEHIDCODE],PROPERTIES[REGION2])</f>
        <v>NO_REGION</v>
      </c>
      <c r="G53" s="35" t="str">
        <f t="shared" si="1"/>
        <v>WESTERN_EUROPE_NO_REGION</v>
      </c>
      <c r="H53" t="b">
        <f t="shared" si="2"/>
        <v>0</v>
      </c>
      <c r="I53" t="b">
        <f t="shared" si="3"/>
        <v>0</v>
      </c>
      <c r="J53" t="b">
        <f t="shared" si="4"/>
        <v>0</v>
      </c>
      <c r="K53" t="b">
        <f t="shared" si="4"/>
        <v>0</v>
      </c>
      <c r="L53" t="b">
        <f t="shared" si="4"/>
        <v>1</v>
      </c>
      <c r="M53" t="b">
        <f t="shared" si="4"/>
        <v>0</v>
      </c>
      <c r="N53" t="b">
        <f t="shared" si="5"/>
        <v>0</v>
      </c>
      <c r="O53" t="b">
        <f t="shared" si="5"/>
        <v>0</v>
      </c>
      <c r="P53" t="b">
        <f t="shared" si="6"/>
        <v>0</v>
      </c>
    </row>
    <row r="54" spans="1:16">
      <c r="A54" t="str">
        <v>rbe_Slovakia_ZSSK_490</v>
      </c>
      <c r="B54" t="b" cm="1">
        <f t="array" ref="B54">_xlfn.XLOOKUP(A54,CONTROL[VEHIDCODE],PROPERTIES[EXCLUDE])</f>
        <v>0</v>
      </c>
      <c r="C54">
        <f>FLOOR(_xlfn.XLOOKUP($A54,PROPERTIES[VEHIDCODE],PROPERTIES[INTRODUCTION_YEAR]),20)</f>
        <v>1920</v>
      </c>
      <c r="D54" t="str">
        <f>_xlfn.XLOOKUP($A54,PROPERTIES[VEHIDCODE],PROPERTIES[ROLE])</f>
        <v>Commuter/Urban</v>
      </c>
      <c r="E54" s="35" t="str">
        <f>_xlfn.XLOOKUP($A54,PROPERTIES[VEHIDCODE],PROPERTIES[REGION1])</f>
        <v>EASTERN_EUROPE</v>
      </c>
      <c r="F54" s="35" t="str">
        <f>_xlfn.XLOOKUP($A54,PROPERTIES[VEHIDCODE],PROPERTIES[REGION2])</f>
        <v>NO_REGION</v>
      </c>
      <c r="G54" s="35" t="str">
        <f t="shared" si="1"/>
        <v>EASTERN_EUROPE_NO_REGION</v>
      </c>
      <c r="H54" t="b">
        <f t="shared" si="2"/>
        <v>0</v>
      </c>
      <c r="I54" t="b">
        <f t="shared" si="3"/>
        <v>0</v>
      </c>
      <c r="J54" t="b">
        <f t="shared" si="4"/>
        <v>0</v>
      </c>
      <c r="K54" t="b">
        <f t="shared" si="4"/>
        <v>1</v>
      </c>
      <c r="L54" t="b">
        <f t="shared" si="4"/>
        <v>0</v>
      </c>
      <c r="M54" t="b">
        <f t="shared" si="4"/>
        <v>0</v>
      </c>
      <c r="N54" t="b">
        <f t="shared" si="5"/>
        <v>0</v>
      </c>
      <c r="O54" t="b">
        <f t="shared" si="5"/>
        <v>0</v>
      </c>
      <c r="P54" t="b">
        <f t="shared" si="6"/>
        <v>0</v>
      </c>
    </row>
    <row r="55" spans="1:16">
      <c r="A55" t="str">
        <v>rbe_Italy_FS_ALe_840</v>
      </c>
      <c r="B55" t="b" cm="1">
        <f t="array" ref="B55">_xlfn.XLOOKUP(A55,CONTROL[VEHIDCODE],PROPERTIES[EXCLUDE])</f>
        <v>0</v>
      </c>
      <c r="C55">
        <f>FLOOR(_xlfn.XLOOKUP($A55,PROPERTIES[VEHIDCODE],PROPERTIES[INTRODUCTION_YEAR]),20)</f>
        <v>1940</v>
      </c>
      <c r="D55" t="str">
        <f>_xlfn.XLOOKUP($A55,PROPERTIES[VEHIDCODE],PROPERTIES[ROLE])</f>
        <v>Commuter/Urban</v>
      </c>
      <c r="E55" s="35" t="str">
        <f>_xlfn.XLOOKUP($A55,PROPERTIES[VEHIDCODE],PROPERTIES[REGION1])</f>
        <v>SOUTHERN_EUROPE</v>
      </c>
      <c r="F55" s="35" t="str">
        <f>_xlfn.XLOOKUP($A55,PROPERTIES[VEHIDCODE],PROPERTIES[REGION2])</f>
        <v>NO_REGION</v>
      </c>
      <c r="G55" s="35" t="str">
        <f t="shared" si="1"/>
        <v>SOUTHERN_EUROPE_NO_REGION</v>
      </c>
      <c r="H55" t="b">
        <f t="shared" si="2"/>
        <v>0</v>
      </c>
      <c r="I55" t="b">
        <f t="shared" si="3"/>
        <v>0</v>
      </c>
      <c r="J55" t="b">
        <f t="shared" si="4"/>
        <v>1</v>
      </c>
      <c r="K55" t="b">
        <f t="shared" si="4"/>
        <v>0</v>
      </c>
      <c r="L55" t="b">
        <f t="shared" si="4"/>
        <v>0</v>
      </c>
      <c r="M55" t="b">
        <f t="shared" si="4"/>
        <v>0</v>
      </c>
      <c r="N55" t="b">
        <f t="shared" si="5"/>
        <v>0</v>
      </c>
      <c r="O55" t="b">
        <f t="shared" si="5"/>
        <v>0</v>
      </c>
      <c r="P55" t="b">
        <f t="shared" si="6"/>
        <v>0</v>
      </c>
    </row>
    <row r="56" spans="1:16">
      <c r="A56" t="str">
        <v>rbe_Italy_FG_ALe_80</v>
      </c>
      <c r="B56" t="b" cm="1">
        <f t="array" ref="B56">_xlfn.XLOOKUP(A56,CONTROL[VEHIDCODE],PROPERTIES[EXCLUDE])</f>
        <v>0</v>
      </c>
      <c r="C56">
        <f>FLOOR(_xlfn.XLOOKUP($A56,PROPERTIES[VEHIDCODE],PROPERTIES[INTRODUCTION_YEAR]),20)</f>
        <v>1980</v>
      </c>
      <c r="D56" t="str">
        <f>_xlfn.XLOOKUP($A56,PROPERTIES[VEHIDCODE],PROPERTIES[ROLE])</f>
        <v>Commuter/Urban</v>
      </c>
      <c r="E56" s="35" t="str">
        <f>_xlfn.XLOOKUP($A56,PROPERTIES[VEHIDCODE],PROPERTIES[REGION1])</f>
        <v>SOUTHERN_EUROPE</v>
      </c>
      <c r="F56" s="35" t="str">
        <f>_xlfn.XLOOKUP($A56,PROPERTIES[VEHIDCODE],PROPERTIES[REGION2])</f>
        <v>NO_REGION</v>
      </c>
      <c r="G56" s="35" t="str">
        <f t="shared" si="1"/>
        <v>SOUTHERN_EUROPE_NO_REGION</v>
      </c>
      <c r="H56" t="b">
        <f t="shared" si="2"/>
        <v>0</v>
      </c>
      <c r="I56" t="b">
        <f t="shared" si="3"/>
        <v>0</v>
      </c>
      <c r="J56" t="b">
        <f t="shared" si="4"/>
        <v>1</v>
      </c>
      <c r="K56" t="b">
        <f t="shared" si="4"/>
        <v>0</v>
      </c>
      <c r="L56" t="b">
        <f t="shared" si="4"/>
        <v>0</v>
      </c>
      <c r="M56" t="b">
        <f t="shared" si="4"/>
        <v>0</v>
      </c>
      <c r="N56" t="b">
        <f t="shared" si="5"/>
        <v>0</v>
      </c>
      <c r="O56" t="b">
        <f t="shared" si="5"/>
        <v>0</v>
      </c>
      <c r="P56" t="b">
        <f t="shared" si="6"/>
        <v>0</v>
      </c>
    </row>
    <row r="57" spans="1:16">
      <c r="A57" t="str">
        <v>rbe_Italy_FS_E623</v>
      </c>
      <c r="B57" t="b" cm="1">
        <f t="array" ref="B57">_xlfn.XLOOKUP(A57,CONTROL[VEHIDCODE],PROPERTIES[EXCLUDE])</f>
        <v>0</v>
      </c>
      <c r="C57">
        <f>FLOOR(_xlfn.XLOOKUP($A57,PROPERTIES[VEHIDCODE],PROPERTIES[INTRODUCTION_YEAR]),20)</f>
        <v>1940</v>
      </c>
      <c r="D57" t="str">
        <f>_xlfn.XLOOKUP($A57,PROPERTIES[VEHIDCODE],PROPERTIES[ROLE])</f>
        <v>Commuter/Urban</v>
      </c>
      <c r="E57" s="35" t="str">
        <f>_xlfn.XLOOKUP($A57,PROPERTIES[VEHIDCODE],PROPERTIES[REGION1])</f>
        <v>SOUTHERN_EUROPE</v>
      </c>
      <c r="F57" s="35" t="str">
        <f>_xlfn.XLOOKUP($A57,PROPERTIES[VEHIDCODE],PROPERTIES[REGION2])</f>
        <v>NO_REGION</v>
      </c>
      <c r="G57" s="35" t="str">
        <f t="shared" si="1"/>
        <v>SOUTHERN_EUROPE_NO_REGION</v>
      </c>
      <c r="H57" t="b">
        <f t="shared" si="2"/>
        <v>0</v>
      </c>
      <c r="I57" t="b">
        <f t="shared" si="3"/>
        <v>0</v>
      </c>
      <c r="J57" t="b">
        <f t="shared" si="4"/>
        <v>1</v>
      </c>
      <c r="K57" t="b">
        <f t="shared" si="4"/>
        <v>0</v>
      </c>
      <c r="L57" t="b">
        <f t="shared" si="4"/>
        <v>0</v>
      </c>
      <c r="M57" t="b">
        <f t="shared" si="4"/>
        <v>0</v>
      </c>
      <c r="N57" t="b">
        <f t="shared" si="5"/>
        <v>0</v>
      </c>
      <c r="O57" t="b">
        <f t="shared" si="5"/>
        <v>0</v>
      </c>
      <c r="P57" t="b">
        <f t="shared" si="6"/>
        <v>0</v>
      </c>
    </row>
    <row r="58" spans="1:16">
      <c r="A58" t="str">
        <v>rbe_Morocco_ONCFM_ZAB1000</v>
      </c>
      <c r="B58" t="b" cm="1">
        <f t="array" ref="B58">_xlfn.XLOOKUP(A58,CONTROL[VEHIDCODE],PROPERTIES[EXCLUDE])</f>
        <v>0</v>
      </c>
      <c r="C58">
        <f>FLOOR(_xlfn.XLOOKUP($A58,PROPERTIES[VEHIDCODE],PROPERTIES[INTRODUCTION_YEAR]),20)</f>
        <v>1920</v>
      </c>
      <c r="D58" t="str">
        <f>_xlfn.XLOOKUP($A58,PROPERTIES[VEHIDCODE],PROPERTIES[ROLE])</f>
        <v>Commuter/Urban</v>
      </c>
      <c r="E58" s="35" t="str">
        <f>_xlfn.XLOOKUP($A58,PROPERTIES[VEHIDCODE],PROPERTIES[REGION1])</f>
        <v>AFRICA</v>
      </c>
      <c r="F58" s="35" t="str">
        <f>_xlfn.XLOOKUP($A58,PROPERTIES[VEHIDCODE],PROPERTIES[REGION2])</f>
        <v>NO_REGION</v>
      </c>
      <c r="G58" s="35" t="str">
        <f t="shared" si="1"/>
        <v>AFRICA_NO_REGION</v>
      </c>
      <c r="H58" t="b">
        <f t="shared" si="2"/>
        <v>1</v>
      </c>
      <c r="I58" t="b">
        <f t="shared" si="3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4"/>
        <v>0</v>
      </c>
      <c r="N58" t="b">
        <f t="shared" si="5"/>
        <v>0</v>
      </c>
      <c r="O58" t="b">
        <f t="shared" si="5"/>
        <v>0</v>
      </c>
      <c r="P58" t="b">
        <f t="shared" si="6"/>
        <v>0</v>
      </c>
    </row>
    <row r="59" spans="1:16">
      <c r="A59" t="str">
        <v>rbe_Poland_PKP_EN81</v>
      </c>
      <c r="B59" t="b" cm="1">
        <f t="array" ref="B59">_xlfn.XLOOKUP(A59,CONTROL[VEHIDCODE],PROPERTIES[EXCLUDE])</f>
        <v>0</v>
      </c>
      <c r="C59">
        <f>FLOOR(_xlfn.XLOOKUP($A59,PROPERTIES[VEHIDCODE],PROPERTIES[INTRODUCTION_YEAR]),20)</f>
        <v>2000</v>
      </c>
      <c r="D59" t="str">
        <f>_xlfn.XLOOKUP($A59,PROPERTIES[VEHIDCODE],PROPERTIES[ROLE])</f>
        <v>Commuter/Urban</v>
      </c>
      <c r="E59" s="35" t="str">
        <f>_xlfn.XLOOKUP($A59,PROPERTIES[VEHIDCODE],PROPERTIES[REGION1])</f>
        <v>EASTERN_EUROPE</v>
      </c>
      <c r="F59" s="35" t="str">
        <f>_xlfn.XLOOKUP($A59,PROPERTIES[VEHIDCODE],PROPERTIES[REGION2])</f>
        <v>NO_REGION</v>
      </c>
      <c r="G59" s="35" t="str">
        <f t="shared" si="1"/>
        <v>EASTERN_EUROPE_NO_REGION</v>
      </c>
      <c r="H59" t="b">
        <f t="shared" si="2"/>
        <v>0</v>
      </c>
      <c r="I59" t="b">
        <f t="shared" si="3"/>
        <v>0</v>
      </c>
      <c r="J59" t="b">
        <f t="shared" si="4"/>
        <v>0</v>
      </c>
      <c r="K59" t="b">
        <f t="shared" si="4"/>
        <v>1</v>
      </c>
      <c r="L59" t="b">
        <f t="shared" si="4"/>
        <v>0</v>
      </c>
      <c r="M59" t="b">
        <f t="shared" si="4"/>
        <v>0</v>
      </c>
      <c r="N59" t="b">
        <f t="shared" si="5"/>
        <v>0</v>
      </c>
      <c r="O59" t="b">
        <f t="shared" si="5"/>
        <v>0</v>
      </c>
      <c r="P59" t="b">
        <f t="shared" si="6"/>
        <v>0</v>
      </c>
    </row>
    <row r="60" spans="1:16">
      <c r="A60" t="str">
        <v>rbe_Austria_OBB_4855</v>
      </c>
      <c r="B60" t="b" cm="1">
        <f t="array" ref="B60">_xlfn.XLOOKUP(A60,CONTROL[VEHIDCODE],PROPERTIES[EXCLUDE])</f>
        <v>0</v>
      </c>
      <c r="C60">
        <f>FLOOR(_xlfn.XLOOKUP($A60,PROPERTIES[VEHIDCODE],PROPERTIES[INTRODUCTION_YEAR]),20)</f>
        <v>1980</v>
      </c>
      <c r="D60" t="str">
        <f>_xlfn.XLOOKUP($A60,PROPERTIES[VEHIDCODE],PROPERTIES[ROLE])</f>
        <v>Commuter/Urban</v>
      </c>
      <c r="E60" s="35" t="str">
        <f>_xlfn.XLOOKUP($A60,PROPERTIES[VEHIDCODE],PROPERTIES[REGION1])</f>
        <v>WESTERN_EUROPE</v>
      </c>
      <c r="F60" s="35" t="str">
        <f>_xlfn.XLOOKUP($A60,PROPERTIES[VEHIDCODE],PROPERTIES[REGION2])</f>
        <v>NO_REGION</v>
      </c>
      <c r="G60" s="35" t="str">
        <f t="shared" si="1"/>
        <v>WESTERN_EUROPE_NO_REGION</v>
      </c>
      <c r="H60" t="b">
        <f t="shared" si="2"/>
        <v>0</v>
      </c>
      <c r="I60" t="b">
        <f t="shared" si="3"/>
        <v>0</v>
      </c>
      <c r="J60" t="b">
        <f t="shared" si="4"/>
        <v>0</v>
      </c>
      <c r="K60" t="b">
        <f t="shared" si="4"/>
        <v>0</v>
      </c>
      <c r="L60" t="b">
        <f t="shared" si="4"/>
        <v>1</v>
      </c>
      <c r="M60" t="b">
        <f t="shared" si="4"/>
        <v>0</v>
      </c>
      <c r="N60" t="b">
        <f t="shared" si="5"/>
        <v>0</v>
      </c>
      <c r="O60" t="b">
        <f t="shared" si="5"/>
        <v>0</v>
      </c>
      <c r="P60" t="b">
        <f t="shared" si="6"/>
        <v>0</v>
      </c>
    </row>
    <row r="61" spans="1:16">
      <c r="A61" t="str">
        <v>rbe_Austria_MBS_ET_10109</v>
      </c>
      <c r="B61" t="b" cm="1">
        <f t="array" ref="B61">_xlfn.XLOOKUP(A61,CONTROL[VEHIDCODE],PROPERTIES[EXCLUDE])</f>
        <v>0</v>
      </c>
      <c r="C61">
        <f>FLOOR(_xlfn.XLOOKUP($A61,PROPERTIES[VEHIDCODE],PROPERTIES[INTRODUCTION_YEAR]),20)</f>
        <v>2000</v>
      </c>
      <c r="D61" t="str">
        <f>_xlfn.XLOOKUP($A61,PROPERTIES[VEHIDCODE],PROPERTIES[ROLE])</f>
        <v>Commuter/Urban</v>
      </c>
      <c r="E61" s="35" t="str">
        <f>_xlfn.XLOOKUP($A61,PROPERTIES[VEHIDCODE],PROPERTIES[REGION1])</f>
        <v>WESTERN_EUROPE</v>
      </c>
      <c r="F61" s="35" t="str">
        <f>_xlfn.XLOOKUP($A61,PROPERTIES[VEHIDCODE],PROPERTIES[REGION2])</f>
        <v>NO_REGION</v>
      </c>
      <c r="G61" s="35" t="str">
        <f t="shared" si="1"/>
        <v>WESTERN_EUROPE_NO_REGION</v>
      </c>
      <c r="H61" t="b">
        <f t="shared" si="2"/>
        <v>0</v>
      </c>
      <c r="I61" t="b">
        <f t="shared" si="3"/>
        <v>0</v>
      </c>
      <c r="J61" t="b">
        <f t="shared" si="4"/>
        <v>0</v>
      </c>
      <c r="K61" t="b">
        <f t="shared" si="4"/>
        <v>0</v>
      </c>
      <c r="L61" t="b">
        <f t="shared" si="4"/>
        <v>1</v>
      </c>
      <c r="M61" t="b">
        <f t="shared" si="4"/>
        <v>0</v>
      </c>
      <c r="N61" t="b">
        <f t="shared" si="5"/>
        <v>0</v>
      </c>
      <c r="O61" t="b">
        <f t="shared" si="5"/>
        <v>0</v>
      </c>
      <c r="P61" t="b">
        <f t="shared" si="6"/>
        <v>0</v>
      </c>
    </row>
    <row r="62" spans="1:16">
      <c r="A62" t="str">
        <v>rbe_Germany_DB_ET_85</v>
      </c>
      <c r="B62" t="b" cm="1">
        <f t="array" ref="B62">_xlfn.XLOOKUP(A62,CONTROL[VEHIDCODE],PROPERTIES[EXCLUDE])</f>
        <v>0</v>
      </c>
      <c r="C62">
        <f>FLOOR(_xlfn.XLOOKUP($A62,PROPERTIES[VEHIDCODE],PROPERTIES[INTRODUCTION_YEAR]),20)</f>
        <v>1920</v>
      </c>
      <c r="D62" t="str">
        <f>_xlfn.XLOOKUP($A62,PROPERTIES[VEHIDCODE],PROPERTIES[ROLE])</f>
        <v>Commuter/Urban</v>
      </c>
      <c r="E62" s="35" t="str">
        <f>_xlfn.XLOOKUP($A62,PROPERTIES[VEHIDCODE],PROPERTIES[REGION1])</f>
        <v>WESTERN_EUROPE</v>
      </c>
      <c r="F62" s="35" t="str">
        <f>_xlfn.XLOOKUP($A62,PROPERTIES[VEHIDCODE],PROPERTIES[REGION2])</f>
        <v>NO_REGION</v>
      </c>
      <c r="G62" s="35" t="str">
        <f t="shared" si="1"/>
        <v>WESTERN_EUROPE_NO_REGION</v>
      </c>
      <c r="H62" t="b">
        <f t="shared" si="2"/>
        <v>0</v>
      </c>
      <c r="I62" t="b">
        <f t="shared" si="3"/>
        <v>0</v>
      </c>
      <c r="J62" t="b">
        <f t="shared" si="4"/>
        <v>0</v>
      </c>
      <c r="K62" t="b">
        <f t="shared" si="4"/>
        <v>0</v>
      </c>
      <c r="L62" t="b">
        <f t="shared" si="4"/>
        <v>1</v>
      </c>
      <c r="M62" t="b">
        <f t="shared" si="4"/>
        <v>0</v>
      </c>
      <c r="N62" t="b">
        <f t="shared" si="5"/>
        <v>0</v>
      </c>
      <c r="O62" t="b">
        <f t="shared" si="5"/>
        <v>0</v>
      </c>
      <c r="P62" t="b">
        <f t="shared" si="6"/>
        <v>0</v>
      </c>
    </row>
    <row r="63" spans="1:16">
      <c r="A63" t="str">
        <v>rbe_Sweden_SJ_X16</v>
      </c>
      <c r="B63" t="b" cm="1">
        <f t="array" ref="B63">_xlfn.XLOOKUP(A63,CONTROL[VEHIDCODE],PROPERTIES[EXCLUDE])</f>
        <v>0</v>
      </c>
      <c r="C63">
        <f>FLOOR(_xlfn.XLOOKUP($A63,PROPERTIES[VEHIDCODE],PROPERTIES[INTRODUCTION_YEAR]),20)</f>
        <v>1940</v>
      </c>
      <c r="D63" t="str">
        <f>_xlfn.XLOOKUP($A63,PROPERTIES[VEHIDCODE],PROPERTIES[ROLE])</f>
        <v>Commuter/Urban</v>
      </c>
      <c r="E63" s="35" t="str">
        <f>_xlfn.XLOOKUP($A63,PROPERTIES[VEHIDCODE],PROPERTIES[REGION1])</f>
        <v>NORTHERN_EUROPE</v>
      </c>
      <c r="F63" s="35" t="str">
        <f>_xlfn.XLOOKUP($A63,PROPERTIES[VEHIDCODE],PROPERTIES[REGION2])</f>
        <v>NO_REGION</v>
      </c>
      <c r="G63" s="35" t="str">
        <f t="shared" si="1"/>
        <v>NORTHERN_EUROPE_NO_REGION</v>
      </c>
      <c r="H63" t="b">
        <f t="shared" si="2"/>
        <v>0</v>
      </c>
      <c r="I63" t="b">
        <f t="shared" si="3"/>
        <v>0</v>
      </c>
      <c r="J63" t="b">
        <f t="shared" si="4"/>
        <v>0</v>
      </c>
      <c r="K63" t="b">
        <f t="shared" si="4"/>
        <v>0</v>
      </c>
      <c r="L63" t="b">
        <f t="shared" si="4"/>
        <v>0</v>
      </c>
      <c r="M63" t="b">
        <f t="shared" si="4"/>
        <v>1</v>
      </c>
      <c r="N63" t="b">
        <f t="shared" si="5"/>
        <v>0</v>
      </c>
      <c r="O63" t="b">
        <f t="shared" si="5"/>
        <v>0</v>
      </c>
      <c r="P63" t="b">
        <f t="shared" si="6"/>
        <v>0</v>
      </c>
    </row>
    <row r="64" spans="1:16">
      <c r="A64" t="str">
        <v>rbe_USA_Pennsylvania_Railroad_Silverliner_II</v>
      </c>
      <c r="B64" t="b" cm="1">
        <f t="array" ref="B64">_xlfn.XLOOKUP(A64,CONTROL[VEHIDCODE],PROPERTIES[EXCLUDE])</f>
        <v>0</v>
      </c>
      <c r="C64">
        <f>FLOOR(_xlfn.XLOOKUP($A64,PROPERTIES[VEHIDCODE],PROPERTIES[INTRODUCTION_YEAR]),20)</f>
        <v>1960</v>
      </c>
      <c r="D64" t="str">
        <f>_xlfn.XLOOKUP($A64,PROPERTIES[VEHIDCODE],PROPERTIES[ROLE])</f>
        <v>Commuter/Urban</v>
      </c>
      <c r="E64" s="35" t="str">
        <f>_xlfn.XLOOKUP($A64,PROPERTIES[VEHIDCODE],PROPERTIES[REGION1])</f>
        <v>NORTH_AMERICA</v>
      </c>
      <c r="F64" s="35" t="str">
        <f>_xlfn.XLOOKUP($A64,PROPERTIES[VEHIDCODE],PROPERTIES[REGION2])</f>
        <v>NO_REGION</v>
      </c>
      <c r="G64" s="35" t="str">
        <f t="shared" si="1"/>
        <v>NORTH_AMERICA_NO_REGION</v>
      </c>
      <c r="H64" t="b">
        <f t="shared" si="2"/>
        <v>0</v>
      </c>
      <c r="I64" t="b">
        <f t="shared" si="3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4"/>
        <v>0</v>
      </c>
      <c r="N64" t="b">
        <f t="shared" si="5"/>
        <v>1</v>
      </c>
      <c r="O64" t="b">
        <f t="shared" si="5"/>
        <v>0</v>
      </c>
      <c r="P64" t="b">
        <f t="shared" si="6"/>
        <v>0</v>
      </c>
    </row>
    <row r="65" spans="1:16">
      <c r="A65" t="str">
        <v>rbe_USA_SEPTA_Silverliner_V</v>
      </c>
      <c r="B65" t="b" cm="1">
        <f t="array" ref="B65">_xlfn.XLOOKUP(A65,CONTROL[VEHIDCODE],PROPERTIES[EXCLUDE])</f>
        <v>0</v>
      </c>
      <c r="C65">
        <f>FLOOR(_xlfn.XLOOKUP($A65,PROPERTIES[VEHIDCODE],PROPERTIES[INTRODUCTION_YEAR]),20)</f>
        <v>2000</v>
      </c>
      <c r="D65" t="str">
        <f>_xlfn.XLOOKUP($A65,PROPERTIES[VEHIDCODE],PROPERTIES[ROLE])</f>
        <v>Express Passenger</v>
      </c>
      <c r="E65" s="35" t="str">
        <f>_xlfn.XLOOKUP($A65,PROPERTIES[VEHIDCODE],PROPERTIES[REGION1])</f>
        <v>NORTH_AMERICA</v>
      </c>
      <c r="F65" s="35" t="str">
        <f>_xlfn.XLOOKUP($A65,PROPERTIES[VEHIDCODE],PROPERTIES[REGION2])</f>
        <v>NO_REGION</v>
      </c>
      <c r="G65" s="35" t="str">
        <f t="shared" si="1"/>
        <v>NORTH_AMERICA_NO_REGION</v>
      </c>
      <c r="H65" t="b">
        <f t="shared" si="2"/>
        <v>0</v>
      </c>
      <c r="I65" t="b">
        <f t="shared" si="3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4"/>
        <v>0</v>
      </c>
      <c r="N65" t="b">
        <f t="shared" si="5"/>
        <v>1</v>
      </c>
      <c r="O65" t="b">
        <f t="shared" si="5"/>
        <v>0</v>
      </c>
      <c r="P65" t="b">
        <f t="shared" si="6"/>
        <v>0</v>
      </c>
    </row>
    <row r="66" spans="1:16">
      <c r="A66" t="str">
        <v>steam_Belgium_Le_Belge</v>
      </c>
      <c r="B66" t="b" cm="1">
        <f t="array" ref="B66">_xlfn.XLOOKUP(A66,CONTROL[VEHIDCODE],PROPERTIES[EXCLUDE])</f>
        <v>0</v>
      </c>
      <c r="C66">
        <f>FLOOR(_xlfn.XLOOKUP($A66,PROPERTIES[VEHIDCODE],PROPERTIES[INTRODUCTION_YEAR]),20)</f>
        <v>1820</v>
      </c>
      <c r="D66" t="str">
        <f>_xlfn.XLOOKUP($A66,PROPERTIES[VEHIDCODE],PROPERTIES[ROLE])</f>
        <v>Shunting</v>
      </c>
      <c r="E66" s="35" t="str">
        <f>_xlfn.XLOOKUP($A66,PROPERTIES[VEHIDCODE],PROPERTIES[REGION1])</f>
        <v>WESTERN_EUROPE</v>
      </c>
      <c r="F66" s="35" t="str">
        <f>_xlfn.XLOOKUP($A66,PROPERTIES[VEHIDCODE],PROPERTIES[REGION2])</f>
        <v>NO_REGION</v>
      </c>
      <c r="G66" s="35" t="str">
        <f t="shared" si="1"/>
        <v>WESTERN_EUROPE_NO_REGION</v>
      </c>
      <c r="H66" t="b">
        <f t="shared" si="2"/>
        <v>0</v>
      </c>
      <c r="I66" t="b">
        <f t="shared" si="3"/>
        <v>0</v>
      </c>
      <c r="J66" t="b">
        <f t="shared" si="4"/>
        <v>0</v>
      </c>
      <c r="K66" t="b">
        <f t="shared" si="4"/>
        <v>0</v>
      </c>
      <c r="L66" t="b">
        <f t="shared" si="4"/>
        <v>1</v>
      </c>
      <c r="M66" t="b">
        <f t="shared" si="4"/>
        <v>0</v>
      </c>
      <c r="N66" t="b">
        <f t="shared" si="5"/>
        <v>0</v>
      </c>
      <c r="O66" t="b">
        <f t="shared" si="5"/>
        <v>0</v>
      </c>
      <c r="P66" t="b">
        <f t="shared" si="6"/>
        <v>0</v>
      </c>
    </row>
    <row r="67" spans="1:16">
      <c r="A67" t="str">
        <v>steam_USA_4_4_0_American</v>
      </c>
      <c r="B67" t="b" cm="1">
        <f t="array" ref="B67">_xlfn.XLOOKUP(A67,CONTROL[VEHIDCODE],PROPERTIES[EXCLUDE])</f>
        <v>0</v>
      </c>
      <c r="C67">
        <f>FLOOR(_xlfn.XLOOKUP($A67,PROPERTIES[VEHIDCODE],PROPERTIES[INTRODUCTION_YEAR]),20)</f>
        <v>1840</v>
      </c>
      <c r="D67" t="str">
        <f>_xlfn.XLOOKUP($A67,PROPERTIES[VEHIDCODE],PROPERTIES[ROLE])</f>
        <v>Universal</v>
      </c>
      <c r="E67" s="35" t="str">
        <f>_xlfn.XLOOKUP($A67,PROPERTIES[VEHIDCODE],PROPERTIES[REGION1])</f>
        <v>NORTH_AMERICA</v>
      </c>
      <c r="F67" s="35" t="str">
        <f>_xlfn.XLOOKUP($A67,PROPERTIES[VEHIDCODE],PROPERTIES[REGION2])</f>
        <v>NO_REGION</v>
      </c>
      <c r="G67" s="35" t="str">
        <f t="shared" ref="G67:G130" si="7">_xlfn.CONCAT($E67,"_",$F67)</f>
        <v>NORTH_AMERICA_NO_REGION</v>
      </c>
      <c r="H67" t="b">
        <f t="shared" ref="H67:H130" si="8">OR(ISNUMBER(SEARCH("ALL_REGION",$G67)),
ISNUMBER(SEARCH("AFRICA",$G67)),
ISNUMBER(SEARCH("REGIONTYPE1",$G67)),
ISNUMBER(SEARCH("REGIONTYPE2",$G67)))</f>
        <v>0</v>
      </c>
      <c r="I67" t="b">
        <f t="shared" ref="I67:I130" si="9">OR(ISNUMBER(SEARCH("ALL_REGION",$G67)),
ISNUMBER(SEARCH("ASIA",$G67)),
ISNUMBER(SEARCH("REGIONTYPE1",$G67)),
ISNUMBER(SEARCH("REGIONTYPE2",$G67)),
ISNUMBER(SEARCH("REGIONTYPE3",$G67)))</f>
        <v>0</v>
      </c>
      <c r="J67" t="b">
        <f t="shared" ref="J67:M130" si="10">OR(ISNUMBER(SEARCH("ALL_REGION",$G67)),
ISNUMBER(SEARCH("ALL_EUROPE",$G67)),
ISNUMBER(SEARCH(J$1,$G67)),
ISNUMBER(SEARCH("REGIONTYPE1",$G67)))</f>
        <v>0</v>
      </c>
      <c r="K67" t="b">
        <f t="shared" si="10"/>
        <v>0</v>
      </c>
      <c r="L67" t="b">
        <f t="shared" si="10"/>
        <v>0</v>
      </c>
      <c r="M67" t="b">
        <f t="shared" si="10"/>
        <v>0</v>
      </c>
      <c r="N67" t="b">
        <f t="shared" ref="N67:O130" si="11">OR(ISNUMBER(SEARCH("ALL_REGION",$G67)),
ISNUMBER(SEARCH("ALL_AMERICA",$G67)),
ISNUMBER(SEARCH(N$1,$G67)),
ISNUMBER(SEARCH("REGIONTYPE2",$G67)))</f>
        <v>1</v>
      </c>
      <c r="O67" t="b">
        <f t="shared" si="11"/>
        <v>0</v>
      </c>
      <c r="P67" t="b">
        <f t="shared" ref="P67:P130" si="12">OR(ISNUMBER(SEARCH("ALL_REGION",$G67)),
ISNUMBER(SEARCH(P$1,$G67)),
ISNUMBER(SEARCH("REGIONTYPE3",$G67)))</f>
        <v>0</v>
      </c>
    </row>
    <row r="68" spans="1:16">
      <c r="A68" t="str">
        <v>steam_Switzerland_SBB_Ec_2_5</v>
      </c>
      <c r="B68" t="b" cm="1">
        <f t="array" ref="B68">_xlfn.XLOOKUP(A68,CONTROL[VEHIDCODE],PROPERTIES[EXCLUDE])</f>
        <v>0</v>
      </c>
      <c r="C68">
        <f>FLOOR(_xlfn.XLOOKUP($A68,PROPERTIES[VEHIDCODE],PROPERTIES[INTRODUCTION_YEAR]),20)</f>
        <v>1840</v>
      </c>
      <c r="D68" t="str">
        <f>_xlfn.XLOOKUP($A68,PROPERTIES[VEHIDCODE],PROPERTIES[ROLE])</f>
        <v>Shunting</v>
      </c>
      <c r="E68" s="35" t="str">
        <f>_xlfn.XLOOKUP($A68,PROPERTIES[VEHIDCODE],PROPERTIES[REGION1])</f>
        <v>WESTERN_EUROPE</v>
      </c>
      <c r="F68" s="35" t="str">
        <f>_xlfn.XLOOKUP($A68,PROPERTIES[VEHIDCODE],PROPERTIES[REGION2])</f>
        <v>NO_REGION</v>
      </c>
      <c r="G68" s="35" t="str">
        <f t="shared" si="7"/>
        <v>WESTERN_EUROPE_NO_REGION</v>
      </c>
      <c r="H68" t="b">
        <f t="shared" si="8"/>
        <v>0</v>
      </c>
      <c r="I68" t="b">
        <f t="shared" si="9"/>
        <v>0</v>
      </c>
      <c r="J68" t="b">
        <f t="shared" si="10"/>
        <v>0</v>
      </c>
      <c r="K68" t="b">
        <f t="shared" si="10"/>
        <v>0</v>
      </c>
      <c r="L68" t="b">
        <f t="shared" si="10"/>
        <v>1</v>
      </c>
      <c r="M68" t="b">
        <f t="shared" si="10"/>
        <v>0</v>
      </c>
      <c r="N68" t="b">
        <f t="shared" si="11"/>
        <v>0</v>
      </c>
      <c r="O68" t="b">
        <f t="shared" si="11"/>
        <v>0</v>
      </c>
      <c r="P68" t="b">
        <f t="shared" si="12"/>
        <v>0</v>
      </c>
    </row>
    <row r="69" spans="1:16">
      <c r="A69" t="str">
        <v>steam_USA_4_6_0_Ten_wheeler</v>
      </c>
      <c r="B69" t="b" cm="1">
        <f t="array" ref="B69">_xlfn.XLOOKUP(A69,CONTROL[VEHIDCODE],PROPERTIES[EXCLUDE])</f>
        <v>0</v>
      </c>
      <c r="C69">
        <f>FLOOR(_xlfn.XLOOKUP($A69,PROPERTIES[VEHIDCODE],PROPERTIES[INTRODUCTION_YEAR]),20)</f>
        <v>1860</v>
      </c>
      <c r="D69" t="str">
        <f>_xlfn.XLOOKUP($A69,PROPERTIES[VEHIDCODE],PROPERTIES[ROLE])</f>
        <v>Universal</v>
      </c>
      <c r="E69" s="35" t="str">
        <f>_xlfn.XLOOKUP($A69,PROPERTIES[VEHIDCODE],PROPERTIES[REGION1])</f>
        <v>NORTH_AMERICA</v>
      </c>
      <c r="F69" s="35" t="str">
        <f>_xlfn.XLOOKUP($A69,PROPERTIES[VEHIDCODE],PROPERTIES[REGION2])</f>
        <v>NO_REGION</v>
      </c>
      <c r="G69" s="35" t="str">
        <f t="shared" si="7"/>
        <v>NORTH_AMERICA_NO_REGION</v>
      </c>
      <c r="H69" t="b">
        <f t="shared" si="8"/>
        <v>0</v>
      </c>
      <c r="I69" t="b">
        <f t="shared" si="9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0"/>
        <v>0</v>
      </c>
      <c r="N69" t="b">
        <f t="shared" si="11"/>
        <v>1</v>
      </c>
      <c r="O69" t="b">
        <f t="shared" si="11"/>
        <v>0</v>
      </c>
      <c r="P69" t="b">
        <f t="shared" si="12"/>
        <v>0</v>
      </c>
    </row>
    <row r="70" spans="1:16">
      <c r="A70" t="str">
        <v>steam_USA_2_8_0_Consolidation</v>
      </c>
      <c r="B70" t="b" cm="1">
        <f t="array" ref="B70">_xlfn.XLOOKUP(A70,CONTROL[VEHIDCODE],PROPERTIES[EXCLUDE])</f>
        <v>0</v>
      </c>
      <c r="C70">
        <f>FLOOR(_xlfn.XLOOKUP($A70,PROPERTIES[VEHIDCODE],PROPERTIES[INTRODUCTION_YEAR]),20)</f>
        <v>1860</v>
      </c>
      <c r="D70" t="str">
        <f>_xlfn.XLOOKUP($A70,PROPERTIES[VEHIDCODE],PROPERTIES[ROLE])</f>
        <v>Universal</v>
      </c>
      <c r="E70" s="35" t="str">
        <f>_xlfn.XLOOKUP($A70,PROPERTIES[VEHIDCODE],PROPERTIES[REGION1])</f>
        <v>NORTH_AMERICA</v>
      </c>
      <c r="F70" s="35" t="str">
        <f>_xlfn.XLOOKUP($A70,PROPERTIES[VEHIDCODE],PROPERTIES[REGION2])</f>
        <v>NO_REGION</v>
      </c>
      <c r="G70" s="35" t="str">
        <f t="shared" si="7"/>
        <v>NORTH_AMERICA_NO_REGION</v>
      </c>
      <c r="H70" t="b">
        <f t="shared" si="8"/>
        <v>0</v>
      </c>
      <c r="I70" t="b">
        <f t="shared" si="9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0"/>
        <v>0</v>
      </c>
      <c r="N70" t="b">
        <f t="shared" si="11"/>
        <v>1</v>
      </c>
      <c r="O70" t="b">
        <f t="shared" si="11"/>
        <v>0</v>
      </c>
      <c r="P70" t="b">
        <f t="shared" si="12"/>
        <v>0</v>
      </c>
    </row>
    <row r="71" spans="1:16">
      <c r="A71" t="str">
        <v>steam_Hungary_MAV_377</v>
      </c>
      <c r="B71" t="b" cm="1">
        <f t="array" ref="B71">_xlfn.XLOOKUP(A71,CONTROL[VEHIDCODE],PROPERTIES[EXCLUDE])</f>
        <v>0</v>
      </c>
      <c r="C71">
        <f>FLOOR(_xlfn.XLOOKUP($A71,PROPERTIES[VEHIDCODE],PROPERTIES[INTRODUCTION_YEAR]),20)</f>
        <v>1880</v>
      </c>
      <c r="D71" t="str">
        <f>_xlfn.XLOOKUP($A71,PROPERTIES[VEHIDCODE],PROPERTIES[ROLE])</f>
        <v>Shunting</v>
      </c>
      <c r="E71" s="35" t="str">
        <f>_xlfn.XLOOKUP($A71,PROPERTIES[VEHIDCODE],PROPERTIES[REGION1])</f>
        <v>EASTERN_EUROPE</v>
      </c>
      <c r="F71" s="35" t="str">
        <f>_xlfn.XLOOKUP($A71,PROPERTIES[VEHIDCODE],PROPERTIES[REGION2])</f>
        <v>NO_REGION</v>
      </c>
      <c r="G71" s="35" t="str">
        <f t="shared" si="7"/>
        <v>EASTERN_EUROPE_NO_REGION</v>
      </c>
      <c r="H71" t="b">
        <f t="shared" si="8"/>
        <v>0</v>
      </c>
      <c r="I71" t="b">
        <f t="shared" si="9"/>
        <v>0</v>
      </c>
      <c r="J71" t="b">
        <f t="shared" si="10"/>
        <v>0</v>
      </c>
      <c r="K71" t="b">
        <f t="shared" si="10"/>
        <v>1</v>
      </c>
      <c r="L71" t="b">
        <f t="shared" si="10"/>
        <v>0</v>
      </c>
      <c r="M71" t="b">
        <f t="shared" si="10"/>
        <v>0</v>
      </c>
      <c r="N71" t="b">
        <f t="shared" si="11"/>
        <v>0</v>
      </c>
      <c r="O71" t="b">
        <f t="shared" si="11"/>
        <v>0</v>
      </c>
      <c r="P71" t="b">
        <f t="shared" si="12"/>
        <v>0</v>
      </c>
    </row>
    <row r="72" spans="1:16">
      <c r="A72" t="str">
        <v>steam_Austria_KkStB_99</v>
      </c>
      <c r="B72" t="b" cm="1">
        <f t="array" ref="B72">_xlfn.XLOOKUP(A72,CONTROL[VEHIDCODE],PROPERTIES[EXCLUDE])</f>
        <v>0</v>
      </c>
      <c r="C72">
        <f>FLOOR(_xlfn.XLOOKUP($A72,PROPERTIES[VEHIDCODE],PROPERTIES[INTRODUCTION_YEAR]),20)</f>
        <v>1880</v>
      </c>
      <c r="D72" t="str">
        <f>_xlfn.XLOOKUP($A72,PROPERTIES[VEHIDCODE],PROPERTIES[ROLE])</f>
        <v>Shunting</v>
      </c>
      <c r="E72" s="35" t="str">
        <f>_xlfn.XLOOKUP($A72,PROPERTIES[VEHIDCODE],PROPERTIES[REGION1])</f>
        <v>WESTERN_EUROPE</v>
      </c>
      <c r="F72" s="35" t="str">
        <f>_xlfn.XLOOKUP($A72,PROPERTIES[VEHIDCODE],PROPERTIES[REGION2])</f>
        <v>NO_REGION</v>
      </c>
      <c r="G72" s="35" t="str">
        <f t="shared" si="7"/>
        <v>WESTERN_EUROPE_NO_REGION</v>
      </c>
      <c r="H72" t="b">
        <f t="shared" si="8"/>
        <v>0</v>
      </c>
      <c r="I72" t="b">
        <f t="shared" si="9"/>
        <v>0</v>
      </c>
      <c r="J72" t="b">
        <f t="shared" si="10"/>
        <v>0</v>
      </c>
      <c r="K72" t="b">
        <f t="shared" si="10"/>
        <v>0</v>
      </c>
      <c r="L72" t="b">
        <f t="shared" si="10"/>
        <v>1</v>
      </c>
      <c r="M72" t="b">
        <f t="shared" si="10"/>
        <v>0</v>
      </c>
      <c r="N72" t="b">
        <f t="shared" si="11"/>
        <v>0</v>
      </c>
      <c r="O72" t="b">
        <f t="shared" si="11"/>
        <v>0</v>
      </c>
      <c r="P72" t="b">
        <f t="shared" si="12"/>
        <v>0</v>
      </c>
    </row>
    <row r="73" spans="1:16">
      <c r="A73" t="str">
        <v>steam_UK_Caledonian_Railway_439</v>
      </c>
      <c r="B73" t="b" cm="1">
        <f t="array" ref="B73">_xlfn.XLOOKUP(A73,CONTROL[VEHIDCODE],PROPERTIES[EXCLUDE])</f>
        <v>0</v>
      </c>
      <c r="C73">
        <f>FLOOR(_xlfn.XLOOKUP($A73,PROPERTIES[VEHIDCODE],PROPERTIES[INTRODUCTION_YEAR]),20)</f>
        <v>1900</v>
      </c>
      <c r="D73" t="str">
        <f>_xlfn.XLOOKUP($A73,PROPERTIES[VEHIDCODE],PROPERTIES[ROLE])</f>
        <v>Universal</v>
      </c>
      <c r="E73" s="35" t="str">
        <f>_xlfn.XLOOKUP($A73,PROPERTIES[VEHIDCODE],PROPERTIES[REGION1])</f>
        <v>NORTHERN_EUROPE</v>
      </c>
      <c r="F73" s="35" t="str">
        <f>_xlfn.XLOOKUP($A73,PROPERTIES[VEHIDCODE],PROPERTIES[REGION2])</f>
        <v>NO_REGION</v>
      </c>
      <c r="G73" s="35" t="str">
        <f t="shared" si="7"/>
        <v>NORTHERN_EUROPE_NO_REGION</v>
      </c>
      <c r="H73" t="b">
        <f t="shared" si="8"/>
        <v>0</v>
      </c>
      <c r="I73" t="b">
        <f t="shared" si="9"/>
        <v>0</v>
      </c>
      <c r="J73" t="b">
        <f t="shared" si="10"/>
        <v>0</v>
      </c>
      <c r="K73" t="b">
        <f t="shared" si="10"/>
        <v>0</v>
      </c>
      <c r="L73" t="b">
        <f t="shared" si="10"/>
        <v>0</v>
      </c>
      <c r="M73" t="b">
        <f t="shared" si="10"/>
        <v>1</v>
      </c>
      <c r="N73" t="b">
        <f t="shared" si="11"/>
        <v>0</v>
      </c>
      <c r="O73" t="b">
        <f t="shared" si="11"/>
        <v>0</v>
      </c>
      <c r="P73" t="b">
        <f t="shared" si="12"/>
        <v>0</v>
      </c>
    </row>
    <row r="74" spans="1:16">
      <c r="A74" t="str">
        <v>steam_Switzerland_SBB_A_3_5</v>
      </c>
      <c r="B74" t="b" cm="1">
        <f t="array" ref="B74">_xlfn.XLOOKUP(A74,CONTROL[VEHIDCODE],PROPERTIES[EXCLUDE])</f>
        <v>0</v>
      </c>
      <c r="C74">
        <f>FLOOR(_xlfn.XLOOKUP($A74,PROPERTIES[VEHIDCODE],PROPERTIES[INTRODUCTION_YEAR]),20)</f>
        <v>1900</v>
      </c>
      <c r="D74" t="str">
        <f>_xlfn.XLOOKUP($A74,PROPERTIES[VEHIDCODE],PROPERTIES[ROLE])</f>
        <v>Universal</v>
      </c>
      <c r="E74" s="35" t="str">
        <f>_xlfn.XLOOKUP($A74,PROPERTIES[VEHIDCODE],PROPERTIES[REGION1])</f>
        <v>WESTERN_EUROPE</v>
      </c>
      <c r="F74" s="35" t="str">
        <f>_xlfn.XLOOKUP($A74,PROPERTIES[VEHIDCODE],PROPERTIES[REGION2])</f>
        <v>NO_REGION</v>
      </c>
      <c r="G74" s="35" t="str">
        <f t="shared" si="7"/>
        <v>WESTERN_EUROPE_NO_REGION</v>
      </c>
      <c r="H74" t="b">
        <f t="shared" si="8"/>
        <v>0</v>
      </c>
      <c r="I74" t="b">
        <f t="shared" si="9"/>
        <v>0</v>
      </c>
      <c r="J74" t="b">
        <f t="shared" si="10"/>
        <v>0</v>
      </c>
      <c r="K74" t="b">
        <f t="shared" si="10"/>
        <v>0</v>
      </c>
      <c r="L74" t="b">
        <f t="shared" si="10"/>
        <v>1</v>
      </c>
      <c r="M74" t="b">
        <f t="shared" si="10"/>
        <v>0</v>
      </c>
      <c r="N74" t="b">
        <f t="shared" si="11"/>
        <v>0</v>
      </c>
      <c r="O74" t="b">
        <f t="shared" si="11"/>
        <v>0</v>
      </c>
      <c r="P74" t="b">
        <f t="shared" si="12"/>
        <v>0</v>
      </c>
    </row>
    <row r="75" spans="1:16">
      <c r="A75" t="str">
        <v>steam_Switzerland_SBB_E_3_3</v>
      </c>
      <c r="B75" t="b" cm="1">
        <f t="array" ref="B75">_xlfn.XLOOKUP(A75,CONTROL[VEHIDCODE],PROPERTIES[EXCLUDE])</f>
        <v>0</v>
      </c>
      <c r="C75">
        <f>FLOOR(_xlfn.XLOOKUP($A75,PROPERTIES[VEHIDCODE],PROPERTIES[INTRODUCTION_YEAR]),20)</f>
        <v>1900</v>
      </c>
      <c r="D75" t="str">
        <f>_xlfn.XLOOKUP($A75,PROPERTIES[VEHIDCODE],PROPERTIES[ROLE])</f>
        <v>Shunting</v>
      </c>
      <c r="E75" s="35" t="str">
        <f>_xlfn.XLOOKUP($A75,PROPERTIES[VEHIDCODE],PROPERTIES[REGION1])</f>
        <v>WESTERN_EUROPE</v>
      </c>
      <c r="F75" s="35" t="str">
        <f>_xlfn.XLOOKUP($A75,PROPERTIES[VEHIDCODE],PROPERTIES[REGION2])</f>
        <v>NO_REGION</v>
      </c>
      <c r="G75" s="35" t="str">
        <f t="shared" si="7"/>
        <v>WESTERN_EUROPE_NO_REGION</v>
      </c>
      <c r="H75" t="b">
        <f t="shared" si="8"/>
        <v>0</v>
      </c>
      <c r="I75" t="b">
        <f t="shared" si="9"/>
        <v>0</v>
      </c>
      <c r="J75" t="b">
        <f t="shared" si="10"/>
        <v>0</v>
      </c>
      <c r="K75" t="b">
        <f t="shared" si="10"/>
        <v>0</v>
      </c>
      <c r="L75" t="b">
        <f t="shared" si="10"/>
        <v>1</v>
      </c>
      <c r="M75" t="b">
        <f t="shared" si="10"/>
        <v>0</v>
      </c>
      <c r="N75" t="b">
        <f t="shared" si="11"/>
        <v>0</v>
      </c>
      <c r="O75" t="b">
        <f t="shared" si="11"/>
        <v>0</v>
      </c>
      <c r="P75" t="b">
        <f t="shared" si="12"/>
        <v>0</v>
      </c>
    </row>
    <row r="76" spans="1:16">
      <c r="A76" t="str">
        <v>steam_Austria_KkStB_299</v>
      </c>
      <c r="B76" t="b" cm="1">
        <f t="array" ref="B76">_xlfn.XLOOKUP(A76,CONTROL[VEHIDCODE],PROPERTIES[EXCLUDE])</f>
        <v>0</v>
      </c>
      <c r="C76">
        <f>FLOOR(_xlfn.XLOOKUP($A76,PROPERTIES[VEHIDCODE],PROPERTIES[INTRODUCTION_YEAR]),20)</f>
        <v>1900</v>
      </c>
      <c r="D76" t="str">
        <f>_xlfn.XLOOKUP($A76,PROPERTIES[VEHIDCODE],PROPERTIES[ROLE])</f>
        <v>Shunting</v>
      </c>
      <c r="E76" s="35" t="str">
        <f>_xlfn.XLOOKUP($A76,PROPERTIES[VEHIDCODE],PROPERTIES[REGION1])</f>
        <v>WESTERN_EUROPE</v>
      </c>
      <c r="F76" s="35" t="str">
        <f>_xlfn.XLOOKUP($A76,PROPERTIES[VEHIDCODE],PROPERTIES[REGION2])</f>
        <v>NO_REGION</v>
      </c>
      <c r="G76" s="35" t="str">
        <f t="shared" si="7"/>
        <v>WESTERN_EUROPE_NO_REGION</v>
      </c>
      <c r="H76" t="b">
        <f t="shared" si="8"/>
        <v>0</v>
      </c>
      <c r="I76" t="b">
        <f t="shared" si="9"/>
        <v>0</v>
      </c>
      <c r="J76" t="b">
        <f t="shared" si="10"/>
        <v>0</v>
      </c>
      <c r="K76" t="b">
        <f t="shared" si="10"/>
        <v>0</v>
      </c>
      <c r="L76" t="b">
        <f t="shared" si="10"/>
        <v>1</v>
      </c>
      <c r="M76" t="b">
        <f t="shared" si="10"/>
        <v>0</v>
      </c>
      <c r="N76" t="b">
        <f t="shared" si="11"/>
        <v>0</v>
      </c>
      <c r="O76" t="b">
        <f t="shared" si="11"/>
        <v>0</v>
      </c>
      <c r="P76" t="b">
        <f t="shared" si="12"/>
        <v>0</v>
      </c>
    </row>
    <row r="77" spans="1:16">
      <c r="A77" t="str">
        <v>steam_New_Zealand_NZR_X_Class</v>
      </c>
      <c r="B77" t="b" cm="1">
        <f t="array" ref="B77">_xlfn.XLOOKUP(A77,CONTROL[VEHIDCODE],PROPERTIES[EXCLUDE])</f>
        <v>0</v>
      </c>
      <c r="C77">
        <f>FLOOR(_xlfn.XLOOKUP($A77,PROPERTIES[VEHIDCODE],PROPERTIES[INTRODUCTION_YEAR]),20)</f>
        <v>1900</v>
      </c>
      <c r="D77" t="str">
        <f>_xlfn.XLOOKUP($A77,PROPERTIES[VEHIDCODE],PROPERTIES[ROLE])</f>
        <v>Shunting</v>
      </c>
      <c r="E77" s="35" t="str">
        <f>_xlfn.XLOOKUP($A77,PROPERTIES[VEHIDCODE],PROPERTIES[REGION1])</f>
        <v>OCEANIA</v>
      </c>
      <c r="F77" s="35" t="str">
        <f>_xlfn.XLOOKUP($A77,PROPERTIES[VEHIDCODE],PROPERTIES[REGION2])</f>
        <v>NO_REGION</v>
      </c>
      <c r="G77" s="35" t="str">
        <f t="shared" si="7"/>
        <v>OCEANIA_NO_REGION</v>
      </c>
      <c r="H77" t="b">
        <f t="shared" si="8"/>
        <v>0</v>
      </c>
      <c r="I77" t="b">
        <f t="shared" si="9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0"/>
        <v>0</v>
      </c>
      <c r="N77" t="b">
        <f t="shared" si="11"/>
        <v>0</v>
      </c>
      <c r="O77" t="b">
        <f t="shared" si="11"/>
        <v>0</v>
      </c>
      <c r="P77" t="b">
        <f t="shared" si="12"/>
        <v>1</v>
      </c>
    </row>
    <row r="78" spans="1:16">
      <c r="A78" t="str">
        <v>steam_Croatia_HZ_51</v>
      </c>
      <c r="B78" t="b" cm="1">
        <f t="array" ref="B78">_xlfn.XLOOKUP(A78,CONTROL[VEHIDCODE],PROPERTIES[EXCLUDE])</f>
        <v>0</v>
      </c>
      <c r="C78">
        <f>FLOOR(_xlfn.XLOOKUP($A78,PROPERTIES[VEHIDCODE],PROPERTIES[INTRODUCTION_YEAR]),20)</f>
        <v>1900</v>
      </c>
      <c r="D78" t="str">
        <f>_xlfn.XLOOKUP($A78,PROPERTIES[VEHIDCODE],PROPERTIES[ROLE])</f>
        <v>Shunting</v>
      </c>
      <c r="E78" s="35" t="str">
        <f>_xlfn.XLOOKUP($A78,PROPERTIES[VEHIDCODE],PROPERTIES[REGION1])</f>
        <v>EASTERN_EUROPE</v>
      </c>
      <c r="F78" s="35" t="str">
        <f>_xlfn.XLOOKUP($A78,PROPERTIES[VEHIDCODE],PROPERTIES[REGION2])</f>
        <v>NO_REGION</v>
      </c>
      <c r="G78" s="35" t="str">
        <f t="shared" si="7"/>
        <v>EASTERN_EUROPE_NO_REGION</v>
      </c>
      <c r="H78" t="b">
        <f t="shared" si="8"/>
        <v>0</v>
      </c>
      <c r="I78" t="b">
        <f t="shared" si="9"/>
        <v>0</v>
      </c>
      <c r="J78" t="b">
        <f t="shared" si="10"/>
        <v>0</v>
      </c>
      <c r="K78" t="b">
        <f t="shared" si="10"/>
        <v>1</v>
      </c>
      <c r="L78" t="b">
        <f t="shared" si="10"/>
        <v>0</v>
      </c>
      <c r="M78" t="b">
        <f t="shared" si="10"/>
        <v>0</v>
      </c>
      <c r="N78" t="b">
        <f t="shared" si="11"/>
        <v>0</v>
      </c>
      <c r="O78" t="b">
        <f t="shared" si="11"/>
        <v>0</v>
      </c>
      <c r="P78" t="b">
        <f t="shared" si="12"/>
        <v>0</v>
      </c>
    </row>
    <row r="79" spans="1:16">
      <c r="A79" t="str">
        <v>steam_Italy_FS_880</v>
      </c>
      <c r="B79" t="b" cm="1">
        <f t="array" ref="B79">_xlfn.XLOOKUP(A79,CONTROL[VEHIDCODE],PROPERTIES[EXCLUDE])</f>
        <v>0</v>
      </c>
      <c r="C79">
        <f>FLOOR(_xlfn.XLOOKUP($A79,PROPERTIES[VEHIDCODE],PROPERTIES[INTRODUCTION_YEAR]),20)</f>
        <v>1900</v>
      </c>
      <c r="D79" t="str">
        <f>_xlfn.XLOOKUP($A79,PROPERTIES[VEHIDCODE],PROPERTIES[ROLE])</f>
        <v>Universal</v>
      </c>
      <c r="E79" s="35" t="str">
        <f>_xlfn.XLOOKUP($A79,PROPERTIES[VEHIDCODE],PROPERTIES[REGION1])</f>
        <v>SOUTHERN_EUROPE</v>
      </c>
      <c r="F79" s="35" t="str">
        <f>_xlfn.XLOOKUP($A79,PROPERTIES[VEHIDCODE],PROPERTIES[REGION2])</f>
        <v>NO_REGION</v>
      </c>
      <c r="G79" s="35" t="str">
        <f t="shared" si="7"/>
        <v>SOUTHERN_EUROPE_NO_REGION</v>
      </c>
      <c r="H79" t="b">
        <f t="shared" si="8"/>
        <v>0</v>
      </c>
      <c r="I79" t="b">
        <f t="shared" si="9"/>
        <v>0</v>
      </c>
      <c r="J79" t="b">
        <f t="shared" si="10"/>
        <v>1</v>
      </c>
      <c r="K79" t="b">
        <f t="shared" si="10"/>
        <v>0</v>
      </c>
      <c r="L79" t="b">
        <f t="shared" si="10"/>
        <v>0</v>
      </c>
      <c r="M79" t="b">
        <f t="shared" si="10"/>
        <v>0</v>
      </c>
      <c r="N79" t="b">
        <f t="shared" si="11"/>
        <v>0</v>
      </c>
      <c r="O79" t="b">
        <f t="shared" si="11"/>
        <v>0</v>
      </c>
      <c r="P79" t="b">
        <f t="shared" si="12"/>
        <v>0</v>
      </c>
    </row>
    <row r="80" spans="1:16">
      <c r="A80" t="str">
        <v>steam_Argentina_FCNEA_11B_2_8_0</v>
      </c>
      <c r="B80" t="b" cm="1">
        <f t="array" ref="B80">_xlfn.XLOOKUP(A80,CONTROL[VEHIDCODE],PROPERTIES[EXCLUDE])</f>
        <v>0</v>
      </c>
      <c r="C80">
        <f>FLOOR(_xlfn.XLOOKUP($A80,PROPERTIES[VEHIDCODE],PROPERTIES[INTRODUCTION_YEAR]),20)</f>
        <v>1900</v>
      </c>
      <c r="D80" t="str">
        <f>_xlfn.XLOOKUP($A80,PROPERTIES[VEHIDCODE],PROPERTIES[ROLE])</f>
        <v>Universal</v>
      </c>
      <c r="E80" s="35" t="str">
        <f>_xlfn.XLOOKUP($A80,PROPERTIES[VEHIDCODE],PROPERTIES[REGION1])</f>
        <v>SOUTH_AMERICA</v>
      </c>
      <c r="F80" s="35" t="str">
        <f>_xlfn.XLOOKUP($A80,PROPERTIES[VEHIDCODE],PROPERTIES[REGION2])</f>
        <v>NO_REGION</v>
      </c>
      <c r="G80" s="35" t="str">
        <f t="shared" si="7"/>
        <v>SOUTH_AMERICA_NO_REGION</v>
      </c>
      <c r="H80" t="b">
        <f t="shared" si="8"/>
        <v>0</v>
      </c>
      <c r="I80" t="b">
        <f t="shared" si="9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0"/>
        <v>0</v>
      </c>
      <c r="N80" t="b">
        <f t="shared" si="11"/>
        <v>0</v>
      </c>
      <c r="O80" t="b">
        <f t="shared" si="11"/>
        <v>1</v>
      </c>
      <c r="P80" t="b">
        <f t="shared" si="12"/>
        <v>0</v>
      </c>
    </row>
    <row r="81" spans="1:16">
      <c r="A81" t="str">
        <v>steam_France_SNCF_140C</v>
      </c>
      <c r="B81" t="b" cm="1">
        <f t="array" ref="B81">_xlfn.XLOOKUP(A81,CONTROL[VEHIDCODE],PROPERTIES[EXCLUDE])</f>
        <v>0</v>
      </c>
      <c r="C81">
        <f>FLOOR(_xlfn.XLOOKUP($A81,PROPERTIES[VEHIDCODE],PROPERTIES[INTRODUCTION_YEAR]),20)</f>
        <v>1900</v>
      </c>
      <c r="D81" t="str">
        <f>_xlfn.XLOOKUP($A81,PROPERTIES[VEHIDCODE],PROPERTIES[ROLE])</f>
        <v>Universal</v>
      </c>
      <c r="E81" s="35" t="str">
        <f>_xlfn.XLOOKUP($A81,PROPERTIES[VEHIDCODE],PROPERTIES[REGION1])</f>
        <v>WESTERN_EUROPE</v>
      </c>
      <c r="F81" s="35" t="str">
        <f>_xlfn.XLOOKUP($A81,PROPERTIES[VEHIDCODE],PROPERTIES[REGION2])</f>
        <v>NO_REGION</v>
      </c>
      <c r="G81" s="35" t="str">
        <f t="shared" si="7"/>
        <v>WESTERN_EUROPE_NO_REGION</v>
      </c>
      <c r="H81" t="b">
        <f t="shared" si="8"/>
        <v>0</v>
      </c>
      <c r="I81" t="b">
        <f t="shared" si="9"/>
        <v>0</v>
      </c>
      <c r="J81" t="b">
        <f t="shared" si="10"/>
        <v>0</v>
      </c>
      <c r="K81" t="b">
        <f t="shared" si="10"/>
        <v>0</v>
      </c>
      <c r="L81" t="b">
        <f t="shared" si="10"/>
        <v>1</v>
      </c>
      <c r="M81" t="b">
        <f t="shared" si="10"/>
        <v>0</v>
      </c>
      <c r="N81" t="b">
        <f t="shared" si="11"/>
        <v>0</v>
      </c>
      <c r="O81" t="b">
        <f t="shared" si="11"/>
        <v>0</v>
      </c>
      <c r="P81" t="b">
        <f t="shared" si="12"/>
        <v>0</v>
      </c>
    </row>
    <row r="82" spans="1:16">
      <c r="A82" t="str">
        <v>steam_France_SNCF_141TA</v>
      </c>
      <c r="B82" t="b" cm="1">
        <f t="array" ref="B82">_xlfn.XLOOKUP(A82,CONTROL[VEHIDCODE],PROPERTIES[EXCLUDE])</f>
        <v>0</v>
      </c>
      <c r="C82">
        <f>FLOOR(_xlfn.XLOOKUP($A82,PROPERTIES[VEHIDCODE],PROPERTIES[INTRODUCTION_YEAR]),20)</f>
        <v>1900</v>
      </c>
      <c r="D82" t="str">
        <f>_xlfn.XLOOKUP($A82,PROPERTIES[VEHIDCODE],PROPERTIES[ROLE])</f>
        <v>Universal</v>
      </c>
      <c r="E82" s="35" t="str">
        <f>_xlfn.XLOOKUP($A82,PROPERTIES[VEHIDCODE],PROPERTIES[REGION1])</f>
        <v>WESTERN_EUROPE</v>
      </c>
      <c r="F82" s="35" t="str">
        <f>_xlfn.XLOOKUP($A82,PROPERTIES[VEHIDCODE],PROPERTIES[REGION2])</f>
        <v>NO_REGION</v>
      </c>
      <c r="G82" s="35" t="str">
        <f t="shared" si="7"/>
        <v>WESTERN_EUROPE_NO_REGION</v>
      </c>
      <c r="H82" t="b">
        <f t="shared" si="8"/>
        <v>0</v>
      </c>
      <c r="I82" t="b">
        <f t="shared" si="9"/>
        <v>0</v>
      </c>
      <c r="J82" t="b">
        <f t="shared" si="10"/>
        <v>0</v>
      </c>
      <c r="K82" t="b">
        <f t="shared" si="10"/>
        <v>0</v>
      </c>
      <c r="L82" t="b">
        <f t="shared" si="10"/>
        <v>1</v>
      </c>
      <c r="M82" t="b">
        <f t="shared" si="10"/>
        <v>0</v>
      </c>
      <c r="N82" t="b">
        <f t="shared" si="11"/>
        <v>0</v>
      </c>
      <c r="O82" t="b">
        <f t="shared" si="11"/>
        <v>0</v>
      </c>
      <c r="P82" t="b">
        <f t="shared" si="12"/>
        <v>0</v>
      </c>
    </row>
    <row r="83" spans="1:16">
      <c r="A83" t="str">
        <v>steam_UK_GWR_4900</v>
      </c>
      <c r="B83" t="b" cm="1">
        <f t="array" ref="B83">_xlfn.XLOOKUP(A83,CONTROL[VEHIDCODE],PROPERTIES[EXCLUDE])</f>
        <v>0</v>
      </c>
      <c r="C83">
        <f>FLOOR(_xlfn.XLOOKUP($A83,PROPERTIES[VEHIDCODE],PROPERTIES[INTRODUCTION_YEAR]),20)</f>
        <v>1920</v>
      </c>
      <c r="D83" t="str">
        <f>_xlfn.XLOOKUP($A83,PROPERTIES[VEHIDCODE],PROPERTIES[ROLE])</f>
        <v>Express</v>
      </c>
      <c r="E83" s="35" t="str">
        <f>_xlfn.XLOOKUP($A83,PROPERTIES[VEHIDCODE],PROPERTIES[REGION1])</f>
        <v>NORTHERN_EUROPE</v>
      </c>
      <c r="F83" s="35" t="str">
        <f>_xlfn.XLOOKUP($A83,PROPERTIES[VEHIDCODE],PROPERTIES[REGION2])</f>
        <v>NO_REGION</v>
      </c>
      <c r="G83" s="35" t="str">
        <f t="shared" si="7"/>
        <v>NORTHERN_EUROPE_NO_REGION</v>
      </c>
      <c r="H83" t="b">
        <f t="shared" si="8"/>
        <v>0</v>
      </c>
      <c r="I83" t="b">
        <f t="shared" si="9"/>
        <v>0</v>
      </c>
      <c r="J83" t="b">
        <f t="shared" si="10"/>
        <v>0</v>
      </c>
      <c r="K83" t="b">
        <f t="shared" si="10"/>
        <v>0</v>
      </c>
      <c r="L83" t="b">
        <f t="shared" si="10"/>
        <v>0</v>
      </c>
      <c r="M83" t="b">
        <f t="shared" si="10"/>
        <v>1</v>
      </c>
      <c r="N83" t="b">
        <f t="shared" si="11"/>
        <v>0</v>
      </c>
      <c r="O83" t="b">
        <f t="shared" si="11"/>
        <v>0</v>
      </c>
      <c r="P83" t="b">
        <f t="shared" si="12"/>
        <v>0</v>
      </c>
    </row>
    <row r="84" spans="1:16">
      <c r="A84" t="str">
        <v>steam_UK_GWR_5700</v>
      </c>
      <c r="B84" t="b" cm="1">
        <f t="array" ref="B84">_xlfn.XLOOKUP(A84,CONTROL[VEHIDCODE],PROPERTIES[EXCLUDE])</f>
        <v>0</v>
      </c>
      <c r="C84">
        <f>FLOOR(_xlfn.XLOOKUP($A84,PROPERTIES[VEHIDCODE],PROPERTIES[INTRODUCTION_YEAR]),20)</f>
        <v>1920</v>
      </c>
      <c r="D84" t="str">
        <f>_xlfn.XLOOKUP($A84,PROPERTIES[VEHIDCODE],PROPERTIES[ROLE])</f>
        <v>Universal</v>
      </c>
      <c r="E84" s="35" t="str">
        <f>_xlfn.XLOOKUP($A84,PROPERTIES[VEHIDCODE],PROPERTIES[REGION1])</f>
        <v>NORTHERN_EUROPE</v>
      </c>
      <c r="F84" s="35" t="str">
        <f>_xlfn.XLOOKUP($A84,PROPERTIES[VEHIDCODE],PROPERTIES[REGION2])</f>
        <v>NO_REGION</v>
      </c>
      <c r="G84" s="35" t="str">
        <f t="shared" si="7"/>
        <v>NORTHERN_EUROPE_NO_REGION</v>
      </c>
      <c r="H84" t="b">
        <f t="shared" si="8"/>
        <v>0</v>
      </c>
      <c r="I84" t="b">
        <f t="shared" si="9"/>
        <v>0</v>
      </c>
      <c r="J84" t="b">
        <f t="shared" si="10"/>
        <v>0</v>
      </c>
      <c r="K84" t="b">
        <f t="shared" si="10"/>
        <v>0</v>
      </c>
      <c r="L84" t="b">
        <f t="shared" si="10"/>
        <v>0</v>
      </c>
      <c r="M84" t="b">
        <f t="shared" si="10"/>
        <v>1</v>
      </c>
      <c r="N84" t="b">
        <f t="shared" si="11"/>
        <v>0</v>
      </c>
      <c r="O84" t="b">
        <f t="shared" si="11"/>
        <v>0</v>
      </c>
      <c r="P84" t="b">
        <f t="shared" si="12"/>
        <v>0</v>
      </c>
    </row>
    <row r="85" spans="1:16">
      <c r="A85" t="str">
        <v>steam_Netherlands_NS_6300</v>
      </c>
      <c r="B85" t="b" cm="1">
        <f t="array" ref="B85">_xlfn.XLOOKUP(A85,CONTROL[VEHIDCODE],PROPERTIES[EXCLUDE])</f>
        <v>0</v>
      </c>
      <c r="C85">
        <f>FLOOR(_xlfn.XLOOKUP($A85,PROPERTIES[VEHIDCODE],PROPERTIES[INTRODUCTION_YEAR]),20)</f>
        <v>1920</v>
      </c>
      <c r="D85" t="str">
        <f>_xlfn.XLOOKUP($A85,PROPERTIES[VEHIDCODE],PROPERTIES[ROLE])</f>
        <v>Universal</v>
      </c>
      <c r="E85" s="35" t="str">
        <f>_xlfn.XLOOKUP($A85,PROPERTIES[VEHIDCODE],PROPERTIES[REGION1])</f>
        <v>WESTERN_EUROPE</v>
      </c>
      <c r="F85" s="35" t="str">
        <f>_xlfn.XLOOKUP($A85,PROPERTIES[VEHIDCODE],PROPERTIES[REGION2])</f>
        <v>NO_REGION</v>
      </c>
      <c r="G85" s="35" t="str">
        <f t="shared" si="7"/>
        <v>WESTERN_EUROPE_NO_REGION</v>
      </c>
      <c r="H85" t="b">
        <f t="shared" si="8"/>
        <v>0</v>
      </c>
      <c r="I85" t="b">
        <f t="shared" si="9"/>
        <v>0</v>
      </c>
      <c r="J85" t="b">
        <f t="shared" si="10"/>
        <v>0</v>
      </c>
      <c r="K85" t="b">
        <f t="shared" si="10"/>
        <v>0</v>
      </c>
      <c r="L85" t="b">
        <f t="shared" si="10"/>
        <v>1</v>
      </c>
      <c r="M85" t="b">
        <f t="shared" si="10"/>
        <v>0</v>
      </c>
      <c r="N85" t="b">
        <f t="shared" si="11"/>
        <v>0</v>
      </c>
      <c r="O85" t="b">
        <f t="shared" si="11"/>
        <v>0</v>
      </c>
      <c r="P85" t="b">
        <f t="shared" si="12"/>
        <v>0</v>
      </c>
    </row>
    <row r="86" spans="1:16">
      <c r="A86" t="str">
        <v>steam_USA_AT_SF_5000</v>
      </c>
      <c r="B86" t="b" cm="1">
        <f t="array" ref="B86">_xlfn.XLOOKUP(A86,CONTROL[VEHIDCODE],PROPERTIES[EXCLUDE])</f>
        <v>0</v>
      </c>
      <c r="C86">
        <f>FLOOR(_xlfn.XLOOKUP($A86,PROPERTIES[VEHIDCODE],PROPERTIES[INTRODUCTION_YEAR]),20)</f>
        <v>1920</v>
      </c>
      <c r="D86" t="str">
        <f>_xlfn.XLOOKUP($A86,PROPERTIES[VEHIDCODE],PROPERTIES[ROLE])</f>
        <v>Heavy Freight</v>
      </c>
      <c r="E86" s="35" t="str">
        <f>_xlfn.XLOOKUP($A86,PROPERTIES[VEHIDCODE],PROPERTIES[REGION1])</f>
        <v>NORTH_AMERICA</v>
      </c>
      <c r="F86" s="35" t="str">
        <f>_xlfn.XLOOKUP($A86,PROPERTIES[VEHIDCODE],PROPERTIES[REGION2])</f>
        <v>NO_REGION</v>
      </c>
      <c r="G86" s="35" t="str">
        <f t="shared" si="7"/>
        <v>NORTH_AMERICA_NO_REGION</v>
      </c>
      <c r="H86" t="b">
        <f t="shared" si="8"/>
        <v>0</v>
      </c>
      <c r="I86" t="b">
        <f t="shared" si="9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0"/>
        <v>0</v>
      </c>
      <c r="N86" t="b">
        <f t="shared" si="11"/>
        <v>1</v>
      </c>
      <c r="O86" t="b">
        <f t="shared" si="11"/>
        <v>0</v>
      </c>
      <c r="P86" t="b">
        <f t="shared" si="12"/>
        <v>0</v>
      </c>
    </row>
    <row r="87" spans="1:16">
      <c r="A87" t="str">
        <v>steam_Germany_Prussian_S10</v>
      </c>
      <c r="B87" t="b" cm="1">
        <f t="array" ref="B87">_xlfn.XLOOKUP(A87,CONTROL[VEHIDCODE],PROPERTIES[EXCLUDE])</f>
        <v>0</v>
      </c>
      <c r="C87">
        <f>FLOOR(_xlfn.XLOOKUP($A87,PROPERTIES[VEHIDCODE],PROPERTIES[INTRODUCTION_YEAR]),20)</f>
        <v>1900</v>
      </c>
      <c r="D87" t="str">
        <f>_xlfn.XLOOKUP($A87,PROPERTIES[VEHIDCODE],PROPERTIES[ROLE])</f>
        <v>Universal</v>
      </c>
      <c r="E87" s="35" t="str">
        <f>_xlfn.XLOOKUP($A87,PROPERTIES[VEHIDCODE],PROPERTIES[REGION1])</f>
        <v>WESTERN_EUROPE</v>
      </c>
      <c r="F87" s="35" t="str">
        <f>_xlfn.XLOOKUP($A87,PROPERTIES[VEHIDCODE],PROPERTIES[REGION2])</f>
        <v>NO_REGION</v>
      </c>
      <c r="G87" s="35" t="str">
        <f t="shared" si="7"/>
        <v>WESTERN_EUROPE_NO_REGION</v>
      </c>
      <c r="H87" t="b">
        <f t="shared" si="8"/>
        <v>0</v>
      </c>
      <c r="I87" t="b">
        <f t="shared" si="9"/>
        <v>0</v>
      </c>
      <c r="J87" t="b">
        <f t="shared" si="10"/>
        <v>0</v>
      </c>
      <c r="K87" t="b">
        <f t="shared" si="10"/>
        <v>0</v>
      </c>
      <c r="L87" t="b">
        <f t="shared" si="10"/>
        <v>1</v>
      </c>
      <c r="M87" t="b">
        <f t="shared" si="10"/>
        <v>0</v>
      </c>
      <c r="N87" t="b">
        <f t="shared" si="11"/>
        <v>0</v>
      </c>
      <c r="O87" t="b">
        <f t="shared" si="11"/>
        <v>0</v>
      </c>
      <c r="P87" t="b">
        <f t="shared" si="12"/>
        <v>0</v>
      </c>
    </row>
    <row r="88" spans="1:16">
      <c r="A88" t="str">
        <v>steam_UK_LMS_5MT_Black_Five</v>
      </c>
      <c r="B88" t="b" cm="1">
        <f t="array" ref="B88">_xlfn.XLOOKUP(A88,CONTROL[VEHIDCODE],PROPERTIES[EXCLUDE])</f>
        <v>0</v>
      </c>
      <c r="C88">
        <f>FLOOR(_xlfn.XLOOKUP($A88,PROPERTIES[VEHIDCODE],PROPERTIES[INTRODUCTION_YEAR]),20)</f>
        <v>1920</v>
      </c>
      <c r="D88" t="str">
        <f>_xlfn.XLOOKUP($A88,PROPERTIES[VEHIDCODE],PROPERTIES[ROLE])</f>
        <v>Express</v>
      </c>
      <c r="E88" s="35" t="str">
        <f>_xlfn.XLOOKUP($A88,PROPERTIES[VEHIDCODE],PROPERTIES[REGION1])</f>
        <v>NORTHERN_EUROPE</v>
      </c>
      <c r="F88" s="35" t="str">
        <f>_xlfn.XLOOKUP($A88,PROPERTIES[VEHIDCODE],PROPERTIES[REGION2])</f>
        <v>NO_REGION</v>
      </c>
      <c r="G88" s="35" t="str">
        <f t="shared" si="7"/>
        <v>NORTHERN_EUROPE_NO_REGION</v>
      </c>
      <c r="H88" t="b">
        <f t="shared" si="8"/>
        <v>0</v>
      </c>
      <c r="I88" t="b">
        <f t="shared" si="9"/>
        <v>0</v>
      </c>
      <c r="J88" t="b">
        <f t="shared" si="10"/>
        <v>0</v>
      </c>
      <c r="K88" t="b">
        <f t="shared" si="10"/>
        <v>0</v>
      </c>
      <c r="L88" t="b">
        <f t="shared" si="10"/>
        <v>0</v>
      </c>
      <c r="M88" t="b">
        <f t="shared" si="10"/>
        <v>1</v>
      </c>
      <c r="N88" t="b">
        <f t="shared" si="11"/>
        <v>0</v>
      </c>
      <c r="O88" t="b">
        <f t="shared" si="11"/>
        <v>0</v>
      </c>
      <c r="P88" t="b">
        <f t="shared" si="12"/>
        <v>0</v>
      </c>
    </row>
    <row r="89" spans="1:16">
      <c r="A89" t="str">
        <v>steam_Russia_RZD_9P</v>
      </c>
      <c r="B89" t="b" cm="1">
        <f t="array" ref="B89">_xlfn.XLOOKUP(A89,CONTROL[VEHIDCODE],PROPERTIES[EXCLUDE])</f>
        <v>0</v>
      </c>
      <c r="C89">
        <f>FLOOR(_xlfn.XLOOKUP($A89,PROPERTIES[VEHIDCODE],PROPERTIES[INTRODUCTION_YEAR]),20)</f>
        <v>1920</v>
      </c>
      <c r="D89" t="str">
        <f>_xlfn.XLOOKUP($A89,PROPERTIES[VEHIDCODE],PROPERTIES[ROLE])</f>
        <v>Shunting</v>
      </c>
      <c r="E89" s="35" t="str">
        <f>_xlfn.XLOOKUP($A89,PROPERTIES[VEHIDCODE],PROPERTIES[REGION1])</f>
        <v>ASIA</v>
      </c>
      <c r="F89" s="35" t="str">
        <f>_xlfn.XLOOKUP($A89,PROPERTIES[VEHIDCODE],PROPERTIES[REGION2])</f>
        <v>NO_REGION</v>
      </c>
      <c r="G89" s="35" t="str">
        <f t="shared" si="7"/>
        <v>ASIA_NO_REGION</v>
      </c>
      <c r="H89" t="b">
        <f t="shared" si="8"/>
        <v>0</v>
      </c>
      <c r="I89" t="b">
        <f t="shared" si="9"/>
        <v>1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0"/>
        <v>0</v>
      </c>
      <c r="N89" t="b">
        <f t="shared" si="11"/>
        <v>0</v>
      </c>
      <c r="O89" t="b">
        <f t="shared" si="11"/>
        <v>0</v>
      </c>
      <c r="P89" t="b">
        <f t="shared" si="12"/>
        <v>0</v>
      </c>
    </row>
    <row r="90" spans="1:16">
      <c r="A90" t="str">
        <v>steam_UK_LNER_A4_Gresley</v>
      </c>
      <c r="B90" t="b" cm="1">
        <f t="array" ref="B90">_xlfn.XLOOKUP(A90,CONTROL[VEHIDCODE],PROPERTIES[EXCLUDE])</f>
        <v>0</v>
      </c>
      <c r="C90">
        <f>FLOOR(_xlfn.XLOOKUP($A90,PROPERTIES[VEHIDCODE],PROPERTIES[INTRODUCTION_YEAR]),20)</f>
        <v>1920</v>
      </c>
      <c r="D90" t="str">
        <f>_xlfn.XLOOKUP($A90,PROPERTIES[VEHIDCODE],PROPERTIES[ROLE])</f>
        <v>Express</v>
      </c>
      <c r="E90" s="35" t="str">
        <f>_xlfn.XLOOKUP($A90,PROPERTIES[VEHIDCODE],PROPERTIES[REGION1])</f>
        <v>NORTHERN_EUROPE</v>
      </c>
      <c r="F90" s="35" t="str">
        <f>_xlfn.XLOOKUP($A90,PROPERTIES[VEHIDCODE],PROPERTIES[REGION2])</f>
        <v>NO_REGION</v>
      </c>
      <c r="G90" s="35" t="str">
        <f t="shared" si="7"/>
        <v>NORTHERN_EUROPE_NO_REGION</v>
      </c>
      <c r="H90" t="b">
        <f t="shared" si="8"/>
        <v>0</v>
      </c>
      <c r="I90" t="b">
        <f t="shared" si="9"/>
        <v>0</v>
      </c>
      <c r="J90" t="b">
        <f t="shared" si="10"/>
        <v>0</v>
      </c>
      <c r="K90" t="b">
        <f t="shared" si="10"/>
        <v>0</v>
      </c>
      <c r="L90" t="b">
        <f t="shared" si="10"/>
        <v>0</v>
      </c>
      <c r="M90" t="b">
        <f t="shared" si="10"/>
        <v>1</v>
      </c>
      <c r="N90" t="b">
        <f t="shared" si="11"/>
        <v>0</v>
      </c>
      <c r="O90" t="b">
        <f t="shared" si="11"/>
        <v>0</v>
      </c>
      <c r="P90" t="b">
        <f t="shared" si="12"/>
        <v>0</v>
      </c>
    </row>
    <row r="91" spans="1:16">
      <c r="A91" t="str">
        <v>steam_Canada_CPR_Royal_Hudson</v>
      </c>
      <c r="B91" t="b" cm="1">
        <f t="array" ref="B91">_xlfn.XLOOKUP(A91,CONTROL[VEHIDCODE],PROPERTIES[EXCLUDE])</f>
        <v>0</v>
      </c>
      <c r="C91">
        <f>FLOOR(_xlfn.XLOOKUP($A91,PROPERTIES[VEHIDCODE],PROPERTIES[INTRODUCTION_YEAR]),20)</f>
        <v>1920</v>
      </c>
      <c r="D91" t="str">
        <f>_xlfn.XLOOKUP($A91,PROPERTIES[VEHIDCODE],PROPERTIES[ROLE])</f>
        <v>Express</v>
      </c>
      <c r="E91" s="35" t="str">
        <f>_xlfn.XLOOKUP($A91,PROPERTIES[VEHIDCODE],PROPERTIES[REGION1])</f>
        <v>NORTH_AMERICA</v>
      </c>
      <c r="F91" s="35" t="str">
        <f>_xlfn.XLOOKUP($A91,PROPERTIES[VEHIDCODE],PROPERTIES[REGION2])</f>
        <v>NO_REGION</v>
      </c>
      <c r="G91" s="35" t="str">
        <f t="shared" si="7"/>
        <v>NORTH_AMERICA_NO_REGION</v>
      </c>
      <c r="H91" t="b">
        <f t="shared" si="8"/>
        <v>0</v>
      </c>
      <c r="I91" t="b">
        <f t="shared" si="9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0"/>
        <v>0</v>
      </c>
      <c r="N91" t="b">
        <f t="shared" si="11"/>
        <v>1</v>
      </c>
      <c r="O91" t="b">
        <f t="shared" si="11"/>
        <v>0</v>
      </c>
      <c r="P91" t="b">
        <f t="shared" si="12"/>
        <v>0</v>
      </c>
    </row>
    <row r="92" spans="1:16">
      <c r="A92" t="str">
        <v>steam_Denmark_DSB_E</v>
      </c>
      <c r="B92" t="b" cm="1">
        <f t="array" ref="B92">_xlfn.XLOOKUP(A92,CONTROL[VEHIDCODE],PROPERTIES[EXCLUDE])</f>
        <v>0</v>
      </c>
      <c r="C92">
        <f>FLOOR(_xlfn.XLOOKUP($A92,PROPERTIES[VEHIDCODE],PROPERTIES[INTRODUCTION_YEAR]),20)</f>
        <v>1920</v>
      </c>
      <c r="D92" t="str">
        <f>_xlfn.XLOOKUP($A92,PROPERTIES[VEHIDCODE],PROPERTIES[ROLE])</f>
        <v>Universal</v>
      </c>
      <c r="E92" s="35" t="str">
        <f>_xlfn.XLOOKUP($A92,PROPERTIES[VEHIDCODE],PROPERTIES[REGION1])</f>
        <v>NORTHERN_EUROPE</v>
      </c>
      <c r="F92" s="35" t="str">
        <f>_xlfn.XLOOKUP($A92,PROPERTIES[VEHIDCODE],PROPERTIES[REGION2])</f>
        <v>NO_REGION</v>
      </c>
      <c r="G92" s="35" t="str">
        <f t="shared" si="7"/>
        <v>NORTHERN_EUROPE_NO_REGION</v>
      </c>
      <c r="H92" t="b">
        <f t="shared" si="8"/>
        <v>0</v>
      </c>
      <c r="I92" t="b">
        <f t="shared" si="9"/>
        <v>0</v>
      </c>
      <c r="J92" t="b">
        <f t="shared" si="10"/>
        <v>0</v>
      </c>
      <c r="K92" t="b">
        <f t="shared" si="10"/>
        <v>0</v>
      </c>
      <c r="L92" t="b">
        <f t="shared" si="10"/>
        <v>0</v>
      </c>
      <c r="M92" t="b">
        <f t="shared" si="10"/>
        <v>1</v>
      </c>
      <c r="N92" t="b">
        <f t="shared" si="11"/>
        <v>0</v>
      </c>
      <c r="O92" t="b">
        <f t="shared" si="11"/>
        <v>0</v>
      </c>
      <c r="P92" t="b">
        <f t="shared" si="12"/>
        <v>0</v>
      </c>
    </row>
    <row r="93" spans="1:16">
      <c r="A93" t="str">
        <v>steam_Germany_DB_52</v>
      </c>
      <c r="B93" t="b" cm="1">
        <f t="array" ref="B93">_xlfn.XLOOKUP(A93,CONTROL[VEHIDCODE],PROPERTIES[EXCLUDE])</f>
        <v>0</v>
      </c>
      <c r="C93">
        <f>FLOOR(_xlfn.XLOOKUP($A93,PROPERTIES[VEHIDCODE],PROPERTIES[INTRODUCTION_YEAR]),20)</f>
        <v>1920</v>
      </c>
      <c r="D93" t="str">
        <f>_xlfn.XLOOKUP($A93,PROPERTIES[VEHIDCODE],PROPERTIES[ROLE])</f>
        <v>Heavy Freight</v>
      </c>
      <c r="E93" s="35" t="str">
        <f>_xlfn.XLOOKUP($A93,PROPERTIES[VEHIDCODE],PROPERTIES[REGION1])</f>
        <v>WESTERN_EUROPE</v>
      </c>
      <c r="F93" s="35" t="str">
        <f>_xlfn.XLOOKUP($A93,PROPERTIES[VEHIDCODE],PROPERTIES[REGION2])</f>
        <v>NO_REGION</v>
      </c>
      <c r="G93" s="35" t="str">
        <f t="shared" si="7"/>
        <v>WESTERN_EUROPE_NO_REGION</v>
      </c>
      <c r="H93" t="b">
        <f t="shared" si="8"/>
        <v>0</v>
      </c>
      <c r="I93" t="b">
        <f t="shared" si="9"/>
        <v>0</v>
      </c>
      <c r="J93" t="b">
        <f t="shared" si="10"/>
        <v>0</v>
      </c>
      <c r="K93" t="b">
        <f t="shared" si="10"/>
        <v>0</v>
      </c>
      <c r="L93" t="b">
        <f t="shared" si="10"/>
        <v>1</v>
      </c>
      <c r="M93" t="b">
        <f t="shared" si="10"/>
        <v>0</v>
      </c>
      <c r="N93" t="b">
        <f t="shared" si="11"/>
        <v>0</v>
      </c>
      <c r="O93" t="b">
        <f t="shared" si="11"/>
        <v>0</v>
      </c>
      <c r="P93" t="b">
        <f t="shared" si="12"/>
        <v>0</v>
      </c>
    </row>
    <row r="94" spans="1:16">
      <c r="A94" t="str">
        <v>steam_UK_LNER_A1_Peppercorn</v>
      </c>
      <c r="B94" t="b" cm="1">
        <f t="array" ref="B94">_xlfn.XLOOKUP(A94,CONTROL[VEHIDCODE],PROPERTIES[EXCLUDE])</f>
        <v>0</v>
      </c>
      <c r="C94">
        <f>FLOOR(_xlfn.XLOOKUP($A94,PROPERTIES[VEHIDCODE],PROPERTIES[INTRODUCTION_YEAR]),20)</f>
        <v>1940</v>
      </c>
      <c r="D94" t="str">
        <f>_xlfn.XLOOKUP($A94,PROPERTIES[VEHIDCODE],PROPERTIES[ROLE])</f>
        <v>Express</v>
      </c>
      <c r="E94" s="35" t="str">
        <f>_xlfn.XLOOKUP($A94,PROPERTIES[VEHIDCODE],PROPERTIES[REGION1])</f>
        <v>NORTHERN_EUROPE</v>
      </c>
      <c r="F94" s="35" t="str">
        <f>_xlfn.XLOOKUP($A94,PROPERTIES[VEHIDCODE],PROPERTIES[REGION2])</f>
        <v>NO_REGION</v>
      </c>
      <c r="G94" s="35" t="str">
        <f t="shared" si="7"/>
        <v>NORTHERN_EUROPE_NO_REGION</v>
      </c>
      <c r="H94" t="b">
        <f t="shared" si="8"/>
        <v>0</v>
      </c>
      <c r="I94" t="b">
        <f t="shared" si="9"/>
        <v>0</v>
      </c>
      <c r="J94" t="b">
        <f t="shared" si="10"/>
        <v>0</v>
      </c>
      <c r="K94" t="b">
        <f t="shared" si="10"/>
        <v>0</v>
      </c>
      <c r="L94" t="b">
        <f t="shared" si="10"/>
        <v>0</v>
      </c>
      <c r="M94" t="b">
        <f t="shared" si="10"/>
        <v>1</v>
      </c>
      <c r="N94" t="b">
        <f t="shared" si="11"/>
        <v>0</v>
      </c>
      <c r="O94" t="b">
        <f t="shared" si="11"/>
        <v>0</v>
      </c>
      <c r="P94" t="b">
        <f t="shared" si="12"/>
        <v>0</v>
      </c>
    </row>
    <row r="95" spans="1:16">
      <c r="A95" t="str">
        <v>steam_South_Africa_SAR_25</v>
      </c>
      <c r="B95" t="b" cm="1">
        <f t="array" ref="B95">_xlfn.XLOOKUP(A95,CONTROL[VEHIDCODE],PROPERTIES[EXCLUDE])</f>
        <v>0</v>
      </c>
      <c r="C95">
        <f>FLOOR(_xlfn.XLOOKUP($A95,PROPERTIES[VEHIDCODE],PROPERTIES[INTRODUCTION_YEAR]),20)</f>
        <v>1940</v>
      </c>
      <c r="D95" t="str">
        <f>_xlfn.XLOOKUP($A95,PROPERTIES[VEHIDCODE],PROPERTIES[ROLE])</f>
        <v>Heavy Freight</v>
      </c>
      <c r="E95" s="35" t="str">
        <f>_xlfn.XLOOKUP($A95,PROPERTIES[VEHIDCODE],PROPERTIES[REGION1])</f>
        <v>AFRICA</v>
      </c>
      <c r="F95" s="35" t="str">
        <f>_xlfn.XLOOKUP($A95,PROPERTIES[VEHIDCODE],PROPERTIES[REGION2])</f>
        <v>NO_REGION</v>
      </c>
      <c r="G95" s="35" t="str">
        <f t="shared" si="7"/>
        <v>AFRICA_NO_REGION</v>
      </c>
      <c r="H95" t="b">
        <f t="shared" si="8"/>
        <v>1</v>
      </c>
      <c r="I95" t="b">
        <f t="shared" si="9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0"/>
        <v>0</v>
      </c>
      <c r="N95" t="b">
        <f t="shared" si="11"/>
        <v>0</v>
      </c>
      <c r="O95" t="b">
        <f t="shared" si="11"/>
        <v>0</v>
      </c>
      <c r="P95" t="b">
        <f t="shared" si="12"/>
        <v>0</v>
      </c>
    </row>
    <row r="96" spans="1:16">
      <c r="A96" t="str">
        <v>steam_Russia_RZD_P36</v>
      </c>
      <c r="B96" t="b" cm="1">
        <f t="array" ref="B96">_xlfn.XLOOKUP(A96,CONTROL[VEHIDCODE],PROPERTIES[EXCLUDE])</f>
        <v>0</v>
      </c>
      <c r="C96">
        <f>FLOOR(_xlfn.XLOOKUP($A96,PROPERTIES[VEHIDCODE],PROPERTIES[INTRODUCTION_YEAR]),20)</f>
        <v>1940</v>
      </c>
      <c r="D96" t="str">
        <f>_xlfn.XLOOKUP($A96,PROPERTIES[VEHIDCODE],PROPERTIES[ROLE])</f>
        <v>Heavy Freight</v>
      </c>
      <c r="E96" s="35" t="str">
        <f>_xlfn.XLOOKUP($A96,PROPERTIES[VEHIDCODE],PROPERTIES[REGION1])</f>
        <v>ASIA</v>
      </c>
      <c r="F96" s="35" t="str">
        <f>_xlfn.XLOOKUP($A96,PROPERTIES[VEHIDCODE],PROPERTIES[REGION2])</f>
        <v>NO_REGION</v>
      </c>
      <c r="G96" s="35" t="str">
        <f t="shared" si="7"/>
        <v>ASIA_NO_REGION</v>
      </c>
      <c r="H96" t="b">
        <f t="shared" si="8"/>
        <v>0</v>
      </c>
      <c r="I96" t="b">
        <f t="shared" si="9"/>
        <v>1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0"/>
        <v>0</v>
      </c>
      <c r="N96" t="b">
        <f t="shared" si="11"/>
        <v>0</v>
      </c>
      <c r="O96" t="b">
        <f t="shared" si="11"/>
        <v>0</v>
      </c>
      <c r="P96" t="b">
        <f t="shared" si="12"/>
        <v>0</v>
      </c>
    </row>
    <row r="97" spans="1:16">
      <c r="A97" t="str">
        <v>steam_France_SNCF_150B</v>
      </c>
      <c r="B97" t="b" cm="1">
        <f t="array" ref="B97">_xlfn.XLOOKUP(A97,CONTROL[VEHIDCODE],PROPERTIES[EXCLUDE])</f>
        <v>0</v>
      </c>
      <c r="C97">
        <f>FLOOR(_xlfn.XLOOKUP($A97,PROPERTIES[VEHIDCODE],PROPERTIES[INTRODUCTION_YEAR]),20)</f>
        <v>1920</v>
      </c>
      <c r="D97" t="str">
        <f>_xlfn.XLOOKUP($A97,PROPERTIES[VEHIDCODE],PROPERTIES[ROLE])</f>
        <v>Universal</v>
      </c>
      <c r="E97" s="35" t="str">
        <f>_xlfn.XLOOKUP($A97,PROPERTIES[VEHIDCODE],PROPERTIES[REGION1])</f>
        <v>WESTERN_EUROPE</v>
      </c>
      <c r="F97" s="35" t="str">
        <f>_xlfn.XLOOKUP($A97,PROPERTIES[VEHIDCODE],PROPERTIES[REGION2])</f>
        <v>NO_REGION</v>
      </c>
      <c r="G97" s="35" t="str">
        <f t="shared" si="7"/>
        <v>WESTERN_EUROPE_NO_REGION</v>
      </c>
      <c r="H97" t="b">
        <f t="shared" si="8"/>
        <v>0</v>
      </c>
      <c r="I97" t="b">
        <f t="shared" si="9"/>
        <v>0</v>
      </c>
      <c r="J97" t="b">
        <f t="shared" si="10"/>
        <v>0</v>
      </c>
      <c r="K97" t="b">
        <f t="shared" si="10"/>
        <v>0</v>
      </c>
      <c r="L97" t="b">
        <f t="shared" si="10"/>
        <v>1</v>
      </c>
      <c r="M97" t="b">
        <f t="shared" si="10"/>
        <v>0</v>
      </c>
      <c r="N97" t="b">
        <f t="shared" si="11"/>
        <v>0</v>
      </c>
      <c r="O97" t="b">
        <f t="shared" si="11"/>
        <v>0</v>
      </c>
      <c r="P97" t="b">
        <f t="shared" si="12"/>
        <v>0</v>
      </c>
    </row>
    <row r="98" spans="1:16">
      <c r="A98" t="str">
        <v>steam_Italy_FS_895</v>
      </c>
      <c r="B98" t="b" cm="1">
        <f t="array" ref="B98">_xlfn.XLOOKUP(A98,CONTROL[VEHIDCODE],PROPERTIES[EXCLUDE])</f>
        <v>0</v>
      </c>
      <c r="C98">
        <f>FLOOR(_xlfn.XLOOKUP($A98,PROPERTIES[VEHIDCODE],PROPERTIES[INTRODUCTION_YEAR]),20)</f>
        <v>1900</v>
      </c>
      <c r="D98" t="str">
        <f>_xlfn.XLOOKUP($A98,PROPERTIES[VEHIDCODE],PROPERTIES[ROLE])</f>
        <v>Shunting</v>
      </c>
      <c r="E98" s="35" t="str">
        <f>_xlfn.XLOOKUP($A98,PROPERTIES[VEHIDCODE],PROPERTIES[REGION1])</f>
        <v>SOUTHERN_EUROPE</v>
      </c>
      <c r="F98" s="35" t="str">
        <f>_xlfn.XLOOKUP($A98,PROPERTIES[VEHIDCODE],PROPERTIES[REGION2])</f>
        <v>NO_REGION</v>
      </c>
      <c r="G98" s="35" t="str">
        <f t="shared" si="7"/>
        <v>SOUTHERN_EUROPE_NO_REGION</v>
      </c>
      <c r="H98" t="b">
        <f t="shared" si="8"/>
        <v>0</v>
      </c>
      <c r="I98" t="b">
        <f t="shared" si="9"/>
        <v>0</v>
      </c>
      <c r="J98" t="b">
        <f t="shared" si="10"/>
        <v>1</v>
      </c>
      <c r="K98" t="b">
        <f t="shared" si="10"/>
        <v>0</v>
      </c>
      <c r="L98" t="b">
        <f t="shared" si="10"/>
        <v>0</v>
      </c>
      <c r="M98" t="b">
        <f t="shared" si="10"/>
        <v>0</v>
      </c>
      <c r="N98" t="b">
        <f t="shared" si="11"/>
        <v>0</v>
      </c>
      <c r="O98" t="b">
        <f t="shared" si="11"/>
        <v>0</v>
      </c>
      <c r="P98" t="b">
        <f t="shared" si="12"/>
        <v>0</v>
      </c>
    </row>
    <row r="99" spans="1:16">
      <c r="A99" t="str">
        <v>steam_Poland_PKP_Okz32</v>
      </c>
      <c r="B99" t="b" cm="1">
        <f t="array" ref="B99">_xlfn.XLOOKUP(A99,CONTROL[VEHIDCODE],PROPERTIES[EXCLUDE])</f>
        <v>0</v>
      </c>
      <c r="C99">
        <f>FLOOR(_xlfn.XLOOKUP($A99,PROPERTIES[VEHIDCODE],PROPERTIES[INTRODUCTION_YEAR]),20)</f>
        <v>1920</v>
      </c>
      <c r="D99" t="str">
        <f>_xlfn.XLOOKUP($A99,PROPERTIES[VEHIDCODE],PROPERTIES[ROLE])</f>
        <v>Universal</v>
      </c>
      <c r="E99" s="35" t="str">
        <f>_xlfn.XLOOKUP($A99,PROPERTIES[VEHIDCODE],PROPERTIES[REGION1])</f>
        <v>EASTERN_EUROPE</v>
      </c>
      <c r="F99" s="35" t="str">
        <f>_xlfn.XLOOKUP($A99,PROPERTIES[VEHIDCODE],PROPERTIES[REGION2])</f>
        <v>NO_REGION</v>
      </c>
      <c r="G99" s="35" t="str">
        <f t="shared" si="7"/>
        <v>EASTERN_EUROPE_NO_REGION</v>
      </c>
      <c r="H99" t="b">
        <f t="shared" si="8"/>
        <v>0</v>
      </c>
      <c r="I99" t="b">
        <f t="shared" si="9"/>
        <v>0</v>
      </c>
      <c r="J99" t="b">
        <f t="shared" si="10"/>
        <v>0</v>
      </c>
      <c r="K99" t="b">
        <f t="shared" si="10"/>
        <v>1</v>
      </c>
      <c r="L99" t="b">
        <f t="shared" si="10"/>
        <v>0</v>
      </c>
      <c r="M99" t="b">
        <f t="shared" si="10"/>
        <v>0</v>
      </c>
      <c r="N99" t="b">
        <f t="shared" si="11"/>
        <v>0</v>
      </c>
      <c r="O99" t="b">
        <f t="shared" si="11"/>
        <v>0</v>
      </c>
      <c r="P99" t="b">
        <f t="shared" si="12"/>
        <v>0</v>
      </c>
    </row>
    <row r="100" spans="1:16">
      <c r="A100" t="str">
        <v>steam_Switzerland_SBB_C_5_6</v>
      </c>
      <c r="B100" t="b" cm="1">
        <f t="array" ref="B100">_xlfn.XLOOKUP(A100,CONTROL[VEHIDCODE],PROPERTIES[EXCLUDE])</f>
        <v>0</v>
      </c>
      <c r="C100">
        <f>FLOOR(_xlfn.XLOOKUP($A100,PROPERTIES[VEHIDCODE],PROPERTIES[INTRODUCTION_YEAR]),20)</f>
        <v>1900</v>
      </c>
      <c r="D100" t="str">
        <f>_xlfn.XLOOKUP($A100,PROPERTIES[VEHIDCODE],PROPERTIES[ROLE])</f>
        <v>Heavy Freight</v>
      </c>
      <c r="E100" s="35" t="str">
        <f>_xlfn.XLOOKUP($A100,PROPERTIES[VEHIDCODE],PROPERTIES[REGION1])</f>
        <v>WESTERN_EUROPE</v>
      </c>
      <c r="F100" s="35" t="str">
        <f>_xlfn.XLOOKUP($A100,PROPERTIES[VEHIDCODE],PROPERTIES[REGION2])</f>
        <v>NO_REGION</v>
      </c>
      <c r="G100" s="35" t="str">
        <f t="shared" si="7"/>
        <v>WESTERN_EUROPE_NO_REGION</v>
      </c>
      <c r="H100" t="b">
        <f t="shared" si="8"/>
        <v>0</v>
      </c>
      <c r="I100" t="b">
        <f t="shared" si="9"/>
        <v>0</v>
      </c>
      <c r="J100" t="b">
        <f t="shared" si="10"/>
        <v>0</v>
      </c>
      <c r="K100" t="b">
        <f t="shared" si="10"/>
        <v>0</v>
      </c>
      <c r="L100" t="b">
        <f t="shared" si="10"/>
        <v>1</v>
      </c>
      <c r="M100" t="b">
        <f t="shared" si="10"/>
        <v>0</v>
      </c>
      <c r="N100" t="b">
        <f t="shared" si="11"/>
        <v>0</v>
      </c>
      <c r="O100" t="b">
        <f t="shared" si="11"/>
        <v>0</v>
      </c>
      <c r="P100" t="b">
        <f t="shared" si="12"/>
        <v>0</v>
      </c>
    </row>
    <row r="101" spans="1:16">
      <c r="A101" t="str">
        <v>steam_USA_UP_4000_Big_Boy</v>
      </c>
      <c r="B101" t="b" cm="1">
        <f t="array" ref="B101">_xlfn.XLOOKUP(A101,CONTROL[VEHIDCODE],PROPERTIES[EXCLUDE])</f>
        <v>0</v>
      </c>
      <c r="C101">
        <f>FLOOR(_xlfn.XLOOKUP($A101,PROPERTIES[VEHIDCODE],PROPERTIES[INTRODUCTION_YEAR]),20)</f>
        <v>1940</v>
      </c>
      <c r="D101" t="str">
        <f>_xlfn.XLOOKUP($A101,PROPERTIES[VEHIDCODE],PROPERTIES[ROLE])</f>
        <v>Heavy Freight</v>
      </c>
      <c r="E101" s="35" t="str">
        <f>_xlfn.XLOOKUP($A101,PROPERTIES[VEHIDCODE],PROPERTIES[REGION1])</f>
        <v>NORTH_AMERICA</v>
      </c>
      <c r="F101" s="35" t="str">
        <f>_xlfn.XLOOKUP($A101,PROPERTIES[VEHIDCODE],PROPERTIES[REGION2])</f>
        <v>NO_REGION</v>
      </c>
      <c r="G101" s="35" t="str">
        <f t="shared" si="7"/>
        <v>NORTH_AMERICA_NO_REGION</v>
      </c>
      <c r="H101" t="b">
        <f t="shared" si="8"/>
        <v>0</v>
      </c>
      <c r="I101" t="b">
        <f t="shared" si="9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0"/>
        <v>0</v>
      </c>
      <c r="N101" t="b">
        <f t="shared" si="11"/>
        <v>1</v>
      </c>
      <c r="O101" t="b">
        <f t="shared" si="11"/>
        <v>0</v>
      </c>
      <c r="P101" t="b">
        <f t="shared" si="12"/>
        <v>0</v>
      </c>
    </row>
    <row r="102" spans="1:16">
      <c r="A102" t="str">
        <v>steam_Netherlands_NRS_11</v>
      </c>
      <c r="B102" t="b" cm="1">
        <f t="array" ref="B102">_xlfn.XLOOKUP(A102,CONTROL[VEHIDCODE],PROPERTIES[EXCLUDE])</f>
        <v>0</v>
      </c>
      <c r="C102">
        <f>FLOOR(_xlfn.XLOOKUP($A102,PROPERTIES[VEHIDCODE],PROPERTIES[INTRODUCTION_YEAR]),20)</f>
        <v>1840</v>
      </c>
      <c r="D102" t="str">
        <f>_xlfn.XLOOKUP($A102,PROPERTIES[VEHIDCODE],PROPERTIES[ROLE])</f>
        <v>Universal</v>
      </c>
      <c r="E102" s="35" t="str">
        <f>_xlfn.XLOOKUP($A102,PROPERTIES[VEHIDCODE],PROPERTIES[REGION1])</f>
        <v>WESTERN_EUROPE</v>
      </c>
      <c r="F102" s="35" t="str">
        <f>_xlfn.XLOOKUP($A102,PROPERTIES[VEHIDCODE],PROPERTIES[REGION2])</f>
        <v>NO_REGION</v>
      </c>
      <c r="G102" s="35" t="str">
        <f t="shared" si="7"/>
        <v>WESTERN_EUROPE_NO_REGION</v>
      </c>
      <c r="H102" t="b">
        <f t="shared" si="8"/>
        <v>0</v>
      </c>
      <c r="I102" t="b">
        <f t="shared" si="9"/>
        <v>0</v>
      </c>
      <c r="J102" t="b">
        <f t="shared" si="10"/>
        <v>0</v>
      </c>
      <c r="K102" t="b">
        <f t="shared" si="10"/>
        <v>0</v>
      </c>
      <c r="L102" t="b">
        <f t="shared" si="10"/>
        <v>1</v>
      </c>
      <c r="M102" t="b">
        <f t="shared" si="10"/>
        <v>0</v>
      </c>
      <c r="N102" t="b">
        <f t="shared" si="11"/>
        <v>0</v>
      </c>
      <c r="O102" t="b">
        <f t="shared" si="11"/>
        <v>0</v>
      </c>
      <c r="P102" t="b">
        <f t="shared" si="12"/>
        <v>0</v>
      </c>
    </row>
    <row r="103" spans="1:16">
      <c r="A103" t="str">
        <v>steam_UK_GWR_Iron_DUKe_Class</v>
      </c>
      <c r="B103" t="b" cm="1">
        <f t="array" ref="B103">_xlfn.XLOOKUP(A103,CONTROL[VEHIDCODE],PROPERTIES[EXCLUDE])</f>
        <v>0</v>
      </c>
      <c r="C103">
        <f>FLOOR(_xlfn.XLOOKUP($A103,PROPERTIES[VEHIDCODE],PROPERTIES[INTRODUCTION_YEAR]),20)</f>
        <v>1840</v>
      </c>
      <c r="D103" t="str">
        <f>_xlfn.XLOOKUP($A103,PROPERTIES[VEHIDCODE],PROPERTIES[ROLE])</f>
        <v>Express</v>
      </c>
      <c r="E103" s="35" t="str">
        <f>_xlfn.XLOOKUP($A103,PROPERTIES[VEHIDCODE],PROPERTIES[REGION1])</f>
        <v>NORTHERN_EUROPE</v>
      </c>
      <c r="F103" s="35" t="str">
        <f>_xlfn.XLOOKUP($A103,PROPERTIES[VEHIDCODE],PROPERTIES[REGION2])</f>
        <v>NO_REGION</v>
      </c>
      <c r="G103" s="35" t="str">
        <f t="shared" si="7"/>
        <v>NORTHERN_EUROPE_NO_REGION</v>
      </c>
      <c r="H103" t="b">
        <f t="shared" si="8"/>
        <v>0</v>
      </c>
      <c r="I103" t="b">
        <f t="shared" si="9"/>
        <v>0</v>
      </c>
      <c r="J103" t="b">
        <f t="shared" si="10"/>
        <v>0</v>
      </c>
      <c r="K103" t="b">
        <f t="shared" si="10"/>
        <v>0</v>
      </c>
      <c r="L103" t="b">
        <f t="shared" si="10"/>
        <v>0</v>
      </c>
      <c r="M103" t="b">
        <f t="shared" si="10"/>
        <v>1</v>
      </c>
      <c r="N103" t="b">
        <f t="shared" si="11"/>
        <v>0</v>
      </c>
      <c r="O103" t="b">
        <f t="shared" si="11"/>
        <v>0</v>
      </c>
      <c r="P103" t="b">
        <f t="shared" si="12"/>
        <v>0</v>
      </c>
    </row>
    <row r="104" spans="1:16">
      <c r="A104" t="str">
        <v>steam_Australia_Sidney_Railway_Locomotive_No1</v>
      </c>
      <c r="B104" t="b" cm="1">
        <f t="array" ref="B104">_xlfn.XLOOKUP(A104,CONTROL[VEHIDCODE],PROPERTIES[EXCLUDE])</f>
        <v>0</v>
      </c>
      <c r="C104">
        <f>FLOOR(_xlfn.XLOOKUP($A104,PROPERTIES[VEHIDCODE],PROPERTIES[INTRODUCTION_YEAR]),20)</f>
        <v>1840</v>
      </c>
      <c r="D104" t="str">
        <f>_xlfn.XLOOKUP($A104,PROPERTIES[VEHIDCODE],PROPERTIES[ROLE])</f>
        <v>Shunting</v>
      </c>
      <c r="E104" s="35" t="str">
        <f>_xlfn.XLOOKUP($A104,PROPERTIES[VEHIDCODE],PROPERTIES[REGION1])</f>
        <v>OCEANIA</v>
      </c>
      <c r="F104" s="35" t="str">
        <f>_xlfn.XLOOKUP($A104,PROPERTIES[VEHIDCODE],PROPERTIES[REGION2])</f>
        <v>NO_REGION</v>
      </c>
      <c r="G104" s="35" t="str">
        <f t="shared" si="7"/>
        <v>OCEANIA_NO_REGION</v>
      </c>
      <c r="H104" t="b">
        <f t="shared" si="8"/>
        <v>0</v>
      </c>
      <c r="I104" t="b">
        <f t="shared" si="9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0"/>
        <v>0</v>
      </c>
      <c r="N104" t="b">
        <f t="shared" si="11"/>
        <v>0</v>
      </c>
      <c r="O104" t="b">
        <f t="shared" si="11"/>
        <v>0</v>
      </c>
      <c r="P104" t="b">
        <f t="shared" si="12"/>
        <v>1</v>
      </c>
    </row>
    <row r="105" spans="1:16">
      <c r="A105" t="str">
        <v>steam_USA_Central_Pacific_4_2_2</v>
      </c>
      <c r="B105" t="b" cm="1">
        <f t="array" ref="B105">_xlfn.XLOOKUP(A105,CONTROL[VEHIDCODE],PROPERTIES[EXCLUDE])</f>
        <v>0</v>
      </c>
      <c r="C105">
        <f>FLOOR(_xlfn.XLOOKUP($A105,PROPERTIES[VEHIDCODE],PROPERTIES[INTRODUCTION_YEAR]),20)</f>
        <v>1860</v>
      </c>
      <c r="D105" t="str">
        <f>_xlfn.XLOOKUP($A105,PROPERTIES[VEHIDCODE],PROPERTIES[ROLE])</f>
        <v>Universal</v>
      </c>
      <c r="E105" s="35" t="str">
        <f>_xlfn.XLOOKUP($A105,PROPERTIES[VEHIDCODE],PROPERTIES[REGION1])</f>
        <v>NORTH_AMERICA</v>
      </c>
      <c r="F105" s="35" t="str">
        <f>_xlfn.XLOOKUP($A105,PROPERTIES[VEHIDCODE],PROPERTIES[REGION2])</f>
        <v>NO_REGION</v>
      </c>
      <c r="G105" s="35" t="str">
        <f t="shared" si="7"/>
        <v>NORTH_AMERICA_NO_REGION</v>
      </c>
      <c r="H105" t="b">
        <f t="shared" si="8"/>
        <v>0</v>
      </c>
      <c r="I105" t="b">
        <f t="shared" si="9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0"/>
        <v>0</v>
      </c>
      <c r="N105" t="b">
        <f t="shared" si="11"/>
        <v>1</v>
      </c>
      <c r="O105" t="b">
        <f t="shared" si="11"/>
        <v>0</v>
      </c>
      <c r="P105" t="b">
        <f t="shared" si="12"/>
        <v>0</v>
      </c>
    </row>
    <row r="106" spans="1:16">
      <c r="A106" t="str">
        <v>steam_Netherlands_NS_700</v>
      </c>
      <c r="B106" t="b" cm="1">
        <f t="array" ref="B106">_xlfn.XLOOKUP(A106,CONTROL[VEHIDCODE],PROPERTIES[EXCLUDE])</f>
        <v>0</v>
      </c>
      <c r="C106">
        <f>FLOOR(_xlfn.XLOOKUP($A106,PROPERTIES[VEHIDCODE],PROPERTIES[INTRODUCTION_YEAR]),20)</f>
        <v>1860</v>
      </c>
      <c r="D106" t="str">
        <f>_xlfn.XLOOKUP($A106,PROPERTIES[VEHIDCODE],PROPERTIES[ROLE])</f>
        <v>Universal</v>
      </c>
      <c r="E106" s="35" t="str">
        <f>_xlfn.XLOOKUP($A106,PROPERTIES[VEHIDCODE],PROPERTIES[REGION1])</f>
        <v>WESTERN_EUROPE</v>
      </c>
      <c r="F106" s="35" t="str">
        <f>_xlfn.XLOOKUP($A106,PROPERTIES[VEHIDCODE],PROPERTIES[REGION2])</f>
        <v>NO_REGION</v>
      </c>
      <c r="G106" s="35" t="str">
        <f t="shared" si="7"/>
        <v>WESTERN_EUROPE_NO_REGION</v>
      </c>
      <c r="H106" t="b">
        <f t="shared" si="8"/>
        <v>0</v>
      </c>
      <c r="I106" t="b">
        <f t="shared" si="9"/>
        <v>0</v>
      </c>
      <c r="J106" t="b">
        <f t="shared" si="10"/>
        <v>0</v>
      </c>
      <c r="K106" t="b">
        <f t="shared" si="10"/>
        <v>0</v>
      </c>
      <c r="L106" t="b">
        <f t="shared" si="10"/>
        <v>1</v>
      </c>
      <c r="M106" t="b">
        <f t="shared" si="10"/>
        <v>0</v>
      </c>
      <c r="N106" t="b">
        <f t="shared" si="11"/>
        <v>0</v>
      </c>
      <c r="O106" t="b">
        <f t="shared" si="11"/>
        <v>0</v>
      </c>
      <c r="P106" t="b">
        <f t="shared" si="12"/>
        <v>0</v>
      </c>
    </row>
    <row r="107" spans="1:16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>
        <f>FLOOR(_xlfn.XLOOKUP($A107,PROPERTIES[VEHIDCODE],PROPERTIES[INTRODUCTION_YEAR]),20)</f>
        <v>1860</v>
      </c>
      <c r="D107" t="str">
        <f>_xlfn.XLOOKUP($A107,PROPERTIES[VEHIDCODE],PROPERTIES[ROLE])</f>
        <v>Shunting</v>
      </c>
      <c r="E107" s="35" t="str">
        <f>_xlfn.XLOOKUP($A107,PROPERTIES[VEHIDCODE],PROPERTIES[REGION1])</f>
        <v>AFRICA</v>
      </c>
      <c r="F107" s="35" t="str">
        <f>_xlfn.XLOOKUP($A107,PROPERTIES[VEHIDCODE],PROPERTIES[REGION2])</f>
        <v>NO_REGION</v>
      </c>
      <c r="G107" s="35" t="str">
        <f t="shared" si="7"/>
        <v>AFRICA_NO_REGION</v>
      </c>
      <c r="H107" t="b">
        <f t="shared" si="8"/>
        <v>1</v>
      </c>
      <c r="I107" t="b">
        <f t="shared" si="9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0"/>
        <v>0</v>
      </c>
      <c r="N107" t="b">
        <f t="shared" si="11"/>
        <v>0</v>
      </c>
      <c r="O107" t="b">
        <f t="shared" si="11"/>
        <v>0</v>
      </c>
      <c r="P107" t="b">
        <f t="shared" si="12"/>
        <v>0</v>
      </c>
    </row>
    <row r="108" spans="1:16">
      <c r="A108" t="str">
        <v>steam_Australia_NSWGR_Z25_Class</v>
      </c>
      <c r="B108" t="b" cm="1">
        <f t="array" ref="B108">_xlfn.XLOOKUP(A108,CONTROL[VEHIDCODE],PROPERTIES[EXCLUDE])</f>
        <v>0</v>
      </c>
      <c r="C108">
        <f>FLOOR(_xlfn.XLOOKUP($A108,PROPERTIES[VEHIDCODE],PROPERTIES[INTRODUCTION_YEAR]),20)</f>
        <v>1880</v>
      </c>
      <c r="D108" t="str">
        <f>_xlfn.XLOOKUP($A108,PROPERTIES[VEHIDCODE],PROPERTIES[ROLE])</f>
        <v>Universal</v>
      </c>
      <c r="E108" s="35" t="str">
        <f>_xlfn.XLOOKUP($A108,PROPERTIES[VEHIDCODE],PROPERTIES[REGION1])</f>
        <v>OCEANIA</v>
      </c>
      <c r="F108" s="35" t="str">
        <f>_xlfn.XLOOKUP($A108,PROPERTIES[VEHIDCODE],PROPERTIES[REGION2])</f>
        <v>NO_REGION</v>
      </c>
      <c r="G108" s="35" t="str">
        <f t="shared" si="7"/>
        <v>OCEANIA_NO_REGION</v>
      </c>
      <c r="H108" t="b">
        <f t="shared" si="8"/>
        <v>0</v>
      </c>
      <c r="I108" t="b">
        <f t="shared" si="9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0"/>
        <v>0</v>
      </c>
      <c r="N108" t="b">
        <f t="shared" si="11"/>
        <v>0</v>
      </c>
      <c r="O108" t="b">
        <f t="shared" si="11"/>
        <v>0</v>
      </c>
      <c r="P108" t="b">
        <f t="shared" si="12"/>
        <v>1</v>
      </c>
    </row>
    <row r="109" spans="1:16">
      <c r="A109" t="str">
        <v>steam_Canada_Canadian_Pacific_374</v>
      </c>
      <c r="B109" t="b" cm="1">
        <f t="array" ref="B109">_xlfn.XLOOKUP(A109,CONTROL[VEHIDCODE],PROPERTIES[EXCLUDE])</f>
        <v>0</v>
      </c>
      <c r="C109">
        <f>FLOOR(_xlfn.XLOOKUP($A109,PROPERTIES[VEHIDCODE],PROPERTIES[INTRODUCTION_YEAR]),20)</f>
        <v>1880</v>
      </c>
      <c r="D109" t="str">
        <f>_xlfn.XLOOKUP($A109,PROPERTIES[VEHIDCODE],PROPERTIES[ROLE])</f>
        <v>Universal</v>
      </c>
      <c r="E109" s="35" t="str">
        <f>_xlfn.XLOOKUP($A109,PROPERTIES[VEHIDCODE],PROPERTIES[REGION1])</f>
        <v>NORTH_AMERICA</v>
      </c>
      <c r="F109" s="35" t="str">
        <f>_xlfn.XLOOKUP($A109,PROPERTIES[VEHIDCODE],PROPERTIES[REGION2])</f>
        <v>NO_REGION</v>
      </c>
      <c r="G109" s="35" t="str">
        <f t="shared" si="7"/>
        <v>NORTH_AMERICA_NO_REGION</v>
      </c>
      <c r="H109" t="b">
        <f t="shared" si="8"/>
        <v>0</v>
      </c>
      <c r="I109" t="b">
        <f t="shared" si="9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0"/>
        <v>0</v>
      </c>
      <c r="N109" t="b">
        <f t="shared" si="11"/>
        <v>1</v>
      </c>
      <c r="O109" t="b">
        <f t="shared" si="11"/>
        <v>0</v>
      </c>
      <c r="P109" t="b">
        <f t="shared" si="12"/>
        <v>0</v>
      </c>
    </row>
    <row r="110" spans="1:16">
      <c r="A110" t="str">
        <v>steam_South_Africa_PPR_35_tonner_4_6_0T</v>
      </c>
      <c r="B110" t="b" cm="1">
        <f t="array" ref="B110">_xlfn.XLOOKUP(A110,CONTROL[VEHIDCODE],PROPERTIES[EXCLUDE])</f>
        <v>0</v>
      </c>
      <c r="C110">
        <f>FLOOR(_xlfn.XLOOKUP($A110,PROPERTIES[VEHIDCODE],PROPERTIES[INTRODUCTION_YEAR]),20)</f>
        <v>1880</v>
      </c>
      <c r="D110" t="str">
        <f>_xlfn.XLOOKUP($A110,PROPERTIES[VEHIDCODE],PROPERTIES[ROLE])</f>
        <v>Shunting</v>
      </c>
      <c r="E110" s="35" t="str">
        <f>_xlfn.XLOOKUP($A110,PROPERTIES[VEHIDCODE],PROPERTIES[REGION1])</f>
        <v>AFRICA</v>
      </c>
      <c r="F110" s="35" t="str">
        <f>_xlfn.XLOOKUP($A110,PROPERTIES[VEHIDCODE],PROPERTIES[REGION2])</f>
        <v>NO_REGION</v>
      </c>
      <c r="G110" s="35" t="str">
        <f t="shared" si="7"/>
        <v>AFRICA_NO_REGION</v>
      </c>
      <c r="H110" t="b">
        <f t="shared" si="8"/>
        <v>1</v>
      </c>
      <c r="I110" t="b">
        <f t="shared" si="9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0"/>
        <v>0</v>
      </c>
      <c r="N110" t="b">
        <f t="shared" si="11"/>
        <v>0</v>
      </c>
      <c r="O110" t="b">
        <f t="shared" si="11"/>
        <v>0</v>
      </c>
      <c r="P110" t="b">
        <f t="shared" si="12"/>
        <v>0</v>
      </c>
    </row>
    <row r="111" spans="1:16">
      <c r="A111" t="str">
        <v>steam_Spain_RENFE_Class_040</v>
      </c>
      <c r="B111" t="b" cm="1">
        <f t="array" ref="B111">_xlfn.XLOOKUP(A111,CONTROL[VEHIDCODE],PROPERTIES[EXCLUDE])</f>
        <v>0</v>
      </c>
      <c r="C111">
        <f>FLOOR(_xlfn.XLOOKUP($A111,PROPERTIES[VEHIDCODE],PROPERTIES[INTRODUCTION_YEAR]),20)</f>
        <v>1880</v>
      </c>
      <c r="D111" t="str">
        <f>_xlfn.XLOOKUP($A111,PROPERTIES[VEHIDCODE],PROPERTIES[ROLE])</f>
        <v>Shunting</v>
      </c>
      <c r="E111" s="35" t="str">
        <f>_xlfn.XLOOKUP($A111,PROPERTIES[VEHIDCODE],PROPERTIES[REGION1])</f>
        <v>SOUTHERN_EUROPE</v>
      </c>
      <c r="F111" s="35" t="str">
        <f>_xlfn.XLOOKUP($A111,PROPERTIES[VEHIDCODE],PROPERTIES[REGION2])</f>
        <v>NO_REGION</v>
      </c>
      <c r="G111" s="35" t="str">
        <f t="shared" si="7"/>
        <v>SOUTHERN_EUROPE_NO_REGION</v>
      </c>
      <c r="H111" t="b">
        <f t="shared" si="8"/>
        <v>0</v>
      </c>
      <c r="I111" t="b">
        <f t="shared" si="9"/>
        <v>0</v>
      </c>
      <c r="J111" t="b">
        <f t="shared" si="10"/>
        <v>1</v>
      </c>
      <c r="K111" t="b">
        <f t="shared" si="10"/>
        <v>0</v>
      </c>
      <c r="L111" t="b">
        <f t="shared" si="10"/>
        <v>0</v>
      </c>
      <c r="M111" t="b">
        <f t="shared" si="10"/>
        <v>0</v>
      </c>
      <c r="N111" t="b">
        <f t="shared" si="11"/>
        <v>0</v>
      </c>
      <c r="O111" t="b">
        <f t="shared" si="11"/>
        <v>0</v>
      </c>
      <c r="P111" t="b">
        <f t="shared" si="12"/>
        <v>0</v>
      </c>
    </row>
    <row r="112" spans="1:16">
      <c r="A112" t="str">
        <v>steam_Germany_Saxon_IV_K</v>
      </c>
      <c r="B112" t="b" cm="1">
        <f t="array" ref="B112">_xlfn.XLOOKUP(A112,CONTROL[VEHIDCODE],PROPERTIES[EXCLUDE])</f>
        <v>0</v>
      </c>
      <c r="C112">
        <f>FLOOR(_xlfn.XLOOKUP($A112,PROPERTIES[VEHIDCODE],PROPERTIES[INTRODUCTION_YEAR]),20)</f>
        <v>1880</v>
      </c>
      <c r="D112" t="str">
        <f>_xlfn.XLOOKUP($A112,PROPERTIES[VEHIDCODE],PROPERTIES[ROLE])</f>
        <v>Shunting</v>
      </c>
      <c r="E112" s="35" t="str">
        <f>_xlfn.XLOOKUP($A112,PROPERTIES[VEHIDCODE],PROPERTIES[REGION1])</f>
        <v>WESTERN_EUROPE</v>
      </c>
      <c r="F112" s="35" t="str">
        <f>_xlfn.XLOOKUP($A112,PROPERTIES[VEHIDCODE],PROPERTIES[REGION2])</f>
        <v>NO_REGION</v>
      </c>
      <c r="G112" s="35" t="str">
        <f t="shared" si="7"/>
        <v>WESTERN_EUROPE_NO_REGION</v>
      </c>
      <c r="H112" t="b">
        <f t="shared" si="8"/>
        <v>0</v>
      </c>
      <c r="I112" t="b">
        <f t="shared" si="9"/>
        <v>0</v>
      </c>
      <c r="J112" t="b">
        <f t="shared" si="10"/>
        <v>0</v>
      </c>
      <c r="K112" t="b">
        <f t="shared" si="10"/>
        <v>0</v>
      </c>
      <c r="L112" t="b">
        <f t="shared" si="10"/>
        <v>1</v>
      </c>
      <c r="M112" t="b">
        <f t="shared" si="10"/>
        <v>0</v>
      </c>
      <c r="N112" t="b">
        <f t="shared" si="11"/>
        <v>0</v>
      </c>
      <c r="O112" t="b">
        <f t="shared" si="11"/>
        <v>0</v>
      </c>
      <c r="P112" t="b">
        <f t="shared" si="12"/>
        <v>0</v>
      </c>
    </row>
    <row r="113" spans="1:16">
      <c r="A113" t="str">
        <v>steam_Germany_Prussian_S_3</v>
      </c>
      <c r="B113" t="b" cm="1">
        <f t="array" ref="B113">_xlfn.XLOOKUP(A113,CONTROL[VEHIDCODE],PROPERTIES[EXCLUDE])</f>
        <v>0</v>
      </c>
      <c r="C113">
        <f>FLOOR(_xlfn.XLOOKUP($A113,PROPERTIES[VEHIDCODE],PROPERTIES[INTRODUCTION_YEAR]),20)</f>
        <v>1880</v>
      </c>
      <c r="D113" t="str">
        <f>_xlfn.XLOOKUP($A113,PROPERTIES[VEHIDCODE],PROPERTIES[ROLE])</f>
        <v>Universal</v>
      </c>
      <c r="E113" s="35" t="str">
        <f>_xlfn.XLOOKUP($A113,PROPERTIES[VEHIDCODE],PROPERTIES[REGION1])</f>
        <v>WESTERN_EUROPE</v>
      </c>
      <c r="F113" s="35" t="str">
        <f>_xlfn.XLOOKUP($A113,PROPERTIES[VEHIDCODE],PROPERTIES[REGION2])</f>
        <v>NO_REGION</v>
      </c>
      <c r="G113" s="35" t="str">
        <f t="shared" si="7"/>
        <v>WESTERN_EUROPE_NO_REGION</v>
      </c>
      <c r="H113" t="b">
        <f t="shared" si="8"/>
        <v>0</v>
      </c>
      <c r="I113" t="b">
        <f t="shared" si="9"/>
        <v>0</v>
      </c>
      <c r="J113" t="b">
        <f t="shared" si="10"/>
        <v>0</v>
      </c>
      <c r="K113" t="b">
        <f t="shared" si="10"/>
        <v>0</v>
      </c>
      <c r="L113" t="b">
        <f t="shared" si="10"/>
        <v>1</v>
      </c>
      <c r="M113" t="b">
        <f t="shared" si="10"/>
        <v>0</v>
      </c>
      <c r="N113" t="b">
        <f t="shared" si="11"/>
        <v>0</v>
      </c>
      <c r="O113" t="b">
        <f t="shared" si="11"/>
        <v>0</v>
      </c>
      <c r="P113" t="b">
        <f t="shared" si="12"/>
        <v>0</v>
      </c>
    </row>
    <row r="114" spans="1:16">
      <c r="A114" t="str">
        <v>steam_Norway_NSB_Class_XXI</v>
      </c>
      <c r="B114" t="b" cm="1">
        <f t="array" ref="B114">_xlfn.XLOOKUP(A114,CONTROL[VEHIDCODE],PROPERTIES[EXCLUDE])</f>
        <v>0</v>
      </c>
      <c r="C114">
        <f>FLOOR(_xlfn.XLOOKUP($A114,PROPERTIES[VEHIDCODE],PROPERTIES[INTRODUCTION_YEAR]),20)</f>
        <v>1880</v>
      </c>
      <c r="D114" t="str">
        <f>_xlfn.XLOOKUP($A114,PROPERTIES[VEHIDCODE],PROPERTIES[ROLE])</f>
        <v>Shunting</v>
      </c>
      <c r="E114" s="35" t="str">
        <f>_xlfn.XLOOKUP($A114,PROPERTIES[VEHIDCODE],PROPERTIES[REGION1])</f>
        <v>NORTHERN_EUROPE</v>
      </c>
      <c r="F114" s="35" t="str">
        <f>_xlfn.XLOOKUP($A114,PROPERTIES[VEHIDCODE],PROPERTIES[REGION2])</f>
        <v>NO_REGION</v>
      </c>
      <c r="G114" s="35" t="str">
        <f t="shared" si="7"/>
        <v>NORTHERN_EUROPE_NO_REGION</v>
      </c>
      <c r="H114" t="b">
        <f t="shared" si="8"/>
        <v>0</v>
      </c>
      <c r="I114" t="b">
        <f t="shared" si="9"/>
        <v>0</v>
      </c>
      <c r="J114" t="b">
        <f t="shared" si="10"/>
        <v>0</v>
      </c>
      <c r="K114" t="b">
        <f t="shared" si="10"/>
        <v>0</v>
      </c>
      <c r="L114" t="b">
        <f t="shared" si="10"/>
        <v>0</v>
      </c>
      <c r="M114" t="b">
        <f t="shared" si="10"/>
        <v>1</v>
      </c>
      <c r="N114" t="b">
        <f t="shared" si="11"/>
        <v>0</v>
      </c>
      <c r="O114" t="b">
        <f t="shared" si="11"/>
        <v>0</v>
      </c>
      <c r="P114" t="b">
        <f t="shared" si="12"/>
        <v>0</v>
      </c>
    </row>
    <row r="115" spans="1:16">
      <c r="A115" t="str">
        <v>steam_USA_PRR_D16</v>
      </c>
      <c r="B115" t="b" cm="1">
        <f t="array" ref="B115">_xlfn.XLOOKUP(A115,CONTROL[VEHIDCODE],PROPERTIES[EXCLUDE])</f>
        <v>0</v>
      </c>
      <c r="C115">
        <f>FLOOR(_xlfn.XLOOKUP($A115,PROPERTIES[VEHIDCODE],PROPERTIES[INTRODUCTION_YEAR]),20)</f>
        <v>1880</v>
      </c>
      <c r="D115" t="str">
        <f>_xlfn.XLOOKUP($A115,PROPERTIES[VEHIDCODE],PROPERTIES[ROLE])</f>
        <v>Express</v>
      </c>
      <c r="E115" s="35" t="str">
        <f>_xlfn.XLOOKUP($A115,PROPERTIES[VEHIDCODE],PROPERTIES[REGION1])</f>
        <v>NORTH_AMERICA</v>
      </c>
      <c r="F115" s="35" t="str">
        <f>_xlfn.XLOOKUP($A115,PROPERTIES[VEHIDCODE],PROPERTIES[REGION2])</f>
        <v>NO_REGION</v>
      </c>
      <c r="G115" s="35" t="str">
        <f t="shared" si="7"/>
        <v>NORTH_AMERICA_NO_REGION</v>
      </c>
      <c r="H115" t="b">
        <f t="shared" si="8"/>
        <v>0</v>
      </c>
      <c r="I115" t="b">
        <f t="shared" si="9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0"/>
        <v>0</v>
      </c>
      <c r="N115" t="b">
        <f t="shared" si="11"/>
        <v>1</v>
      </c>
      <c r="O115" t="b">
        <f t="shared" si="11"/>
        <v>0</v>
      </c>
      <c r="P115" t="b">
        <f t="shared" si="12"/>
        <v>0</v>
      </c>
    </row>
    <row r="116" spans="1:16">
      <c r="A116" t="str">
        <v>steam_Netherlands_NS_8100</v>
      </c>
      <c r="B116" t="b" cm="1">
        <f t="array" ref="B116">_xlfn.XLOOKUP(A116,CONTROL[VEHIDCODE],PROPERTIES[EXCLUDE])</f>
        <v>0</v>
      </c>
      <c r="C116">
        <f>FLOOR(_xlfn.XLOOKUP($A116,PROPERTIES[VEHIDCODE],PROPERTIES[INTRODUCTION_YEAR]),20)</f>
        <v>1900</v>
      </c>
      <c r="D116" t="str">
        <f>_xlfn.XLOOKUP($A116,PROPERTIES[VEHIDCODE],PROPERTIES[ROLE])</f>
        <v>Shunting</v>
      </c>
      <c r="E116" s="35" t="str">
        <f>_xlfn.XLOOKUP($A116,PROPERTIES[VEHIDCODE],PROPERTIES[REGION1])</f>
        <v>WESTERN_EUROPE</v>
      </c>
      <c r="F116" s="35" t="str">
        <f>_xlfn.XLOOKUP($A116,PROPERTIES[VEHIDCODE],PROPERTIES[REGION2])</f>
        <v>NO_REGION</v>
      </c>
      <c r="G116" s="35" t="str">
        <f t="shared" si="7"/>
        <v>WESTERN_EUROPE_NO_REGION</v>
      </c>
      <c r="H116" t="b">
        <f t="shared" si="8"/>
        <v>0</v>
      </c>
      <c r="I116" t="b">
        <f t="shared" si="9"/>
        <v>0</v>
      </c>
      <c r="J116" t="b">
        <f t="shared" si="10"/>
        <v>0</v>
      </c>
      <c r="K116" t="b">
        <f t="shared" si="10"/>
        <v>0</v>
      </c>
      <c r="L116" t="b">
        <f t="shared" si="10"/>
        <v>1</v>
      </c>
      <c r="M116" t="b">
        <f t="shared" si="10"/>
        <v>0</v>
      </c>
      <c r="N116" t="b">
        <f t="shared" si="11"/>
        <v>0</v>
      </c>
      <c r="O116" t="b">
        <f t="shared" si="11"/>
        <v>0</v>
      </c>
      <c r="P116" t="b">
        <f t="shared" si="12"/>
        <v>0</v>
      </c>
    </row>
    <row r="117" spans="1:16">
      <c r="A117" t="str">
        <v>steam_South_Africa_SAR_MD_Class</v>
      </c>
      <c r="B117" t="b" cm="1">
        <f t="array" ref="B117">_xlfn.XLOOKUP(A117,CONTROL[VEHIDCODE],PROPERTIES[EXCLUDE])</f>
        <v>0</v>
      </c>
      <c r="C117">
        <f>FLOOR(_xlfn.XLOOKUP($A117,PROPERTIES[VEHIDCODE],PROPERTIES[INTRODUCTION_YEAR]),20)</f>
        <v>1900</v>
      </c>
      <c r="D117" t="str">
        <f>_xlfn.XLOOKUP($A117,PROPERTIES[VEHIDCODE],PROPERTIES[ROLE])</f>
        <v>Heavy Freight</v>
      </c>
      <c r="E117" s="35" t="str">
        <f>_xlfn.XLOOKUP($A117,PROPERTIES[VEHIDCODE],PROPERTIES[REGION1])</f>
        <v>AFRICA</v>
      </c>
      <c r="F117" s="35" t="str">
        <f>_xlfn.XLOOKUP($A117,PROPERTIES[VEHIDCODE],PROPERTIES[REGION2])</f>
        <v>NO_REGION</v>
      </c>
      <c r="G117" s="35" t="str">
        <f t="shared" si="7"/>
        <v>AFRICA_NO_REGION</v>
      </c>
      <c r="H117" t="b">
        <f t="shared" si="8"/>
        <v>1</v>
      </c>
      <c r="I117" t="b">
        <f t="shared" si="9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0"/>
        <v>0</v>
      </c>
      <c r="N117" t="b">
        <f t="shared" si="11"/>
        <v>0</v>
      </c>
      <c r="O117" t="b">
        <f t="shared" si="11"/>
        <v>0</v>
      </c>
      <c r="P117" t="b">
        <f t="shared" si="12"/>
        <v>0</v>
      </c>
    </row>
    <row r="118" spans="1:16">
      <c r="A118" t="str">
        <v>steam_Angola_South_West_African_2_8_0</v>
      </c>
      <c r="B118" t="b" cm="1">
        <f t="array" ref="B118">_xlfn.XLOOKUP(A118,CONTROL[VEHIDCODE],PROPERTIES[EXCLUDE])</f>
        <v>0</v>
      </c>
      <c r="C118">
        <f>FLOOR(_xlfn.XLOOKUP($A118,PROPERTIES[VEHIDCODE],PROPERTIES[INTRODUCTION_YEAR]),20)</f>
        <v>1900</v>
      </c>
      <c r="D118" t="str">
        <f>_xlfn.XLOOKUP($A118,PROPERTIES[VEHIDCODE],PROPERTIES[ROLE])</f>
        <v>Shunting</v>
      </c>
      <c r="E118" s="35" t="str">
        <f>_xlfn.XLOOKUP($A118,PROPERTIES[VEHIDCODE],PROPERTIES[REGION1])</f>
        <v>AFRICA</v>
      </c>
      <c r="F118" s="35" t="str">
        <f>_xlfn.XLOOKUP($A118,PROPERTIES[VEHIDCODE],PROPERTIES[REGION2])</f>
        <v>NO_REGION</v>
      </c>
      <c r="G118" s="35" t="str">
        <f t="shared" si="7"/>
        <v>AFRICA_NO_REGION</v>
      </c>
      <c r="H118" t="b">
        <f t="shared" si="8"/>
        <v>1</v>
      </c>
      <c r="I118" t="b">
        <f t="shared" si="9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0"/>
        <v>0</v>
      </c>
      <c r="N118" t="b">
        <f t="shared" si="11"/>
        <v>0</v>
      </c>
      <c r="O118" t="b">
        <f t="shared" si="11"/>
        <v>0</v>
      </c>
      <c r="P118" t="b">
        <f t="shared" si="12"/>
        <v>0</v>
      </c>
    </row>
    <row r="119" spans="1:16">
      <c r="A119" t="str">
        <v>steam_UK_LNER_N7</v>
      </c>
      <c r="B119" t="b" cm="1">
        <f t="array" ref="B119">_xlfn.XLOOKUP(A119,CONTROL[VEHIDCODE],PROPERTIES[EXCLUDE])</f>
        <v>0</v>
      </c>
      <c r="C119">
        <f>FLOOR(_xlfn.XLOOKUP($A119,PROPERTIES[VEHIDCODE],PROPERTIES[INTRODUCTION_YEAR]),20)</f>
        <v>1900</v>
      </c>
      <c r="D119" t="str">
        <f>_xlfn.XLOOKUP($A119,PROPERTIES[VEHIDCODE],PROPERTIES[ROLE])</f>
        <v>Universal</v>
      </c>
      <c r="E119" s="35" t="str">
        <f>_xlfn.XLOOKUP($A119,PROPERTIES[VEHIDCODE],PROPERTIES[REGION1])</f>
        <v>NORTHERN_EUROPE</v>
      </c>
      <c r="F119" s="35" t="str">
        <f>_xlfn.XLOOKUP($A119,PROPERTIES[VEHIDCODE],PROPERTIES[REGION2])</f>
        <v>NO_REGION</v>
      </c>
      <c r="G119" s="35" t="str">
        <f t="shared" si="7"/>
        <v>NORTHERN_EUROPE_NO_REGION</v>
      </c>
      <c r="H119" t="b">
        <f t="shared" si="8"/>
        <v>0</v>
      </c>
      <c r="I119" t="b">
        <f t="shared" si="9"/>
        <v>0</v>
      </c>
      <c r="J119" t="b">
        <f t="shared" si="10"/>
        <v>0</v>
      </c>
      <c r="K119" t="b">
        <f t="shared" si="10"/>
        <v>0</v>
      </c>
      <c r="L119" t="b">
        <f t="shared" si="10"/>
        <v>0</v>
      </c>
      <c r="M119" t="b">
        <f t="shared" si="10"/>
        <v>1</v>
      </c>
      <c r="N119" t="b">
        <f t="shared" si="11"/>
        <v>0</v>
      </c>
      <c r="O119" t="b">
        <f t="shared" si="11"/>
        <v>0</v>
      </c>
      <c r="P119" t="b">
        <f t="shared" si="12"/>
        <v>0</v>
      </c>
    </row>
    <row r="120" spans="1:16">
      <c r="A120" t="str">
        <v>steam_Germany_Saxon_XX_HV</v>
      </c>
      <c r="B120" t="b" cm="1">
        <f t="array" ref="B120">_xlfn.XLOOKUP(A120,CONTROL[VEHIDCODE],PROPERTIES[EXCLUDE])</f>
        <v>0</v>
      </c>
      <c r="C120">
        <f>FLOOR(_xlfn.XLOOKUP($A120,PROPERTIES[VEHIDCODE],PROPERTIES[INTRODUCTION_YEAR]),20)</f>
        <v>1900</v>
      </c>
      <c r="D120" t="str">
        <f>_xlfn.XLOOKUP($A120,PROPERTIES[VEHIDCODE],PROPERTIES[ROLE])</f>
        <v>Heavy Freight</v>
      </c>
      <c r="E120" s="35" t="str">
        <f>_xlfn.XLOOKUP($A120,PROPERTIES[VEHIDCODE],PROPERTIES[REGION1])</f>
        <v>WESTERN_EUROPE</v>
      </c>
      <c r="F120" s="35" t="str">
        <f>_xlfn.XLOOKUP($A120,PROPERTIES[VEHIDCODE],PROPERTIES[REGION2])</f>
        <v>NO_REGION</v>
      </c>
      <c r="G120" s="35" t="str">
        <f t="shared" si="7"/>
        <v>WESTERN_EUROPE_NO_REGION</v>
      </c>
      <c r="H120" t="b">
        <f t="shared" si="8"/>
        <v>0</v>
      </c>
      <c r="I120" t="b">
        <f t="shared" si="9"/>
        <v>0</v>
      </c>
      <c r="J120" t="b">
        <f t="shared" si="10"/>
        <v>0</v>
      </c>
      <c r="K120" t="b">
        <f t="shared" si="10"/>
        <v>0</v>
      </c>
      <c r="L120" t="b">
        <f t="shared" si="10"/>
        <v>1</v>
      </c>
      <c r="M120" t="b">
        <f t="shared" si="10"/>
        <v>0</v>
      </c>
      <c r="N120" t="b">
        <f t="shared" si="11"/>
        <v>0</v>
      </c>
      <c r="O120" t="b">
        <f t="shared" si="11"/>
        <v>0</v>
      </c>
      <c r="P120" t="b">
        <f t="shared" si="12"/>
        <v>0</v>
      </c>
    </row>
    <row r="121" spans="1:16">
      <c r="A121" t="str">
        <v>steam_Belgium_NMBS_Type_7</v>
      </c>
      <c r="B121" t="b" cm="1">
        <f t="array" ref="B121">_xlfn.XLOOKUP(A121,CONTROL[VEHIDCODE],PROPERTIES[EXCLUDE])</f>
        <v>0</v>
      </c>
      <c r="C121">
        <f>FLOOR(_xlfn.XLOOKUP($A121,PROPERTIES[VEHIDCODE],PROPERTIES[INTRODUCTION_YEAR]),20)</f>
        <v>1920</v>
      </c>
      <c r="D121" t="str">
        <f>_xlfn.XLOOKUP($A121,PROPERTIES[VEHIDCODE],PROPERTIES[ROLE])</f>
        <v>Universal</v>
      </c>
      <c r="E121" s="35" t="str">
        <f>_xlfn.XLOOKUP($A121,PROPERTIES[VEHIDCODE],PROPERTIES[REGION1])</f>
        <v>WESTERN_EUROPE</v>
      </c>
      <c r="F121" s="35" t="str">
        <f>_xlfn.XLOOKUP($A121,PROPERTIES[VEHIDCODE],PROPERTIES[REGION2])</f>
        <v>NO_REGION</v>
      </c>
      <c r="G121" s="35" t="str">
        <f t="shared" si="7"/>
        <v>WESTERN_EUROPE_NO_REGION</v>
      </c>
      <c r="H121" t="b">
        <f t="shared" si="8"/>
        <v>0</v>
      </c>
      <c r="I121" t="b">
        <f t="shared" si="9"/>
        <v>0</v>
      </c>
      <c r="J121" t="b">
        <f t="shared" si="10"/>
        <v>0</v>
      </c>
      <c r="K121" t="b">
        <f t="shared" si="10"/>
        <v>0</v>
      </c>
      <c r="L121" t="b">
        <f t="shared" si="10"/>
        <v>1</v>
      </c>
      <c r="M121" t="b">
        <f t="shared" si="10"/>
        <v>0</v>
      </c>
      <c r="N121" t="b">
        <f t="shared" si="11"/>
        <v>0</v>
      </c>
      <c r="O121" t="b">
        <f t="shared" si="11"/>
        <v>0</v>
      </c>
      <c r="P121" t="b">
        <f t="shared" si="12"/>
        <v>0</v>
      </c>
    </row>
    <row r="122" spans="1:16">
      <c r="A122" t="str">
        <v>steam_Ireland_DSER_15</v>
      </c>
      <c r="B122" t="b" cm="1">
        <f t="array" ref="B122">_xlfn.XLOOKUP(A122,CONTROL[VEHIDCODE],PROPERTIES[EXCLUDE])</f>
        <v>0</v>
      </c>
      <c r="C122">
        <f>FLOOR(_xlfn.XLOOKUP($A122,PROPERTIES[VEHIDCODE],PROPERTIES[INTRODUCTION_YEAR]),20)</f>
        <v>1920</v>
      </c>
      <c r="D122" t="str">
        <f>_xlfn.XLOOKUP($A122,PROPERTIES[VEHIDCODE],PROPERTIES[ROLE])</f>
        <v>Express</v>
      </c>
      <c r="E122" s="35" t="str">
        <f>_xlfn.XLOOKUP($A122,PROPERTIES[VEHIDCODE],PROPERTIES[REGION1])</f>
        <v>NORTHERN_EUROPE</v>
      </c>
      <c r="F122" s="35" t="str">
        <f>_xlfn.XLOOKUP($A122,PROPERTIES[VEHIDCODE],PROPERTIES[REGION2])</f>
        <v>NO_REGION</v>
      </c>
      <c r="G122" s="35" t="str">
        <f t="shared" si="7"/>
        <v>NORTHERN_EUROPE_NO_REGION</v>
      </c>
      <c r="H122" t="b">
        <f t="shared" si="8"/>
        <v>0</v>
      </c>
      <c r="I122" t="b">
        <f t="shared" si="9"/>
        <v>0</v>
      </c>
      <c r="J122" t="b">
        <f t="shared" si="10"/>
        <v>0</v>
      </c>
      <c r="K122" t="b">
        <f t="shared" si="10"/>
        <v>0</v>
      </c>
      <c r="L122" t="b">
        <f t="shared" si="10"/>
        <v>0</v>
      </c>
      <c r="M122" t="b">
        <f t="shared" si="10"/>
        <v>1</v>
      </c>
      <c r="N122" t="b">
        <f t="shared" si="11"/>
        <v>0</v>
      </c>
      <c r="O122" t="b">
        <f t="shared" si="11"/>
        <v>0</v>
      </c>
      <c r="P122" t="b">
        <f t="shared" si="12"/>
        <v>0</v>
      </c>
    </row>
    <row r="123" spans="1:16">
      <c r="A123" t="str">
        <v>steam_USA_Sierra_Railroad_28</v>
      </c>
      <c r="B123" t="b" cm="1">
        <f t="array" ref="B123">_xlfn.XLOOKUP(A123,CONTROL[VEHIDCODE],PROPERTIES[EXCLUDE])</f>
        <v>0</v>
      </c>
      <c r="C123">
        <f>FLOOR(_xlfn.XLOOKUP($A123,PROPERTIES[VEHIDCODE],PROPERTIES[INTRODUCTION_YEAR]),20)</f>
        <v>1920</v>
      </c>
      <c r="D123" t="str">
        <f>_xlfn.XLOOKUP($A123,PROPERTIES[VEHIDCODE],PROPERTIES[ROLE])</f>
        <v>Universal</v>
      </c>
      <c r="E123" s="35" t="str">
        <f>_xlfn.XLOOKUP($A123,PROPERTIES[VEHIDCODE],PROPERTIES[REGION1])</f>
        <v>NORTH_AMERICA</v>
      </c>
      <c r="F123" s="35" t="str">
        <f>_xlfn.XLOOKUP($A123,PROPERTIES[VEHIDCODE],PROPERTIES[REGION2])</f>
        <v>NO_REGION</v>
      </c>
      <c r="G123" s="35" t="str">
        <f t="shared" si="7"/>
        <v>NORTH_AMERICA_NO_REGION</v>
      </c>
      <c r="H123" t="b">
        <f t="shared" si="8"/>
        <v>0</v>
      </c>
      <c r="I123" t="b">
        <f t="shared" si="9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0"/>
        <v>0</v>
      </c>
      <c r="N123" t="b">
        <f t="shared" si="11"/>
        <v>1</v>
      </c>
      <c r="O123" t="b">
        <f t="shared" si="11"/>
        <v>0</v>
      </c>
      <c r="P123" t="b">
        <f t="shared" si="12"/>
        <v>0</v>
      </c>
    </row>
    <row r="124" spans="1:16">
      <c r="A124" t="str">
        <v>steam_Canada_CN_U_1_Class</v>
      </c>
      <c r="B124" t="b" cm="1">
        <f t="array" ref="B124">_xlfn.XLOOKUP(A124,CONTROL[VEHIDCODE],PROPERTIES[EXCLUDE])</f>
        <v>0</v>
      </c>
      <c r="C124">
        <f>FLOOR(_xlfn.XLOOKUP($A124,PROPERTIES[VEHIDCODE],PROPERTIES[INTRODUCTION_YEAR]),20)</f>
        <v>1920</v>
      </c>
      <c r="D124" t="str">
        <f>_xlfn.XLOOKUP($A124,PROPERTIES[VEHIDCODE],PROPERTIES[ROLE])</f>
        <v>Heavy Freight</v>
      </c>
      <c r="E124" s="35" t="str">
        <f>_xlfn.XLOOKUP($A124,PROPERTIES[VEHIDCODE],PROPERTIES[REGION1])</f>
        <v>NORTH_AMERICA</v>
      </c>
      <c r="F124" s="35" t="str">
        <f>_xlfn.XLOOKUP($A124,PROPERTIES[VEHIDCODE],PROPERTIES[REGION2])</f>
        <v>NO_REGION</v>
      </c>
      <c r="G124" s="35" t="str">
        <f t="shared" si="7"/>
        <v>NORTH_AMERICA_NO_REGION</v>
      </c>
      <c r="H124" t="b">
        <f t="shared" si="8"/>
        <v>0</v>
      </c>
      <c r="I124" t="b">
        <f t="shared" si="9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0"/>
        <v>0</v>
      </c>
      <c r="N124" t="b">
        <f t="shared" si="11"/>
        <v>1</v>
      </c>
      <c r="O124" t="b">
        <f t="shared" si="11"/>
        <v>0</v>
      </c>
      <c r="P124" t="b">
        <f t="shared" si="12"/>
        <v>0</v>
      </c>
    </row>
    <row r="125" spans="1:16">
      <c r="A125" t="str">
        <v>steam_India_Indian_Railways_XB_Class</v>
      </c>
      <c r="B125" t="b" cm="1">
        <f t="array" ref="B125">_xlfn.XLOOKUP(A125,CONTROL[VEHIDCODE],PROPERTIES[EXCLUDE])</f>
        <v>0</v>
      </c>
      <c r="C125">
        <f>FLOOR(_xlfn.XLOOKUP($A125,PROPERTIES[VEHIDCODE],PROPERTIES[INTRODUCTION_YEAR]),20)</f>
        <v>1920</v>
      </c>
      <c r="D125" t="str">
        <f>_xlfn.XLOOKUP($A125,PROPERTIES[VEHIDCODE],PROPERTIES[ROLE])</f>
        <v>Heavy Freight</v>
      </c>
      <c r="E125" s="35" t="str">
        <f>_xlfn.XLOOKUP($A125,PROPERTIES[VEHIDCODE],PROPERTIES[REGION1])</f>
        <v>ASIA</v>
      </c>
      <c r="F125" s="35" t="str">
        <f>_xlfn.XLOOKUP($A125,PROPERTIES[VEHIDCODE],PROPERTIES[REGION2])</f>
        <v>NO_REGION</v>
      </c>
      <c r="G125" s="35" t="str">
        <f t="shared" si="7"/>
        <v>ASIA_NO_REGION</v>
      </c>
      <c r="H125" t="b">
        <f t="shared" si="8"/>
        <v>0</v>
      </c>
      <c r="I125" t="b">
        <f t="shared" si="9"/>
        <v>1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0"/>
        <v>0</v>
      </c>
      <c r="N125" t="b">
        <f t="shared" si="11"/>
        <v>0</v>
      </c>
      <c r="O125" t="b">
        <f t="shared" si="11"/>
        <v>0</v>
      </c>
      <c r="P125" t="b">
        <f t="shared" si="12"/>
        <v>0</v>
      </c>
    </row>
    <row r="126" spans="1:16">
      <c r="A126" t="str">
        <v>steam_Iraq_Iraqi_State_Railways_PC_Class</v>
      </c>
      <c r="B126" t="b" cm="1">
        <f t="array" ref="B126">_xlfn.XLOOKUP(A126,CONTROL[VEHIDCODE],PROPERTIES[EXCLUDE])</f>
        <v>0</v>
      </c>
      <c r="C126">
        <f>FLOOR(_xlfn.XLOOKUP($A126,PROPERTIES[VEHIDCODE],PROPERTIES[INTRODUCTION_YEAR]),20)</f>
        <v>1940</v>
      </c>
      <c r="D126" t="str">
        <f>_xlfn.XLOOKUP($A126,PROPERTIES[VEHIDCODE],PROPERTIES[ROLE])</f>
        <v>Heavy Freight</v>
      </c>
      <c r="E126" s="35" t="str">
        <f>_xlfn.XLOOKUP($A126,PROPERTIES[VEHIDCODE],PROPERTIES[REGION1])</f>
        <v>ASIA</v>
      </c>
      <c r="F126" s="35" t="str">
        <f>_xlfn.XLOOKUP($A126,PROPERTIES[VEHIDCODE],PROPERTIES[REGION2])</f>
        <v>NO_REGION</v>
      </c>
      <c r="G126" s="35" t="str">
        <f t="shared" si="7"/>
        <v>ASIA_NO_REGION</v>
      </c>
      <c r="H126" t="b">
        <f t="shared" si="8"/>
        <v>0</v>
      </c>
      <c r="I126" t="b">
        <f t="shared" si="9"/>
        <v>1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0"/>
        <v>0</v>
      </c>
      <c r="N126" t="b">
        <f t="shared" si="11"/>
        <v>0</v>
      </c>
      <c r="O126" t="b">
        <f t="shared" si="11"/>
        <v>0</v>
      </c>
      <c r="P126" t="b">
        <f t="shared" si="12"/>
        <v>0</v>
      </c>
    </row>
    <row r="127" spans="1:16">
      <c r="A127" t="str">
        <v>steam_Egypt_ENR_1100</v>
      </c>
      <c r="B127" t="b" cm="1">
        <f t="array" ref="B127">_xlfn.XLOOKUP(A127,CONTROL[VEHIDCODE],PROPERTIES[EXCLUDE])</f>
        <v>0</v>
      </c>
      <c r="C127">
        <f>FLOOR(_xlfn.XLOOKUP($A127,PROPERTIES[VEHIDCODE],PROPERTIES[INTRODUCTION_YEAR]),20)</f>
        <v>1940</v>
      </c>
      <c r="D127" t="str">
        <f>_xlfn.XLOOKUP($A127,PROPERTIES[VEHIDCODE],PROPERTIES[ROLE])</f>
        <v>Universal</v>
      </c>
      <c r="E127" s="35" t="str">
        <f>_xlfn.XLOOKUP($A127,PROPERTIES[VEHIDCODE],PROPERTIES[REGION1])</f>
        <v>AFRICA</v>
      </c>
      <c r="F127" s="35" t="str">
        <f>_xlfn.XLOOKUP($A127,PROPERTIES[VEHIDCODE],PROPERTIES[REGION2])</f>
        <v>NO_REGION</v>
      </c>
      <c r="G127" s="35" t="str">
        <f t="shared" si="7"/>
        <v>AFRICA_NO_REGION</v>
      </c>
      <c r="H127" t="b">
        <f t="shared" si="8"/>
        <v>1</v>
      </c>
      <c r="I127" t="b">
        <f t="shared" si="9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0"/>
        <v>0</v>
      </c>
      <c r="N127" t="b">
        <f t="shared" si="11"/>
        <v>0</v>
      </c>
      <c r="O127" t="b">
        <f t="shared" si="11"/>
        <v>0</v>
      </c>
      <c r="P127" t="b">
        <f t="shared" si="12"/>
        <v>0</v>
      </c>
    </row>
    <row r="128" spans="1:16">
      <c r="A128" t="str">
        <v>steam_UK_GWR_1600_Class</v>
      </c>
      <c r="B128" t="b" cm="1">
        <f t="array" ref="B128">_xlfn.XLOOKUP(A128,CONTROL[VEHIDCODE],PROPERTIES[EXCLUDE])</f>
        <v>0</v>
      </c>
      <c r="C128">
        <f>FLOOR(_xlfn.XLOOKUP($A128,PROPERTIES[VEHIDCODE],PROPERTIES[INTRODUCTION_YEAR]),20)</f>
        <v>1940</v>
      </c>
      <c r="D128" t="str">
        <f>_xlfn.XLOOKUP($A128,PROPERTIES[VEHIDCODE],PROPERTIES[ROLE])</f>
        <v>Universal</v>
      </c>
      <c r="E128" s="35" t="str">
        <f>_xlfn.XLOOKUP($A128,PROPERTIES[VEHIDCODE],PROPERTIES[REGION1])</f>
        <v>NORTHERN_EUROPE</v>
      </c>
      <c r="F128" s="35" t="str">
        <f>_xlfn.XLOOKUP($A128,PROPERTIES[VEHIDCODE],PROPERTIES[REGION2])</f>
        <v>NO_REGION</v>
      </c>
      <c r="G128" s="35" t="str">
        <f t="shared" si="7"/>
        <v>NORTHERN_EUROPE_NO_REGION</v>
      </c>
      <c r="H128" t="b">
        <f t="shared" si="8"/>
        <v>0</v>
      </c>
      <c r="I128" t="b">
        <f t="shared" si="9"/>
        <v>0</v>
      </c>
      <c r="J128" t="b">
        <f t="shared" si="10"/>
        <v>0</v>
      </c>
      <c r="K128" t="b">
        <f t="shared" si="10"/>
        <v>0</v>
      </c>
      <c r="L128" t="b">
        <f t="shared" si="10"/>
        <v>0</v>
      </c>
      <c r="M128" t="b">
        <f t="shared" si="10"/>
        <v>1</v>
      </c>
      <c r="N128" t="b">
        <f t="shared" si="11"/>
        <v>0</v>
      </c>
      <c r="O128" t="b">
        <f t="shared" si="11"/>
        <v>0</v>
      </c>
      <c r="P128" t="b">
        <f t="shared" si="12"/>
        <v>0</v>
      </c>
    </row>
    <row r="129" spans="1:16">
      <c r="A129" t="str">
        <v>steam_Australia_Victorian_Railways_R_Class</v>
      </c>
      <c r="B129" t="b" cm="1">
        <f t="array" ref="B129">_xlfn.XLOOKUP(A129,CONTROL[VEHIDCODE],PROPERTIES[EXCLUDE])</f>
        <v>0</v>
      </c>
      <c r="C129">
        <f>FLOOR(_xlfn.XLOOKUP($A129,PROPERTIES[VEHIDCODE],PROPERTIES[INTRODUCTION_YEAR]),20)</f>
        <v>1940</v>
      </c>
      <c r="D129" t="str">
        <f>_xlfn.XLOOKUP($A129,PROPERTIES[VEHIDCODE],PROPERTIES[ROLE])</f>
        <v>Heavy Freight</v>
      </c>
      <c r="E129" s="35" t="str">
        <f>_xlfn.XLOOKUP($A129,PROPERTIES[VEHIDCODE],PROPERTIES[REGION1])</f>
        <v>OCEANIA</v>
      </c>
      <c r="F129" s="35" t="str">
        <f>_xlfn.XLOOKUP($A129,PROPERTIES[VEHIDCODE],PROPERTIES[REGION2])</f>
        <v>NO_REGION</v>
      </c>
      <c r="G129" s="35" t="str">
        <f t="shared" si="7"/>
        <v>OCEANIA_NO_REGION</v>
      </c>
      <c r="H129" t="b">
        <f t="shared" si="8"/>
        <v>0</v>
      </c>
      <c r="I129" t="b">
        <f t="shared" si="9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0"/>
        <v>0</v>
      </c>
      <c r="N129" t="b">
        <f t="shared" si="11"/>
        <v>0</v>
      </c>
      <c r="O129" t="b">
        <f t="shared" si="11"/>
        <v>0</v>
      </c>
      <c r="P129" t="b">
        <f t="shared" si="12"/>
        <v>1</v>
      </c>
    </row>
    <row r="130" spans="1:16">
      <c r="A130" t="str">
        <v>steam_Germany_DB_9977_79</v>
      </c>
      <c r="B130" t="b" cm="1">
        <f t="array" ref="B130">_xlfn.XLOOKUP(A130,CONTROL[VEHIDCODE],PROPERTIES[EXCLUDE])</f>
        <v>0</v>
      </c>
      <c r="C130">
        <f>FLOOR(_xlfn.XLOOKUP($A130,PROPERTIES[VEHIDCODE],PROPERTIES[INTRODUCTION_YEAR]),20)</f>
        <v>1940</v>
      </c>
      <c r="D130" t="str">
        <f>_xlfn.XLOOKUP($A130,PROPERTIES[VEHIDCODE],PROPERTIES[ROLE])</f>
        <v>Shunting</v>
      </c>
      <c r="E130" s="35" t="str">
        <f>_xlfn.XLOOKUP($A130,PROPERTIES[VEHIDCODE],PROPERTIES[REGION1])</f>
        <v>WESTERN_EUROPE</v>
      </c>
      <c r="F130" s="35" t="str">
        <f>_xlfn.XLOOKUP($A130,PROPERTIES[VEHIDCODE],PROPERTIES[REGION2])</f>
        <v>NO_REGION</v>
      </c>
      <c r="G130" s="35" t="str">
        <f t="shared" si="7"/>
        <v>WESTERN_EUROPE_NO_REGION</v>
      </c>
      <c r="H130" t="b">
        <f t="shared" si="8"/>
        <v>0</v>
      </c>
      <c r="I130" t="b">
        <f t="shared" si="9"/>
        <v>0</v>
      </c>
      <c r="J130" t="b">
        <f t="shared" si="10"/>
        <v>0</v>
      </c>
      <c r="K130" t="b">
        <f t="shared" si="10"/>
        <v>0</v>
      </c>
      <c r="L130" t="b">
        <f t="shared" si="10"/>
        <v>1</v>
      </c>
      <c r="M130" t="b">
        <f t="shared" ref="K130:M193" si="13">OR(ISNUMBER(SEARCH("ALL_REGION",$G130)),
ISNUMBER(SEARCH("ALL_EUROPE",$G130)),
ISNUMBER(SEARCH(M$1,$G130)),
ISNUMBER(SEARCH("REGIONTYPE1",$G130)))</f>
        <v>0</v>
      </c>
      <c r="N130" t="b">
        <f t="shared" si="11"/>
        <v>0</v>
      </c>
      <c r="O130" t="b">
        <f t="shared" si="11"/>
        <v>0</v>
      </c>
      <c r="P130" t="b">
        <f t="shared" si="12"/>
        <v>0</v>
      </c>
    </row>
    <row r="131" spans="1:16">
      <c r="A131" t="str">
        <v>steam_Germany_DB_18_201</v>
      </c>
      <c r="B131" t="b" cm="1">
        <f t="array" ref="B131">_xlfn.XLOOKUP(A131,CONTROL[VEHIDCODE],PROPERTIES[EXCLUDE])</f>
        <v>0</v>
      </c>
      <c r="C131">
        <f>FLOOR(_xlfn.XLOOKUP($A131,PROPERTIES[VEHIDCODE],PROPERTIES[INTRODUCTION_YEAR]),20)</f>
        <v>1960</v>
      </c>
      <c r="D131" t="str">
        <f>_xlfn.XLOOKUP($A131,PROPERTIES[VEHIDCODE],PROPERTIES[ROLE])</f>
        <v>Express</v>
      </c>
      <c r="E131" s="35" t="str">
        <f>_xlfn.XLOOKUP($A131,PROPERTIES[VEHIDCODE],PROPERTIES[REGION1])</f>
        <v>WESTERN_EUROPE</v>
      </c>
      <c r="F131" s="35" t="str">
        <f>_xlfn.XLOOKUP($A131,PROPERTIES[VEHIDCODE],PROPERTIES[REGION2])</f>
        <v>NO_REGION</v>
      </c>
      <c r="G131" s="35" t="str">
        <f t="shared" ref="G131:G194" si="14">_xlfn.CONCAT($E131,"_",$F131)</f>
        <v>WESTERN_EUROPE_NO_REGION</v>
      </c>
      <c r="H131" t="b">
        <f t="shared" ref="H131:H194" si="15">OR(ISNUMBER(SEARCH("ALL_REGION",$G131)),
ISNUMBER(SEARCH("AFRICA",$G131)),
ISNUMBER(SEARCH("REGIONTYPE1",$G131)),
ISNUMBER(SEARCH("REGIONTYPE2",$G131)))</f>
        <v>0</v>
      </c>
      <c r="I131" t="b">
        <f t="shared" ref="I131:I194" si="16">OR(ISNUMBER(SEARCH("ALL_REGION",$G131)),
ISNUMBER(SEARCH("ASIA",$G131)),
ISNUMBER(SEARCH("REGIONTYPE1",$G131)),
ISNUMBER(SEARCH("REGIONTYPE2",$G131)),
ISNUMBER(SEARCH("REGIONTYPE3",$G131)))</f>
        <v>0</v>
      </c>
      <c r="J131" t="b">
        <f t="shared" ref="J131:M194" si="17">OR(ISNUMBER(SEARCH("ALL_REGION",$G131)),
ISNUMBER(SEARCH("ALL_EUROPE",$G131)),
ISNUMBER(SEARCH(J$1,$G131)),
ISNUMBER(SEARCH("REGIONTYPE1",$G131)))</f>
        <v>0</v>
      </c>
      <c r="K131" t="b">
        <f t="shared" si="13"/>
        <v>0</v>
      </c>
      <c r="L131" t="b">
        <f t="shared" si="13"/>
        <v>1</v>
      </c>
      <c r="M131" t="b">
        <f t="shared" si="13"/>
        <v>0</v>
      </c>
      <c r="N131" t="b">
        <f t="shared" ref="N131:O194" si="18">OR(ISNUMBER(SEARCH("ALL_REGION",$G131)),
ISNUMBER(SEARCH("ALL_AMERICA",$G131)),
ISNUMBER(SEARCH(N$1,$G131)),
ISNUMBER(SEARCH("REGIONTYPE2",$G131)))</f>
        <v>0</v>
      </c>
      <c r="O131" t="b">
        <f t="shared" si="18"/>
        <v>0</v>
      </c>
      <c r="P131" t="b">
        <f t="shared" ref="P131:P194" si="19">OR(ISNUMBER(SEARCH("ALL_REGION",$G131)),
ISNUMBER(SEARCH(P$1,$G131)),
ISNUMBER(SEARCH("REGIONTYPE3",$G131)))</f>
        <v>0</v>
      </c>
    </row>
    <row r="132" spans="1:16">
      <c r="A132" t="str">
        <v>steam_New_Zealand_NZR_WAB</v>
      </c>
      <c r="B132" t="b" cm="1">
        <f t="array" ref="B132">_xlfn.XLOOKUP(A132,CONTROL[VEHIDCODE],PROPERTIES[EXCLUDE])</f>
        <v>0</v>
      </c>
      <c r="C132">
        <f>FLOOR(_xlfn.XLOOKUP($A132,PROPERTIES[VEHIDCODE],PROPERTIES[INTRODUCTION_YEAR]),20)</f>
        <v>1920</v>
      </c>
      <c r="D132" t="str">
        <f>_xlfn.XLOOKUP($A132,PROPERTIES[VEHIDCODE],PROPERTIES[ROLE])</f>
        <v>Universal</v>
      </c>
      <c r="E132" s="35" t="str">
        <f>_xlfn.XLOOKUP($A132,PROPERTIES[VEHIDCODE],PROPERTIES[REGION1])</f>
        <v>OCEANIA</v>
      </c>
      <c r="F132" s="35" t="str">
        <f>_xlfn.XLOOKUP($A132,PROPERTIES[VEHIDCODE],PROPERTIES[REGION2])</f>
        <v>NO_REGION</v>
      </c>
      <c r="G132" s="35" t="str">
        <f t="shared" si="14"/>
        <v>OCEANIA_NO_REGION</v>
      </c>
      <c r="H132" t="b">
        <f t="shared" si="15"/>
        <v>0</v>
      </c>
      <c r="I132" t="b">
        <f t="shared" si="16"/>
        <v>0</v>
      </c>
      <c r="J132" t="b">
        <f t="shared" si="17"/>
        <v>0</v>
      </c>
      <c r="K132" t="b">
        <f t="shared" si="13"/>
        <v>0</v>
      </c>
      <c r="L132" t="b">
        <f t="shared" si="13"/>
        <v>0</v>
      </c>
      <c r="M132" t="b">
        <f t="shared" si="13"/>
        <v>0</v>
      </c>
      <c r="N132" t="b">
        <f t="shared" si="18"/>
        <v>0</v>
      </c>
      <c r="O132" t="b">
        <f t="shared" si="18"/>
        <v>0</v>
      </c>
      <c r="P132" t="b">
        <f t="shared" si="19"/>
        <v>1</v>
      </c>
    </row>
    <row r="133" spans="1:16">
      <c r="A133" t="str">
        <v>steam_Australia_NSWGR_D57</v>
      </c>
      <c r="B133" t="b" cm="1">
        <f t="array" ref="B133">_xlfn.XLOOKUP(A133,CONTROL[VEHIDCODE],PROPERTIES[EXCLUDE])</f>
        <v>0</v>
      </c>
      <c r="C133">
        <f>FLOOR(_xlfn.XLOOKUP($A133,PROPERTIES[VEHIDCODE],PROPERTIES[INTRODUCTION_YEAR]),20)</f>
        <v>1920</v>
      </c>
      <c r="D133" t="str">
        <f>_xlfn.XLOOKUP($A133,PROPERTIES[VEHIDCODE],PROPERTIES[ROLE])</f>
        <v>Heavy Freight</v>
      </c>
      <c r="E133" s="35" t="str">
        <f>_xlfn.XLOOKUP($A133,PROPERTIES[VEHIDCODE],PROPERTIES[REGION1])</f>
        <v>OCEANIA</v>
      </c>
      <c r="F133" s="35" t="str">
        <f>_xlfn.XLOOKUP($A133,PROPERTIES[VEHIDCODE],PROPERTIES[REGION2])</f>
        <v>NO_REGION</v>
      </c>
      <c r="G133" s="35" t="str">
        <f t="shared" si="14"/>
        <v>OCEANIA_NO_REGION</v>
      </c>
      <c r="H133" t="b">
        <f t="shared" si="15"/>
        <v>0</v>
      </c>
      <c r="I133" t="b">
        <f t="shared" si="16"/>
        <v>0</v>
      </c>
      <c r="J133" t="b">
        <f t="shared" si="17"/>
        <v>0</v>
      </c>
      <c r="K133" t="b">
        <f t="shared" si="13"/>
        <v>0</v>
      </c>
      <c r="L133" t="b">
        <f t="shared" si="13"/>
        <v>0</v>
      </c>
      <c r="M133" t="b">
        <f t="shared" si="13"/>
        <v>0</v>
      </c>
      <c r="N133" t="b">
        <f t="shared" si="18"/>
        <v>0</v>
      </c>
      <c r="O133" t="b">
        <f t="shared" si="18"/>
        <v>0</v>
      </c>
      <c r="P133" t="b">
        <f t="shared" si="19"/>
        <v>1</v>
      </c>
    </row>
    <row r="134" spans="1:16">
      <c r="A134" t="str">
        <v>steam_Australia_South_Australian_Railways_520</v>
      </c>
      <c r="B134" t="b" cm="1">
        <f t="array" ref="B134">_xlfn.XLOOKUP(A134,CONTROL[VEHIDCODE],PROPERTIES[EXCLUDE])</f>
        <v>0</v>
      </c>
      <c r="C134">
        <f>FLOOR(_xlfn.XLOOKUP($A134,PROPERTIES[VEHIDCODE],PROPERTIES[INTRODUCTION_YEAR]),20)</f>
        <v>1940</v>
      </c>
      <c r="D134" t="str">
        <f>_xlfn.XLOOKUP($A134,PROPERTIES[VEHIDCODE],PROPERTIES[ROLE])</f>
        <v>Heavy Freight</v>
      </c>
      <c r="E134" s="35" t="str">
        <f>_xlfn.XLOOKUP($A134,PROPERTIES[VEHIDCODE],PROPERTIES[REGION1])</f>
        <v>OCEANIA</v>
      </c>
      <c r="F134" s="35" t="str">
        <f>_xlfn.XLOOKUP($A134,PROPERTIES[VEHIDCODE],PROPERTIES[REGION2])</f>
        <v>NO_REGION</v>
      </c>
      <c r="G134" s="35" t="str">
        <f t="shared" si="14"/>
        <v>OCEANIA_NO_REGION</v>
      </c>
      <c r="H134" t="b">
        <f t="shared" si="15"/>
        <v>0</v>
      </c>
      <c r="I134" t="b">
        <f t="shared" si="16"/>
        <v>0</v>
      </c>
      <c r="J134" t="b">
        <f t="shared" si="17"/>
        <v>0</v>
      </c>
      <c r="K134" t="b">
        <f t="shared" si="13"/>
        <v>0</v>
      </c>
      <c r="L134" t="b">
        <f t="shared" si="13"/>
        <v>0</v>
      </c>
      <c r="M134" t="b">
        <f t="shared" si="13"/>
        <v>0</v>
      </c>
      <c r="N134" t="b">
        <f t="shared" si="18"/>
        <v>0</v>
      </c>
      <c r="O134" t="b">
        <f t="shared" si="18"/>
        <v>0</v>
      </c>
      <c r="P134" t="b">
        <f t="shared" si="19"/>
        <v>1</v>
      </c>
    </row>
    <row r="135" spans="1:16">
      <c r="A135" t="str">
        <v>steam_Australia_NSWGR_AD60</v>
      </c>
      <c r="B135" t="b" cm="1">
        <f t="array" ref="B135">_xlfn.XLOOKUP(A135,CONTROL[VEHIDCODE],PROPERTIES[EXCLUDE])</f>
        <v>0</v>
      </c>
      <c r="C135">
        <f>FLOOR(_xlfn.XLOOKUP($A135,PROPERTIES[VEHIDCODE],PROPERTIES[INTRODUCTION_YEAR]),20)</f>
        <v>1940</v>
      </c>
      <c r="D135" t="str">
        <f>_xlfn.XLOOKUP($A135,PROPERTIES[VEHIDCODE],PROPERTIES[ROLE])</f>
        <v>Heavy Freight</v>
      </c>
      <c r="E135" s="35" t="str">
        <f>_xlfn.XLOOKUP($A135,PROPERTIES[VEHIDCODE],PROPERTIES[REGION1])</f>
        <v>OCEANIA</v>
      </c>
      <c r="F135" s="35" t="str">
        <f>_xlfn.XLOOKUP($A135,PROPERTIES[VEHIDCODE],PROPERTIES[REGION2])</f>
        <v>NO_REGION</v>
      </c>
      <c r="G135" s="35" t="str">
        <f t="shared" si="14"/>
        <v>OCEANIA_NO_REGION</v>
      </c>
      <c r="H135" t="b">
        <f t="shared" si="15"/>
        <v>0</v>
      </c>
      <c r="I135" t="b">
        <f t="shared" si="16"/>
        <v>0</v>
      </c>
      <c r="J135" t="b">
        <f t="shared" si="17"/>
        <v>0</v>
      </c>
      <c r="K135" t="b">
        <f t="shared" si="13"/>
        <v>0</v>
      </c>
      <c r="L135" t="b">
        <f t="shared" si="13"/>
        <v>0</v>
      </c>
      <c r="M135" t="b">
        <f t="shared" si="13"/>
        <v>0</v>
      </c>
      <c r="N135" t="b">
        <f t="shared" si="18"/>
        <v>0</v>
      </c>
      <c r="O135" t="b">
        <f t="shared" si="18"/>
        <v>0</v>
      </c>
      <c r="P135" t="b">
        <f t="shared" si="19"/>
        <v>1</v>
      </c>
    </row>
    <row r="136" spans="1:16">
      <c r="A136" t="str">
        <v>steam_Uruguay_AFE_N1_2_6_0</v>
      </c>
      <c r="B136" t="b" cm="1">
        <f t="array" ref="B136">_xlfn.XLOOKUP(A136,CONTROL[VEHIDCODE],PROPERTIES[EXCLUDE])</f>
        <v>0</v>
      </c>
      <c r="C136">
        <f>FLOOR(_xlfn.XLOOKUP($A136,PROPERTIES[VEHIDCODE],PROPERTIES[INTRODUCTION_YEAR]),20)</f>
        <v>1900</v>
      </c>
      <c r="D136" t="str">
        <f>_xlfn.XLOOKUP($A136,PROPERTIES[VEHIDCODE],PROPERTIES[ROLE])</f>
        <v>Universal</v>
      </c>
      <c r="E136" s="35" t="str">
        <f>_xlfn.XLOOKUP($A136,PROPERTIES[VEHIDCODE],PROPERTIES[REGION1])</f>
        <v>SOUTH_AMERICA</v>
      </c>
      <c r="F136" s="35" t="str">
        <f>_xlfn.XLOOKUP($A136,PROPERTIES[VEHIDCODE],PROPERTIES[REGION2])</f>
        <v>NO_REGION</v>
      </c>
      <c r="G136" s="35" t="str">
        <f t="shared" si="14"/>
        <v>SOUTH_AMERICA_NO_REGION</v>
      </c>
      <c r="H136" t="b">
        <f t="shared" si="15"/>
        <v>0</v>
      </c>
      <c r="I136" t="b">
        <f t="shared" si="16"/>
        <v>0</v>
      </c>
      <c r="J136" t="b">
        <f t="shared" si="17"/>
        <v>0</v>
      </c>
      <c r="K136" t="b">
        <f t="shared" si="13"/>
        <v>0</v>
      </c>
      <c r="L136" t="b">
        <f t="shared" si="13"/>
        <v>0</v>
      </c>
      <c r="M136" t="b">
        <f t="shared" si="13"/>
        <v>0</v>
      </c>
      <c r="N136" t="b">
        <f t="shared" si="18"/>
        <v>0</v>
      </c>
      <c r="O136" t="b">
        <f t="shared" si="18"/>
        <v>1</v>
      </c>
      <c r="P136" t="b">
        <f t="shared" si="19"/>
        <v>0</v>
      </c>
    </row>
    <row r="137" spans="1:16">
      <c r="A137" t="str">
        <v>steam_Argentina_FCCA_PS11</v>
      </c>
      <c r="B137" t="b" cm="1">
        <f t="array" ref="B137">_xlfn.XLOOKUP(A137,CONTROL[VEHIDCODE],PROPERTIES[EXCLUDE])</f>
        <v>0</v>
      </c>
      <c r="C137">
        <f>FLOOR(_xlfn.XLOOKUP($A137,PROPERTIES[VEHIDCODE],PROPERTIES[INTRODUCTION_YEAR]),20)</f>
        <v>1920</v>
      </c>
      <c r="D137" t="str">
        <f>_xlfn.XLOOKUP($A137,PROPERTIES[VEHIDCODE],PROPERTIES[ROLE])</f>
        <v>Express</v>
      </c>
      <c r="E137" s="35" t="str">
        <f>_xlfn.XLOOKUP($A137,PROPERTIES[VEHIDCODE],PROPERTIES[REGION1])</f>
        <v>SOUTH_AMERICA</v>
      </c>
      <c r="F137" s="35" t="str">
        <f>_xlfn.XLOOKUP($A137,PROPERTIES[VEHIDCODE],PROPERTIES[REGION2])</f>
        <v>NO_REGION</v>
      </c>
      <c r="G137" s="35" t="str">
        <f t="shared" si="14"/>
        <v>SOUTH_AMERICA_NO_REGION</v>
      </c>
      <c r="H137" t="b">
        <f t="shared" si="15"/>
        <v>0</v>
      </c>
      <c r="I137" t="b">
        <f t="shared" si="16"/>
        <v>0</v>
      </c>
      <c r="J137" t="b">
        <f t="shared" si="17"/>
        <v>0</v>
      </c>
      <c r="K137" t="b">
        <f t="shared" si="13"/>
        <v>0</v>
      </c>
      <c r="L137" t="b">
        <f t="shared" si="13"/>
        <v>0</v>
      </c>
      <c r="M137" t="b">
        <f t="shared" si="13"/>
        <v>0</v>
      </c>
      <c r="N137" t="b">
        <f t="shared" si="18"/>
        <v>0</v>
      </c>
      <c r="O137" t="b">
        <f t="shared" si="18"/>
        <v>1</v>
      </c>
      <c r="P137" t="b">
        <f t="shared" si="19"/>
        <v>0</v>
      </c>
    </row>
    <row r="138" spans="1:16">
      <c r="A138" t="str">
        <v>steam_South_Africa_Harbour_Board_EL_0_4_0</v>
      </c>
      <c r="B138" t="b" cm="1">
        <f t="array" ref="B138">_xlfn.XLOOKUP(A138,CONTROL[VEHIDCODE],PROPERTIES[EXCLUDE])</f>
        <v>0</v>
      </c>
      <c r="C138">
        <f>FLOOR(_xlfn.XLOOKUP($A138,PROPERTIES[VEHIDCODE],PROPERTIES[INTRODUCTION_YEAR]),20)</f>
        <v>1860</v>
      </c>
      <c r="D138" t="str">
        <f>_xlfn.XLOOKUP($A138,PROPERTIES[VEHIDCODE],PROPERTIES[ROLE])</f>
        <v>Shunting</v>
      </c>
      <c r="E138" s="35" t="str">
        <f>_xlfn.XLOOKUP($A138,PROPERTIES[VEHIDCODE],PROPERTIES[REGION1])</f>
        <v>AFRICA</v>
      </c>
      <c r="F138" s="35" t="str">
        <f>_xlfn.XLOOKUP($A138,PROPERTIES[VEHIDCODE],PROPERTIES[REGION2])</f>
        <v>NO_REGION</v>
      </c>
      <c r="G138" s="35" t="str">
        <f t="shared" si="14"/>
        <v>AFRICA_NO_REGION</v>
      </c>
      <c r="H138" t="b">
        <f t="shared" si="15"/>
        <v>1</v>
      </c>
      <c r="I138" t="b">
        <f t="shared" si="16"/>
        <v>0</v>
      </c>
      <c r="J138" t="b">
        <f t="shared" si="17"/>
        <v>0</v>
      </c>
      <c r="K138" t="b">
        <f t="shared" si="13"/>
        <v>0</v>
      </c>
      <c r="L138" t="b">
        <f t="shared" si="13"/>
        <v>0</v>
      </c>
      <c r="M138" t="b">
        <f t="shared" si="13"/>
        <v>0</v>
      </c>
      <c r="N138" t="b">
        <f t="shared" si="18"/>
        <v>0</v>
      </c>
      <c r="O138" t="b">
        <f t="shared" si="18"/>
        <v>0</v>
      </c>
      <c r="P138" t="b">
        <f t="shared" si="19"/>
        <v>0</v>
      </c>
    </row>
    <row r="139" spans="1:16">
      <c r="A139" t="str">
        <v>steam_Mozambique_Beira_Railway_BR6_F2_Falcon</v>
      </c>
      <c r="B139" t="b" cm="1">
        <f t="array" ref="B139">_xlfn.XLOOKUP(A139,CONTROL[VEHIDCODE],PROPERTIES[EXCLUDE])</f>
        <v>0</v>
      </c>
      <c r="C139">
        <f>FLOOR(_xlfn.XLOOKUP($A139,PROPERTIES[VEHIDCODE],PROPERTIES[INTRODUCTION_YEAR]),20)</f>
        <v>1880</v>
      </c>
      <c r="D139" t="str">
        <f>_xlfn.XLOOKUP($A139,PROPERTIES[VEHIDCODE],PROPERTIES[ROLE])</f>
        <v>Shunting</v>
      </c>
      <c r="E139" s="35" t="str">
        <f>_xlfn.XLOOKUP($A139,PROPERTIES[VEHIDCODE],PROPERTIES[REGION1])</f>
        <v>AFRICA</v>
      </c>
      <c r="F139" s="35" t="str">
        <f>_xlfn.XLOOKUP($A139,PROPERTIES[VEHIDCODE],PROPERTIES[REGION2])</f>
        <v>NO_REGION</v>
      </c>
      <c r="G139" s="35" t="str">
        <f t="shared" si="14"/>
        <v>AFRICA_NO_REGION</v>
      </c>
      <c r="H139" t="b">
        <f t="shared" si="15"/>
        <v>1</v>
      </c>
      <c r="I139" t="b">
        <f t="shared" si="16"/>
        <v>0</v>
      </c>
      <c r="J139" t="b">
        <f t="shared" si="17"/>
        <v>0</v>
      </c>
      <c r="K139" t="b">
        <f t="shared" si="13"/>
        <v>0</v>
      </c>
      <c r="L139" t="b">
        <f t="shared" si="13"/>
        <v>0</v>
      </c>
      <c r="M139" t="b">
        <f t="shared" si="13"/>
        <v>0</v>
      </c>
      <c r="N139" t="b">
        <f t="shared" si="18"/>
        <v>0</v>
      </c>
      <c r="O139" t="b">
        <f t="shared" si="18"/>
        <v>0</v>
      </c>
      <c r="P139" t="b">
        <f t="shared" si="19"/>
        <v>0</v>
      </c>
    </row>
    <row r="140" spans="1:16">
      <c r="A140" t="str">
        <v>steam_Eritrea_Eritrean_Railway_R440</v>
      </c>
      <c r="B140" t="b" cm="1">
        <f t="array" ref="B140">_xlfn.XLOOKUP(A140,CONTROL[VEHIDCODE],PROPERTIES[EXCLUDE])</f>
        <v>0</v>
      </c>
      <c r="C140">
        <f>FLOOR(_xlfn.XLOOKUP($A140,PROPERTIES[VEHIDCODE],PROPERTIES[INTRODUCTION_YEAR]),20)</f>
        <v>1900</v>
      </c>
      <c r="D140" t="str">
        <f>_xlfn.XLOOKUP($A140,PROPERTIES[VEHIDCODE],PROPERTIES[ROLE])</f>
        <v>Shunting</v>
      </c>
      <c r="E140" s="35" t="str">
        <f>_xlfn.XLOOKUP($A140,PROPERTIES[VEHIDCODE],PROPERTIES[REGION1])</f>
        <v>AFRICA</v>
      </c>
      <c r="F140" s="35" t="str">
        <f>_xlfn.XLOOKUP($A140,PROPERTIES[VEHIDCODE],PROPERTIES[REGION2])</f>
        <v>NO_REGION</v>
      </c>
      <c r="G140" s="35" t="str">
        <f t="shared" si="14"/>
        <v>AFRICA_NO_REGION</v>
      </c>
      <c r="H140" t="b">
        <f t="shared" si="15"/>
        <v>1</v>
      </c>
      <c r="I140" t="b">
        <f t="shared" si="16"/>
        <v>0</v>
      </c>
      <c r="J140" t="b">
        <f t="shared" si="17"/>
        <v>0</v>
      </c>
      <c r="K140" t="b">
        <f t="shared" si="13"/>
        <v>0</v>
      </c>
      <c r="L140" t="b">
        <f t="shared" si="13"/>
        <v>0</v>
      </c>
      <c r="M140" t="b">
        <f t="shared" si="13"/>
        <v>0</v>
      </c>
      <c r="N140" t="b">
        <f t="shared" si="18"/>
        <v>0</v>
      </c>
      <c r="O140" t="b">
        <f t="shared" si="18"/>
        <v>0</v>
      </c>
      <c r="P140" t="b">
        <f t="shared" si="19"/>
        <v>0</v>
      </c>
    </row>
    <row r="141" spans="1:16">
      <c r="A141" t="str">
        <v>steam_Kenya_East_African_Railway_23</v>
      </c>
      <c r="B141" t="b" cm="1">
        <f t="array" ref="B141">_xlfn.XLOOKUP(A141,CONTROL[VEHIDCODE],PROPERTIES[EXCLUDE])</f>
        <v>0</v>
      </c>
      <c r="C141">
        <f>FLOOR(_xlfn.XLOOKUP($A141,PROPERTIES[VEHIDCODE],PROPERTIES[INTRODUCTION_YEAR]),20)</f>
        <v>1920</v>
      </c>
      <c r="D141" t="str">
        <f>_xlfn.XLOOKUP($A141,PROPERTIES[VEHIDCODE],PROPERTIES[ROLE])</f>
        <v>Universal</v>
      </c>
      <c r="E141" s="35" t="str">
        <f>_xlfn.XLOOKUP($A141,PROPERTIES[VEHIDCODE],PROPERTIES[REGION1])</f>
        <v>AFRICA</v>
      </c>
      <c r="F141" s="35" t="str">
        <f>_xlfn.XLOOKUP($A141,PROPERTIES[VEHIDCODE],PROPERTIES[REGION2])</f>
        <v>NO_REGION</v>
      </c>
      <c r="G141" s="35" t="str">
        <f t="shared" si="14"/>
        <v>AFRICA_NO_REGION</v>
      </c>
      <c r="H141" t="b">
        <f t="shared" si="15"/>
        <v>1</v>
      </c>
      <c r="I141" t="b">
        <f t="shared" si="16"/>
        <v>0</v>
      </c>
      <c r="J141" t="b">
        <f t="shared" si="17"/>
        <v>0</v>
      </c>
      <c r="K141" t="b">
        <f t="shared" si="13"/>
        <v>0</v>
      </c>
      <c r="L141" t="b">
        <f t="shared" si="13"/>
        <v>0</v>
      </c>
      <c r="M141" t="b">
        <f t="shared" si="13"/>
        <v>0</v>
      </c>
      <c r="N141" t="b">
        <f t="shared" si="18"/>
        <v>0</v>
      </c>
      <c r="O141" t="b">
        <f t="shared" si="18"/>
        <v>0</v>
      </c>
      <c r="P141" t="b">
        <f t="shared" si="19"/>
        <v>0</v>
      </c>
    </row>
    <row r="142" spans="1:16">
      <c r="A142" t="str">
        <v>steam_Kenya_East_African_Railway_21</v>
      </c>
      <c r="B142" t="b" cm="1">
        <f t="array" ref="B142">_xlfn.XLOOKUP(A142,CONTROL[VEHIDCODE],PROPERTIES[EXCLUDE])</f>
        <v>0</v>
      </c>
      <c r="C142">
        <f>FLOOR(_xlfn.XLOOKUP($A142,PROPERTIES[VEHIDCODE],PROPERTIES[INTRODUCTION_YEAR]),20)</f>
        <v>1920</v>
      </c>
      <c r="D142" t="str">
        <f>_xlfn.XLOOKUP($A142,PROPERTIES[VEHIDCODE],PROPERTIES[ROLE])</f>
        <v>Universal</v>
      </c>
      <c r="E142" s="35" t="str">
        <f>_xlfn.XLOOKUP($A142,PROPERTIES[VEHIDCODE],PROPERTIES[REGION1])</f>
        <v>AFRICA</v>
      </c>
      <c r="F142" s="35" t="str">
        <f>_xlfn.XLOOKUP($A142,PROPERTIES[VEHIDCODE],PROPERTIES[REGION2])</f>
        <v>NO_REGION</v>
      </c>
      <c r="G142" s="35" t="str">
        <f t="shared" si="14"/>
        <v>AFRICA_NO_REGION</v>
      </c>
      <c r="H142" t="b">
        <f t="shared" si="15"/>
        <v>1</v>
      </c>
      <c r="I142" t="b">
        <f t="shared" si="16"/>
        <v>0</v>
      </c>
      <c r="J142" t="b">
        <f t="shared" si="17"/>
        <v>0</v>
      </c>
      <c r="K142" t="b">
        <f t="shared" si="13"/>
        <v>0</v>
      </c>
      <c r="L142" t="b">
        <f t="shared" si="13"/>
        <v>0</v>
      </c>
      <c r="M142" t="b">
        <f t="shared" si="13"/>
        <v>0</v>
      </c>
      <c r="N142" t="b">
        <f t="shared" si="18"/>
        <v>0</v>
      </c>
      <c r="O142" t="b">
        <f t="shared" si="18"/>
        <v>0</v>
      </c>
      <c r="P142" t="b">
        <f t="shared" si="19"/>
        <v>0</v>
      </c>
    </row>
    <row r="143" spans="1:16">
      <c r="A143" t="str">
        <v>steam_Zimbabwe_Zimbabwe_Railways_15</v>
      </c>
      <c r="B143" t="b" cm="1">
        <f t="array" ref="B143">_xlfn.XLOOKUP(A143,CONTROL[VEHIDCODE],PROPERTIES[EXCLUDE])</f>
        <v>0</v>
      </c>
      <c r="C143">
        <f>FLOOR(_xlfn.XLOOKUP($A143,PROPERTIES[VEHIDCODE],PROPERTIES[INTRODUCTION_YEAR]),20)</f>
        <v>1940</v>
      </c>
      <c r="D143" t="str">
        <f>_xlfn.XLOOKUP($A143,PROPERTIES[VEHIDCODE],PROPERTIES[ROLE])</f>
        <v>Heavy Freight</v>
      </c>
      <c r="E143" s="35" t="str">
        <f>_xlfn.XLOOKUP($A143,PROPERTIES[VEHIDCODE],PROPERTIES[REGION1])</f>
        <v>AFRICA</v>
      </c>
      <c r="F143" s="35" t="str">
        <f>_xlfn.XLOOKUP($A143,PROPERTIES[VEHIDCODE],PROPERTIES[REGION2])</f>
        <v>NO_REGION</v>
      </c>
      <c r="G143" s="35" t="str">
        <f t="shared" si="14"/>
        <v>AFRICA_NO_REGION</v>
      </c>
      <c r="H143" t="b">
        <f t="shared" si="15"/>
        <v>1</v>
      </c>
      <c r="I143" t="b">
        <f t="shared" si="16"/>
        <v>0</v>
      </c>
      <c r="J143" t="b">
        <f t="shared" si="17"/>
        <v>0</v>
      </c>
      <c r="K143" t="b">
        <f t="shared" si="13"/>
        <v>0</v>
      </c>
      <c r="L143" t="b">
        <f t="shared" si="13"/>
        <v>0</v>
      </c>
      <c r="M143" t="b">
        <f t="shared" si="13"/>
        <v>0</v>
      </c>
      <c r="N143" t="b">
        <f t="shared" si="18"/>
        <v>0</v>
      </c>
      <c r="O143" t="b">
        <f t="shared" si="18"/>
        <v>0</v>
      </c>
      <c r="P143" t="b">
        <f t="shared" si="19"/>
        <v>0</v>
      </c>
    </row>
    <row r="144" spans="1:16">
      <c r="A144" t="str">
        <v>steam_South_Africa_SAR_GMA_4_8_2_2_8_4</v>
      </c>
      <c r="B144" t="b" cm="1">
        <f t="array" ref="B144">_xlfn.XLOOKUP(A144,CONTROL[VEHIDCODE],PROPERTIES[EXCLUDE])</f>
        <v>0</v>
      </c>
      <c r="C144">
        <f>FLOOR(_xlfn.XLOOKUP($A144,PROPERTIES[VEHIDCODE],PROPERTIES[INTRODUCTION_YEAR]),20)</f>
        <v>1940</v>
      </c>
      <c r="D144" t="str">
        <f>_xlfn.XLOOKUP($A144,PROPERTIES[VEHIDCODE],PROPERTIES[ROLE])</f>
        <v>Heavy Freight</v>
      </c>
      <c r="E144" s="35" t="str">
        <f>_xlfn.XLOOKUP($A144,PROPERTIES[VEHIDCODE],PROPERTIES[REGION1])</f>
        <v>AFRICA</v>
      </c>
      <c r="F144" s="35" t="str">
        <f>_xlfn.XLOOKUP($A144,PROPERTIES[VEHIDCODE],PROPERTIES[REGION2])</f>
        <v>NO_REGION</v>
      </c>
      <c r="G144" s="35" t="str">
        <f t="shared" si="14"/>
        <v>AFRICA_NO_REGION</v>
      </c>
      <c r="H144" t="b">
        <f t="shared" si="15"/>
        <v>1</v>
      </c>
      <c r="I144" t="b">
        <f t="shared" si="16"/>
        <v>0</v>
      </c>
      <c r="J144" t="b">
        <f t="shared" si="17"/>
        <v>0</v>
      </c>
      <c r="K144" t="b">
        <f t="shared" si="13"/>
        <v>0</v>
      </c>
      <c r="L144" t="b">
        <f t="shared" si="13"/>
        <v>0</v>
      </c>
      <c r="M144" t="b">
        <f t="shared" si="13"/>
        <v>0</v>
      </c>
      <c r="N144" t="b">
        <f t="shared" si="18"/>
        <v>0</v>
      </c>
      <c r="O144" t="b">
        <f t="shared" si="18"/>
        <v>0</v>
      </c>
      <c r="P144" t="b">
        <f t="shared" si="19"/>
        <v>0</v>
      </c>
    </row>
    <row r="145" spans="1:16">
      <c r="A145" t="str">
        <v>steam_Kenya_East_African_Railway_31</v>
      </c>
      <c r="B145" t="b" cm="1">
        <f t="array" ref="B145">_xlfn.XLOOKUP(A145,CONTROL[VEHIDCODE],PROPERTIES[EXCLUDE])</f>
        <v>0</v>
      </c>
      <c r="C145">
        <f>FLOOR(_xlfn.XLOOKUP($A145,PROPERTIES[VEHIDCODE],PROPERTIES[INTRODUCTION_YEAR]),20)</f>
        <v>1940</v>
      </c>
      <c r="D145" t="str">
        <f>_xlfn.XLOOKUP($A145,PROPERTIES[VEHIDCODE],PROPERTIES[ROLE])</f>
        <v>Universal</v>
      </c>
      <c r="E145" s="35" t="str">
        <f>_xlfn.XLOOKUP($A145,PROPERTIES[VEHIDCODE],PROPERTIES[REGION1])</f>
        <v>AFRICA</v>
      </c>
      <c r="F145" s="35" t="str">
        <f>_xlfn.XLOOKUP($A145,PROPERTIES[VEHIDCODE],PROPERTIES[REGION2])</f>
        <v>NO_REGION</v>
      </c>
      <c r="G145" s="35" t="str">
        <f t="shared" si="14"/>
        <v>AFRICA_NO_REGION</v>
      </c>
      <c r="H145" t="b">
        <f t="shared" si="15"/>
        <v>1</v>
      </c>
      <c r="I145" t="b">
        <f t="shared" si="16"/>
        <v>0</v>
      </c>
      <c r="J145" t="b">
        <f t="shared" si="17"/>
        <v>0</v>
      </c>
      <c r="K145" t="b">
        <f t="shared" si="13"/>
        <v>0</v>
      </c>
      <c r="L145" t="b">
        <f t="shared" si="13"/>
        <v>0</v>
      </c>
      <c r="M145" t="b">
        <f t="shared" si="13"/>
        <v>0</v>
      </c>
      <c r="N145" t="b">
        <f t="shared" si="18"/>
        <v>0</v>
      </c>
      <c r="O145" t="b">
        <f t="shared" si="18"/>
        <v>0</v>
      </c>
      <c r="P145" t="b">
        <f t="shared" si="19"/>
        <v>0</v>
      </c>
    </row>
    <row r="146" spans="1:16">
      <c r="A146" t="str">
        <v>steam_India_Fairy_Queen</v>
      </c>
      <c r="B146" t="b" cm="1">
        <f t="array" ref="B146">_xlfn.XLOOKUP(A146,CONTROL[VEHIDCODE],PROPERTIES[EXCLUDE])</f>
        <v>0</v>
      </c>
      <c r="C146">
        <f>FLOOR(_xlfn.XLOOKUP($A146,PROPERTIES[VEHIDCODE],PROPERTIES[INTRODUCTION_YEAR]),20)</f>
        <v>1840</v>
      </c>
      <c r="D146" t="str">
        <f>_xlfn.XLOOKUP($A146,PROPERTIES[VEHIDCODE],PROPERTIES[ROLE])</f>
        <v>Shunting</v>
      </c>
      <c r="E146" s="35" t="str">
        <f>_xlfn.XLOOKUP($A146,PROPERTIES[VEHIDCODE],PROPERTIES[REGION1])</f>
        <v>ASIA</v>
      </c>
      <c r="F146" s="35" t="str">
        <f>_xlfn.XLOOKUP($A146,PROPERTIES[VEHIDCODE],PROPERTIES[REGION2])</f>
        <v>NO_REGION</v>
      </c>
      <c r="G146" s="35" t="str">
        <f t="shared" si="14"/>
        <v>ASIA_NO_REGION</v>
      </c>
      <c r="H146" t="b">
        <f t="shared" si="15"/>
        <v>0</v>
      </c>
      <c r="I146" t="b">
        <f t="shared" si="16"/>
        <v>1</v>
      </c>
      <c r="J146" t="b">
        <f t="shared" si="17"/>
        <v>0</v>
      </c>
      <c r="K146" t="b">
        <f t="shared" si="13"/>
        <v>0</v>
      </c>
      <c r="L146" t="b">
        <f t="shared" si="13"/>
        <v>0</v>
      </c>
      <c r="M146" t="b">
        <f t="shared" si="13"/>
        <v>0</v>
      </c>
      <c r="N146" t="b">
        <f t="shared" si="18"/>
        <v>0</v>
      </c>
      <c r="O146" t="b">
        <f t="shared" si="18"/>
        <v>0</v>
      </c>
      <c r="P146" t="b">
        <f t="shared" si="19"/>
        <v>0</v>
      </c>
    </row>
    <row r="147" spans="1:16">
      <c r="A147" t="str">
        <v>steam_India_DHR_B</v>
      </c>
      <c r="B147" t="b" cm="1">
        <f t="array" ref="B147">_xlfn.XLOOKUP(A147,CONTROL[VEHIDCODE],PROPERTIES[EXCLUDE])</f>
        <v>0</v>
      </c>
      <c r="C147">
        <f>FLOOR(_xlfn.XLOOKUP($A147,PROPERTIES[VEHIDCODE],PROPERTIES[INTRODUCTION_YEAR]),20)</f>
        <v>1880</v>
      </c>
      <c r="D147" t="str">
        <f>_xlfn.XLOOKUP($A147,PROPERTIES[VEHIDCODE],PROPERTIES[ROLE])</f>
        <v>Shunting</v>
      </c>
      <c r="E147" s="35" t="str">
        <f>_xlfn.XLOOKUP($A147,PROPERTIES[VEHIDCODE],PROPERTIES[REGION1])</f>
        <v>ASIA</v>
      </c>
      <c r="F147" s="35" t="str">
        <f>_xlfn.XLOOKUP($A147,PROPERTIES[VEHIDCODE],PROPERTIES[REGION2])</f>
        <v>NO_REGION</v>
      </c>
      <c r="G147" s="35" t="str">
        <f t="shared" si="14"/>
        <v>ASIA_NO_REGION</v>
      </c>
      <c r="H147" t="b">
        <f t="shared" si="15"/>
        <v>0</v>
      </c>
      <c r="I147" t="b">
        <f t="shared" si="16"/>
        <v>1</v>
      </c>
      <c r="J147" t="b">
        <f t="shared" si="17"/>
        <v>0</v>
      </c>
      <c r="K147" t="b">
        <f t="shared" si="13"/>
        <v>0</v>
      </c>
      <c r="L147" t="b">
        <f t="shared" si="13"/>
        <v>0</v>
      </c>
      <c r="M147" t="b">
        <f t="shared" si="13"/>
        <v>0</v>
      </c>
      <c r="N147" t="b">
        <f t="shared" si="18"/>
        <v>0</v>
      </c>
      <c r="O147" t="b">
        <f t="shared" si="18"/>
        <v>0</v>
      </c>
      <c r="P147" t="b">
        <f t="shared" si="19"/>
        <v>0</v>
      </c>
    </row>
    <row r="148" spans="1:16">
      <c r="A148" t="str">
        <v>steam_China_China_Railways_H</v>
      </c>
      <c r="B148" t="b" cm="1">
        <f t="array" ref="B148">_xlfn.XLOOKUP(A148,CONTROL[VEHIDCODE],PROPERTIES[EXCLUDE])</f>
        <v>0</v>
      </c>
      <c r="C148">
        <f>FLOOR(_xlfn.XLOOKUP($A148,PROPERTIES[VEHIDCODE],PROPERTIES[INTRODUCTION_YEAR]),20)</f>
        <v>1880</v>
      </c>
      <c r="D148" t="str">
        <f>_xlfn.XLOOKUP($A148,PROPERTIES[VEHIDCODE],PROPERTIES[ROLE])</f>
        <v>Universal</v>
      </c>
      <c r="E148" s="35" t="str">
        <f>_xlfn.XLOOKUP($A148,PROPERTIES[VEHIDCODE],PROPERTIES[REGION1])</f>
        <v>ASIA</v>
      </c>
      <c r="F148" s="35" t="str">
        <f>_xlfn.XLOOKUP($A148,PROPERTIES[VEHIDCODE],PROPERTIES[REGION2])</f>
        <v>NO_REGION</v>
      </c>
      <c r="G148" s="35" t="str">
        <f t="shared" si="14"/>
        <v>ASIA_NO_REGION</v>
      </c>
      <c r="H148" t="b">
        <f t="shared" si="15"/>
        <v>0</v>
      </c>
      <c r="I148" t="b">
        <f t="shared" si="16"/>
        <v>1</v>
      </c>
      <c r="J148" t="b">
        <f t="shared" si="17"/>
        <v>0</v>
      </c>
      <c r="K148" t="b">
        <f t="shared" si="13"/>
        <v>0</v>
      </c>
      <c r="L148" t="b">
        <f t="shared" si="13"/>
        <v>0</v>
      </c>
      <c r="M148" t="b">
        <f t="shared" si="13"/>
        <v>0</v>
      </c>
      <c r="N148" t="b">
        <f t="shared" si="18"/>
        <v>0</v>
      </c>
      <c r="O148" t="b">
        <f t="shared" si="18"/>
        <v>0</v>
      </c>
      <c r="P148" t="b">
        <f t="shared" si="19"/>
        <v>0</v>
      </c>
    </row>
    <row r="149" spans="1:16">
      <c r="A149" t="str">
        <v>steam_Russia_RZD_U</v>
      </c>
      <c r="B149" t="b" cm="1">
        <f t="array" ref="B149">_xlfn.XLOOKUP(A149,CONTROL[VEHIDCODE],PROPERTIES[EXCLUDE])</f>
        <v>0</v>
      </c>
      <c r="C149">
        <f>FLOOR(_xlfn.XLOOKUP($A149,PROPERTIES[VEHIDCODE],PROPERTIES[INTRODUCTION_YEAR]),20)</f>
        <v>1900</v>
      </c>
      <c r="D149" t="str">
        <f>_xlfn.XLOOKUP($A149,PROPERTIES[VEHIDCODE],PROPERTIES[ROLE])</f>
        <v>Universal</v>
      </c>
      <c r="E149" s="35" t="str">
        <f>_xlfn.XLOOKUP($A149,PROPERTIES[VEHIDCODE],PROPERTIES[REGION1])</f>
        <v>ASIA</v>
      </c>
      <c r="F149" s="35" t="str">
        <f>_xlfn.XLOOKUP($A149,PROPERTIES[VEHIDCODE],PROPERTIES[REGION2])</f>
        <v>NO_REGION</v>
      </c>
      <c r="G149" s="35" t="str">
        <f t="shared" si="14"/>
        <v>ASIA_NO_REGION</v>
      </c>
      <c r="H149" t="b">
        <f t="shared" si="15"/>
        <v>0</v>
      </c>
      <c r="I149" t="b">
        <f t="shared" si="16"/>
        <v>1</v>
      </c>
      <c r="J149" t="b">
        <f t="shared" si="17"/>
        <v>0</v>
      </c>
      <c r="K149" t="b">
        <f t="shared" si="13"/>
        <v>0</v>
      </c>
      <c r="L149" t="b">
        <f t="shared" si="13"/>
        <v>0</v>
      </c>
      <c r="M149" t="b">
        <f t="shared" si="13"/>
        <v>0</v>
      </c>
      <c r="N149" t="b">
        <f t="shared" si="18"/>
        <v>0</v>
      </c>
      <c r="O149" t="b">
        <f t="shared" si="18"/>
        <v>0</v>
      </c>
      <c r="P149" t="b">
        <f t="shared" si="19"/>
        <v>0</v>
      </c>
    </row>
    <row r="150" spans="1:16">
      <c r="A150" t="str">
        <v>steam_Russia_RZD_E</v>
      </c>
      <c r="B150" t="b" cm="1">
        <f t="array" ref="B150">_xlfn.XLOOKUP(A150,CONTROL[VEHIDCODE],PROPERTIES[EXCLUDE])</f>
        <v>0</v>
      </c>
      <c r="C150">
        <f>FLOOR(_xlfn.XLOOKUP($A150,PROPERTIES[VEHIDCODE],PROPERTIES[INTRODUCTION_YEAR]),20)</f>
        <v>1900</v>
      </c>
      <c r="D150" t="str">
        <f>_xlfn.XLOOKUP($A150,PROPERTIES[VEHIDCODE],PROPERTIES[ROLE])</f>
        <v>Heavy Freight</v>
      </c>
      <c r="E150" s="35" t="str">
        <f>_xlfn.XLOOKUP($A150,PROPERTIES[VEHIDCODE],PROPERTIES[REGION1])</f>
        <v>ASIA</v>
      </c>
      <c r="F150" s="35" t="str">
        <f>_xlfn.XLOOKUP($A150,PROPERTIES[VEHIDCODE],PROPERTIES[REGION2])</f>
        <v>NO_REGION</v>
      </c>
      <c r="G150" s="35" t="str">
        <f t="shared" si="14"/>
        <v>ASIA_NO_REGION</v>
      </c>
      <c r="H150" t="b">
        <f t="shared" si="15"/>
        <v>0</v>
      </c>
      <c r="I150" t="b">
        <f t="shared" si="16"/>
        <v>1</v>
      </c>
      <c r="J150" t="b">
        <f t="shared" si="17"/>
        <v>0</v>
      </c>
      <c r="K150" t="b">
        <f t="shared" si="13"/>
        <v>0</v>
      </c>
      <c r="L150" t="b">
        <f t="shared" si="13"/>
        <v>0</v>
      </c>
      <c r="M150" t="b">
        <f t="shared" si="13"/>
        <v>0</v>
      </c>
      <c r="N150" t="b">
        <f t="shared" si="18"/>
        <v>0</v>
      </c>
      <c r="O150" t="b">
        <f t="shared" si="18"/>
        <v>0</v>
      </c>
      <c r="P150" t="b">
        <f t="shared" si="19"/>
        <v>0</v>
      </c>
    </row>
    <row r="151" spans="1:16">
      <c r="A151" t="str">
        <v>steam_Israel_Israel_Railways_H</v>
      </c>
      <c r="B151" t="b" cm="1">
        <f t="array" ref="B151">_xlfn.XLOOKUP(A151,CONTROL[VEHIDCODE],PROPERTIES[EXCLUDE])</f>
        <v>0</v>
      </c>
      <c r="C151">
        <f>FLOOR(_xlfn.XLOOKUP($A151,PROPERTIES[VEHIDCODE],PROPERTIES[INTRODUCTION_YEAR]),20)</f>
        <v>1900</v>
      </c>
      <c r="D151" t="str">
        <f>_xlfn.XLOOKUP($A151,PROPERTIES[VEHIDCODE],PROPERTIES[ROLE])</f>
        <v>Universal</v>
      </c>
      <c r="E151" s="35" t="str">
        <f>_xlfn.XLOOKUP($A151,PROPERTIES[VEHIDCODE],PROPERTIES[REGION1])</f>
        <v>ASIA</v>
      </c>
      <c r="F151" s="35" t="str">
        <f>_xlfn.XLOOKUP($A151,PROPERTIES[VEHIDCODE],PROPERTIES[REGION2])</f>
        <v>NO_REGION</v>
      </c>
      <c r="G151" s="35" t="str">
        <f t="shared" si="14"/>
        <v>ASIA_NO_REGION</v>
      </c>
      <c r="H151" t="b">
        <f t="shared" si="15"/>
        <v>0</v>
      </c>
      <c r="I151" t="b">
        <f t="shared" si="16"/>
        <v>1</v>
      </c>
      <c r="J151" t="b">
        <f t="shared" si="17"/>
        <v>0</v>
      </c>
      <c r="K151" t="b">
        <f t="shared" si="13"/>
        <v>0</v>
      </c>
      <c r="L151" t="b">
        <f t="shared" si="13"/>
        <v>0</v>
      </c>
      <c r="M151" t="b">
        <f t="shared" si="13"/>
        <v>0</v>
      </c>
      <c r="N151" t="b">
        <f t="shared" si="18"/>
        <v>0</v>
      </c>
      <c r="O151" t="b">
        <f t="shared" si="18"/>
        <v>0</v>
      </c>
      <c r="P151" t="b">
        <f t="shared" si="19"/>
        <v>0</v>
      </c>
    </row>
    <row r="152" spans="1:16">
      <c r="A152" t="str">
        <v>steam_Italy_FS_480</v>
      </c>
      <c r="B152" t="b" cm="1">
        <f t="array" ref="B152">_xlfn.XLOOKUP(A152,CONTROL[VEHIDCODE],PROPERTIES[EXCLUDE])</f>
        <v>0</v>
      </c>
      <c r="C152">
        <f>FLOOR(_xlfn.XLOOKUP($A152,PROPERTIES[VEHIDCODE],PROPERTIES[INTRODUCTION_YEAR]),20)</f>
        <v>1920</v>
      </c>
      <c r="D152" t="str">
        <f>_xlfn.XLOOKUP($A152,PROPERTIES[VEHIDCODE],PROPERTIES[ROLE])</f>
        <v>Universal</v>
      </c>
      <c r="E152" s="35" t="str">
        <f>_xlfn.XLOOKUP($A152,PROPERTIES[VEHIDCODE],PROPERTIES[REGION1])</f>
        <v>SOUTHERN_EUROPE</v>
      </c>
      <c r="F152" s="35" t="str">
        <f>_xlfn.XLOOKUP($A152,PROPERTIES[VEHIDCODE],PROPERTIES[REGION2])</f>
        <v>NO_REGION</v>
      </c>
      <c r="G152" s="35" t="str">
        <f t="shared" si="14"/>
        <v>SOUTHERN_EUROPE_NO_REGION</v>
      </c>
      <c r="H152" t="b">
        <f t="shared" si="15"/>
        <v>0</v>
      </c>
      <c r="I152" t="b">
        <f t="shared" si="16"/>
        <v>0</v>
      </c>
      <c r="J152" t="b">
        <f t="shared" si="17"/>
        <v>1</v>
      </c>
      <c r="K152" t="b">
        <f t="shared" si="13"/>
        <v>0</v>
      </c>
      <c r="L152" t="b">
        <f t="shared" si="13"/>
        <v>0</v>
      </c>
      <c r="M152" t="b">
        <f t="shared" si="13"/>
        <v>0</v>
      </c>
      <c r="N152" t="b">
        <f t="shared" si="18"/>
        <v>0</v>
      </c>
      <c r="O152" t="b">
        <f t="shared" si="18"/>
        <v>0</v>
      </c>
      <c r="P152" t="b">
        <f t="shared" si="19"/>
        <v>0</v>
      </c>
    </row>
    <row r="153" spans="1:16">
      <c r="A153" t="str">
        <v>steam_Italy_FS_691</v>
      </c>
      <c r="B153" t="b" cm="1">
        <f t="array" ref="B153">_xlfn.XLOOKUP(A153,CONTROL[VEHIDCODE],PROPERTIES[EXCLUDE])</f>
        <v>0</v>
      </c>
      <c r="C153">
        <f>FLOOR(_xlfn.XLOOKUP($A153,PROPERTIES[VEHIDCODE],PROPERTIES[INTRODUCTION_YEAR]),20)</f>
        <v>1920</v>
      </c>
      <c r="D153" t="str">
        <f>_xlfn.XLOOKUP($A153,PROPERTIES[VEHIDCODE],PROPERTIES[ROLE])</f>
        <v>Heavy Freight</v>
      </c>
      <c r="E153" s="35" t="str">
        <f>_xlfn.XLOOKUP($A153,PROPERTIES[VEHIDCODE],PROPERTIES[REGION1])</f>
        <v>SOUTHERN_EUROPE</v>
      </c>
      <c r="F153" s="35" t="str">
        <f>_xlfn.XLOOKUP($A153,PROPERTIES[VEHIDCODE],PROPERTIES[REGION2])</f>
        <v>NO_REGION</v>
      </c>
      <c r="G153" s="35" t="str">
        <f t="shared" si="14"/>
        <v>SOUTHERN_EUROPE_NO_REGION</v>
      </c>
      <c r="H153" t="b">
        <f t="shared" si="15"/>
        <v>0</v>
      </c>
      <c r="I153" t="b">
        <f t="shared" si="16"/>
        <v>0</v>
      </c>
      <c r="J153" t="b">
        <f t="shared" si="17"/>
        <v>1</v>
      </c>
      <c r="K153" t="b">
        <f t="shared" si="13"/>
        <v>0</v>
      </c>
      <c r="L153" t="b">
        <f t="shared" si="13"/>
        <v>0</v>
      </c>
      <c r="M153" t="b">
        <f t="shared" si="13"/>
        <v>0</v>
      </c>
      <c r="N153" t="b">
        <f t="shared" si="18"/>
        <v>0</v>
      </c>
      <c r="O153" t="b">
        <f t="shared" si="18"/>
        <v>0</v>
      </c>
      <c r="P153" t="b">
        <f t="shared" si="19"/>
        <v>0</v>
      </c>
    </row>
    <row r="154" spans="1:16">
      <c r="A154" t="str">
        <v>steam_Greece_SEK_Lb</v>
      </c>
      <c r="B154" t="b" cm="1">
        <f t="array" ref="B154">_xlfn.XLOOKUP(A154,CONTROL[VEHIDCODE],PROPERTIES[EXCLUDE])</f>
        <v>0</v>
      </c>
      <c r="C154">
        <f>FLOOR(_xlfn.XLOOKUP($A154,PROPERTIES[VEHIDCODE],PROPERTIES[INTRODUCTION_YEAR]),20)</f>
        <v>1940</v>
      </c>
      <c r="D154" t="str">
        <f>_xlfn.XLOOKUP($A154,PROPERTIES[VEHIDCODE],PROPERTIES[ROLE])</f>
        <v>Universal</v>
      </c>
      <c r="E154" s="35" t="str">
        <f>_xlfn.XLOOKUP($A154,PROPERTIES[VEHIDCODE],PROPERTIES[REGION1])</f>
        <v>SOUTHERN_EUROPE</v>
      </c>
      <c r="F154" s="35" t="str">
        <f>_xlfn.XLOOKUP($A154,PROPERTIES[VEHIDCODE],PROPERTIES[REGION2])</f>
        <v>NO_REGION</v>
      </c>
      <c r="G154" s="35" t="str">
        <f t="shared" si="14"/>
        <v>SOUTHERN_EUROPE_NO_REGION</v>
      </c>
      <c r="H154" t="b">
        <f t="shared" si="15"/>
        <v>0</v>
      </c>
      <c r="I154" t="b">
        <f t="shared" si="16"/>
        <v>0</v>
      </c>
      <c r="J154" t="b">
        <f t="shared" si="17"/>
        <v>1</v>
      </c>
      <c r="K154" t="b">
        <f t="shared" si="13"/>
        <v>0</v>
      </c>
      <c r="L154" t="b">
        <f t="shared" si="13"/>
        <v>0</v>
      </c>
      <c r="M154" t="b">
        <f t="shared" si="13"/>
        <v>0</v>
      </c>
      <c r="N154" t="b">
        <f t="shared" si="18"/>
        <v>0</v>
      </c>
      <c r="O154" t="b">
        <f t="shared" si="18"/>
        <v>0</v>
      </c>
      <c r="P154" t="b">
        <f t="shared" si="19"/>
        <v>0</v>
      </c>
    </row>
    <row r="155" spans="1:16">
      <c r="A155" t="str">
        <v>steam_Albania_HSH_01</v>
      </c>
      <c r="B155" t="b" cm="1">
        <f t="array" ref="B155">_xlfn.XLOOKUP(A155,CONTROL[VEHIDCODE],PROPERTIES[EXCLUDE])</f>
        <v>0</v>
      </c>
      <c r="C155">
        <f>FLOOR(_xlfn.XLOOKUP($A155,PROPERTIES[VEHIDCODE],PROPERTIES[INTRODUCTION_YEAR]),20)</f>
        <v>1940</v>
      </c>
      <c r="D155" t="str">
        <f>_xlfn.XLOOKUP($A155,PROPERTIES[VEHIDCODE],PROPERTIES[ROLE])</f>
        <v>Universal</v>
      </c>
      <c r="E155" s="35" t="str">
        <f>_xlfn.XLOOKUP($A155,PROPERTIES[VEHIDCODE],PROPERTIES[REGION1])</f>
        <v>SOUTHERN_EUROPE</v>
      </c>
      <c r="F155" s="35" t="str">
        <f>_xlfn.XLOOKUP($A155,PROPERTIES[VEHIDCODE],PROPERTIES[REGION2])</f>
        <v>NO_REGION</v>
      </c>
      <c r="G155" s="35" t="str">
        <f t="shared" si="14"/>
        <v>SOUTHERN_EUROPE_NO_REGION</v>
      </c>
      <c r="H155" t="b">
        <f t="shared" si="15"/>
        <v>0</v>
      </c>
      <c r="I155" t="b">
        <f t="shared" si="16"/>
        <v>0</v>
      </c>
      <c r="J155" t="b">
        <f t="shared" si="17"/>
        <v>1</v>
      </c>
      <c r="K155" t="b">
        <f t="shared" si="13"/>
        <v>0</v>
      </c>
      <c r="L155" t="b">
        <f t="shared" si="13"/>
        <v>0</v>
      </c>
      <c r="M155" t="b">
        <f t="shared" si="13"/>
        <v>0</v>
      </c>
      <c r="N155" t="b">
        <f t="shared" si="18"/>
        <v>0</v>
      </c>
      <c r="O155" t="b">
        <f t="shared" si="18"/>
        <v>0</v>
      </c>
      <c r="P155" t="b">
        <f t="shared" si="19"/>
        <v>0</v>
      </c>
    </row>
    <row r="156" spans="1:16">
      <c r="A156" t="str">
        <v>steam_Spain_RENFE_242F</v>
      </c>
      <c r="B156" t="b" cm="1">
        <f t="array" ref="B156">_xlfn.XLOOKUP(A156,CONTROL[VEHIDCODE],PROPERTIES[EXCLUDE])</f>
        <v>0</v>
      </c>
      <c r="C156">
        <f>FLOOR(_xlfn.XLOOKUP($A156,PROPERTIES[VEHIDCODE],PROPERTIES[INTRODUCTION_YEAR]),20)</f>
        <v>1940</v>
      </c>
      <c r="D156" t="str">
        <f>_xlfn.XLOOKUP($A156,PROPERTIES[VEHIDCODE],PROPERTIES[ROLE])</f>
        <v>Heavy Freight</v>
      </c>
      <c r="E156" s="35" t="str">
        <f>_xlfn.XLOOKUP($A156,PROPERTIES[VEHIDCODE],PROPERTIES[REGION1])</f>
        <v>SOUTHERN_EUROPE</v>
      </c>
      <c r="F156" s="35" t="str">
        <f>_xlfn.XLOOKUP($A156,PROPERTIES[VEHIDCODE],PROPERTIES[REGION2])</f>
        <v>NO_REGION</v>
      </c>
      <c r="G156" s="35" t="str">
        <f t="shared" si="14"/>
        <v>SOUTHERN_EUROPE_NO_REGION</v>
      </c>
      <c r="H156" t="b">
        <f t="shared" si="15"/>
        <v>0</v>
      </c>
      <c r="I156" t="b">
        <f t="shared" si="16"/>
        <v>0</v>
      </c>
      <c r="J156" t="b">
        <f t="shared" si="17"/>
        <v>1</v>
      </c>
      <c r="K156" t="b">
        <f t="shared" si="13"/>
        <v>0</v>
      </c>
      <c r="L156" t="b">
        <f t="shared" si="13"/>
        <v>0</v>
      </c>
      <c r="M156" t="b">
        <f t="shared" si="13"/>
        <v>0</v>
      </c>
      <c r="N156" t="b">
        <f t="shared" si="18"/>
        <v>0</v>
      </c>
      <c r="O156" t="b">
        <f t="shared" si="18"/>
        <v>0</v>
      </c>
      <c r="P156" t="b">
        <f t="shared" si="19"/>
        <v>0</v>
      </c>
    </row>
    <row r="157" spans="1:16">
      <c r="A157" t="str">
        <v>steam_Czech_Republic_CD_5341</v>
      </c>
      <c r="B157" t="b" cm="1">
        <f t="array" ref="B157">_xlfn.XLOOKUP(A157,CONTROL[VEHIDCODE],PROPERTIES[EXCLUDE])</f>
        <v>0</v>
      </c>
      <c r="C157">
        <f>FLOOR(_xlfn.XLOOKUP($A157,PROPERTIES[VEHIDCODE],PROPERTIES[INTRODUCTION_YEAR]),20)</f>
        <v>1900</v>
      </c>
      <c r="D157" t="str">
        <f>_xlfn.XLOOKUP($A157,PROPERTIES[VEHIDCODE],PROPERTIES[ROLE])</f>
        <v>Universal</v>
      </c>
      <c r="E157" s="35" t="str">
        <f>_xlfn.XLOOKUP($A157,PROPERTIES[VEHIDCODE],PROPERTIES[REGION1])</f>
        <v>EASTERN_EUROPE</v>
      </c>
      <c r="F157" s="35" t="str">
        <f>_xlfn.XLOOKUP($A157,PROPERTIES[VEHIDCODE],PROPERTIES[REGION2])</f>
        <v>NO_REGION</v>
      </c>
      <c r="G157" s="35" t="str">
        <f t="shared" si="14"/>
        <v>EASTERN_EUROPE_NO_REGION</v>
      </c>
      <c r="H157" t="b">
        <f t="shared" si="15"/>
        <v>0</v>
      </c>
      <c r="I157" t="b">
        <f t="shared" si="16"/>
        <v>0</v>
      </c>
      <c r="J157" t="b">
        <f t="shared" si="17"/>
        <v>0</v>
      </c>
      <c r="K157" t="b">
        <f t="shared" si="13"/>
        <v>1</v>
      </c>
      <c r="L157" t="b">
        <f t="shared" si="13"/>
        <v>0</v>
      </c>
      <c r="M157" t="b">
        <f t="shared" si="13"/>
        <v>0</v>
      </c>
      <c r="N157" t="b">
        <f t="shared" si="18"/>
        <v>0</v>
      </c>
      <c r="O157" t="b">
        <f t="shared" si="18"/>
        <v>0</v>
      </c>
      <c r="P157" t="b">
        <f t="shared" si="19"/>
        <v>0</v>
      </c>
    </row>
    <row r="158" spans="1:16">
      <c r="A158" t="str">
        <v>steam_Poland_PKP_Ok22</v>
      </c>
      <c r="B158" t="b" cm="1">
        <f t="array" ref="B158">_xlfn.XLOOKUP(A158,CONTROL[VEHIDCODE],PROPERTIES[EXCLUDE])</f>
        <v>0</v>
      </c>
      <c r="C158">
        <f>FLOOR(_xlfn.XLOOKUP($A158,PROPERTIES[VEHIDCODE],PROPERTIES[INTRODUCTION_YEAR]),20)</f>
        <v>1920</v>
      </c>
      <c r="D158" t="str">
        <f>_xlfn.XLOOKUP($A158,PROPERTIES[VEHIDCODE],PROPERTIES[ROLE])</f>
        <v>Universal</v>
      </c>
      <c r="E158" s="35" t="str">
        <f>_xlfn.XLOOKUP($A158,PROPERTIES[VEHIDCODE],PROPERTIES[REGION1])</f>
        <v>EASTERN_EUROPE</v>
      </c>
      <c r="F158" s="35" t="str">
        <f>_xlfn.XLOOKUP($A158,PROPERTIES[VEHIDCODE],PROPERTIES[REGION2])</f>
        <v>NO_REGION</v>
      </c>
      <c r="G158" s="35" t="str">
        <f t="shared" si="14"/>
        <v>EASTERN_EUROPE_NO_REGION</v>
      </c>
      <c r="H158" t="b">
        <f t="shared" si="15"/>
        <v>0</v>
      </c>
      <c r="I158" t="b">
        <f t="shared" si="16"/>
        <v>0</v>
      </c>
      <c r="J158" t="b">
        <f t="shared" si="17"/>
        <v>0</v>
      </c>
      <c r="K158" t="b">
        <f t="shared" si="13"/>
        <v>1</v>
      </c>
      <c r="L158" t="b">
        <f t="shared" si="13"/>
        <v>0</v>
      </c>
      <c r="M158" t="b">
        <f t="shared" si="13"/>
        <v>0</v>
      </c>
      <c r="N158" t="b">
        <f t="shared" si="18"/>
        <v>0</v>
      </c>
      <c r="O158" t="b">
        <f t="shared" si="18"/>
        <v>0</v>
      </c>
      <c r="P158" t="b">
        <f t="shared" si="19"/>
        <v>0</v>
      </c>
    </row>
    <row r="159" spans="1:16">
      <c r="A159" t="str">
        <v>steam_Croatia_HZ_11</v>
      </c>
      <c r="B159" t="b" cm="1">
        <f t="array" ref="B159">_xlfn.XLOOKUP(A159,CONTROL[VEHIDCODE],PROPERTIES[EXCLUDE])</f>
        <v>0</v>
      </c>
      <c r="C159">
        <f>FLOOR(_xlfn.XLOOKUP($A159,PROPERTIES[VEHIDCODE],PROPERTIES[INTRODUCTION_YEAR]),20)</f>
        <v>1920</v>
      </c>
      <c r="D159" t="str">
        <f>_xlfn.XLOOKUP($A159,PROPERTIES[VEHIDCODE],PROPERTIES[ROLE])</f>
        <v>Heavy Freight</v>
      </c>
      <c r="E159" s="35" t="str">
        <f>_xlfn.XLOOKUP($A159,PROPERTIES[VEHIDCODE],PROPERTIES[REGION1])</f>
        <v>EASTERN_EUROPE</v>
      </c>
      <c r="F159" s="35" t="str">
        <f>_xlfn.XLOOKUP($A159,PROPERTIES[VEHIDCODE],PROPERTIES[REGION2])</f>
        <v>NO_REGION</v>
      </c>
      <c r="G159" s="35" t="str">
        <f t="shared" si="14"/>
        <v>EASTERN_EUROPE_NO_REGION</v>
      </c>
      <c r="H159" t="b">
        <f t="shared" si="15"/>
        <v>0</v>
      </c>
      <c r="I159" t="b">
        <f t="shared" si="16"/>
        <v>0</v>
      </c>
      <c r="J159" t="b">
        <f t="shared" si="17"/>
        <v>0</v>
      </c>
      <c r="K159" t="b">
        <f t="shared" si="13"/>
        <v>1</v>
      </c>
      <c r="L159" t="b">
        <f t="shared" si="13"/>
        <v>0</v>
      </c>
      <c r="M159" t="b">
        <f t="shared" si="13"/>
        <v>0</v>
      </c>
      <c r="N159" t="b">
        <f t="shared" si="18"/>
        <v>0</v>
      </c>
      <c r="O159" t="b">
        <f t="shared" si="18"/>
        <v>0</v>
      </c>
      <c r="P159" t="b">
        <f t="shared" si="19"/>
        <v>0</v>
      </c>
    </row>
    <row r="160" spans="1:16">
      <c r="A160" t="str">
        <v>steam_Hungary_MAV_242</v>
      </c>
      <c r="B160" t="b" cm="1">
        <f t="array" ref="B160">_xlfn.XLOOKUP(A160,CONTROL[VEHIDCODE],PROPERTIES[EXCLUDE])</f>
        <v>0</v>
      </c>
      <c r="C160">
        <f>FLOOR(_xlfn.XLOOKUP($A160,PROPERTIES[VEHIDCODE],PROPERTIES[INTRODUCTION_YEAR]),20)</f>
        <v>1920</v>
      </c>
      <c r="D160" t="str">
        <f>_xlfn.XLOOKUP($A160,PROPERTIES[VEHIDCODE],PROPERTIES[ROLE])</f>
        <v>Express</v>
      </c>
      <c r="E160" s="35" t="str">
        <f>_xlfn.XLOOKUP($A160,PROPERTIES[VEHIDCODE],PROPERTIES[REGION1])</f>
        <v>EASTERN_EUROPE</v>
      </c>
      <c r="F160" s="35" t="str">
        <f>_xlfn.XLOOKUP($A160,PROPERTIES[VEHIDCODE],PROPERTIES[REGION2])</f>
        <v>NO_REGION</v>
      </c>
      <c r="G160" s="35" t="str">
        <f t="shared" si="14"/>
        <v>EASTERN_EUROPE_NO_REGION</v>
      </c>
      <c r="H160" t="b">
        <f t="shared" si="15"/>
        <v>0</v>
      </c>
      <c r="I160" t="b">
        <f t="shared" si="16"/>
        <v>0</v>
      </c>
      <c r="J160" t="b">
        <f t="shared" si="17"/>
        <v>0</v>
      </c>
      <c r="K160" t="b">
        <f t="shared" si="13"/>
        <v>1</v>
      </c>
      <c r="L160" t="b">
        <f t="shared" si="13"/>
        <v>0</v>
      </c>
      <c r="M160" t="b">
        <f t="shared" si="13"/>
        <v>0</v>
      </c>
      <c r="N160" t="b">
        <f t="shared" si="18"/>
        <v>0</v>
      </c>
      <c r="O160" t="b">
        <f t="shared" si="18"/>
        <v>0</v>
      </c>
      <c r="P160" t="b">
        <f t="shared" si="19"/>
        <v>0</v>
      </c>
    </row>
    <row r="161" spans="1:16">
      <c r="A161" t="str">
        <v>steam_Czech_Republic_CD_4590</v>
      </c>
      <c r="B161" t="b" cm="1">
        <f t="array" ref="B161">_xlfn.XLOOKUP(A161,CONTROL[VEHIDCODE],PROPERTIES[EXCLUDE])</f>
        <v>0</v>
      </c>
      <c r="C161">
        <f>FLOOR(_xlfn.XLOOKUP($A161,PROPERTIES[VEHIDCODE],PROPERTIES[INTRODUCTION_YEAR]),20)</f>
        <v>1940</v>
      </c>
      <c r="D161" t="str">
        <f>_xlfn.XLOOKUP($A161,PROPERTIES[VEHIDCODE],PROPERTIES[ROLE])</f>
        <v>Heavy Freight</v>
      </c>
      <c r="E161" s="35" t="str">
        <f>_xlfn.XLOOKUP($A161,PROPERTIES[VEHIDCODE],PROPERTIES[REGION1])</f>
        <v>EASTERN_EUROPE</v>
      </c>
      <c r="F161" s="35" t="str">
        <f>_xlfn.XLOOKUP($A161,PROPERTIES[VEHIDCODE],PROPERTIES[REGION2])</f>
        <v>NO_REGION</v>
      </c>
      <c r="G161" s="35" t="str">
        <f t="shared" si="14"/>
        <v>EASTERN_EUROPE_NO_REGION</v>
      </c>
      <c r="H161" t="b">
        <f t="shared" si="15"/>
        <v>0</v>
      </c>
      <c r="I161" t="b">
        <f t="shared" si="16"/>
        <v>0</v>
      </c>
      <c r="J161" t="b">
        <f t="shared" si="17"/>
        <v>0</v>
      </c>
      <c r="K161" t="b">
        <f t="shared" si="13"/>
        <v>1</v>
      </c>
      <c r="L161" t="b">
        <f t="shared" si="13"/>
        <v>0</v>
      </c>
      <c r="M161" t="b">
        <f t="shared" si="13"/>
        <v>0</v>
      </c>
      <c r="N161" t="b">
        <f t="shared" si="18"/>
        <v>0</v>
      </c>
      <c r="O161" t="b">
        <f t="shared" si="18"/>
        <v>0</v>
      </c>
      <c r="P161" t="b">
        <f t="shared" si="19"/>
        <v>0</v>
      </c>
    </row>
    <row r="162" spans="1:16">
      <c r="A162" t="str">
        <v>steam_Poland_PKP_OI49</v>
      </c>
      <c r="B162" t="b" cm="1">
        <f t="array" ref="B162">_xlfn.XLOOKUP(A162,CONTROL[VEHIDCODE],PROPERTIES[EXCLUDE])</f>
        <v>0</v>
      </c>
      <c r="C162">
        <f>FLOOR(_xlfn.XLOOKUP($A162,PROPERTIES[VEHIDCODE],PROPERTIES[INTRODUCTION_YEAR]),20)</f>
        <v>1940</v>
      </c>
      <c r="D162" t="str">
        <f>_xlfn.XLOOKUP($A162,PROPERTIES[VEHIDCODE],PROPERTIES[ROLE])</f>
        <v>Heavy Freight</v>
      </c>
      <c r="E162" s="35" t="str">
        <f>_xlfn.XLOOKUP($A162,PROPERTIES[VEHIDCODE],PROPERTIES[REGION1])</f>
        <v>EASTERN_EUROPE</v>
      </c>
      <c r="F162" s="35" t="str">
        <f>_xlfn.XLOOKUP($A162,PROPERTIES[VEHIDCODE],PROPERTIES[REGION2])</f>
        <v>NO_REGION</v>
      </c>
      <c r="G162" s="35" t="str">
        <f t="shared" si="14"/>
        <v>EASTERN_EUROPE_NO_REGION</v>
      </c>
      <c r="H162" t="b">
        <f t="shared" si="15"/>
        <v>0</v>
      </c>
      <c r="I162" t="b">
        <f t="shared" si="16"/>
        <v>0</v>
      </c>
      <c r="J162" t="b">
        <f t="shared" si="17"/>
        <v>0</v>
      </c>
      <c r="K162" t="b">
        <f t="shared" si="13"/>
        <v>1</v>
      </c>
      <c r="L162" t="b">
        <f t="shared" si="13"/>
        <v>0</v>
      </c>
      <c r="M162" t="b">
        <f t="shared" si="13"/>
        <v>0</v>
      </c>
      <c r="N162" t="b">
        <f t="shared" si="18"/>
        <v>0</v>
      </c>
      <c r="O162" t="b">
        <f t="shared" si="18"/>
        <v>0</v>
      </c>
      <c r="P162" t="b">
        <f t="shared" si="19"/>
        <v>0</v>
      </c>
    </row>
    <row r="163" spans="1:16">
      <c r="A163" t="str">
        <v>steam_Austria_KKStB_310</v>
      </c>
      <c r="B163" t="b" cm="1">
        <f t="array" ref="B163">_xlfn.XLOOKUP(A163,CONTROL[VEHIDCODE],PROPERTIES[EXCLUDE])</f>
        <v>0</v>
      </c>
      <c r="C163">
        <f>FLOOR(_xlfn.XLOOKUP($A163,PROPERTIES[VEHIDCODE],PROPERTIES[INTRODUCTION_YEAR]),20)</f>
        <v>1900</v>
      </c>
      <c r="D163" t="str">
        <f>_xlfn.XLOOKUP($A163,PROPERTIES[VEHIDCODE],PROPERTIES[ROLE])</f>
        <v>Universal</v>
      </c>
      <c r="E163" s="35" t="str">
        <f>_xlfn.XLOOKUP($A163,PROPERTIES[VEHIDCODE],PROPERTIES[REGION1])</f>
        <v>WESTERN_EUROPE</v>
      </c>
      <c r="F163" s="35" t="str">
        <f>_xlfn.XLOOKUP($A163,PROPERTIES[VEHIDCODE],PROPERTIES[REGION2])</f>
        <v>NO_REGION</v>
      </c>
      <c r="G163" s="35" t="str">
        <f t="shared" si="14"/>
        <v>WESTERN_EUROPE_NO_REGION</v>
      </c>
      <c r="H163" t="b">
        <f t="shared" si="15"/>
        <v>0</v>
      </c>
      <c r="I163" t="b">
        <f t="shared" si="16"/>
        <v>0</v>
      </c>
      <c r="J163" t="b">
        <f t="shared" si="17"/>
        <v>0</v>
      </c>
      <c r="K163" t="b">
        <f t="shared" si="13"/>
        <v>0</v>
      </c>
      <c r="L163" t="b">
        <f t="shared" si="13"/>
        <v>1</v>
      </c>
      <c r="M163" t="b">
        <f t="shared" si="13"/>
        <v>0</v>
      </c>
      <c r="N163" t="b">
        <f t="shared" si="18"/>
        <v>0</v>
      </c>
      <c r="O163" t="b">
        <f t="shared" si="18"/>
        <v>0</v>
      </c>
      <c r="P163" t="b">
        <f t="shared" si="19"/>
        <v>0</v>
      </c>
    </row>
    <row r="164" spans="1:16">
      <c r="A164" t="str">
        <v>steam_USA_Southern_Pacific_GS_4_Daylight</v>
      </c>
      <c r="B164" t="b" cm="1">
        <f t="array" ref="B164">_xlfn.XLOOKUP(A164,CONTROL[VEHIDCODE],PROPERTIES[EXCLUDE])</f>
        <v>0</v>
      </c>
      <c r="C164">
        <f>FLOOR(_xlfn.XLOOKUP($A164,PROPERTIES[VEHIDCODE],PROPERTIES[INTRODUCTION_YEAR]),20)</f>
        <v>1940</v>
      </c>
      <c r="D164" t="str">
        <f>_xlfn.XLOOKUP($A164,PROPERTIES[VEHIDCODE],PROPERTIES[ROLE])</f>
        <v>Express</v>
      </c>
      <c r="E164" s="35" t="str">
        <f>_xlfn.XLOOKUP($A164,PROPERTIES[VEHIDCODE],PROPERTIES[REGION1])</f>
        <v>NORTH_AMERICA</v>
      </c>
      <c r="F164" s="35" t="str">
        <f>_xlfn.XLOOKUP($A164,PROPERTIES[VEHIDCODE],PROPERTIES[REGION2])</f>
        <v>NO_REGION</v>
      </c>
      <c r="G164" s="35" t="str">
        <f t="shared" si="14"/>
        <v>NORTH_AMERICA_NO_REGION</v>
      </c>
      <c r="H164" t="b">
        <f t="shared" si="15"/>
        <v>0</v>
      </c>
      <c r="I164" t="b">
        <f t="shared" si="16"/>
        <v>0</v>
      </c>
      <c r="J164" t="b">
        <f t="shared" si="17"/>
        <v>0</v>
      </c>
      <c r="K164" t="b">
        <f t="shared" si="13"/>
        <v>0</v>
      </c>
      <c r="L164" t="b">
        <f t="shared" si="13"/>
        <v>0</v>
      </c>
      <c r="M164" t="b">
        <f t="shared" si="13"/>
        <v>0</v>
      </c>
      <c r="N164" t="b">
        <f t="shared" si="18"/>
        <v>1</v>
      </c>
      <c r="O164" t="b">
        <f t="shared" si="18"/>
        <v>0</v>
      </c>
      <c r="P164" t="b">
        <f t="shared" si="19"/>
        <v>0</v>
      </c>
    </row>
    <row r="165" spans="1:16">
      <c r="A165" t="str">
        <v>steam_Ireland_GS_WR_101</v>
      </c>
      <c r="B165" t="b" cm="1">
        <f t="array" ref="B165">_xlfn.XLOOKUP(A165,CONTROL[VEHIDCODE],PROPERTIES[EXCLUDE])</f>
        <v>0</v>
      </c>
      <c r="C165">
        <f>FLOOR(_xlfn.XLOOKUP($A165,PROPERTIES[VEHIDCODE],PROPERTIES[INTRODUCTION_YEAR]),20)</f>
        <v>1860</v>
      </c>
      <c r="D165" t="str">
        <f>_xlfn.XLOOKUP($A165,PROPERTIES[VEHIDCODE],PROPERTIES[ROLE])</f>
        <v>Shunting</v>
      </c>
      <c r="E165" s="35" t="str">
        <f>_xlfn.XLOOKUP($A165,PROPERTIES[VEHIDCODE],PROPERTIES[REGION1])</f>
        <v>NORTHERN_EUROPE</v>
      </c>
      <c r="F165" s="35" t="str">
        <f>_xlfn.XLOOKUP($A165,PROPERTIES[VEHIDCODE],PROPERTIES[REGION2])</f>
        <v>NO_REGION</v>
      </c>
      <c r="G165" s="35" t="str">
        <f t="shared" si="14"/>
        <v>NORTHERN_EUROPE_NO_REGION</v>
      </c>
      <c r="H165" t="b">
        <f t="shared" si="15"/>
        <v>0</v>
      </c>
      <c r="I165" t="b">
        <f t="shared" si="16"/>
        <v>0</v>
      </c>
      <c r="J165" t="b">
        <f t="shared" si="17"/>
        <v>0</v>
      </c>
      <c r="K165" t="b">
        <f t="shared" si="13"/>
        <v>0</v>
      </c>
      <c r="L165" t="b">
        <f t="shared" si="13"/>
        <v>0</v>
      </c>
      <c r="M165" t="b">
        <f t="shared" si="13"/>
        <v>1</v>
      </c>
      <c r="N165" t="b">
        <f t="shared" si="18"/>
        <v>0</v>
      </c>
      <c r="O165" t="b">
        <f t="shared" si="18"/>
        <v>0</v>
      </c>
      <c r="P165" t="b">
        <f t="shared" si="19"/>
        <v>0</v>
      </c>
    </row>
    <row r="166" spans="1:16">
      <c r="A166" t="str">
        <v>steam_USA_NYC_H_6A_Light_Mikado</v>
      </c>
      <c r="B166" t="b" cm="1">
        <f t="array" ref="B166">_xlfn.XLOOKUP(A166,CONTROL[VEHIDCODE],PROPERTIES[EXCLUDE])</f>
        <v>0</v>
      </c>
      <c r="C166">
        <f>FLOOR(_xlfn.XLOOKUP($A166,PROPERTIES[VEHIDCODE],PROPERTIES[INTRODUCTION_YEAR]),20)</f>
        <v>1900</v>
      </c>
      <c r="D166" t="str">
        <f>_xlfn.XLOOKUP($A166,PROPERTIES[VEHIDCODE],PROPERTIES[ROLE])</f>
        <v>Heavy Freight</v>
      </c>
      <c r="E166" s="35" t="str">
        <f>_xlfn.XLOOKUP($A166,PROPERTIES[VEHIDCODE],PROPERTIES[REGION1])</f>
        <v>NORTH_AMERICA</v>
      </c>
      <c r="F166" s="35" t="str">
        <f>_xlfn.XLOOKUP($A166,PROPERTIES[VEHIDCODE],PROPERTIES[REGION2])</f>
        <v>NO_REGION</v>
      </c>
      <c r="G166" s="35" t="str">
        <f t="shared" si="14"/>
        <v>NORTH_AMERICA_NO_REGION</v>
      </c>
      <c r="H166" t="b">
        <f t="shared" si="15"/>
        <v>0</v>
      </c>
      <c r="I166" t="b">
        <f t="shared" si="16"/>
        <v>0</v>
      </c>
      <c r="J166" t="b">
        <f t="shared" si="17"/>
        <v>0</v>
      </c>
      <c r="K166" t="b">
        <f t="shared" si="13"/>
        <v>0</v>
      </c>
      <c r="L166" t="b">
        <f t="shared" si="13"/>
        <v>0</v>
      </c>
      <c r="M166" t="b">
        <f t="shared" si="13"/>
        <v>0</v>
      </c>
      <c r="N166" t="b">
        <f t="shared" si="18"/>
        <v>1</v>
      </c>
      <c r="O166" t="b">
        <f t="shared" si="18"/>
        <v>0</v>
      </c>
      <c r="P166" t="b">
        <f t="shared" si="19"/>
        <v>0</v>
      </c>
    </row>
    <row r="167" spans="1:16">
      <c r="A167" t="str">
        <v>steam_Argentina_FCGR_315</v>
      </c>
      <c r="B167" t="b" cm="1">
        <f t="array" ref="B167">_xlfn.XLOOKUP(A167,CONTROL[VEHIDCODE],PROPERTIES[EXCLUDE])</f>
        <v>0</v>
      </c>
      <c r="C167">
        <f>FLOOR(_xlfn.XLOOKUP($A167,PROPERTIES[VEHIDCODE],PROPERTIES[INTRODUCTION_YEAR]),20)</f>
        <v>1860</v>
      </c>
      <c r="D167" t="str">
        <f>_xlfn.XLOOKUP($A167,PROPERTIES[VEHIDCODE],PROPERTIES[ROLE])</f>
        <v>Shunting</v>
      </c>
      <c r="E167" s="35" t="str">
        <f>_xlfn.XLOOKUP($A167,PROPERTIES[VEHIDCODE],PROPERTIES[REGION1])</f>
        <v>SOUTH_AMERICA</v>
      </c>
      <c r="F167" s="35" t="str">
        <f>_xlfn.XLOOKUP($A167,PROPERTIES[VEHIDCODE],PROPERTIES[REGION2])</f>
        <v>NO_REGION</v>
      </c>
      <c r="G167" s="35" t="str">
        <f t="shared" si="14"/>
        <v>SOUTH_AMERICA_NO_REGION</v>
      </c>
      <c r="H167" t="b">
        <f t="shared" si="15"/>
        <v>0</v>
      </c>
      <c r="I167" t="b">
        <f t="shared" si="16"/>
        <v>0</v>
      </c>
      <c r="J167" t="b">
        <f t="shared" si="17"/>
        <v>0</v>
      </c>
      <c r="K167" t="b">
        <f t="shared" si="13"/>
        <v>0</v>
      </c>
      <c r="L167" t="b">
        <f t="shared" si="13"/>
        <v>0</v>
      </c>
      <c r="M167" t="b">
        <f t="shared" si="13"/>
        <v>0</v>
      </c>
      <c r="N167" t="b">
        <f t="shared" si="18"/>
        <v>0</v>
      </c>
      <c r="O167" t="b">
        <f t="shared" si="18"/>
        <v>1</v>
      </c>
      <c r="P167" t="b">
        <f t="shared" si="19"/>
        <v>0</v>
      </c>
    </row>
    <row r="168" spans="1:16">
      <c r="A168" t="str">
        <v>steam_Australia_NSWGR_C35</v>
      </c>
      <c r="B168" t="b" cm="1">
        <f t="array" ref="B168">_xlfn.XLOOKUP(A168,CONTROL[VEHIDCODE],PROPERTIES[EXCLUDE])</f>
        <v>0</v>
      </c>
      <c r="C168">
        <f>FLOOR(_xlfn.XLOOKUP($A168,PROPERTIES[VEHIDCODE],PROPERTIES[INTRODUCTION_YEAR]),20)</f>
        <v>1900</v>
      </c>
      <c r="D168" t="str">
        <f>_xlfn.XLOOKUP($A168,PROPERTIES[VEHIDCODE],PROPERTIES[ROLE])</f>
        <v>Universal</v>
      </c>
      <c r="E168" s="35" t="str">
        <f>_xlfn.XLOOKUP($A168,PROPERTIES[VEHIDCODE],PROPERTIES[REGION1])</f>
        <v>OCEANIA</v>
      </c>
      <c r="F168" s="35" t="str">
        <f>_xlfn.XLOOKUP($A168,PROPERTIES[VEHIDCODE],PROPERTIES[REGION2])</f>
        <v>NO_REGION</v>
      </c>
      <c r="G168" s="35" t="str">
        <f t="shared" si="14"/>
        <v>OCEANIA_NO_REGION</v>
      </c>
      <c r="H168" t="b">
        <f t="shared" si="15"/>
        <v>0</v>
      </c>
      <c r="I168" t="b">
        <f t="shared" si="16"/>
        <v>0</v>
      </c>
      <c r="J168" t="b">
        <f t="shared" si="17"/>
        <v>0</v>
      </c>
      <c r="K168" t="b">
        <f t="shared" si="13"/>
        <v>0</v>
      </c>
      <c r="L168" t="b">
        <f t="shared" si="13"/>
        <v>0</v>
      </c>
      <c r="M168" t="b">
        <f t="shared" si="13"/>
        <v>0</v>
      </c>
      <c r="N168" t="b">
        <f t="shared" si="18"/>
        <v>0</v>
      </c>
      <c r="O168" t="b">
        <f t="shared" si="18"/>
        <v>0</v>
      </c>
      <c r="P168" t="b">
        <f t="shared" si="19"/>
        <v>1</v>
      </c>
    </row>
    <row r="169" spans="1:16">
      <c r="A169" t="str">
        <v>steam_Belgium_NMBS_SNCB_Type_29</v>
      </c>
      <c r="B169" t="b" cm="1">
        <f t="array" ref="B169">_xlfn.XLOOKUP(A169,CONTROL[VEHIDCODE],PROPERTIES[EXCLUDE])</f>
        <v>0</v>
      </c>
      <c r="C169">
        <f>FLOOR(_xlfn.XLOOKUP($A169,PROPERTIES[VEHIDCODE],PROPERTIES[INTRODUCTION_YEAR]),20)</f>
        <v>1940</v>
      </c>
      <c r="D169" t="str">
        <f>_xlfn.XLOOKUP($A169,PROPERTIES[VEHIDCODE],PROPERTIES[ROLE])</f>
        <v>Universal</v>
      </c>
      <c r="E169" s="35" t="str">
        <f>_xlfn.XLOOKUP($A169,PROPERTIES[VEHIDCODE],PROPERTIES[REGION1])</f>
        <v>WESTERN_EUROPE</v>
      </c>
      <c r="F169" s="35" t="str">
        <f>_xlfn.XLOOKUP($A169,PROPERTIES[VEHIDCODE],PROPERTIES[REGION2])</f>
        <v>NO_REGION</v>
      </c>
      <c r="G169" s="35" t="str">
        <f t="shared" si="14"/>
        <v>WESTERN_EUROPE_NO_REGION</v>
      </c>
      <c r="H169" t="b">
        <f t="shared" si="15"/>
        <v>0</v>
      </c>
      <c r="I169" t="b">
        <f t="shared" si="16"/>
        <v>0</v>
      </c>
      <c r="J169" t="b">
        <f t="shared" si="17"/>
        <v>0</v>
      </c>
      <c r="K169" t="b">
        <f t="shared" si="13"/>
        <v>0</v>
      </c>
      <c r="L169" t="b">
        <f t="shared" si="13"/>
        <v>1</v>
      </c>
      <c r="M169" t="b">
        <f t="shared" si="13"/>
        <v>0</v>
      </c>
      <c r="N169" t="b">
        <f t="shared" si="18"/>
        <v>0</v>
      </c>
      <c r="O169" t="b">
        <f t="shared" si="18"/>
        <v>0</v>
      </c>
      <c r="P169" t="b">
        <f t="shared" si="19"/>
        <v>0</v>
      </c>
    </row>
    <row r="170" spans="1:16">
      <c r="A170" t="str">
        <v>steam_Chile_FCAB_4_8_2</v>
      </c>
      <c r="B170" t="b" cm="1">
        <f t="array" ref="B170">_xlfn.XLOOKUP(A170,CONTROL[VEHIDCODE],PROPERTIES[EXCLUDE])</f>
        <v>0</v>
      </c>
      <c r="C170">
        <f>FLOOR(_xlfn.XLOOKUP($A170,PROPERTIES[VEHIDCODE],PROPERTIES[INTRODUCTION_YEAR]),20)</f>
        <v>1940</v>
      </c>
      <c r="D170" t="str">
        <f>_xlfn.XLOOKUP($A170,PROPERTIES[VEHIDCODE],PROPERTIES[ROLE])</f>
        <v>Heavy Freight</v>
      </c>
      <c r="E170" s="35" t="str">
        <f>_xlfn.XLOOKUP($A170,PROPERTIES[VEHIDCODE],PROPERTIES[REGION1])</f>
        <v>SOUTH_AMERICA</v>
      </c>
      <c r="F170" s="35" t="str">
        <f>_xlfn.XLOOKUP($A170,PROPERTIES[VEHIDCODE],PROPERTIES[REGION2])</f>
        <v>NO_REGION</v>
      </c>
      <c r="G170" s="35" t="str">
        <f t="shared" si="14"/>
        <v>SOUTH_AMERICA_NO_REGION</v>
      </c>
      <c r="H170" t="b">
        <f t="shared" si="15"/>
        <v>0</v>
      </c>
      <c r="I170" t="b">
        <f t="shared" si="16"/>
        <v>0</v>
      </c>
      <c r="J170" t="b">
        <f t="shared" si="17"/>
        <v>0</v>
      </c>
      <c r="K170" t="b">
        <f t="shared" si="13"/>
        <v>0</v>
      </c>
      <c r="L170" t="b">
        <f t="shared" si="13"/>
        <v>0</v>
      </c>
      <c r="M170" t="b">
        <f t="shared" si="13"/>
        <v>0</v>
      </c>
      <c r="N170" t="b">
        <f t="shared" si="18"/>
        <v>0</v>
      </c>
      <c r="O170" t="b">
        <f t="shared" si="18"/>
        <v>1</v>
      </c>
      <c r="P170" t="b">
        <f t="shared" si="19"/>
        <v>0</v>
      </c>
    </row>
    <row r="171" spans="1:16">
      <c r="A171" t="str">
        <v>steam_China_Railways_QJ</v>
      </c>
      <c r="B171" t="b" cm="1">
        <f t="array" ref="B171">_xlfn.XLOOKUP(A171,CONTROL[VEHIDCODE],PROPERTIES[EXCLUDE])</f>
        <v>0</v>
      </c>
      <c r="C171">
        <f>FLOOR(_xlfn.XLOOKUP($A171,PROPERTIES[VEHIDCODE],PROPERTIES[INTRODUCTION_YEAR]),20)</f>
        <v>1940</v>
      </c>
      <c r="D171" t="str">
        <f>_xlfn.XLOOKUP($A171,PROPERTIES[VEHIDCODE],PROPERTIES[ROLE])</f>
        <v>Heavy Freight</v>
      </c>
      <c r="E171" s="35" t="str">
        <f>_xlfn.XLOOKUP($A171,PROPERTIES[VEHIDCODE],PROPERTIES[REGION1])</f>
        <v>ASIA</v>
      </c>
      <c r="F171" s="35" t="str">
        <f>_xlfn.XLOOKUP($A171,PROPERTIES[VEHIDCODE],PROPERTIES[REGION2])</f>
        <v>NO_REGION</v>
      </c>
      <c r="G171" s="35" t="str">
        <f t="shared" si="14"/>
        <v>ASIA_NO_REGION</v>
      </c>
      <c r="H171" t="b">
        <f t="shared" si="15"/>
        <v>0</v>
      </c>
      <c r="I171" t="b">
        <f t="shared" si="16"/>
        <v>1</v>
      </c>
      <c r="J171" t="b">
        <f t="shared" si="17"/>
        <v>0</v>
      </c>
      <c r="K171" t="b">
        <f t="shared" si="13"/>
        <v>0</v>
      </c>
      <c r="L171" t="b">
        <f t="shared" si="13"/>
        <v>0</v>
      </c>
      <c r="M171" t="b">
        <f t="shared" si="13"/>
        <v>0</v>
      </c>
      <c r="N171" t="b">
        <f t="shared" si="18"/>
        <v>0</v>
      </c>
      <c r="O171" t="b">
        <f t="shared" si="18"/>
        <v>0</v>
      </c>
      <c r="P171" t="b">
        <f t="shared" si="19"/>
        <v>0</v>
      </c>
    </row>
    <row r="172" spans="1:16">
      <c r="A172" t="str">
        <v>diesel_Germany_DB_Kof_II</v>
      </c>
      <c r="B172" t="b" cm="1">
        <f t="array" ref="B172">_xlfn.XLOOKUP(A172,CONTROL[VEHIDCODE],PROPERTIES[EXCLUDE])</f>
        <v>0</v>
      </c>
      <c r="C172">
        <f>FLOOR(_xlfn.XLOOKUP($A172,PROPERTIES[VEHIDCODE],PROPERTIES[INTRODUCTION_YEAR]),20)</f>
        <v>1920</v>
      </c>
      <c r="D172" t="str">
        <f>_xlfn.XLOOKUP($A172,PROPERTIES[VEHIDCODE],PROPERTIES[ROLE])</f>
        <v>Shunting</v>
      </c>
      <c r="E172" s="35" t="str">
        <f>_xlfn.XLOOKUP($A172,PROPERTIES[VEHIDCODE],PROPERTIES[REGION1])</f>
        <v>WESTERN_EUROPE</v>
      </c>
      <c r="F172" s="35" t="str">
        <f>_xlfn.XLOOKUP($A172,PROPERTIES[VEHIDCODE],PROPERTIES[REGION2])</f>
        <v>NO_REGION</v>
      </c>
      <c r="G172" s="35" t="str">
        <f t="shared" si="14"/>
        <v>WESTERN_EUROPE_NO_REGION</v>
      </c>
      <c r="H172" t="b">
        <f t="shared" si="15"/>
        <v>0</v>
      </c>
      <c r="I172" t="b">
        <f t="shared" si="16"/>
        <v>0</v>
      </c>
      <c r="J172" t="b">
        <f t="shared" si="17"/>
        <v>0</v>
      </c>
      <c r="K172" t="b">
        <f t="shared" si="13"/>
        <v>0</v>
      </c>
      <c r="L172" t="b">
        <f t="shared" si="13"/>
        <v>1</v>
      </c>
      <c r="M172" t="b">
        <f t="shared" si="13"/>
        <v>0</v>
      </c>
      <c r="N172" t="b">
        <f t="shared" si="18"/>
        <v>0</v>
      </c>
      <c r="O172" t="b">
        <f t="shared" si="18"/>
        <v>0</v>
      </c>
      <c r="P172" t="b">
        <f t="shared" si="19"/>
        <v>0</v>
      </c>
    </row>
    <row r="173" spans="1:16">
      <c r="A173" t="str">
        <v>diesel_USA_CNJ_ALCo_GE_IR_Boxcab</v>
      </c>
      <c r="B173" t="b" cm="1">
        <f t="array" ref="B173">_xlfn.XLOOKUP(A173,CONTROL[VEHIDCODE],PROPERTIES[EXCLUDE])</f>
        <v>0</v>
      </c>
      <c r="C173">
        <f>FLOOR(_xlfn.XLOOKUP($A173,PROPERTIES[VEHIDCODE],PROPERTIES[INTRODUCTION_YEAR]),20)</f>
        <v>1920</v>
      </c>
      <c r="D173" t="str">
        <f>_xlfn.XLOOKUP($A173,PROPERTIES[VEHIDCODE],PROPERTIES[ROLE])</f>
        <v>Shunting</v>
      </c>
      <c r="E173" s="35" t="str">
        <f>_xlfn.XLOOKUP($A173,PROPERTIES[VEHIDCODE],PROPERTIES[REGION1])</f>
        <v>NORTH_AMERICA</v>
      </c>
      <c r="F173" s="35" t="str">
        <f>_xlfn.XLOOKUP($A173,PROPERTIES[VEHIDCODE],PROPERTIES[REGION2])</f>
        <v>NO_REGION</v>
      </c>
      <c r="G173" s="35" t="str">
        <f t="shared" si="14"/>
        <v>NORTH_AMERICA_NO_REGION</v>
      </c>
      <c r="H173" t="b">
        <f t="shared" si="15"/>
        <v>0</v>
      </c>
      <c r="I173" t="b">
        <f t="shared" si="16"/>
        <v>0</v>
      </c>
      <c r="J173" t="b">
        <f t="shared" si="17"/>
        <v>0</v>
      </c>
      <c r="K173" t="b">
        <f t="shared" si="13"/>
        <v>0</v>
      </c>
      <c r="L173" t="b">
        <f t="shared" si="13"/>
        <v>0</v>
      </c>
      <c r="M173" t="b">
        <f t="shared" si="13"/>
        <v>0</v>
      </c>
      <c r="N173" t="b">
        <f t="shared" si="18"/>
        <v>1</v>
      </c>
      <c r="O173" t="b">
        <f t="shared" si="18"/>
        <v>0</v>
      </c>
      <c r="P173" t="b">
        <f t="shared" si="19"/>
        <v>0</v>
      </c>
    </row>
    <row r="174" spans="1:16">
      <c r="A174" t="str">
        <v>diesel_Netherlands_NS_200</v>
      </c>
      <c r="B174" t="b" cm="1">
        <f t="array" ref="B174">_xlfn.XLOOKUP(A174,CONTROL[VEHIDCODE],PROPERTIES[EXCLUDE])</f>
        <v>0</v>
      </c>
      <c r="C174">
        <f>FLOOR(_xlfn.XLOOKUP($A174,PROPERTIES[VEHIDCODE],PROPERTIES[INTRODUCTION_YEAR]),20)</f>
        <v>1920</v>
      </c>
      <c r="D174" t="str">
        <f>_xlfn.XLOOKUP($A174,PROPERTIES[VEHIDCODE],PROPERTIES[ROLE])</f>
        <v>Shunting</v>
      </c>
      <c r="E174" s="35" t="str">
        <f>_xlfn.XLOOKUP($A174,PROPERTIES[VEHIDCODE],PROPERTIES[REGION1])</f>
        <v>WESTERN_EUROPE</v>
      </c>
      <c r="F174" s="35" t="str">
        <f>_xlfn.XLOOKUP($A174,PROPERTIES[VEHIDCODE],PROPERTIES[REGION2])</f>
        <v>NO_REGION</v>
      </c>
      <c r="G174" s="35" t="str">
        <f t="shared" si="14"/>
        <v>WESTERN_EUROPE_NO_REGION</v>
      </c>
      <c r="H174" t="b">
        <f t="shared" si="15"/>
        <v>0</v>
      </c>
      <c r="I174" t="b">
        <f t="shared" si="16"/>
        <v>0</v>
      </c>
      <c r="J174" t="b">
        <f t="shared" si="17"/>
        <v>0</v>
      </c>
      <c r="K174" t="b">
        <f t="shared" si="13"/>
        <v>0</v>
      </c>
      <c r="L174" t="b">
        <f t="shared" si="13"/>
        <v>1</v>
      </c>
      <c r="M174" t="b">
        <f t="shared" si="13"/>
        <v>0</v>
      </c>
      <c r="N174" t="b">
        <f t="shared" si="18"/>
        <v>0</v>
      </c>
      <c r="O174" t="b">
        <f t="shared" si="18"/>
        <v>0</v>
      </c>
      <c r="P174" t="b">
        <f t="shared" si="19"/>
        <v>0</v>
      </c>
    </row>
    <row r="175" spans="1:16">
      <c r="A175" t="str">
        <v>diesel_Germany_DB_270</v>
      </c>
      <c r="B175" t="b" cm="1">
        <f t="array" ref="B175">_xlfn.XLOOKUP(A175,CONTROL[VEHIDCODE],PROPERTIES[EXCLUDE])</f>
        <v>0</v>
      </c>
      <c r="C175">
        <f>FLOOR(_xlfn.XLOOKUP($A175,PROPERTIES[VEHIDCODE],PROPERTIES[INTRODUCTION_YEAR]),20)</f>
        <v>1920</v>
      </c>
      <c r="D175" t="str">
        <f>_xlfn.XLOOKUP($A175,PROPERTIES[VEHIDCODE],PROPERTIES[ROLE])</f>
        <v>Shunting</v>
      </c>
      <c r="E175" s="35" t="str">
        <f>_xlfn.XLOOKUP($A175,PROPERTIES[VEHIDCODE],PROPERTIES[REGION1])</f>
        <v>WESTERN_EUROPE</v>
      </c>
      <c r="F175" s="35" t="str">
        <f>_xlfn.XLOOKUP($A175,PROPERTIES[VEHIDCODE],PROPERTIES[REGION2])</f>
        <v>NO_REGION</v>
      </c>
      <c r="G175" s="35" t="str">
        <f t="shared" si="14"/>
        <v>WESTERN_EUROPE_NO_REGION</v>
      </c>
      <c r="H175" t="b">
        <f t="shared" si="15"/>
        <v>0</v>
      </c>
      <c r="I175" t="b">
        <f t="shared" si="16"/>
        <v>0</v>
      </c>
      <c r="J175" t="b">
        <f t="shared" si="17"/>
        <v>0</v>
      </c>
      <c r="K175" t="b">
        <f t="shared" si="13"/>
        <v>0</v>
      </c>
      <c r="L175" t="b">
        <f t="shared" si="13"/>
        <v>1</v>
      </c>
      <c r="M175" t="b">
        <f t="shared" si="13"/>
        <v>0</v>
      </c>
      <c r="N175" t="b">
        <f t="shared" si="18"/>
        <v>0</v>
      </c>
      <c r="O175" t="b">
        <f t="shared" si="18"/>
        <v>0</v>
      </c>
      <c r="P175" t="b">
        <f t="shared" si="19"/>
        <v>0</v>
      </c>
    </row>
    <row r="176" spans="1:16">
      <c r="A176" t="str">
        <v>diesel_Switzerland_SBB_Am_4_6</v>
      </c>
      <c r="B176" t="b" cm="1">
        <f t="array" ref="B176">_xlfn.XLOOKUP(A176,CONTROL[VEHIDCODE],PROPERTIES[EXCLUDE])</f>
        <v>0</v>
      </c>
      <c r="C176">
        <f>FLOOR(_xlfn.XLOOKUP($A176,PROPERTIES[VEHIDCODE],PROPERTIES[INTRODUCTION_YEAR]),20)</f>
        <v>1940</v>
      </c>
      <c r="D176" t="str">
        <f>_xlfn.XLOOKUP($A176,PROPERTIES[VEHIDCODE],PROPERTIES[ROLE])</f>
        <v>Universal</v>
      </c>
      <c r="E176" s="35" t="str">
        <f>_xlfn.XLOOKUP($A176,PROPERTIES[VEHIDCODE],PROPERTIES[REGION1])</f>
        <v>WESTERN_EUROPE</v>
      </c>
      <c r="F176" s="35" t="str">
        <f>_xlfn.XLOOKUP($A176,PROPERTIES[VEHIDCODE],PROPERTIES[REGION2])</f>
        <v>NO_REGION</v>
      </c>
      <c r="G176" s="35" t="str">
        <f t="shared" si="14"/>
        <v>WESTERN_EUROPE_NO_REGION</v>
      </c>
      <c r="H176" t="b">
        <f t="shared" si="15"/>
        <v>0</v>
      </c>
      <c r="I176" t="b">
        <f t="shared" si="16"/>
        <v>0</v>
      </c>
      <c r="J176" t="b">
        <f t="shared" si="17"/>
        <v>0</v>
      </c>
      <c r="K176" t="b">
        <f t="shared" si="13"/>
        <v>0</v>
      </c>
      <c r="L176" t="b">
        <f t="shared" si="13"/>
        <v>1</v>
      </c>
      <c r="M176" t="b">
        <f t="shared" si="13"/>
        <v>0</v>
      </c>
      <c r="N176" t="b">
        <f t="shared" si="18"/>
        <v>0</v>
      </c>
      <c r="O176" t="b">
        <f t="shared" si="18"/>
        <v>0</v>
      </c>
      <c r="P176" t="b">
        <f t="shared" si="19"/>
        <v>0</v>
      </c>
    </row>
    <row r="177" spans="1:16">
      <c r="A177" t="str">
        <v>diesel_Australia_NSWGR_79</v>
      </c>
      <c r="B177" t="b" cm="1">
        <f t="array" ref="B177">_xlfn.XLOOKUP(A177,CONTROL[VEHIDCODE],PROPERTIES[EXCLUDE])</f>
        <v>0</v>
      </c>
      <c r="C177">
        <f>FLOOR(_xlfn.XLOOKUP($A177,PROPERTIES[VEHIDCODE],PROPERTIES[INTRODUCTION_YEAR]),20)</f>
        <v>1940</v>
      </c>
      <c r="D177" t="str">
        <f>_xlfn.XLOOKUP($A177,PROPERTIES[VEHIDCODE],PROPERTIES[ROLE])</f>
        <v>Shunting</v>
      </c>
      <c r="E177" s="35" t="str">
        <f>_xlfn.XLOOKUP($A177,PROPERTIES[VEHIDCODE],PROPERTIES[REGION1])</f>
        <v>OCEANIA</v>
      </c>
      <c r="F177" s="35" t="str">
        <f>_xlfn.XLOOKUP($A177,PROPERTIES[VEHIDCODE],PROPERTIES[REGION2])</f>
        <v>NO_REGION</v>
      </c>
      <c r="G177" s="35" t="str">
        <f t="shared" si="14"/>
        <v>OCEANIA_NO_REGION</v>
      </c>
      <c r="H177" t="b">
        <f t="shared" si="15"/>
        <v>0</v>
      </c>
      <c r="I177" t="b">
        <f t="shared" si="16"/>
        <v>0</v>
      </c>
      <c r="J177" t="b">
        <f t="shared" si="17"/>
        <v>0</v>
      </c>
      <c r="K177" t="b">
        <f t="shared" si="13"/>
        <v>0</v>
      </c>
      <c r="L177" t="b">
        <f t="shared" si="13"/>
        <v>0</v>
      </c>
      <c r="M177" t="b">
        <f t="shared" si="13"/>
        <v>0</v>
      </c>
      <c r="N177" t="b">
        <f t="shared" si="18"/>
        <v>0</v>
      </c>
      <c r="O177" t="b">
        <f t="shared" si="18"/>
        <v>0</v>
      </c>
      <c r="P177" t="b">
        <f t="shared" si="19"/>
        <v>1</v>
      </c>
    </row>
    <row r="178" spans="1:16">
      <c r="A178" t="str">
        <v>diesel_USA_Western_Pacific_ALCO_S_2</v>
      </c>
      <c r="B178" t="b" cm="1">
        <f t="array" ref="B178">_xlfn.XLOOKUP(A178,CONTROL[VEHIDCODE],PROPERTIES[EXCLUDE])</f>
        <v>0</v>
      </c>
      <c r="C178">
        <f>FLOOR(_xlfn.XLOOKUP($A178,PROPERTIES[VEHIDCODE],PROPERTIES[INTRODUCTION_YEAR]),20)</f>
        <v>1940</v>
      </c>
      <c r="D178" t="str">
        <f>_xlfn.XLOOKUP($A178,PROPERTIES[VEHIDCODE],PROPERTIES[ROLE])</f>
        <v>Universal</v>
      </c>
      <c r="E178" s="35" t="str">
        <f>_xlfn.XLOOKUP($A178,PROPERTIES[VEHIDCODE],PROPERTIES[REGION1])</f>
        <v>NORTH_AMERICA</v>
      </c>
      <c r="F178" s="35" t="str">
        <f>_xlfn.XLOOKUP($A178,PROPERTIES[VEHIDCODE],PROPERTIES[REGION2])</f>
        <v>NO_REGION</v>
      </c>
      <c r="G178" s="35" t="str">
        <f t="shared" si="14"/>
        <v>NORTH_AMERICA_NO_REGION</v>
      </c>
      <c r="H178" t="b">
        <f t="shared" si="15"/>
        <v>0</v>
      </c>
      <c r="I178" t="b">
        <f t="shared" si="16"/>
        <v>0</v>
      </c>
      <c r="J178" t="b">
        <f t="shared" si="17"/>
        <v>0</v>
      </c>
      <c r="K178" t="b">
        <f t="shared" si="13"/>
        <v>0</v>
      </c>
      <c r="L178" t="b">
        <f t="shared" si="13"/>
        <v>0</v>
      </c>
      <c r="M178" t="b">
        <f t="shared" si="13"/>
        <v>0</v>
      </c>
      <c r="N178" t="b">
        <f t="shared" si="18"/>
        <v>1</v>
      </c>
      <c r="O178" t="b">
        <f t="shared" si="18"/>
        <v>0</v>
      </c>
      <c r="P178" t="b">
        <f t="shared" si="19"/>
        <v>0</v>
      </c>
    </row>
    <row r="179" spans="1:16">
      <c r="A179" t="str">
        <v>diesel_USA_AT_SF_EMD_F3</v>
      </c>
      <c r="B179" t="b" cm="1">
        <f t="array" ref="B179">_xlfn.XLOOKUP(A179,CONTROL[VEHIDCODE],PROPERTIES[EXCLUDE])</f>
        <v>0</v>
      </c>
      <c r="C179">
        <f>FLOOR(_xlfn.XLOOKUP($A179,PROPERTIES[VEHIDCODE],PROPERTIES[INTRODUCTION_YEAR]),20)</f>
        <v>1940</v>
      </c>
      <c r="D179" t="str">
        <f>_xlfn.XLOOKUP($A179,PROPERTIES[VEHIDCODE],PROPERTIES[ROLE])</f>
        <v>Express</v>
      </c>
      <c r="E179" s="35" t="str">
        <f>_xlfn.XLOOKUP($A179,PROPERTIES[VEHIDCODE],PROPERTIES[REGION1])</f>
        <v>NORTH_AMERICA</v>
      </c>
      <c r="F179" s="35" t="str">
        <f>_xlfn.XLOOKUP($A179,PROPERTIES[VEHIDCODE],PROPERTIES[REGION2])</f>
        <v>NO_REGION</v>
      </c>
      <c r="G179" s="35" t="str">
        <f t="shared" si="14"/>
        <v>NORTH_AMERICA_NO_REGION</v>
      </c>
      <c r="H179" t="b">
        <f t="shared" si="15"/>
        <v>0</v>
      </c>
      <c r="I179" t="b">
        <f t="shared" si="16"/>
        <v>0</v>
      </c>
      <c r="J179" t="b">
        <f t="shared" si="17"/>
        <v>0</v>
      </c>
      <c r="K179" t="b">
        <f t="shared" si="13"/>
        <v>0</v>
      </c>
      <c r="L179" t="b">
        <f t="shared" si="13"/>
        <v>0</v>
      </c>
      <c r="M179" t="b">
        <f t="shared" si="13"/>
        <v>0</v>
      </c>
      <c r="N179" t="b">
        <f t="shared" si="18"/>
        <v>1</v>
      </c>
      <c r="O179" t="b">
        <f t="shared" si="18"/>
        <v>0</v>
      </c>
      <c r="P179" t="b">
        <f t="shared" si="19"/>
        <v>0</v>
      </c>
    </row>
    <row r="180" spans="1:16">
      <c r="A180" t="str">
        <v>diesel_USA_UP_EMD_E8</v>
      </c>
      <c r="B180" t="b" cm="1">
        <f t="array" ref="B180">_xlfn.XLOOKUP(A180,CONTROL[VEHIDCODE],PROPERTIES[EXCLUDE])</f>
        <v>0</v>
      </c>
      <c r="C180">
        <f>FLOOR(_xlfn.XLOOKUP($A180,PROPERTIES[VEHIDCODE],PROPERTIES[INTRODUCTION_YEAR]),20)</f>
        <v>1940</v>
      </c>
      <c r="D180" t="str">
        <f>_xlfn.XLOOKUP($A180,PROPERTIES[VEHIDCODE],PROPERTIES[ROLE])</f>
        <v>Express</v>
      </c>
      <c r="E180" s="35" t="str">
        <f>_xlfn.XLOOKUP($A180,PROPERTIES[VEHIDCODE],PROPERTIES[REGION1])</f>
        <v>NORTH_AMERICA</v>
      </c>
      <c r="F180" s="35" t="str">
        <f>_xlfn.XLOOKUP($A180,PROPERTIES[VEHIDCODE],PROPERTIES[REGION2])</f>
        <v>NO_REGION</v>
      </c>
      <c r="G180" s="35" t="str">
        <f t="shared" si="14"/>
        <v>NORTH_AMERICA_NO_REGION</v>
      </c>
      <c r="H180" t="b">
        <f t="shared" si="15"/>
        <v>0</v>
      </c>
      <c r="I180" t="b">
        <f t="shared" si="16"/>
        <v>0</v>
      </c>
      <c r="J180" t="b">
        <f t="shared" si="17"/>
        <v>0</v>
      </c>
      <c r="K180" t="b">
        <f t="shared" si="13"/>
        <v>0</v>
      </c>
      <c r="L180" t="b">
        <f t="shared" si="13"/>
        <v>0</v>
      </c>
      <c r="M180" t="b">
        <f t="shared" si="13"/>
        <v>0</v>
      </c>
      <c r="N180" t="b">
        <f t="shared" si="18"/>
        <v>1</v>
      </c>
      <c r="O180" t="b">
        <f t="shared" si="18"/>
        <v>0</v>
      </c>
      <c r="P180" t="b">
        <f t="shared" si="19"/>
        <v>0</v>
      </c>
    </row>
    <row r="181" spans="1:16">
      <c r="A181" t="str">
        <v>diesel_Brazil_EFCB_ALCO_RS_3</v>
      </c>
      <c r="B181" t="b" cm="1">
        <f t="array" ref="B181">_xlfn.XLOOKUP(A181,CONTROL[VEHIDCODE],PROPERTIES[EXCLUDE])</f>
        <v>0</v>
      </c>
      <c r="C181">
        <f>FLOOR(_xlfn.XLOOKUP($A181,PROPERTIES[VEHIDCODE],PROPERTIES[INTRODUCTION_YEAR]),20)</f>
        <v>1940</v>
      </c>
      <c r="D181" t="str">
        <f>_xlfn.XLOOKUP($A181,PROPERTIES[VEHIDCODE],PROPERTIES[ROLE])</f>
        <v>Universal</v>
      </c>
      <c r="E181" s="35" t="str">
        <f>_xlfn.XLOOKUP($A181,PROPERTIES[VEHIDCODE],PROPERTIES[REGION1])</f>
        <v>SOUTH_AMERICA</v>
      </c>
      <c r="F181" s="35" t="str">
        <f>_xlfn.XLOOKUP($A181,PROPERTIES[VEHIDCODE],PROPERTIES[REGION2])</f>
        <v>NO_REGION</v>
      </c>
      <c r="G181" s="35" t="str">
        <f t="shared" si="14"/>
        <v>SOUTH_AMERICA_NO_REGION</v>
      </c>
      <c r="H181" t="b">
        <f t="shared" si="15"/>
        <v>0</v>
      </c>
      <c r="I181" t="b">
        <f t="shared" si="16"/>
        <v>0</v>
      </c>
      <c r="J181" t="b">
        <f t="shared" si="17"/>
        <v>0</v>
      </c>
      <c r="K181" t="b">
        <f t="shared" si="13"/>
        <v>0</v>
      </c>
      <c r="L181" t="b">
        <f t="shared" si="13"/>
        <v>0</v>
      </c>
      <c r="M181" t="b">
        <f t="shared" si="13"/>
        <v>0</v>
      </c>
      <c r="N181" t="b">
        <f t="shared" si="18"/>
        <v>0</v>
      </c>
      <c r="O181" t="b">
        <f t="shared" si="18"/>
        <v>1</v>
      </c>
      <c r="P181" t="b">
        <f t="shared" si="19"/>
        <v>0</v>
      </c>
    </row>
    <row r="182" spans="1:16">
      <c r="A182" t="str">
        <v>diesel_Netherlands_NS_600</v>
      </c>
      <c r="B182" t="b" cm="1">
        <f t="array" ref="B182">_xlfn.XLOOKUP(A182,CONTROL[VEHIDCODE],PROPERTIES[EXCLUDE])</f>
        <v>0</v>
      </c>
      <c r="C182">
        <f>FLOOR(_xlfn.XLOOKUP($A182,PROPERTIES[VEHIDCODE],PROPERTIES[INTRODUCTION_YEAR]),20)</f>
        <v>1940</v>
      </c>
      <c r="D182" t="str">
        <f>_xlfn.XLOOKUP($A182,PROPERTIES[VEHIDCODE],PROPERTIES[ROLE])</f>
        <v>Shunting</v>
      </c>
      <c r="E182" s="35" t="str">
        <f>_xlfn.XLOOKUP($A182,PROPERTIES[VEHIDCODE],PROPERTIES[REGION1])</f>
        <v>WESTERN_EUROPE</v>
      </c>
      <c r="F182" s="35" t="str">
        <f>_xlfn.XLOOKUP($A182,PROPERTIES[VEHIDCODE],PROPERTIES[REGION2])</f>
        <v>NO_REGION</v>
      </c>
      <c r="G182" s="35" t="str">
        <f t="shared" si="14"/>
        <v>WESTERN_EUROPE_NO_REGION</v>
      </c>
      <c r="H182" t="b">
        <f t="shared" si="15"/>
        <v>0</v>
      </c>
      <c r="I182" t="b">
        <f t="shared" si="16"/>
        <v>0</v>
      </c>
      <c r="J182" t="b">
        <f t="shared" si="17"/>
        <v>0</v>
      </c>
      <c r="K182" t="b">
        <f t="shared" si="13"/>
        <v>0</v>
      </c>
      <c r="L182" t="b">
        <f t="shared" si="13"/>
        <v>1</v>
      </c>
      <c r="M182" t="b">
        <f t="shared" si="13"/>
        <v>0</v>
      </c>
      <c r="N182" t="b">
        <f t="shared" si="18"/>
        <v>0</v>
      </c>
      <c r="O182" t="b">
        <f t="shared" si="18"/>
        <v>0</v>
      </c>
      <c r="P182" t="b">
        <f t="shared" si="19"/>
        <v>0</v>
      </c>
    </row>
    <row r="183" spans="1:16">
      <c r="A183" t="str">
        <v>diesel_USA_Pennsylvania_Railroad_RF_16_Sharknose</v>
      </c>
      <c r="B183" t="b" cm="1">
        <f t="array" ref="B183">_xlfn.XLOOKUP(A183,CONTROL[VEHIDCODE],PROPERTIES[EXCLUDE])</f>
        <v>0</v>
      </c>
      <c r="C183">
        <f>FLOOR(_xlfn.XLOOKUP($A183,PROPERTIES[VEHIDCODE],PROPERTIES[INTRODUCTION_YEAR]),20)</f>
        <v>1940</v>
      </c>
      <c r="D183" t="str">
        <f>_xlfn.XLOOKUP($A183,PROPERTIES[VEHIDCODE],PROPERTIES[ROLE])</f>
        <v>Universal</v>
      </c>
      <c r="E183" s="35" t="str">
        <f>_xlfn.XLOOKUP($A183,PROPERTIES[VEHIDCODE],PROPERTIES[REGION1])</f>
        <v>NORTH_AMERICA</v>
      </c>
      <c r="F183" s="35" t="str">
        <f>_xlfn.XLOOKUP($A183,PROPERTIES[VEHIDCODE],PROPERTIES[REGION2])</f>
        <v>NO_REGION</v>
      </c>
      <c r="G183" s="35" t="str">
        <f t="shared" si="14"/>
        <v>NORTH_AMERICA_NO_REGION</v>
      </c>
      <c r="H183" t="b">
        <f t="shared" si="15"/>
        <v>0</v>
      </c>
      <c r="I183" t="b">
        <f t="shared" si="16"/>
        <v>0</v>
      </c>
      <c r="J183" t="b">
        <f t="shared" si="17"/>
        <v>0</v>
      </c>
      <c r="K183" t="b">
        <f t="shared" si="13"/>
        <v>0</v>
      </c>
      <c r="L183" t="b">
        <f t="shared" si="13"/>
        <v>0</v>
      </c>
      <c r="M183" t="b">
        <f t="shared" si="13"/>
        <v>0</v>
      </c>
      <c r="N183" t="b">
        <f t="shared" si="18"/>
        <v>1</v>
      </c>
      <c r="O183" t="b">
        <f t="shared" si="18"/>
        <v>0</v>
      </c>
      <c r="P183" t="b">
        <f t="shared" si="19"/>
        <v>0</v>
      </c>
    </row>
    <row r="184" spans="1:16">
      <c r="A184" t="str">
        <v>diesel_Uruguay_AFE_1500</v>
      </c>
      <c r="B184" t="b" cm="1">
        <f t="array" ref="B184">_xlfn.XLOOKUP(A184,CONTROL[VEHIDCODE],PROPERTIES[EXCLUDE])</f>
        <v>0</v>
      </c>
      <c r="C184">
        <f>FLOOR(_xlfn.XLOOKUP($A184,PROPERTIES[VEHIDCODE],PROPERTIES[INTRODUCTION_YEAR]),20)</f>
        <v>1940</v>
      </c>
      <c r="D184" t="str">
        <f>_xlfn.XLOOKUP($A184,PROPERTIES[VEHIDCODE],PROPERTIES[ROLE])</f>
        <v>Universal</v>
      </c>
      <c r="E184" s="35" t="str">
        <f>_xlfn.XLOOKUP($A184,PROPERTIES[VEHIDCODE],PROPERTIES[REGION1])</f>
        <v>SOUTH_AMERICA</v>
      </c>
      <c r="F184" s="35" t="str">
        <f>_xlfn.XLOOKUP($A184,PROPERTIES[VEHIDCODE],PROPERTIES[REGION2])</f>
        <v>NO_REGION</v>
      </c>
      <c r="G184" s="35" t="str">
        <f t="shared" si="14"/>
        <v>SOUTH_AMERICA_NO_REGION</v>
      </c>
      <c r="H184" t="b">
        <f t="shared" si="15"/>
        <v>0</v>
      </c>
      <c r="I184" t="b">
        <f t="shared" si="16"/>
        <v>0</v>
      </c>
      <c r="J184" t="b">
        <f t="shared" si="17"/>
        <v>0</v>
      </c>
      <c r="K184" t="b">
        <f t="shared" si="13"/>
        <v>0</v>
      </c>
      <c r="L184" t="b">
        <f t="shared" si="13"/>
        <v>0</v>
      </c>
      <c r="M184" t="b">
        <f t="shared" si="13"/>
        <v>0</v>
      </c>
      <c r="N184" t="b">
        <f t="shared" si="18"/>
        <v>0</v>
      </c>
      <c r="O184" t="b">
        <f t="shared" si="18"/>
        <v>1</v>
      </c>
      <c r="P184" t="b">
        <f t="shared" si="19"/>
        <v>0</v>
      </c>
    </row>
    <row r="185" spans="1:16">
      <c r="A185" t="str">
        <v>diesel_Canada_CPR_Trainmaster</v>
      </c>
      <c r="B185" t="b" cm="1">
        <f t="array" ref="B185">_xlfn.XLOOKUP(A185,CONTROL[VEHIDCODE],PROPERTIES[EXCLUDE])</f>
        <v>0</v>
      </c>
      <c r="C185">
        <f>FLOOR(_xlfn.XLOOKUP($A185,PROPERTIES[VEHIDCODE],PROPERTIES[INTRODUCTION_YEAR]),20)</f>
        <v>1940</v>
      </c>
      <c r="D185" t="str">
        <f>_xlfn.XLOOKUP($A185,PROPERTIES[VEHIDCODE],PROPERTIES[ROLE])</f>
        <v>Heavy Freight</v>
      </c>
      <c r="E185" s="35" t="str">
        <f>_xlfn.XLOOKUP($A185,PROPERTIES[VEHIDCODE],PROPERTIES[REGION1])</f>
        <v>NORTH_AMERICA</v>
      </c>
      <c r="F185" s="35" t="str">
        <f>_xlfn.XLOOKUP($A185,PROPERTIES[VEHIDCODE],PROPERTIES[REGION2])</f>
        <v>NO_REGION</v>
      </c>
      <c r="G185" s="35" t="str">
        <f t="shared" si="14"/>
        <v>NORTH_AMERICA_NO_REGION</v>
      </c>
      <c r="H185" t="b">
        <f t="shared" si="15"/>
        <v>0</v>
      </c>
      <c r="I185" t="b">
        <f t="shared" si="16"/>
        <v>0</v>
      </c>
      <c r="J185" t="b">
        <f t="shared" si="17"/>
        <v>0</v>
      </c>
      <c r="K185" t="b">
        <f t="shared" si="13"/>
        <v>0</v>
      </c>
      <c r="L185" t="b">
        <f t="shared" si="13"/>
        <v>0</v>
      </c>
      <c r="M185" t="b">
        <f t="shared" si="13"/>
        <v>0</v>
      </c>
      <c r="N185" t="b">
        <f t="shared" si="18"/>
        <v>1</v>
      </c>
      <c r="O185" t="b">
        <f t="shared" si="18"/>
        <v>0</v>
      </c>
      <c r="P185" t="b">
        <f t="shared" si="19"/>
        <v>0</v>
      </c>
    </row>
    <row r="186" spans="1:16">
      <c r="A186" t="str">
        <v>diesel_Liberia_Liberia_Railways_Class_08</v>
      </c>
      <c r="B186" t="b" cm="1">
        <f t="array" ref="B186">_xlfn.XLOOKUP(A186,CONTROL[VEHIDCODE],PROPERTIES[EXCLUDE])</f>
        <v>0</v>
      </c>
      <c r="C186">
        <f>FLOOR(_xlfn.XLOOKUP($A186,PROPERTIES[VEHIDCODE],PROPERTIES[INTRODUCTION_YEAR]),20)</f>
        <v>1940</v>
      </c>
      <c r="D186" t="str">
        <f>_xlfn.XLOOKUP($A186,PROPERTIES[VEHIDCODE],PROPERTIES[ROLE])</f>
        <v>Shunting</v>
      </c>
      <c r="E186" s="35" t="str">
        <f>_xlfn.XLOOKUP($A186,PROPERTIES[VEHIDCODE],PROPERTIES[REGION1])</f>
        <v>AFRICA</v>
      </c>
      <c r="F186" s="35" t="str">
        <f>_xlfn.XLOOKUP($A186,PROPERTIES[VEHIDCODE],PROPERTIES[REGION2])</f>
        <v>NO_REGION</v>
      </c>
      <c r="G186" s="35" t="str">
        <f t="shared" si="14"/>
        <v>AFRICA_NO_REGION</v>
      </c>
      <c r="H186" t="b">
        <f t="shared" si="15"/>
        <v>1</v>
      </c>
      <c r="I186" t="b">
        <f t="shared" si="16"/>
        <v>0</v>
      </c>
      <c r="J186" t="b">
        <f t="shared" si="17"/>
        <v>0</v>
      </c>
      <c r="K186" t="b">
        <f t="shared" si="13"/>
        <v>0</v>
      </c>
      <c r="L186" t="b">
        <f t="shared" si="13"/>
        <v>0</v>
      </c>
      <c r="M186" t="b">
        <f t="shared" si="13"/>
        <v>0</v>
      </c>
      <c r="N186" t="b">
        <f t="shared" si="18"/>
        <v>0</v>
      </c>
      <c r="O186" t="b">
        <f t="shared" si="18"/>
        <v>0</v>
      </c>
      <c r="P186" t="b">
        <f t="shared" si="19"/>
        <v>0</v>
      </c>
    </row>
    <row r="187" spans="1:16">
      <c r="A187" t="str">
        <v>diesel_Austria_OBB_2060</v>
      </c>
      <c r="B187" t="b" cm="1">
        <f t="array" ref="B187">_xlfn.XLOOKUP(A187,CONTROL[VEHIDCODE],PROPERTIES[EXCLUDE])</f>
        <v>0</v>
      </c>
      <c r="C187">
        <f>FLOOR(_xlfn.XLOOKUP($A187,PROPERTIES[VEHIDCODE],PROPERTIES[INTRODUCTION_YEAR]),20)</f>
        <v>1940</v>
      </c>
      <c r="D187" t="str">
        <f>_xlfn.XLOOKUP($A187,PROPERTIES[VEHIDCODE],PROPERTIES[ROLE])</f>
        <v>Shunting</v>
      </c>
      <c r="E187" s="35" t="str">
        <f>_xlfn.XLOOKUP($A187,PROPERTIES[VEHIDCODE],PROPERTIES[REGION1])</f>
        <v>WESTERN_EUROPE</v>
      </c>
      <c r="F187" s="35" t="str">
        <f>_xlfn.XLOOKUP($A187,PROPERTIES[VEHIDCODE],PROPERTIES[REGION2])</f>
        <v>NO_REGION</v>
      </c>
      <c r="G187" s="35" t="str">
        <f t="shared" si="14"/>
        <v>WESTERN_EUROPE_NO_REGION</v>
      </c>
      <c r="H187" t="b">
        <f t="shared" si="15"/>
        <v>0</v>
      </c>
      <c r="I187" t="b">
        <f t="shared" si="16"/>
        <v>0</v>
      </c>
      <c r="J187" t="b">
        <f t="shared" si="17"/>
        <v>0</v>
      </c>
      <c r="K187" t="b">
        <f t="shared" si="13"/>
        <v>0</v>
      </c>
      <c r="L187" t="b">
        <f t="shared" si="13"/>
        <v>1</v>
      </c>
      <c r="M187" t="b">
        <f t="shared" si="13"/>
        <v>0</v>
      </c>
      <c r="N187" t="b">
        <f t="shared" si="18"/>
        <v>0</v>
      </c>
      <c r="O187" t="b">
        <f t="shared" si="18"/>
        <v>0</v>
      </c>
      <c r="P187" t="b">
        <f t="shared" si="19"/>
        <v>0</v>
      </c>
    </row>
    <row r="188" spans="1:16">
      <c r="A188" t="str">
        <v>diesel_Canada_CNR_SW1200</v>
      </c>
      <c r="B188" t="b" cm="1">
        <f t="array" ref="B188">_xlfn.XLOOKUP(A188,CONTROL[VEHIDCODE],PROPERTIES[EXCLUDE])</f>
        <v>0</v>
      </c>
      <c r="C188">
        <f>FLOOR(_xlfn.XLOOKUP($A188,PROPERTIES[VEHIDCODE],PROPERTIES[INTRODUCTION_YEAR]),20)</f>
        <v>1940</v>
      </c>
      <c r="D188" t="str">
        <f>_xlfn.XLOOKUP($A188,PROPERTIES[VEHIDCODE],PROPERTIES[ROLE])</f>
        <v>Universal</v>
      </c>
      <c r="E188" s="35" t="str">
        <f>_xlfn.XLOOKUP($A188,PROPERTIES[VEHIDCODE],PROPERTIES[REGION1])</f>
        <v>NORTH_AMERICA</v>
      </c>
      <c r="F188" s="35" t="str">
        <f>_xlfn.XLOOKUP($A188,PROPERTIES[VEHIDCODE],PROPERTIES[REGION2])</f>
        <v>NO_REGION</v>
      </c>
      <c r="G188" s="35" t="str">
        <f t="shared" si="14"/>
        <v>NORTH_AMERICA_NO_REGION</v>
      </c>
      <c r="H188" t="b">
        <f t="shared" si="15"/>
        <v>0</v>
      </c>
      <c r="I188" t="b">
        <f t="shared" si="16"/>
        <v>0</v>
      </c>
      <c r="J188" t="b">
        <f t="shared" si="17"/>
        <v>0</v>
      </c>
      <c r="K188" t="b">
        <f t="shared" si="13"/>
        <v>0</v>
      </c>
      <c r="L188" t="b">
        <f t="shared" si="13"/>
        <v>0</v>
      </c>
      <c r="M188" t="b">
        <f t="shared" si="13"/>
        <v>0</v>
      </c>
      <c r="N188" t="b">
        <f t="shared" si="18"/>
        <v>1</v>
      </c>
      <c r="O188" t="b">
        <f t="shared" si="18"/>
        <v>0</v>
      </c>
      <c r="P188" t="b">
        <f t="shared" si="19"/>
        <v>0</v>
      </c>
    </row>
    <row r="189" spans="1:16">
      <c r="A189" t="str">
        <v>diesel_Canada_VIA_Rail_FP9</v>
      </c>
      <c r="B189" t="b" cm="1">
        <f t="array" ref="B189">_xlfn.XLOOKUP(A189,CONTROL[VEHIDCODE],PROPERTIES[EXCLUDE])</f>
        <v>0</v>
      </c>
      <c r="C189">
        <f>FLOOR(_xlfn.XLOOKUP($A189,PROPERTIES[VEHIDCODE],PROPERTIES[INTRODUCTION_YEAR]),20)</f>
        <v>1940</v>
      </c>
      <c r="D189" t="str">
        <f>_xlfn.XLOOKUP($A189,PROPERTIES[VEHIDCODE],PROPERTIES[ROLE])</f>
        <v>Universal</v>
      </c>
      <c r="E189" s="35" t="str">
        <f>_xlfn.XLOOKUP($A189,PROPERTIES[VEHIDCODE],PROPERTIES[REGION1])</f>
        <v>NORTH_AMERICA</v>
      </c>
      <c r="F189" s="35" t="str">
        <f>_xlfn.XLOOKUP($A189,PROPERTIES[VEHIDCODE],PROPERTIES[REGION2])</f>
        <v>NO_REGION</v>
      </c>
      <c r="G189" s="35" t="str">
        <f t="shared" si="14"/>
        <v>NORTH_AMERICA_NO_REGION</v>
      </c>
      <c r="H189" t="b">
        <f t="shared" si="15"/>
        <v>0</v>
      </c>
      <c r="I189" t="b">
        <f t="shared" si="16"/>
        <v>0</v>
      </c>
      <c r="J189" t="b">
        <f t="shared" si="17"/>
        <v>0</v>
      </c>
      <c r="K189" t="b">
        <f t="shared" si="13"/>
        <v>0</v>
      </c>
      <c r="L189" t="b">
        <f t="shared" si="13"/>
        <v>0</v>
      </c>
      <c r="M189" t="b">
        <f t="shared" si="13"/>
        <v>0</v>
      </c>
      <c r="N189" t="b">
        <f t="shared" si="18"/>
        <v>1</v>
      </c>
      <c r="O189" t="b">
        <f t="shared" si="18"/>
        <v>0</v>
      </c>
      <c r="P189" t="b">
        <f t="shared" si="19"/>
        <v>0</v>
      </c>
    </row>
    <row r="190" spans="1:16">
      <c r="A190" t="str">
        <v>diesel_Hungary_MAV_M44</v>
      </c>
      <c r="B190" t="b" cm="1">
        <f t="array" ref="B190">_xlfn.XLOOKUP(A190,CONTROL[VEHIDCODE],PROPERTIES[EXCLUDE])</f>
        <v>0</v>
      </c>
      <c r="C190">
        <f>FLOOR(_xlfn.XLOOKUP($A190,PROPERTIES[VEHIDCODE],PROPERTIES[INTRODUCTION_YEAR]),20)</f>
        <v>1940</v>
      </c>
      <c r="D190" t="str">
        <f>_xlfn.XLOOKUP($A190,PROPERTIES[VEHIDCODE],PROPERTIES[ROLE])</f>
        <v>Universal</v>
      </c>
      <c r="E190" s="35" t="str">
        <f>_xlfn.XLOOKUP($A190,PROPERTIES[VEHIDCODE],PROPERTIES[REGION1])</f>
        <v>EASTERN_EUROPE</v>
      </c>
      <c r="F190" s="35" t="str">
        <f>_xlfn.XLOOKUP($A190,PROPERTIES[VEHIDCODE],PROPERTIES[REGION2])</f>
        <v>NO_REGION</v>
      </c>
      <c r="G190" s="35" t="str">
        <f t="shared" si="14"/>
        <v>EASTERN_EUROPE_NO_REGION</v>
      </c>
      <c r="H190" t="b">
        <f t="shared" si="15"/>
        <v>0</v>
      </c>
      <c r="I190" t="b">
        <f t="shared" si="16"/>
        <v>0</v>
      </c>
      <c r="J190" t="b">
        <f t="shared" si="17"/>
        <v>0</v>
      </c>
      <c r="K190" t="b">
        <f t="shared" si="13"/>
        <v>1</v>
      </c>
      <c r="L190" t="b">
        <f t="shared" si="13"/>
        <v>0</v>
      </c>
      <c r="M190" t="b">
        <f t="shared" si="13"/>
        <v>0</v>
      </c>
      <c r="N190" t="b">
        <f t="shared" si="18"/>
        <v>0</v>
      </c>
      <c r="O190" t="b">
        <f t="shared" si="18"/>
        <v>0</v>
      </c>
      <c r="P190" t="b">
        <f t="shared" si="19"/>
        <v>0</v>
      </c>
    </row>
    <row r="191" spans="1:16">
      <c r="A191" t="str">
        <v>diesel_Hungary_MAV_M28</v>
      </c>
      <c r="B191" t="b" cm="1">
        <f t="array" ref="B191">_xlfn.XLOOKUP(A191,CONTROL[VEHIDCODE],PROPERTIES[EXCLUDE])</f>
        <v>0</v>
      </c>
      <c r="C191">
        <f>FLOOR(_xlfn.XLOOKUP($A191,PROPERTIES[VEHIDCODE],PROPERTIES[INTRODUCTION_YEAR]),20)</f>
        <v>1940</v>
      </c>
      <c r="D191" t="str">
        <f>_xlfn.XLOOKUP($A191,PROPERTIES[VEHIDCODE],PROPERTIES[ROLE])</f>
        <v>Shunting</v>
      </c>
      <c r="E191" s="35" t="str">
        <f>_xlfn.XLOOKUP($A191,PROPERTIES[VEHIDCODE],PROPERTIES[REGION1])</f>
        <v>EASTERN_EUROPE</v>
      </c>
      <c r="F191" s="35" t="str">
        <f>_xlfn.XLOOKUP($A191,PROPERTIES[VEHIDCODE],PROPERTIES[REGION2])</f>
        <v>NO_REGION</v>
      </c>
      <c r="G191" s="35" t="str">
        <f t="shared" si="14"/>
        <v>EASTERN_EUROPE_NO_REGION</v>
      </c>
      <c r="H191" t="b">
        <f t="shared" si="15"/>
        <v>0</v>
      </c>
      <c r="I191" t="b">
        <f t="shared" si="16"/>
        <v>0</v>
      </c>
      <c r="J191" t="b">
        <f t="shared" si="17"/>
        <v>0</v>
      </c>
      <c r="K191" t="b">
        <f t="shared" si="13"/>
        <v>1</v>
      </c>
      <c r="L191" t="b">
        <f t="shared" si="13"/>
        <v>0</v>
      </c>
      <c r="M191" t="b">
        <f t="shared" si="13"/>
        <v>0</v>
      </c>
      <c r="N191" t="b">
        <f t="shared" si="18"/>
        <v>0</v>
      </c>
      <c r="O191" t="b">
        <f t="shared" si="18"/>
        <v>0</v>
      </c>
      <c r="P191" t="b">
        <f t="shared" si="19"/>
        <v>0</v>
      </c>
    </row>
    <row r="192" spans="1:16">
      <c r="A192" t="str">
        <v>diesel_Belgium_NMBS_SNCB_83</v>
      </c>
      <c r="B192" t="b" cm="1">
        <f t="array" ref="B192">_xlfn.XLOOKUP(A192,CONTROL[VEHIDCODE],PROPERTIES[EXCLUDE])</f>
        <v>0</v>
      </c>
      <c r="C192">
        <f>FLOOR(_xlfn.XLOOKUP($A192,PROPERTIES[VEHIDCODE],PROPERTIES[INTRODUCTION_YEAR]),20)</f>
        <v>1940</v>
      </c>
      <c r="D192" t="str">
        <f>_xlfn.XLOOKUP($A192,PROPERTIES[VEHIDCODE],PROPERTIES[ROLE])</f>
        <v>Shunting</v>
      </c>
      <c r="E192" s="35" t="str">
        <f>_xlfn.XLOOKUP($A192,PROPERTIES[VEHIDCODE],PROPERTIES[REGION1])</f>
        <v>WESTERN_EUROPE</v>
      </c>
      <c r="F192" s="35" t="str">
        <f>_xlfn.XLOOKUP($A192,PROPERTIES[VEHIDCODE],PROPERTIES[REGION2])</f>
        <v>NO_REGION</v>
      </c>
      <c r="G192" s="35" t="str">
        <f t="shared" si="14"/>
        <v>WESTERN_EUROPE_NO_REGION</v>
      </c>
      <c r="H192" t="b">
        <f t="shared" si="15"/>
        <v>0</v>
      </c>
      <c r="I192" t="b">
        <f t="shared" si="16"/>
        <v>0</v>
      </c>
      <c r="J192" t="b">
        <f t="shared" si="17"/>
        <v>0</v>
      </c>
      <c r="K192" t="b">
        <f t="shared" si="13"/>
        <v>0</v>
      </c>
      <c r="L192" t="b">
        <f t="shared" si="13"/>
        <v>1</v>
      </c>
      <c r="M192" t="b">
        <f t="shared" si="13"/>
        <v>0</v>
      </c>
      <c r="N192" t="b">
        <f t="shared" si="18"/>
        <v>0</v>
      </c>
      <c r="O192" t="b">
        <f t="shared" si="18"/>
        <v>0</v>
      </c>
      <c r="P192" t="b">
        <f t="shared" si="19"/>
        <v>0</v>
      </c>
    </row>
    <row r="193" spans="1:16">
      <c r="A193" t="str">
        <v>diesel_Germany_DB_220</v>
      </c>
      <c r="B193" t="b" cm="1">
        <f t="array" ref="B193">_xlfn.XLOOKUP(A193,CONTROL[VEHIDCODE],PROPERTIES[EXCLUDE])</f>
        <v>0</v>
      </c>
      <c r="C193">
        <f>FLOOR(_xlfn.XLOOKUP($A193,PROPERTIES[VEHIDCODE],PROPERTIES[INTRODUCTION_YEAR]),20)</f>
        <v>1940</v>
      </c>
      <c r="D193" t="str">
        <f>_xlfn.XLOOKUP($A193,PROPERTIES[VEHIDCODE],PROPERTIES[ROLE])</f>
        <v>Universal</v>
      </c>
      <c r="E193" s="35" t="str">
        <f>_xlfn.XLOOKUP($A193,PROPERTIES[VEHIDCODE],PROPERTIES[REGION1])</f>
        <v>WESTERN_EUROPE</v>
      </c>
      <c r="F193" s="35" t="str">
        <f>_xlfn.XLOOKUP($A193,PROPERTIES[VEHIDCODE],PROPERTIES[REGION2])</f>
        <v>NO_REGION</v>
      </c>
      <c r="G193" s="35" t="str">
        <f t="shared" si="14"/>
        <v>WESTERN_EUROPE_NO_REGION</v>
      </c>
      <c r="H193" t="b">
        <f t="shared" si="15"/>
        <v>0</v>
      </c>
      <c r="I193" t="b">
        <f t="shared" si="16"/>
        <v>0</v>
      </c>
      <c r="J193" t="b">
        <f t="shared" si="17"/>
        <v>0</v>
      </c>
      <c r="K193" t="b">
        <f t="shared" si="13"/>
        <v>0</v>
      </c>
      <c r="L193" t="b">
        <f t="shared" si="13"/>
        <v>1</v>
      </c>
      <c r="M193" t="b">
        <f t="shared" si="13"/>
        <v>0</v>
      </c>
      <c r="N193" t="b">
        <f t="shared" si="18"/>
        <v>0</v>
      </c>
      <c r="O193" t="b">
        <f t="shared" si="18"/>
        <v>0</v>
      </c>
      <c r="P193" t="b">
        <f t="shared" si="19"/>
        <v>0</v>
      </c>
    </row>
    <row r="194" spans="1:16">
      <c r="A194" t="str">
        <v>diesel_USA_Amtrak_FL9</v>
      </c>
      <c r="B194" t="b" cm="1">
        <f t="array" ref="B194">_xlfn.XLOOKUP(A194,CONTROL[VEHIDCODE],PROPERTIES[EXCLUDE])</f>
        <v>0</v>
      </c>
      <c r="C194">
        <f>FLOOR(_xlfn.XLOOKUP($A194,PROPERTIES[VEHIDCODE],PROPERTIES[INTRODUCTION_YEAR]),20)</f>
        <v>1940</v>
      </c>
      <c r="D194" t="str">
        <f>_xlfn.XLOOKUP($A194,PROPERTIES[VEHIDCODE],PROPERTIES[ROLE])</f>
        <v>Universal</v>
      </c>
      <c r="E194" s="35" t="str">
        <f>_xlfn.XLOOKUP($A194,PROPERTIES[VEHIDCODE],PROPERTIES[REGION1])</f>
        <v>NORTH_AMERICA</v>
      </c>
      <c r="F194" s="35" t="str">
        <f>_xlfn.XLOOKUP($A194,PROPERTIES[VEHIDCODE],PROPERTIES[REGION2])</f>
        <v>NO_REGION</v>
      </c>
      <c r="G194" s="35" t="str">
        <f t="shared" si="14"/>
        <v>NORTH_AMERICA_NO_REGION</v>
      </c>
      <c r="H194" t="b">
        <f t="shared" si="15"/>
        <v>0</v>
      </c>
      <c r="I194" t="b">
        <f t="shared" si="16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7"/>
        <v>0</v>
      </c>
      <c r="N194" t="b">
        <f t="shared" si="18"/>
        <v>1</v>
      </c>
      <c r="O194" t="b">
        <f t="shared" si="18"/>
        <v>0</v>
      </c>
      <c r="P194" t="b">
        <f t="shared" si="19"/>
        <v>0</v>
      </c>
    </row>
    <row r="195" spans="1:16">
      <c r="A195" t="str">
        <v>diesel_Czech_Republic_CD_720_ChME2</v>
      </c>
      <c r="B195" t="b" cm="1">
        <f t="array" ref="B195">_xlfn.XLOOKUP(A195,CONTROL[VEHIDCODE],PROPERTIES[EXCLUDE])</f>
        <v>0</v>
      </c>
      <c r="C195">
        <f>FLOOR(_xlfn.XLOOKUP($A195,PROPERTIES[VEHIDCODE],PROPERTIES[INTRODUCTION_YEAR]),20)</f>
        <v>1940</v>
      </c>
      <c r="D195" t="str">
        <f>_xlfn.XLOOKUP($A195,PROPERTIES[VEHIDCODE],PROPERTIES[ROLE])</f>
        <v>Universal</v>
      </c>
      <c r="E195" s="35" t="str">
        <f>_xlfn.XLOOKUP($A195,PROPERTIES[VEHIDCODE],PROPERTIES[REGION1])</f>
        <v>EASTERN_EUROPE</v>
      </c>
      <c r="F195" s="35" t="str">
        <f>_xlfn.XLOOKUP($A195,PROPERTIES[VEHIDCODE],PROPERTIES[REGION2])</f>
        <v>NO_REGION</v>
      </c>
      <c r="G195" s="35" t="str">
        <f t="shared" ref="G195:G258" si="20">_xlfn.CONCAT($E195,"_",$F195)</f>
        <v>EASTERN_EUROPE_NO_REGION</v>
      </c>
      <c r="H195" t="b">
        <f t="shared" ref="H195:H258" si="21">OR(ISNUMBER(SEARCH("ALL_REGION",$G195)),
ISNUMBER(SEARCH("AFRICA",$G195)),
ISNUMBER(SEARCH("REGIONTYPE1",$G195)),
ISNUMBER(SEARCH("REGIONTYPE2",$G195)))</f>
        <v>0</v>
      </c>
      <c r="I195" t="b">
        <f t="shared" ref="I195:I258" si="22">OR(ISNUMBER(SEARCH("ALL_REGION",$G195)),
ISNUMBER(SEARCH("ASIA",$G195)),
ISNUMBER(SEARCH("REGIONTYPE1",$G195)),
ISNUMBER(SEARCH("REGIONTYPE2",$G195)),
ISNUMBER(SEARCH("REGIONTYPE3",$G195)))</f>
        <v>0</v>
      </c>
      <c r="J195" t="b">
        <f t="shared" ref="J195:M258" si="23">OR(ISNUMBER(SEARCH("ALL_REGION",$G195)),
ISNUMBER(SEARCH("ALL_EUROPE",$G195)),
ISNUMBER(SEARCH(J$1,$G195)),
ISNUMBER(SEARCH("REGIONTYPE1",$G195)))</f>
        <v>0</v>
      </c>
      <c r="K195" t="b">
        <f t="shared" si="23"/>
        <v>1</v>
      </c>
      <c r="L195" t="b">
        <f t="shared" si="23"/>
        <v>0</v>
      </c>
      <c r="M195" t="b">
        <f t="shared" si="23"/>
        <v>0</v>
      </c>
      <c r="N195" t="b">
        <f t="shared" ref="N195:O258" si="24">OR(ISNUMBER(SEARCH("ALL_REGION",$G195)),
ISNUMBER(SEARCH("ALL_AMERICA",$G195)),
ISNUMBER(SEARCH(N$1,$G195)),
ISNUMBER(SEARCH("REGIONTYPE2",$G195)))</f>
        <v>0</v>
      </c>
      <c r="O195" t="b">
        <f t="shared" si="24"/>
        <v>0</v>
      </c>
      <c r="P195" t="b">
        <f t="shared" ref="P195:P258" si="25">OR(ISNUMBER(SEARCH("ALL_REGION",$G195)),
ISNUMBER(SEARCH(P$1,$G195)),
ISNUMBER(SEARCH("REGIONTYPE3",$G195)))</f>
        <v>0</v>
      </c>
    </row>
    <row r="196" spans="1:16">
      <c r="A196" t="str">
        <v>diesel_Finland_VR_Dr12</v>
      </c>
      <c r="B196" t="b" cm="1">
        <f t="array" ref="B196">_xlfn.XLOOKUP(A196,CONTROL[VEHIDCODE],PROPERTIES[EXCLUDE])</f>
        <v>0</v>
      </c>
      <c r="C196">
        <f>FLOOR(_xlfn.XLOOKUP($A196,PROPERTIES[VEHIDCODE],PROPERTIES[INTRODUCTION_YEAR]),20)</f>
        <v>1940</v>
      </c>
      <c r="D196" t="str">
        <f>_xlfn.XLOOKUP($A196,PROPERTIES[VEHIDCODE],PROPERTIES[ROLE])</f>
        <v>Universal</v>
      </c>
      <c r="E196" s="35" t="str">
        <f>_xlfn.XLOOKUP($A196,PROPERTIES[VEHIDCODE],PROPERTIES[REGION1])</f>
        <v>NORTHERN_EUROPE</v>
      </c>
      <c r="F196" s="35" t="str">
        <f>_xlfn.XLOOKUP($A196,PROPERTIES[VEHIDCODE],PROPERTIES[REGION2])</f>
        <v>NO_REGION</v>
      </c>
      <c r="G196" s="35" t="str">
        <f t="shared" si="20"/>
        <v>NORTHERN_EUROPE_NO_REGION</v>
      </c>
      <c r="H196" t="b">
        <f t="shared" si="21"/>
        <v>0</v>
      </c>
      <c r="I196" t="b">
        <f t="shared" si="22"/>
        <v>0</v>
      </c>
      <c r="J196" t="b">
        <f t="shared" si="23"/>
        <v>0</v>
      </c>
      <c r="K196" t="b">
        <f t="shared" si="23"/>
        <v>0</v>
      </c>
      <c r="L196" t="b">
        <f t="shared" si="23"/>
        <v>0</v>
      </c>
      <c r="M196" t="b">
        <f t="shared" si="23"/>
        <v>1</v>
      </c>
      <c r="N196" t="b">
        <f t="shared" si="24"/>
        <v>0</v>
      </c>
      <c r="O196" t="b">
        <f t="shared" si="24"/>
        <v>0</v>
      </c>
      <c r="P196" t="b">
        <f t="shared" si="25"/>
        <v>0</v>
      </c>
    </row>
    <row r="197" spans="1:16">
      <c r="A197" t="str">
        <v>diesel_Romania_CFR_060_DA</v>
      </c>
      <c r="B197" t="b" cm="1">
        <f t="array" ref="B197">_xlfn.XLOOKUP(A197,CONTROL[VEHIDCODE],PROPERTIES[EXCLUDE])</f>
        <v>0</v>
      </c>
      <c r="C197">
        <f>FLOOR(_xlfn.XLOOKUP($A197,PROPERTIES[VEHIDCODE],PROPERTIES[INTRODUCTION_YEAR]),20)</f>
        <v>1940</v>
      </c>
      <c r="D197" t="str">
        <f>_xlfn.XLOOKUP($A197,PROPERTIES[VEHIDCODE],PROPERTIES[ROLE])</f>
        <v>Universal</v>
      </c>
      <c r="E197" s="35" t="str">
        <f>_xlfn.XLOOKUP($A197,PROPERTIES[VEHIDCODE],PROPERTIES[REGION1])</f>
        <v>EASTERN_EUROPE</v>
      </c>
      <c r="F197" s="35" t="str">
        <f>_xlfn.XLOOKUP($A197,PROPERTIES[VEHIDCODE],PROPERTIES[REGION2])</f>
        <v>NO_REGION</v>
      </c>
      <c r="G197" s="35" t="str">
        <f t="shared" si="20"/>
        <v>EASTERN_EUROPE_NO_REGION</v>
      </c>
      <c r="H197" t="b">
        <f t="shared" si="21"/>
        <v>0</v>
      </c>
      <c r="I197" t="b">
        <f t="shared" si="22"/>
        <v>0</v>
      </c>
      <c r="J197" t="b">
        <f t="shared" si="23"/>
        <v>0</v>
      </c>
      <c r="K197" t="b">
        <f t="shared" si="23"/>
        <v>1</v>
      </c>
      <c r="L197" t="b">
        <f t="shared" si="23"/>
        <v>0</v>
      </c>
      <c r="M197" t="b">
        <f t="shared" si="23"/>
        <v>0</v>
      </c>
      <c r="N197" t="b">
        <f t="shared" si="24"/>
        <v>0</v>
      </c>
      <c r="O197" t="b">
        <f t="shared" si="24"/>
        <v>0</v>
      </c>
      <c r="P197" t="b">
        <f t="shared" si="25"/>
        <v>0</v>
      </c>
    </row>
    <row r="198" spans="1:16">
      <c r="A198" t="str">
        <v>diesel_Brazil_BF_EMD_GL8</v>
      </c>
      <c r="B198" t="b" cm="1">
        <f t="array" ref="B198">_xlfn.XLOOKUP(A198,CONTROL[VEHIDCODE],PROPERTIES[EXCLUDE])</f>
        <v>0</v>
      </c>
      <c r="C198">
        <f>FLOOR(_xlfn.XLOOKUP($A198,PROPERTIES[VEHIDCODE],PROPERTIES[INTRODUCTION_YEAR]),20)</f>
        <v>1960</v>
      </c>
      <c r="D198" t="str">
        <f>_xlfn.XLOOKUP($A198,PROPERTIES[VEHIDCODE],PROPERTIES[ROLE])</f>
        <v>Express</v>
      </c>
      <c r="E198" s="35" t="str">
        <f>_xlfn.XLOOKUP($A198,PROPERTIES[VEHIDCODE],PROPERTIES[REGION1])</f>
        <v>SOUTH_AMERICA</v>
      </c>
      <c r="F198" s="35" t="str">
        <f>_xlfn.XLOOKUP($A198,PROPERTIES[VEHIDCODE],PROPERTIES[REGION2])</f>
        <v>NO_REGION</v>
      </c>
      <c r="G198" s="35" t="str">
        <f t="shared" si="20"/>
        <v>SOUTH_AMERICA_NO_REGION</v>
      </c>
      <c r="H198" t="b">
        <f t="shared" si="21"/>
        <v>0</v>
      </c>
      <c r="I198" t="b">
        <f t="shared" si="22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3"/>
        <v>0</v>
      </c>
      <c r="N198" t="b">
        <f t="shared" si="24"/>
        <v>0</v>
      </c>
      <c r="O198" t="b">
        <f t="shared" si="24"/>
        <v>1</v>
      </c>
      <c r="P198" t="b">
        <f t="shared" si="25"/>
        <v>0</v>
      </c>
    </row>
    <row r="199" spans="1:16">
      <c r="A199" t="str">
        <v>diesel_Brazil_EFVM_ML4000</v>
      </c>
      <c r="B199" t="b" cm="1">
        <f t="array" ref="B199">_xlfn.XLOOKUP(A199,CONTROL[VEHIDCODE],PROPERTIES[EXCLUDE])</f>
        <v>0</v>
      </c>
      <c r="C199">
        <f>FLOOR(_xlfn.XLOOKUP($A199,PROPERTIES[VEHIDCODE],PROPERTIES[INTRODUCTION_YEAR]),20)</f>
        <v>1960</v>
      </c>
      <c r="D199" t="str">
        <f>_xlfn.XLOOKUP($A199,PROPERTIES[VEHIDCODE],PROPERTIES[ROLE])</f>
        <v>Heavy Freight</v>
      </c>
      <c r="E199" s="35" t="str">
        <f>_xlfn.XLOOKUP($A199,PROPERTIES[VEHIDCODE],PROPERTIES[REGION1])</f>
        <v>SOUTH_AMERICA</v>
      </c>
      <c r="F199" s="35" t="str">
        <f>_xlfn.XLOOKUP($A199,PROPERTIES[VEHIDCODE],PROPERTIES[REGION2])</f>
        <v>NO_REGION</v>
      </c>
      <c r="G199" s="35" t="str">
        <f t="shared" si="20"/>
        <v>SOUTH_AMERICA_NO_REGION</v>
      </c>
      <c r="H199" t="b">
        <f t="shared" si="21"/>
        <v>0</v>
      </c>
      <c r="I199" t="b">
        <f t="shared" si="22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3"/>
        <v>0</v>
      </c>
      <c r="N199" t="b">
        <f t="shared" si="24"/>
        <v>0</v>
      </c>
      <c r="O199" t="b">
        <f t="shared" si="24"/>
        <v>1</v>
      </c>
      <c r="P199" t="b">
        <f t="shared" si="25"/>
        <v>0</v>
      </c>
    </row>
    <row r="200" spans="1:16">
      <c r="A200" t="str">
        <v>diesel_Russia_RZD_TEP60</v>
      </c>
      <c r="B200" t="b" cm="1">
        <f t="array" ref="B200">_xlfn.XLOOKUP(A200,CONTROL[VEHIDCODE],PROPERTIES[EXCLUDE])</f>
        <v>0</v>
      </c>
      <c r="C200">
        <f>FLOOR(_xlfn.XLOOKUP($A200,PROPERTIES[VEHIDCODE],PROPERTIES[INTRODUCTION_YEAR]),20)</f>
        <v>1960</v>
      </c>
      <c r="D200" t="str">
        <f>_xlfn.XLOOKUP($A200,PROPERTIES[VEHIDCODE],PROPERTIES[ROLE])</f>
        <v>Express</v>
      </c>
      <c r="E200" s="35" t="str">
        <f>_xlfn.XLOOKUP($A200,PROPERTIES[VEHIDCODE],PROPERTIES[REGION1])</f>
        <v>ASIA</v>
      </c>
      <c r="F200" s="35" t="str">
        <f>_xlfn.XLOOKUP($A200,PROPERTIES[VEHIDCODE],PROPERTIES[REGION2])</f>
        <v>NO_REGION</v>
      </c>
      <c r="G200" s="35" t="str">
        <f t="shared" si="20"/>
        <v>ASIA_NO_REGION</v>
      </c>
      <c r="H200" t="b">
        <f t="shared" si="21"/>
        <v>0</v>
      </c>
      <c r="I200" t="b">
        <f t="shared" si="22"/>
        <v>1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3"/>
        <v>0</v>
      </c>
      <c r="N200" t="b">
        <f t="shared" si="24"/>
        <v>0</v>
      </c>
      <c r="O200" t="b">
        <f t="shared" si="24"/>
        <v>0</v>
      </c>
      <c r="P200" t="b">
        <f t="shared" si="25"/>
        <v>0</v>
      </c>
    </row>
    <row r="201" spans="1:16">
      <c r="A201" t="str">
        <v>diesel_Belgium_NMBS_SNCB_62</v>
      </c>
      <c r="B201" t="b" cm="1">
        <f t="array" ref="B201">_xlfn.XLOOKUP(A201,CONTROL[VEHIDCODE],PROPERTIES[EXCLUDE])</f>
        <v>0</v>
      </c>
      <c r="C201">
        <f>FLOOR(_xlfn.XLOOKUP($A201,PROPERTIES[VEHIDCODE],PROPERTIES[INTRODUCTION_YEAR]),20)</f>
        <v>1960</v>
      </c>
      <c r="D201" t="str">
        <f>_xlfn.XLOOKUP($A201,PROPERTIES[VEHIDCODE],PROPERTIES[ROLE])</f>
        <v>Universal</v>
      </c>
      <c r="E201" s="35" t="str">
        <f>_xlfn.XLOOKUP($A201,PROPERTIES[VEHIDCODE],PROPERTIES[REGION1])</f>
        <v>WESTERN_EUROPE</v>
      </c>
      <c r="F201" s="35" t="str">
        <f>_xlfn.XLOOKUP($A201,PROPERTIES[VEHIDCODE],PROPERTIES[REGION2])</f>
        <v>NO_REGION</v>
      </c>
      <c r="G201" s="35" t="str">
        <f t="shared" si="20"/>
        <v>WESTERN_EUROPE_NO_REGION</v>
      </c>
      <c r="H201" t="b">
        <f t="shared" si="21"/>
        <v>0</v>
      </c>
      <c r="I201" t="b">
        <f t="shared" si="22"/>
        <v>0</v>
      </c>
      <c r="J201" t="b">
        <f t="shared" si="23"/>
        <v>0</v>
      </c>
      <c r="K201" t="b">
        <f t="shared" si="23"/>
        <v>0</v>
      </c>
      <c r="L201" t="b">
        <f t="shared" si="23"/>
        <v>1</v>
      </c>
      <c r="M201" t="b">
        <f t="shared" si="23"/>
        <v>0</v>
      </c>
      <c r="N201" t="b">
        <f t="shared" si="24"/>
        <v>0</v>
      </c>
      <c r="O201" t="b">
        <f t="shared" si="24"/>
        <v>0</v>
      </c>
      <c r="P201" t="b">
        <f t="shared" si="25"/>
        <v>0</v>
      </c>
    </row>
    <row r="202" spans="1:16">
      <c r="A202" t="str">
        <v>diesel_Denmark_DSB_MaK_100</v>
      </c>
      <c r="B202" t="b" cm="1">
        <f t="array" ref="B202">_xlfn.XLOOKUP(A202,CONTROL[VEHIDCODE],PROPERTIES[EXCLUDE])</f>
        <v>0</v>
      </c>
      <c r="C202">
        <f>FLOOR(_xlfn.XLOOKUP($A202,PROPERTIES[VEHIDCODE],PROPERTIES[INTRODUCTION_YEAR]),20)</f>
        <v>1960</v>
      </c>
      <c r="D202" t="str">
        <f>_xlfn.XLOOKUP($A202,PROPERTIES[VEHIDCODE],PROPERTIES[ROLE])</f>
        <v>Shunting</v>
      </c>
      <c r="E202" s="35" t="str">
        <f>_xlfn.XLOOKUP($A202,PROPERTIES[VEHIDCODE],PROPERTIES[REGION1])</f>
        <v>NORTHERN_EUROPE</v>
      </c>
      <c r="F202" s="35" t="str">
        <f>_xlfn.XLOOKUP($A202,PROPERTIES[VEHIDCODE],PROPERTIES[REGION2])</f>
        <v>NO_REGION</v>
      </c>
      <c r="G202" s="35" t="str">
        <f t="shared" si="20"/>
        <v>NORTHERN_EUROPE_NO_REGION</v>
      </c>
      <c r="H202" t="b">
        <f t="shared" si="21"/>
        <v>0</v>
      </c>
      <c r="I202" t="b">
        <f t="shared" si="22"/>
        <v>0</v>
      </c>
      <c r="J202" t="b">
        <f t="shared" si="23"/>
        <v>0</v>
      </c>
      <c r="K202" t="b">
        <f t="shared" si="23"/>
        <v>0</v>
      </c>
      <c r="L202" t="b">
        <f t="shared" si="23"/>
        <v>0</v>
      </c>
      <c r="M202" t="b">
        <f t="shared" si="23"/>
        <v>1</v>
      </c>
      <c r="N202" t="b">
        <f t="shared" si="24"/>
        <v>0</v>
      </c>
      <c r="O202" t="b">
        <f t="shared" si="24"/>
        <v>0</v>
      </c>
      <c r="P202" t="b">
        <f t="shared" si="25"/>
        <v>0</v>
      </c>
    </row>
    <row r="203" spans="1:16">
      <c r="A203" t="str">
        <v>diesel_India_Indian_Railways_WDM_2</v>
      </c>
      <c r="B203" t="b" cm="1">
        <f t="array" ref="B203">_xlfn.XLOOKUP(A203,CONTROL[VEHIDCODE],PROPERTIES[EXCLUDE])</f>
        <v>0</v>
      </c>
      <c r="C203">
        <f>FLOOR(_xlfn.XLOOKUP($A203,PROPERTIES[VEHIDCODE],PROPERTIES[INTRODUCTION_YEAR]),20)</f>
        <v>1960</v>
      </c>
      <c r="D203" t="str">
        <f>_xlfn.XLOOKUP($A203,PROPERTIES[VEHIDCODE],PROPERTIES[ROLE])</f>
        <v>Universal</v>
      </c>
      <c r="E203" s="35" t="str">
        <f>_xlfn.XLOOKUP($A203,PROPERTIES[VEHIDCODE],PROPERTIES[REGION1])</f>
        <v>ASIA</v>
      </c>
      <c r="F203" s="35" t="str">
        <f>_xlfn.XLOOKUP($A203,PROPERTIES[VEHIDCODE],PROPERTIES[REGION2])</f>
        <v>NO_REGION</v>
      </c>
      <c r="G203" s="35" t="str">
        <f t="shared" si="20"/>
        <v>ASIA_NO_REGION</v>
      </c>
      <c r="H203" t="b">
        <f t="shared" si="21"/>
        <v>0</v>
      </c>
      <c r="I203" t="b">
        <f t="shared" si="22"/>
        <v>1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3"/>
        <v>0</v>
      </c>
      <c r="N203" t="b">
        <f t="shared" si="24"/>
        <v>0</v>
      </c>
      <c r="O203" t="b">
        <f t="shared" si="24"/>
        <v>0</v>
      </c>
      <c r="P203" t="b">
        <f t="shared" si="25"/>
        <v>0</v>
      </c>
    </row>
    <row r="204" spans="1:16">
      <c r="A204" t="str">
        <v>diesel_UK_BR_14</v>
      </c>
      <c r="B204" t="b" cm="1">
        <f t="array" ref="B204">_xlfn.XLOOKUP(A204,CONTROL[VEHIDCODE],PROPERTIES[EXCLUDE])</f>
        <v>0</v>
      </c>
      <c r="C204">
        <f>FLOOR(_xlfn.XLOOKUP($A204,PROPERTIES[VEHIDCODE],PROPERTIES[INTRODUCTION_YEAR]),20)</f>
        <v>1960</v>
      </c>
      <c r="D204" t="str">
        <f>_xlfn.XLOOKUP($A204,PROPERTIES[VEHIDCODE],PROPERTIES[ROLE])</f>
        <v>Universal</v>
      </c>
      <c r="E204" s="35" t="str">
        <f>_xlfn.XLOOKUP($A204,PROPERTIES[VEHIDCODE],PROPERTIES[REGION1])</f>
        <v>NORTHERN_EUROPE</v>
      </c>
      <c r="F204" s="35" t="str">
        <f>_xlfn.XLOOKUP($A204,PROPERTIES[VEHIDCODE],PROPERTIES[REGION2])</f>
        <v>NO_REGION</v>
      </c>
      <c r="G204" s="35" t="str">
        <f t="shared" si="20"/>
        <v>NORTHERN_EUROPE_NO_REGION</v>
      </c>
      <c r="H204" t="b">
        <f t="shared" si="21"/>
        <v>0</v>
      </c>
      <c r="I204" t="b">
        <f t="shared" si="22"/>
        <v>0</v>
      </c>
      <c r="J204" t="b">
        <f t="shared" si="23"/>
        <v>0</v>
      </c>
      <c r="K204" t="b">
        <f t="shared" si="23"/>
        <v>0</v>
      </c>
      <c r="L204" t="b">
        <f t="shared" si="23"/>
        <v>0</v>
      </c>
      <c r="M204" t="b">
        <f t="shared" si="23"/>
        <v>1</v>
      </c>
      <c r="N204" t="b">
        <f t="shared" si="24"/>
        <v>0</v>
      </c>
      <c r="O204" t="b">
        <f t="shared" si="24"/>
        <v>0</v>
      </c>
      <c r="P204" t="b">
        <f t="shared" si="25"/>
        <v>0</v>
      </c>
    </row>
    <row r="205" spans="1:16">
      <c r="A205" t="str">
        <v>diesel_Russia_RZD_ChME3</v>
      </c>
      <c r="B205" t="b" cm="1">
        <f t="array" ref="B205">_xlfn.XLOOKUP(A205,CONTROL[VEHIDCODE],PROPERTIES[EXCLUDE])</f>
        <v>0</v>
      </c>
      <c r="C205">
        <f>FLOOR(_xlfn.XLOOKUP($A205,PROPERTIES[VEHIDCODE],PROPERTIES[INTRODUCTION_YEAR]),20)</f>
        <v>1960</v>
      </c>
      <c r="D205" t="str">
        <f>_xlfn.XLOOKUP($A205,PROPERTIES[VEHIDCODE],PROPERTIES[ROLE])</f>
        <v>Universal</v>
      </c>
      <c r="E205" s="35" t="str">
        <f>_xlfn.XLOOKUP($A205,PROPERTIES[VEHIDCODE],PROPERTIES[REGION1])</f>
        <v>ASIA</v>
      </c>
      <c r="F205" s="35" t="str">
        <f>_xlfn.XLOOKUP($A205,PROPERTIES[VEHIDCODE],PROPERTIES[REGION2])</f>
        <v>NO_REGION</v>
      </c>
      <c r="G205" s="35" t="str">
        <f t="shared" si="20"/>
        <v>ASIA_NO_REGION</v>
      </c>
      <c r="H205" t="b">
        <f t="shared" si="21"/>
        <v>0</v>
      </c>
      <c r="I205" t="b">
        <f t="shared" si="22"/>
        <v>1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3"/>
        <v>0</v>
      </c>
      <c r="N205" t="b">
        <f t="shared" si="24"/>
        <v>0</v>
      </c>
      <c r="O205" t="b">
        <f t="shared" si="24"/>
        <v>0</v>
      </c>
      <c r="P205" t="b">
        <f t="shared" si="25"/>
        <v>0</v>
      </c>
    </row>
    <row r="206" spans="1:16">
      <c r="A206" t="str">
        <v>diesel_Argentina_MF_GM_EMD_J16CW_AC</v>
      </c>
      <c r="B206" t="b" cm="1">
        <f t="array" ref="B206">_xlfn.XLOOKUP(A206,CONTROL[VEHIDCODE],PROPERTIES[EXCLUDE])</f>
        <v>0</v>
      </c>
      <c r="C206">
        <f>FLOOR(_xlfn.XLOOKUP($A206,PROPERTIES[VEHIDCODE],PROPERTIES[INTRODUCTION_YEAR]),20)</f>
        <v>1980</v>
      </c>
      <c r="D206" t="str">
        <f>_xlfn.XLOOKUP($A206,PROPERTIES[VEHIDCODE],PROPERTIES[ROLE])</f>
        <v>Universal</v>
      </c>
      <c r="E206" s="35" t="str">
        <f>_xlfn.XLOOKUP($A206,PROPERTIES[VEHIDCODE],PROPERTIES[REGION1])</f>
        <v>SOUTH_AMERICA</v>
      </c>
      <c r="F206" s="35" t="str">
        <f>_xlfn.XLOOKUP($A206,PROPERTIES[VEHIDCODE],PROPERTIES[REGION2])</f>
        <v>NO_REGION</v>
      </c>
      <c r="G206" s="35" t="str">
        <f t="shared" si="20"/>
        <v>SOUTH_AMERICA_NO_REGION</v>
      </c>
      <c r="H206" t="b">
        <f t="shared" si="21"/>
        <v>0</v>
      </c>
      <c r="I206" t="b">
        <f t="shared" si="22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3"/>
        <v>0</v>
      </c>
      <c r="N206" t="b">
        <f t="shared" si="24"/>
        <v>0</v>
      </c>
      <c r="O206" t="b">
        <f t="shared" si="24"/>
        <v>1</v>
      </c>
      <c r="P206" t="b">
        <f t="shared" si="25"/>
        <v>0</v>
      </c>
    </row>
    <row r="207" spans="1:16">
      <c r="A207" t="str">
        <v>diesel_Russia_RZD_M62</v>
      </c>
      <c r="B207" t="b" cm="1">
        <f t="array" ref="B207">_xlfn.XLOOKUP(A207,CONTROL[VEHIDCODE],PROPERTIES[EXCLUDE])</f>
        <v>0</v>
      </c>
      <c r="C207">
        <f>FLOOR(_xlfn.XLOOKUP($A207,PROPERTIES[VEHIDCODE],PROPERTIES[INTRODUCTION_YEAR]),20)</f>
        <v>1960</v>
      </c>
      <c r="D207" t="str">
        <f>_xlfn.XLOOKUP($A207,PROPERTIES[VEHIDCODE],PROPERTIES[ROLE])</f>
        <v>Universal</v>
      </c>
      <c r="E207" s="35" t="str">
        <f>_xlfn.XLOOKUP($A207,PROPERTIES[VEHIDCODE],PROPERTIES[REGION1])</f>
        <v>ASIA</v>
      </c>
      <c r="F207" s="35" t="str">
        <f>_xlfn.XLOOKUP($A207,PROPERTIES[VEHIDCODE],PROPERTIES[REGION2])</f>
        <v>NO_REGION</v>
      </c>
      <c r="G207" s="35" t="str">
        <f t="shared" si="20"/>
        <v>ASIA_NO_REGION</v>
      </c>
      <c r="H207" t="b">
        <f t="shared" si="21"/>
        <v>0</v>
      </c>
      <c r="I207" t="b">
        <f t="shared" si="22"/>
        <v>1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3"/>
        <v>0</v>
      </c>
      <c r="N207" t="b">
        <f t="shared" si="24"/>
        <v>0</v>
      </c>
      <c r="O207" t="b">
        <f t="shared" si="24"/>
        <v>0</v>
      </c>
      <c r="P207" t="b">
        <f t="shared" si="25"/>
        <v>0</v>
      </c>
    </row>
    <row r="208" spans="1:16">
      <c r="A208" t="str">
        <v>diesel_Australia_NSWGR_422</v>
      </c>
      <c r="B208" t="b" cm="1">
        <f t="array" ref="B208">_xlfn.XLOOKUP(A208,CONTROL[VEHIDCODE],PROPERTIES[EXCLUDE])</f>
        <v>0</v>
      </c>
      <c r="C208">
        <f>FLOOR(_xlfn.XLOOKUP($A208,PROPERTIES[VEHIDCODE],PROPERTIES[INTRODUCTION_YEAR]),20)</f>
        <v>1960</v>
      </c>
      <c r="D208" t="str">
        <f>_xlfn.XLOOKUP($A208,PROPERTIES[VEHIDCODE],PROPERTIES[ROLE])</f>
        <v>Universal</v>
      </c>
      <c r="E208" s="35" t="str">
        <f>_xlfn.XLOOKUP($A208,PROPERTIES[VEHIDCODE],PROPERTIES[REGION1])</f>
        <v>OCEANIA</v>
      </c>
      <c r="F208" s="35" t="str">
        <f>_xlfn.XLOOKUP($A208,PROPERTIES[VEHIDCODE],PROPERTIES[REGION2])</f>
        <v>NO_REGION</v>
      </c>
      <c r="G208" s="35" t="str">
        <f t="shared" si="20"/>
        <v>OCEANIA_NO_REGION</v>
      </c>
      <c r="H208" t="b">
        <f t="shared" si="21"/>
        <v>0</v>
      </c>
      <c r="I208" t="b">
        <f t="shared" si="22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3"/>
        <v>0</v>
      </c>
      <c r="N208" t="b">
        <f t="shared" si="24"/>
        <v>0</v>
      </c>
      <c r="O208" t="b">
        <f t="shared" si="24"/>
        <v>0</v>
      </c>
      <c r="P208" t="b">
        <f t="shared" si="25"/>
        <v>1</v>
      </c>
    </row>
    <row r="209" spans="1:16">
      <c r="A209" t="str">
        <v>diesel_Egypt_ENR_G22W</v>
      </c>
      <c r="B209" t="b" cm="1">
        <f t="array" ref="B209">_xlfn.XLOOKUP(A209,CONTROL[VEHIDCODE],PROPERTIES[EXCLUDE])</f>
        <v>0</v>
      </c>
      <c r="C209">
        <f>FLOOR(_xlfn.XLOOKUP($A209,PROPERTIES[VEHIDCODE],PROPERTIES[INTRODUCTION_YEAR]),20)</f>
        <v>1960</v>
      </c>
      <c r="D209" t="str">
        <f>_xlfn.XLOOKUP($A209,PROPERTIES[VEHIDCODE],PROPERTIES[ROLE])</f>
        <v>Universal</v>
      </c>
      <c r="E209" s="35" t="str">
        <f>_xlfn.XLOOKUP($A209,PROPERTIES[VEHIDCODE],PROPERTIES[REGION1])</f>
        <v>AFRICA</v>
      </c>
      <c r="F209" s="35" t="str">
        <f>_xlfn.XLOOKUP($A209,PROPERTIES[VEHIDCODE],PROPERTIES[REGION2])</f>
        <v>NO_REGION</v>
      </c>
      <c r="G209" s="35" t="str">
        <f t="shared" si="20"/>
        <v>AFRICA_NO_REGION</v>
      </c>
      <c r="H209" t="b">
        <f t="shared" si="21"/>
        <v>1</v>
      </c>
      <c r="I209" t="b">
        <f t="shared" si="22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3"/>
        <v>0</v>
      </c>
      <c r="N209" t="b">
        <f t="shared" si="24"/>
        <v>0</v>
      </c>
      <c r="O209" t="b">
        <f t="shared" si="24"/>
        <v>0</v>
      </c>
      <c r="P209" t="b">
        <f t="shared" si="25"/>
        <v>0</v>
      </c>
    </row>
    <row r="210" spans="1:16">
      <c r="A210" t="str">
        <v>diesel_USA_UP_EMD_DDA40X</v>
      </c>
      <c r="B210" t="b" cm="1">
        <f t="array" ref="B210">_xlfn.XLOOKUP(A210,CONTROL[VEHIDCODE],PROPERTIES[EXCLUDE])</f>
        <v>0</v>
      </c>
      <c r="C210">
        <f>FLOOR(_xlfn.XLOOKUP($A210,PROPERTIES[VEHIDCODE],PROPERTIES[INTRODUCTION_YEAR]),20)</f>
        <v>1960</v>
      </c>
      <c r="D210" t="str">
        <f>_xlfn.XLOOKUP($A210,PROPERTIES[VEHIDCODE],PROPERTIES[ROLE])</f>
        <v>Universal</v>
      </c>
      <c r="E210" s="35" t="str">
        <f>_xlfn.XLOOKUP($A210,PROPERTIES[VEHIDCODE],PROPERTIES[REGION1])</f>
        <v>NORTH_AMERICA</v>
      </c>
      <c r="F210" s="35" t="str">
        <f>_xlfn.XLOOKUP($A210,PROPERTIES[VEHIDCODE],PROPERTIES[REGION2])</f>
        <v>NO_REGION</v>
      </c>
      <c r="G210" s="35" t="str">
        <f t="shared" si="20"/>
        <v>NORTH_AMERICA_NO_REGION</v>
      </c>
      <c r="H210" t="b">
        <f t="shared" si="21"/>
        <v>0</v>
      </c>
      <c r="I210" t="b">
        <f t="shared" si="22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3"/>
        <v>0</v>
      </c>
      <c r="N210" t="b">
        <f t="shared" si="24"/>
        <v>1</v>
      </c>
      <c r="O210" t="b">
        <f t="shared" si="24"/>
        <v>0</v>
      </c>
      <c r="P210" t="b">
        <f t="shared" si="25"/>
        <v>0</v>
      </c>
    </row>
    <row r="211" spans="1:16">
      <c r="A211" t="str">
        <v>diesel_Australia_Queensland_Rail_2100</v>
      </c>
      <c r="B211" t="b" cm="1">
        <f t="array" ref="B211">_xlfn.XLOOKUP(A211,CONTROL[VEHIDCODE],PROPERTIES[EXCLUDE])</f>
        <v>0</v>
      </c>
      <c r="C211">
        <f>FLOOR(_xlfn.XLOOKUP($A211,PROPERTIES[VEHIDCODE],PROPERTIES[INTRODUCTION_YEAR]),20)</f>
        <v>1960</v>
      </c>
      <c r="D211" t="str">
        <f>_xlfn.XLOOKUP($A211,PROPERTIES[VEHIDCODE],PROPERTIES[ROLE])</f>
        <v>Universal</v>
      </c>
      <c r="E211" s="35" t="str">
        <f>_xlfn.XLOOKUP($A211,PROPERTIES[VEHIDCODE],PROPERTIES[REGION1])</f>
        <v>OCEANIA</v>
      </c>
      <c r="F211" s="35" t="str">
        <f>_xlfn.XLOOKUP($A211,PROPERTIES[VEHIDCODE],PROPERTIES[REGION2])</f>
        <v>NO_REGION</v>
      </c>
      <c r="G211" s="35" t="str">
        <f t="shared" si="20"/>
        <v>OCEANIA_NO_REGION</v>
      </c>
      <c r="H211" t="b">
        <f t="shared" si="21"/>
        <v>0</v>
      </c>
      <c r="I211" t="b">
        <f t="shared" si="22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3"/>
        <v>0</v>
      </c>
      <c r="N211" t="b">
        <f t="shared" si="24"/>
        <v>0</v>
      </c>
      <c r="O211" t="b">
        <f t="shared" si="24"/>
        <v>0</v>
      </c>
      <c r="P211" t="b">
        <f t="shared" si="25"/>
        <v>1</v>
      </c>
    </row>
    <row r="212" spans="1:16">
      <c r="A212" t="str">
        <v>diesel_Croatia_HZ_2062</v>
      </c>
      <c r="B212" t="b" cm="1">
        <f t="array" ref="B212">_xlfn.XLOOKUP(A212,CONTROL[VEHIDCODE],PROPERTIES[EXCLUDE])</f>
        <v>0</v>
      </c>
      <c r="C212">
        <f>FLOOR(_xlfn.XLOOKUP($A212,PROPERTIES[VEHIDCODE],PROPERTIES[INTRODUCTION_YEAR]),20)</f>
        <v>1960</v>
      </c>
      <c r="D212" t="str">
        <f>_xlfn.XLOOKUP($A212,PROPERTIES[VEHIDCODE],PROPERTIES[ROLE])</f>
        <v>Universal</v>
      </c>
      <c r="E212" s="35" t="str">
        <f>_xlfn.XLOOKUP($A212,PROPERTIES[VEHIDCODE],PROPERTIES[REGION1])</f>
        <v>EASTERN_EUROPE</v>
      </c>
      <c r="F212" s="35" t="str">
        <f>_xlfn.XLOOKUP($A212,PROPERTIES[VEHIDCODE],PROPERTIES[REGION2])</f>
        <v>NO_REGION</v>
      </c>
      <c r="G212" s="35" t="str">
        <f t="shared" si="20"/>
        <v>EASTERN_EUROPE_NO_REGION</v>
      </c>
      <c r="H212" t="b">
        <f t="shared" si="21"/>
        <v>0</v>
      </c>
      <c r="I212" t="b">
        <f t="shared" si="22"/>
        <v>0</v>
      </c>
      <c r="J212" t="b">
        <f t="shared" si="23"/>
        <v>0</v>
      </c>
      <c r="K212" t="b">
        <f t="shared" si="23"/>
        <v>1</v>
      </c>
      <c r="L212" t="b">
        <f t="shared" si="23"/>
        <v>0</v>
      </c>
      <c r="M212" t="b">
        <f t="shared" si="23"/>
        <v>0</v>
      </c>
      <c r="N212" t="b">
        <f t="shared" si="24"/>
        <v>0</v>
      </c>
      <c r="O212" t="b">
        <f t="shared" si="24"/>
        <v>0</v>
      </c>
      <c r="P212" t="b">
        <f t="shared" si="25"/>
        <v>0</v>
      </c>
    </row>
    <row r="213" spans="1:16">
      <c r="A213" t="str">
        <v>diesel_Sweden_SJ_V4</v>
      </c>
      <c r="B213" t="b" cm="1">
        <f t="array" ref="B213">_xlfn.XLOOKUP(A213,CONTROL[VEHIDCODE],PROPERTIES[EXCLUDE])</f>
        <v>0</v>
      </c>
      <c r="C213">
        <f>FLOOR(_xlfn.XLOOKUP($A213,PROPERTIES[VEHIDCODE],PROPERTIES[INTRODUCTION_YEAR]),20)</f>
        <v>1960</v>
      </c>
      <c r="D213" t="str">
        <f>_xlfn.XLOOKUP($A213,PROPERTIES[VEHIDCODE],PROPERTIES[ROLE])</f>
        <v>Universal</v>
      </c>
      <c r="E213" s="35" t="str">
        <f>_xlfn.XLOOKUP($A213,PROPERTIES[VEHIDCODE],PROPERTIES[REGION1])</f>
        <v>NORTHERN_EUROPE</v>
      </c>
      <c r="F213" s="35" t="str">
        <f>_xlfn.XLOOKUP($A213,PROPERTIES[VEHIDCODE],PROPERTIES[REGION2])</f>
        <v>NO_REGION</v>
      </c>
      <c r="G213" s="35" t="str">
        <f t="shared" si="20"/>
        <v>NORTHERN_EUROPE_NO_REGION</v>
      </c>
      <c r="H213" t="b">
        <f t="shared" si="21"/>
        <v>0</v>
      </c>
      <c r="I213" t="b">
        <f t="shared" si="22"/>
        <v>0</v>
      </c>
      <c r="J213" t="b">
        <f t="shared" si="23"/>
        <v>0</v>
      </c>
      <c r="K213" t="b">
        <f t="shared" si="23"/>
        <v>0</v>
      </c>
      <c r="L213" t="b">
        <f t="shared" si="23"/>
        <v>0</v>
      </c>
      <c r="M213" t="b">
        <f t="shared" si="23"/>
        <v>1</v>
      </c>
      <c r="N213" t="b">
        <f t="shared" si="24"/>
        <v>0</v>
      </c>
      <c r="O213" t="b">
        <f t="shared" si="24"/>
        <v>0</v>
      </c>
      <c r="P213" t="b">
        <f t="shared" si="25"/>
        <v>0</v>
      </c>
    </row>
    <row r="214" spans="1:16">
      <c r="A214" t="str">
        <v>diesel_Canada_CNR_MLW_M420W</v>
      </c>
      <c r="B214" t="b" cm="1">
        <f t="array" ref="B214">_xlfn.XLOOKUP(A214,CONTROL[VEHIDCODE],PROPERTIES[EXCLUDE])</f>
        <v>0</v>
      </c>
      <c r="C214">
        <f>FLOOR(_xlfn.XLOOKUP($A214,PROPERTIES[VEHIDCODE],PROPERTIES[INTRODUCTION_YEAR]),20)</f>
        <v>1960</v>
      </c>
      <c r="D214" t="str">
        <f>_xlfn.XLOOKUP($A214,PROPERTIES[VEHIDCODE],PROPERTIES[ROLE])</f>
        <v>Universal</v>
      </c>
      <c r="E214" s="35" t="str">
        <f>_xlfn.XLOOKUP($A214,PROPERTIES[VEHIDCODE],PROPERTIES[REGION1])</f>
        <v>NORTH_AMERICA</v>
      </c>
      <c r="F214" s="35" t="str">
        <f>_xlfn.XLOOKUP($A214,PROPERTIES[VEHIDCODE],PROPERTIES[REGION2])</f>
        <v>NO_REGION</v>
      </c>
      <c r="G214" s="35" t="str">
        <f t="shared" si="20"/>
        <v>NORTH_AMERICA_NO_REGION</v>
      </c>
      <c r="H214" t="b">
        <f t="shared" si="21"/>
        <v>0</v>
      </c>
      <c r="I214" t="b">
        <f t="shared" si="22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3"/>
        <v>0</v>
      </c>
      <c r="N214" t="b">
        <f t="shared" si="24"/>
        <v>1</v>
      </c>
      <c r="O214" t="b">
        <f t="shared" si="24"/>
        <v>0</v>
      </c>
      <c r="P214" t="b">
        <f t="shared" si="25"/>
        <v>0</v>
      </c>
    </row>
    <row r="215" spans="1:16">
      <c r="A215" t="str">
        <v>diesel_USA_Amtrak_SDP_40F</v>
      </c>
      <c r="B215" t="b" cm="1">
        <f t="array" ref="B215">_xlfn.XLOOKUP(A215,CONTROL[VEHIDCODE],PROPERTIES[EXCLUDE])</f>
        <v>0</v>
      </c>
      <c r="C215">
        <f>FLOOR(_xlfn.XLOOKUP($A215,PROPERTIES[VEHIDCODE],PROPERTIES[INTRODUCTION_YEAR]),20)</f>
        <v>1960</v>
      </c>
      <c r="D215" t="str">
        <f>_xlfn.XLOOKUP($A215,PROPERTIES[VEHIDCODE],PROPERTIES[ROLE])</f>
        <v>Universal</v>
      </c>
      <c r="E215" s="35" t="str">
        <f>_xlfn.XLOOKUP($A215,PROPERTIES[VEHIDCODE],PROPERTIES[REGION1])</f>
        <v>NORTH_AMERICA</v>
      </c>
      <c r="F215" s="35" t="str">
        <f>_xlfn.XLOOKUP($A215,PROPERTIES[VEHIDCODE],PROPERTIES[REGION2])</f>
        <v>NO_REGION</v>
      </c>
      <c r="G215" s="35" t="str">
        <f t="shared" si="20"/>
        <v>NORTH_AMERICA_NO_REGION</v>
      </c>
      <c r="H215" t="b">
        <f t="shared" si="21"/>
        <v>0</v>
      </c>
      <c r="I215" t="b">
        <f t="shared" si="22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3"/>
        <v>0</v>
      </c>
      <c r="N215" t="b">
        <f t="shared" si="24"/>
        <v>1</v>
      </c>
      <c r="O215" t="b">
        <f t="shared" si="24"/>
        <v>0</v>
      </c>
      <c r="P215" t="b">
        <f t="shared" si="25"/>
        <v>0</v>
      </c>
    </row>
    <row r="216" spans="1:16">
      <c r="A216" t="str">
        <v>diesel_China_China_Railways_DFH3</v>
      </c>
      <c r="B216" t="b" cm="1">
        <f t="array" ref="B216">_xlfn.XLOOKUP(A216,CONTROL[VEHIDCODE],PROPERTIES[EXCLUDE])</f>
        <v>0</v>
      </c>
      <c r="C216">
        <f>FLOOR(_xlfn.XLOOKUP($A216,PROPERTIES[VEHIDCODE],PROPERTIES[INTRODUCTION_YEAR]),20)</f>
        <v>1960</v>
      </c>
      <c r="D216" t="str">
        <f>_xlfn.XLOOKUP($A216,PROPERTIES[VEHIDCODE],PROPERTIES[ROLE])</f>
        <v>Universal</v>
      </c>
      <c r="E216" s="35" t="str">
        <f>_xlfn.XLOOKUP($A216,PROPERTIES[VEHIDCODE],PROPERTIES[REGION1])</f>
        <v>ASIA</v>
      </c>
      <c r="F216" s="35" t="str">
        <f>_xlfn.XLOOKUP($A216,PROPERTIES[VEHIDCODE],PROPERTIES[REGION2])</f>
        <v>NO_REGION</v>
      </c>
      <c r="G216" s="35" t="str">
        <f t="shared" si="20"/>
        <v>ASIA_NO_REGION</v>
      </c>
      <c r="H216" t="b">
        <f t="shared" si="21"/>
        <v>0</v>
      </c>
      <c r="I216" t="b">
        <f t="shared" si="22"/>
        <v>1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3"/>
        <v>0</v>
      </c>
      <c r="N216" t="b">
        <f t="shared" si="24"/>
        <v>0</v>
      </c>
      <c r="O216" t="b">
        <f t="shared" si="24"/>
        <v>0</v>
      </c>
      <c r="P216" t="b">
        <f t="shared" si="25"/>
        <v>0</v>
      </c>
    </row>
    <row r="217" spans="1:16">
      <c r="A217" t="str">
        <v>diesel_Panama_Panama_Canal_Railway_EMD_F40PH</v>
      </c>
      <c r="B217" t="b" cm="1">
        <f t="array" ref="B217">_xlfn.XLOOKUP(A217,CONTROL[VEHIDCODE],PROPERTIES[EXCLUDE])</f>
        <v>0</v>
      </c>
      <c r="C217">
        <f>FLOOR(_xlfn.XLOOKUP($A217,PROPERTIES[VEHIDCODE],PROPERTIES[INTRODUCTION_YEAR]),20)</f>
        <v>2000</v>
      </c>
      <c r="D217" t="str">
        <f>_xlfn.XLOOKUP($A217,PROPERTIES[VEHIDCODE],PROPERTIES[ROLE])</f>
        <v>Express</v>
      </c>
      <c r="E217" s="35" t="str">
        <f>_xlfn.XLOOKUP($A217,PROPERTIES[VEHIDCODE],PROPERTIES[REGION1])</f>
        <v>NORTH_AMERICA</v>
      </c>
      <c r="F217" s="35" t="str">
        <f>_xlfn.XLOOKUP($A217,PROPERTIES[VEHIDCODE],PROPERTIES[REGION2])</f>
        <v>NO_REGION</v>
      </c>
      <c r="G217" s="35" t="str">
        <f t="shared" si="20"/>
        <v>NORTH_AMERICA_NO_REGION</v>
      </c>
      <c r="H217" t="b">
        <f t="shared" si="21"/>
        <v>0</v>
      </c>
      <c r="I217" t="b">
        <f t="shared" si="22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3"/>
        <v>0</v>
      </c>
      <c r="N217" t="b">
        <f t="shared" si="24"/>
        <v>1</v>
      </c>
      <c r="O217" t="b">
        <f t="shared" si="24"/>
        <v>0</v>
      </c>
      <c r="P217" t="b">
        <f t="shared" si="25"/>
        <v>0</v>
      </c>
    </row>
    <row r="218" spans="1:16">
      <c r="A218" t="str">
        <v>diesel_Portugal_CP_1900</v>
      </c>
      <c r="B218" t="b" cm="1">
        <f t="array" ref="B218">_xlfn.XLOOKUP(A218,CONTROL[VEHIDCODE],PROPERTIES[EXCLUDE])</f>
        <v>0</v>
      </c>
      <c r="C218">
        <f>FLOOR(_xlfn.XLOOKUP($A218,PROPERTIES[VEHIDCODE],PROPERTIES[INTRODUCTION_YEAR]),20)</f>
        <v>1980</v>
      </c>
      <c r="D218" t="str">
        <f>_xlfn.XLOOKUP($A218,PROPERTIES[VEHIDCODE],PROPERTIES[ROLE])</f>
        <v>Universal</v>
      </c>
      <c r="E218" s="35" t="str">
        <f>_xlfn.XLOOKUP($A218,PROPERTIES[VEHIDCODE],PROPERTIES[REGION1])</f>
        <v>SOUTHERN_EUROPE</v>
      </c>
      <c r="F218" s="35" t="str">
        <f>_xlfn.XLOOKUP($A218,PROPERTIES[VEHIDCODE],PROPERTIES[REGION2])</f>
        <v>NO_REGION</v>
      </c>
      <c r="G218" s="35" t="str">
        <f t="shared" si="20"/>
        <v>SOUTHERN_EUROPE_NO_REGION</v>
      </c>
      <c r="H218" t="b">
        <f t="shared" si="21"/>
        <v>0</v>
      </c>
      <c r="I218" t="b">
        <f t="shared" si="22"/>
        <v>0</v>
      </c>
      <c r="J218" t="b">
        <f t="shared" si="23"/>
        <v>1</v>
      </c>
      <c r="K218" t="b">
        <f t="shared" si="23"/>
        <v>0</v>
      </c>
      <c r="L218" t="b">
        <f t="shared" si="23"/>
        <v>0</v>
      </c>
      <c r="M218" t="b">
        <f t="shared" si="23"/>
        <v>0</v>
      </c>
      <c r="N218" t="b">
        <f t="shared" si="24"/>
        <v>0</v>
      </c>
      <c r="O218" t="b">
        <f t="shared" si="24"/>
        <v>0</v>
      </c>
      <c r="P218" t="b">
        <f t="shared" si="25"/>
        <v>0</v>
      </c>
    </row>
    <row r="219" spans="1:16">
      <c r="A219" t="str">
        <v>diesel_Finland_VR_Dr16</v>
      </c>
      <c r="B219" t="b" cm="1">
        <f t="array" ref="B219">_xlfn.XLOOKUP(A219,CONTROL[VEHIDCODE],PROPERTIES[EXCLUDE])</f>
        <v>0</v>
      </c>
      <c r="C219">
        <f>FLOOR(_xlfn.XLOOKUP($A219,PROPERTIES[VEHIDCODE],PROPERTIES[INTRODUCTION_YEAR]),20)</f>
        <v>1980</v>
      </c>
      <c r="D219" t="str">
        <f>_xlfn.XLOOKUP($A219,PROPERTIES[VEHIDCODE],PROPERTIES[ROLE])</f>
        <v>Universal</v>
      </c>
      <c r="E219" s="35" t="str">
        <f>_xlfn.XLOOKUP($A219,PROPERTIES[VEHIDCODE],PROPERTIES[REGION1])</f>
        <v>NORTHERN_EUROPE</v>
      </c>
      <c r="F219" s="35" t="str">
        <f>_xlfn.XLOOKUP($A219,PROPERTIES[VEHIDCODE],PROPERTIES[REGION2])</f>
        <v>NO_REGION</v>
      </c>
      <c r="G219" s="35" t="str">
        <f t="shared" si="20"/>
        <v>NORTHERN_EUROPE_NO_REGION</v>
      </c>
      <c r="H219" t="b">
        <f t="shared" si="21"/>
        <v>0</v>
      </c>
      <c r="I219" t="b">
        <f t="shared" si="22"/>
        <v>0</v>
      </c>
      <c r="J219" t="b">
        <f t="shared" si="23"/>
        <v>0</v>
      </c>
      <c r="K219" t="b">
        <f t="shared" si="23"/>
        <v>0</v>
      </c>
      <c r="L219" t="b">
        <f t="shared" si="23"/>
        <v>0</v>
      </c>
      <c r="M219" t="b">
        <f t="shared" si="23"/>
        <v>1</v>
      </c>
      <c r="N219" t="b">
        <f t="shared" si="24"/>
        <v>0</v>
      </c>
      <c r="O219" t="b">
        <f t="shared" si="24"/>
        <v>0</v>
      </c>
      <c r="P219" t="b">
        <f t="shared" si="25"/>
        <v>0</v>
      </c>
    </row>
    <row r="220" spans="1:16">
      <c r="A220" t="str">
        <v>diesel_Russia_RZD_TEP80</v>
      </c>
      <c r="B220" t="b" cm="1">
        <f t="array" ref="B220">_xlfn.XLOOKUP(A220,CONTROL[VEHIDCODE],PROPERTIES[EXCLUDE])</f>
        <v>0</v>
      </c>
      <c r="C220">
        <f>FLOOR(_xlfn.XLOOKUP($A220,PROPERTIES[VEHIDCODE],PROPERTIES[INTRODUCTION_YEAR]),20)</f>
        <v>1980</v>
      </c>
      <c r="D220" t="str">
        <f>_xlfn.XLOOKUP($A220,PROPERTIES[VEHIDCODE],PROPERTIES[ROLE])</f>
        <v>Express</v>
      </c>
      <c r="E220" s="35" t="str">
        <f>_xlfn.XLOOKUP($A220,PROPERTIES[VEHIDCODE],PROPERTIES[REGION1])</f>
        <v>ASIA</v>
      </c>
      <c r="F220" s="35" t="str">
        <f>_xlfn.XLOOKUP($A220,PROPERTIES[VEHIDCODE],PROPERTIES[REGION2])</f>
        <v>NO_REGION</v>
      </c>
      <c r="G220" s="35" t="str">
        <f t="shared" si="20"/>
        <v>ASIA_NO_REGION</v>
      </c>
      <c r="H220" t="b">
        <f t="shared" si="21"/>
        <v>0</v>
      </c>
      <c r="I220" t="b">
        <f t="shared" si="22"/>
        <v>1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3"/>
        <v>0</v>
      </c>
      <c r="N220" t="b">
        <f t="shared" si="24"/>
        <v>0</v>
      </c>
      <c r="O220" t="b">
        <f t="shared" si="24"/>
        <v>0</v>
      </c>
      <c r="P220" t="b">
        <f t="shared" si="25"/>
        <v>0</v>
      </c>
    </row>
    <row r="221" spans="1:16">
      <c r="A221" t="str">
        <v>diesel_Australia_Australian_National_AN</v>
      </c>
      <c r="B221" t="b" cm="1">
        <f t="array" ref="B221">_xlfn.XLOOKUP(A221,CONTROL[VEHIDCODE],PROPERTIES[EXCLUDE])</f>
        <v>0</v>
      </c>
      <c r="C221">
        <f>FLOOR(_xlfn.XLOOKUP($A221,PROPERTIES[VEHIDCODE],PROPERTIES[INTRODUCTION_YEAR]),20)</f>
        <v>1980</v>
      </c>
      <c r="D221" t="str">
        <f>_xlfn.XLOOKUP($A221,PROPERTIES[VEHIDCODE],PROPERTIES[ROLE])</f>
        <v>Universal</v>
      </c>
      <c r="E221" s="35" t="str">
        <f>_xlfn.XLOOKUP($A221,PROPERTIES[VEHIDCODE],PROPERTIES[REGION1])</f>
        <v>OCEANIA</v>
      </c>
      <c r="F221" s="35" t="str">
        <f>_xlfn.XLOOKUP($A221,PROPERTIES[VEHIDCODE],PROPERTIES[REGION2])</f>
        <v>NO_REGION</v>
      </c>
      <c r="G221" s="35" t="str">
        <f t="shared" si="20"/>
        <v>OCEANIA_NO_REGION</v>
      </c>
      <c r="H221" t="b">
        <f t="shared" si="21"/>
        <v>0</v>
      </c>
      <c r="I221" t="b">
        <f t="shared" si="22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3"/>
        <v>0</v>
      </c>
      <c r="N221" t="b">
        <f t="shared" si="24"/>
        <v>0</v>
      </c>
      <c r="O221" t="b">
        <f t="shared" si="24"/>
        <v>0</v>
      </c>
      <c r="P221" t="b">
        <f t="shared" si="25"/>
        <v>1</v>
      </c>
    </row>
    <row r="222" spans="1:16">
      <c r="A222" t="str">
        <v>diesel_USA_Amtrak_P42DC_Genesis</v>
      </c>
      <c r="B222" t="b" cm="1">
        <f t="array" ref="B222">_xlfn.XLOOKUP(A222,CONTROL[VEHIDCODE],PROPERTIES[EXCLUDE])</f>
        <v>0</v>
      </c>
      <c r="C222">
        <f>FLOOR(_xlfn.XLOOKUP($A222,PROPERTIES[VEHIDCODE],PROPERTIES[INTRODUCTION_YEAR]),20)</f>
        <v>1980</v>
      </c>
      <c r="D222" t="str">
        <f>_xlfn.XLOOKUP($A222,PROPERTIES[VEHIDCODE],PROPERTIES[ROLE])</f>
        <v>Express</v>
      </c>
      <c r="E222" s="35" t="str">
        <f>_xlfn.XLOOKUP($A222,PROPERTIES[VEHIDCODE],PROPERTIES[REGION1])</f>
        <v>NORTH_AMERICA</v>
      </c>
      <c r="F222" s="35" t="str">
        <f>_xlfn.XLOOKUP($A222,PROPERTIES[VEHIDCODE],PROPERTIES[REGION2])</f>
        <v>NO_REGION</v>
      </c>
      <c r="G222" s="35" t="str">
        <f t="shared" si="20"/>
        <v>NORTH_AMERICA_NO_REGION</v>
      </c>
      <c r="H222" t="b">
        <f t="shared" si="21"/>
        <v>0</v>
      </c>
      <c r="I222" t="b">
        <f t="shared" si="22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3"/>
        <v>0</v>
      </c>
      <c r="N222" t="b">
        <f t="shared" si="24"/>
        <v>1</v>
      </c>
      <c r="O222" t="b">
        <f t="shared" si="24"/>
        <v>0</v>
      </c>
      <c r="P222" t="b">
        <f t="shared" si="25"/>
        <v>0</v>
      </c>
    </row>
    <row r="223" spans="1:16">
      <c r="A223" t="str">
        <v>diesel_Turkey_TCDD_DH7000</v>
      </c>
      <c r="B223" t="b" cm="1">
        <f t="array" ref="B223">_xlfn.XLOOKUP(A223,CONTROL[VEHIDCODE],PROPERTIES[EXCLUDE])</f>
        <v>0</v>
      </c>
      <c r="C223">
        <f>FLOOR(_xlfn.XLOOKUP($A223,PROPERTIES[VEHIDCODE],PROPERTIES[INTRODUCTION_YEAR]),20)</f>
        <v>1980</v>
      </c>
      <c r="D223" t="str">
        <f>_xlfn.XLOOKUP($A223,PROPERTIES[VEHIDCODE],PROPERTIES[ROLE])</f>
        <v>Shunting</v>
      </c>
      <c r="E223" s="35" t="str">
        <f>_xlfn.XLOOKUP($A223,PROPERTIES[VEHIDCODE],PROPERTIES[REGION1])</f>
        <v>ASIA</v>
      </c>
      <c r="F223" s="35" t="str">
        <f>_xlfn.XLOOKUP($A223,PROPERTIES[VEHIDCODE],PROPERTIES[REGION2])</f>
        <v>NO_REGION</v>
      </c>
      <c r="G223" s="35" t="str">
        <f t="shared" si="20"/>
        <v>ASIA_NO_REGION</v>
      </c>
      <c r="H223" t="b">
        <f t="shared" si="21"/>
        <v>0</v>
      </c>
      <c r="I223" t="b">
        <f t="shared" si="22"/>
        <v>1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3"/>
        <v>0</v>
      </c>
      <c r="N223" t="b">
        <f t="shared" si="24"/>
        <v>0</v>
      </c>
      <c r="O223" t="b">
        <f t="shared" si="24"/>
        <v>0</v>
      </c>
      <c r="P223" t="b">
        <f t="shared" si="25"/>
        <v>0</v>
      </c>
    </row>
    <row r="224" spans="1:16">
      <c r="A224" t="str">
        <v>diesel_Argentina_MF_GE_U20C</v>
      </c>
      <c r="B224" t="b" cm="1">
        <f t="array" ref="B224">_xlfn.XLOOKUP(A224,CONTROL[VEHIDCODE],PROPERTIES[EXCLUDE])</f>
        <v>0</v>
      </c>
      <c r="C224">
        <f>FLOOR(_xlfn.XLOOKUP($A224,PROPERTIES[VEHIDCODE],PROPERTIES[INTRODUCTION_YEAR]),20)</f>
        <v>1980</v>
      </c>
      <c r="D224" t="str">
        <f>_xlfn.XLOOKUP($A224,PROPERTIES[VEHIDCODE],PROPERTIES[ROLE])</f>
        <v>Express</v>
      </c>
      <c r="E224" s="35" t="str">
        <f>_xlfn.XLOOKUP($A224,PROPERTIES[VEHIDCODE],PROPERTIES[REGION1])</f>
        <v>SOUTH_AMERICA</v>
      </c>
      <c r="F224" s="35" t="str">
        <f>_xlfn.XLOOKUP($A224,PROPERTIES[VEHIDCODE],PROPERTIES[REGION2])</f>
        <v>NO_REGION</v>
      </c>
      <c r="G224" s="35" t="str">
        <f t="shared" si="20"/>
        <v>SOUTH_AMERICA_NO_REGION</v>
      </c>
      <c r="H224" t="b">
        <f t="shared" si="21"/>
        <v>0</v>
      </c>
      <c r="I224" t="b">
        <f t="shared" si="22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3"/>
        <v>0</v>
      </c>
      <c r="N224" t="b">
        <f t="shared" si="24"/>
        <v>0</v>
      </c>
      <c r="O224" t="b">
        <f t="shared" si="24"/>
        <v>1</v>
      </c>
      <c r="P224" t="b">
        <f t="shared" si="25"/>
        <v>0</v>
      </c>
    </row>
    <row r="225" spans="1:16">
      <c r="A225" t="str">
        <v>diesel_Belgium_NMBS_SNCB_7800</v>
      </c>
      <c r="B225" t="b" cm="1">
        <f t="array" ref="B225">_xlfn.XLOOKUP(A225,CONTROL[VEHIDCODE],PROPERTIES[EXCLUDE])</f>
        <v>0</v>
      </c>
      <c r="C225">
        <f>FLOOR(_xlfn.XLOOKUP($A225,PROPERTIES[VEHIDCODE],PROPERTIES[INTRODUCTION_YEAR]),20)</f>
        <v>1980</v>
      </c>
      <c r="D225" t="str">
        <f>_xlfn.XLOOKUP($A225,PROPERTIES[VEHIDCODE],PROPERTIES[ROLE])</f>
        <v>Universal</v>
      </c>
      <c r="E225" s="35" t="str">
        <f>_xlfn.XLOOKUP($A225,PROPERTIES[VEHIDCODE],PROPERTIES[REGION1])</f>
        <v>WESTERN_EUROPE</v>
      </c>
      <c r="F225" s="35" t="str">
        <f>_xlfn.XLOOKUP($A225,PROPERTIES[VEHIDCODE],PROPERTIES[REGION2])</f>
        <v>NO_REGION</v>
      </c>
      <c r="G225" s="35" t="str">
        <f t="shared" si="20"/>
        <v>WESTERN_EUROPE_NO_REGION</v>
      </c>
      <c r="H225" t="b">
        <f t="shared" si="21"/>
        <v>0</v>
      </c>
      <c r="I225" t="b">
        <f t="shared" si="22"/>
        <v>0</v>
      </c>
      <c r="J225" t="b">
        <f t="shared" si="23"/>
        <v>0</v>
      </c>
      <c r="K225" t="b">
        <f t="shared" si="23"/>
        <v>0</v>
      </c>
      <c r="L225" t="b">
        <f t="shared" si="23"/>
        <v>1</v>
      </c>
      <c r="M225" t="b">
        <f t="shared" si="23"/>
        <v>0</v>
      </c>
      <c r="N225" t="b">
        <f t="shared" si="24"/>
        <v>0</v>
      </c>
      <c r="O225" t="b">
        <f t="shared" si="24"/>
        <v>0</v>
      </c>
      <c r="P225" t="b">
        <f t="shared" si="25"/>
        <v>0</v>
      </c>
    </row>
    <row r="226" spans="1:16">
      <c r="A226" t="str">
        <v>diesel_UK_BR_66</v>
      </c>
      <c r="B226" t="b" cm="1">
        <f t="array" ref="B226">_xlfn.XLOOKUP(A226,CONTROL[VEHIDCODE],PROPERTIES[EXCLUDE])</f>
        <v>0</v>
      </c>
      <c r="C226">
        <f>FLOOR(_xlfn.XLOOKUP($A226,PROPERTIES[VEHIDCODE],PROPERTIES[INTRODUCTION_YEAR]),20)</f>
        <v>1980</v>
      </c>
      <c r="D226" t="str">
        <f>_xlfn.XLOOKUP($A226,PROPERTIES[VEHIDCODE],PROPERTIES[ROLE])</f>
        <v>Universal</v>
      </c>
      <c r="E226" s="35" t="str">
        <f>_xlfn.XLOOKUP($A226,PROPERTIES[VEHIDCODE],PROPERTIES[REGION1])</f>
        <v>NORTHERN_EUROPE</v>
      </c>
      <c r="F226" s="35" t="str">
        <f>_xlfn.XLOOKUP($A226,PROPERTIES[VEHIDCODE],PROPERTIES[REGION2])</f>
        <v>NO_REGION</v>
      </c>
      <c r="G226" s="35" t="str">
        <f t="shared" si="20"/>
        <v>NORTHERN_EUROPE_NO_REGION</v>
      </c>
      <c r="H226" t="b">
        <f t="shared" si="21"/>
        <v>0</v>
      </c>
      <c r="I226" t="b">
        <f t="shared" si="22"/>
        <v>0</v>
      </c>
      <c r="J226" t="b">
        <f t="shared" si="23"/>
        <v>0</v>
      </c>
      <c r="K226" t="b">
        <f t="shared" si="23"/>
        <v>0</v>
      </c>
      <c r="L226" t="b">
        <f t="shared" si="23"/>
        <v>0</v>
      </c>
      <c r="M226" t="b">
        <f t="shared" si="23"/>
        <v>1</v>
      </c>
      <c r="N226" t="b">
        <f t="shared" si="24"/>
        <v>0</v>
      </c>
      <c r="O226" t="b">
        <f t="shared" si="24"/>
        <v>0</v>
      </c>
      <c r="P226" t="b">
        <f t="shared" si="25"/>
        <v>0</v>
      </c>
    </row>
    <row r="227" spans="1:16">
      <c r="A227" t="str">
        <v>diesel_UK_BR_67</v>
      </c>
      <c r="B227" t="b" cm="1">
        <f t="array" ref="B227">_xlfn.XLOOKUP(A227,CONTROL[VEHIDCODE],PROPERTIES[EXCLUDE])</f>
        <v>0</v>
      </c>
      <c r="C227">
        <f>FLOOR(_xlfn.XLOOKUP($A227,PROPERTIES[VEHIDCODE],PROPERTIES[INTRODUCTION_YEAR]),20)</f>
        <v>1980</v>
      </c>
      <c r="D227" t="str">
        <f>_xlfn.XLOOKUP($A227,PROPERTIES[VEHIDCODE],PROPERTIES[ROLE])</f>
        <v>Express</v>
      </c>
      <c r="E227" s="35" t="str">
        <f>_xlfn.XLOOKUP($A227,PROPERTIES[VEHIDCODE],PROPERTIES[REGION1])</f>
        <v>NORTHERN_EUROPE</v>
      </c>
      <c r="F227" s="35" t="str">
        <f>_xlfn.XLOOKUP($A227,PROPERTIES[VEHIDCODE],PROPERTIES[REGION2])</f>
        <v>NO_REGION</v>
      </c>
      <c r="G227" s="35" t="str">
        <f t="shared" si="20"/>
        <v>NORTHERN_EUROPE_NO_REGION</v>
      </c>
      <c r="H227" t="b">
        <f t="shared" si="21"/>
        <v>0</v>
      </c>
      <c r="I227" t="b">
        <f t="shared" si="22"/>
        <v>0</v>
      </c>
      <c r="J227" t="b">
        <f t="shared" si="23"/>
        <v>0</v>
      </c>
      <c r="K227" t="b">
        <f t="shared" si="23"/>
        <v>0</v>
      </c>
      <c r="L227" t="b">
        <f t="shared" si="23"/>
        <v>0</v>
      </c>
      <c r="M227" t="b">
        <f t="shared" si="23"/>
        <v>1</v>
      </c>
      <c r="N227" t="b">
        <f t="shared" si="24"/>
        <v>0</v>
      </c>
      <c r="O227" t="b">
        <f t="shared" si="24"/>
        <v>0</v>
      </c>
      <c r="P227" t="b">
        <f t="shared" si="25"/>
        <v>0</v>
      </c>
    </row>
    <row r="228" spans="1:16">
      <c r="A228" t="str">
        <v>diesel_Iran_RAI_DE43CA_Prima</v>
      </c>
      <c r="B228" t="b" cm="1">
        <f t="array" ref="B228">_xlfn.XLOOKUP(A228,CONTROL[VEHIDCODE],PROPERTIES[EXCLUDE])</f>
        <v>0</v>
      </c>
      <c r="C228">
        <f>FLOOR(_xlfn.XLOOKUP($A228,PROPERTIES[VEHIDCODE],PROPERTIES[INTRODUCTION_YEAR]),20)</f>
        <v>2000</v>
      </c>
      <c r="D228" t="str">
        <f>_xlfn.XLOOKUP($A228,PROPERTIES[VEHIDCODE],PROPERTIES[ROLE])</f>
        <v>Express</v>
      </c>
      <c r="E228" s="35" t="str">
        <f>_xlfn.XLOOKUP($A228,PROPERTIES[VEHIDCODE],PROPERTIES[REGION1])</f>
        <v>ASIA</v>
      </c>
      <c r="F228" s="35" t="str">
        <f>_xlfn.XLOOKUP($A228,PROPERTIES[VEHIDCODE],PROPERTIES[REGION2])</f>
        <v>NO_REGION</v>
      </c>
      <c r="G228" s="35" t="str">
        <f t="shared" si="20"/>
        <v>ASIA_NO_REGION</v>
      </c>
      <c r="H228" t="b">
        <f t="shared" si="21"/>
        <v>0</v>
      </c>
      <c r="I228" t="b">
        <f t="shared" si="22"/>
        <v>1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3"/>
        <v>0</v>
      </c>
      <c r="N228" t="b">
        <f t="shared" si="24"/>
        <v>0</v>
      </c>
      <c r="O228" t="b">
        <f t="shared" si="24"/>
        <v>0</v>
      </c>
      <c r="P228" t="b">
        <f t="shared" si="25"/>
        <v>0</v>
      </c>
    </row>
    <row r="229" spans="1:16">
      <c r="A229" t="str">
        <v>diesel_Ukraine_UZ_TEP150</v>
      </c>
      <c r="B229" t="b" cm="1">
        <f t="array" ref="B229">_xlfn.XLOOKUP(A229,CONTROL[VEHIDCODE],PROPERTIES[EXCLUDE])</f>
        <v>0</v>
      </c>
      <c r="C229">
        <f>FLOOR(_xlfn.XLOOKUP($A229,PROPERTIES[VEHIDCODE],PROPERTIES[INTRODUCTION_YEAR]),20)</f>
        <v>2000</v>
      </c>
      <c r="D229" t="str">
        <f>_xlfn.XLOOKUP($A229,PROPERTIES[VEHIDCODE],PROPERTIES[ROLE])</f>
        <v>Express</v>
      </c>
      <c r="E229" s="35" t="str">
        <f>_xlfn.XLOOKUP($A229,PROPERTIES[VEHIDCODE],PROPERTIES[REGION1])</f>
        <v>EASTERN_EUROPE</v>
      </c>
      <c r="F229" s="35" t="str">
        <f>_xlfn.XLOOKUP($A229,PROPERTIES[VEHIDCODE],PROPERTIES[REGION2])</f>
        <v>NO_REGION</v>
      </c>
      <c r="G229" s="35" t="str">
        <f t="shared" si="20"/>
        <v>EASTERN_EUROPE_NO_REGION</v>
      </c>
      <c r="H229" t="b">
        <f t="shared" si="21"/>
        <v>0</v>
      </c>
      <c r="I229" t="b">
        <f t="shared" si="22"/>
        <v>0</v>
      </c>
      <c r="J229" t="b">
        <f t="shared" si="23"/>
        <v>0</v>
      </c>
      <c r="K229" t="b">
        <f t="shared" si="23"/>
        <v>1</v>
      </c>
      <c r="L229" t="b">
        <f t="shared" si="23"/>
        <v>0</v>
      </c>
      <c r="M229" t="b">
        <f t="shared" si="23"/>
        <v>0</v>
      </c>
      <c r="N229" t="b">
        <f t="shared" si="24"/>
        <v>0</v>
      </c>
      <c r="O229" t="b">
        <f t="shared" si="24"/>
        <v>0</v>
      </c>
      <c r="P229" t="b">
        <f t="shared" si="25"/>
        <v>0</v>
      </c>
    </row>
    <row r="230" spans="1:16">
      <c r="A230" t="str">
        <v>diesel_China_China_Railways_HXN5</v>
      </c>
      <c r="B230" t="b" cm="1">
        <f t="array" ref="B230">_xlfn.XLOOKUP(A230,CONTROL[VEHIDCODE],PROPERTIES[EXCLUDE])</f>
        <v>0</v>
      </c>
      <c r="C230">
        <f>FLOOR(_xlfn.XLOOKUP($A230,PROPERTIES[VEHIDCODE],PROPERTIES[INTRODUCTION_YEAR]),20)</f>
        <v>2000</v>
      </c>
      <c r="D230" t="str">
        <f>_xlfn.XLOOKUP($A230,PROPERTIES[VEHIDCODE],PROPERTIES[ROLE])</f>
        <v>Heavy Freight</v>
      </c>
      <c r="E230" s="35" t="str">
        <f>_xlfn.XLOOKUP($A230,PROPERTIES[VEHIDCODE],PROPERTIES[REGION1])</f>
        <v>ASIA</v>
      </c>
      <c r="F230" s="35" t="str">
        <f>_xlfn.XLOOKUP($A230,PROPERTIES[VEHIDCODE],PROPERTIES[REGION2])</f>
        <v>NO_REGION</v>
      </c>
      <c r="G230" s="35" t="str">
        <f t="shared" si="20"/>
        <v>ASIA_NO_REGION</v>
      </c>
      <c r="H230" t="b">
        <f t="shared" si="21"/>
        <v>0</v>
      </c>
      <c r="I230" t="b">
        <f t="shared" si="22"/>
        <v>1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3"/>
        <v>0</v>
      </c>
      <c r="N230" t="b">
        <f t="shared" si="24"/>
        <v>0</v>
      </c>
      <c r="O230" t="b">
        <f t="shared" si="24"/>
        <v>0</v>
      </c>
      <c r="P230" t="b">
        <f t="shared" si="25"/>
        <v>0</v>
      </c>
    </row>
    <row r="231" spans="1:16">
      <c r="A231" t="str">
        <v>diesel_Germany_DB_261_Gravita_10BB</v>
      </c>
      <c r="B231" t="b" cm="1">
        <f t="array" ref="B231">_xlfn.XLOOKUP(A231,CONTROL[VEHIDCODE],PROPERTIES[EXCLUDE])</f>
        <v>0</v>
      </c>
      <c r="C231">
        <f>FLOOR(_xlfn.XLOOKUP($A231,PROPERTIES[VEHIDCODE],PROPERTIES[INTRODUCTION_YEAR]),20)</f>
        <v>2000</v>
      </c>
      <c r="D231" t="str">
        <f>_xlfn.XLOOKUP($A231,PROPERTIES[VEHIDCODE],PROPERTIES[ROLE])</f>
        <v>Universal</v>
      </c>
      <c r="E231" s="35" t="str">
        <f>_xlfn.XLOOKUP($A231,PROPERTIES[VEHIDCODE],PROPERTIES[REGION1])</f>
        <v>WESTERN_EUROPE</v>
      </c>
      <c r="F231" s="35" t="str">
        <f>_xlfn.XLOOKUP($A231,PROPERTIES[VEHIDCODE],PROPERTIES[REGION2])</f>
        <v>NO_REGION</v>
      </c>
      <c r="G231" s="35" t="str">
        <f t="shared" si="20"/>
        <v>WESTERN_EUROPE_NO_REGION</v>
      </c>
      <c r="H231" t="b">
        <f t="shared" si="21"/>
        <v>0</v>
      </c>
      <c r="I231" t="b">
        <f t="shared" si="22"/>
        <v>0</v>
      </c>
      <c r="J231" t="b">
        <f t="shared" si="23"/>
        <v>0</v>
      </c>
      <c r="K231" t="b">
        <f t="shared" si="23"/>
        <v>0</v>
      </c>
      <c r="L231" t="b">
        <f t="shared" si="23"/>
        <v>1</v>
      </c>
      <c r="M231" t="b">
        <f t="shared" si="23"/>
        <v>0</v>
      </c>
      <c r="N231" t="b">
        <f t="shared" si="24"/>
        <v>0</v>
      </c>
      <c r="O231" t="b">
        <f t="shared" si="24"/>
        <v>0</v>
      </c>
      <c r="P231" t="b">
        <f t="shared" si="25"/>
        <v>0</v>
      </c>
    </row>
    <row r="232" spans="1:16">
      <c r="A232" t="str">
        <v>diesel_Russia_RZD_GT1</v>
      </c>
      <c r="B232" t="b" cm="1">
        <f t="array" ref="B232">_xlfn.XLOOKUP(A232,CONTROL[VEHIDCODE],PROPERTIES[EXCLUDE])</f>
        <v>0</v>
      </c>
      <c r="C232">
        <f>FLOOR(_xlfn.XLOOKUP($A232,PROPERTIES[VEHIDCODE],PROPERTIES[INTRODUCTION_YEAR]),20)</f>
        <v>2000</v>
      </c>
      <c r="D232" t="str">
        <f>_xlfn.XLOOKUP($A232,PROPERTIES[VEHIDCODE],PROPERTIES[ROLE])</f>
        <v>Heavy Freight</v>
      </c>
      <c r="E232" s="35" t="str">
        <f>_xlfn.XLOOKUP($A232,PROPERTIES[VEHIDCODE],PROPERTIES[REGION1])</f>
        <v>ASIA</v>
      </c>
      <c r="F232" s="35" t="str">
        <f>_xlfn.XLOOKUP($A232,PROPERTIES[VEHIDCODE],PROPERTIES[REGION2])</f>
        <v>NO_REGION</v>
      </c>
      <c r="G232" s="35" t="str">
        <f t="shared" si="20"/>
        <v>ASIA_NO_REGION</v>
      </c>
      <c r="H232" t="b">
        <f t="shared" si="21"/>
        <v>0</v>
      </c>
      <c r="I232" t="b">
        <f t="shared" si="22"/>
        <v>1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3"/>
        <v>0</v>
      </c>
      <c r="N232" t="b">
        <f t="shared" si="24"/>
        <v>0</v>
      </c>
      <c r="O232" t="b">
        <f t="shared" si="24"/>
        <v>0</v>
      </c>
      <c r="P232" t="b">
        <f t="shared" si="25"/>
        <v>0</v>
      </c>
    </row>
    <row r="233" spans="1:16">
      <c r="A233" t="str">
        <v>diesel_China_MTR_8000</v>
      </c>
      <c r="B233" t="b" cm="1">
        <f t="array" ref="B233">_xlfn.XLOOKUP(A233,CONTROL[VEHIDCODE],PROPERTIES[EXCLUDE])</f>
        <v>0</v>
      </c>
      <c r="C233">
        <f>FLOOR(_xlfn.XLOOKUP($A233,PROPERTIES[VEHIDCODE],PROPERTIES[INTRODUCTION_YEAR]),20)</f>
        <v>2000</v>
      </c>
      <c r="D233" t="str">
        <f>_xlfn.XLOOKUP($A233,PROPERTIES[VEHIDCODE],PROPERTIES[ROLE])</f>
        <v>Universal</v>
      </c>
      <c r="E233" s="35" t="str">
        <f>_xlfn.XLOOKUP($A233,PROPERTIES[VEHIDCODE],PROPERTIES[REGION1])</f>
        <v>ASIA</v>
      </c>
      <c r="F233" s="35" t="str">
        <f>_xlfn.XLOOKUP($A233,PROPERTIES[VEHIDCODE],PROPERTIES[REGION2])</f>
        <v>NO_REGION</v>
      </c>
      <c r="G233" s="35" t="str">
        <f t="shared" si="20"/>
        <v>ASIA_NO_REGION</v>
      </c>
      <c r="H233" t="b">
        <f t="shared" si="21"/>
        <v>0</v>
      </c>
      <c r="I233" t="b">
        <f t="shared" si="22"/>
        <v>1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3"/>
        <v>0</v>
      </c>
      <c r="N233" t="b">
        <f t="shared" si="24"/>
        <v>0</v>
      </c>
      <c r="O233" t="b">
        <f t="shared" si="24"/>
        <v>0</v>
      </c>
      <c r="P233" t="b">
        <f t="shared" si="25"/>
        <v>0</v>
      </c>
    </row>
    <row r="234" spans="1:16">
      <c r="A234" t="str">
        <v>diesel_Germany_HVLE_V490</v>
      </c>
      <c r="B234" t="b" cm="1">
        <f t="array" ref="B234">_xlfn.XLOOKUP(A234,CONTROL[VEHIDCODE],PROPERTIES[EXCLUDE])</f>
        <v>0</v>
      </c>
      <c r="C234">
        <f>FLOOR(_xlfn.XLOOKUP($A234,PROPERTIES[VEHIDCODE],PROPERTIES[INTRODUCTION_YEAR]),20)</f>
        <v>2000</v>
      </c>
      <c r="D234" t="str">
        <f>_xlfn.XLOOKUP($A234,PROPERTIES[VEHIDCODE],PROPERTIES[ROLE])</f>
        <v>Universal</v>
      </c>
      <c r="E234" s="35" t="str">
        <f>_xlfn.XLOOKUP($A234,PROPERTIES[VEHIDCODE],PROPERTIES[REGION1])</f>
        <v>WESTERN_EUROPE</v>
      </c>
      <c r="F234" s="35" t="str">
        <f>_xlfn.XLOOKUP($A234,PROPERTIES[VEHIDCODE],PROPERTIES[REGION2])</f>
        <v>NO_REGION</v>
      </c>
      <c r="G234" s="35" t="str">
        <f t="shared" si="20"/>
        <v>WESTERN_EUROPE_NO_REGION</v>
      </c>
      <c r="H234" t="b">
        <f t="shared" si="21"/>
        <v>0</v>
      </c>
      <c r="I234" t="b">
        <f t="shared" si="22"/>
        <v>0</v>
      </c>
      <c r="J234" t="b">
        <f t="shared" si="23"/>
        <v>0</v>
      </c>
      <c r="K234" t="b">
        <f t="shared" si="23"/>
        <v>0</v>
      </c>
      <c r="L234" t="b">
        <f t="shared" si="23"/>
        <v>1</v>
      </c>
      <c r="M234" t="b">
        <f t="shared" si="23"/>
        <v>0</v>
      </c>
      <c r="N234" t="b">
        <f t="shared" si="24"/>
        <v>0</v>
      </c>
      <c r="O234" t="b">
        <f t="shared" si="24"/>
        <v>0</v>
      </c>
      <c r="P234" t="b">
        <f t="shared" si="25"/>
        <v>0</v>
      </c>
    </row>
    <row r="235" spans="1:16">
      <c r="A235" t="str">
        <v>diesel_Russia_RZD_Emch_3</v>
      </c>
      <c r="B235" t="b" cm="1">
        <f t="array" ref="B235">_xlfn.XLOOKUP(A235,CONTROL[VEHIDCODE],PROPERTIES[EXCLUDE])</f>
        <v>0</v>
      </c>
      <c r="C235">
        <f>FLOOR(_xlfn.XLOOKUP($A235,PROPERTIES[VEHIDCODE],PROPERTIES[INTRODUCTION_YEAR]),20)</f>
        <v>1960</v>
      </c>
      <c r="D235" t="str">
        <f>_xlfn.XLOOKUP($A235,PROPERTIES[VEHIDCODE],PROPERTIES[ROLE])</f>
        <v>Universal</v>
      </c>
      <c r="E235" s="35" t="str">
        <f>_xlfn.XLOOKUP($A235,PROPERTIES[VEHIDCODE],PROPERTIES[REGION1])</f>
        <v>ASIA</v>
      </c>
      <c r="F235" s="35" t="str">
        <f>_xlfn.XLOOKUP($A235,PROPERTIES[VEHIDCODE],PROPERTIES[REGION2])</f>
        <v>NO_REGION</v>
      </c>
      <c r="G235" s="35" t="str">
        <f t="shared" si="20"/>
        <v>ASIA_NO_REGION</v>
      </c>
      <c r="H235" t="b">
        <f t="shared" si="21"/>
        <v>0</v>
      </c>
      <c r="I235" t="b">
        <f t="shared" si="22"/>
        <v>1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3"/>
        <v>0</v>
      </c>
      <c r="N235" t="b">
        <f t="shared" si="24"/>
        <v>0</v>
      </c>
      <c r="O235" t="b">
        <f t="shared" si="24"/>
        <v>0</v>
      </c>
      <c r="P235" t="b">
        <f t="shared" si="25"/>
        <v>0</v>
      </c>
    </row>
    <row r="236" spans="1:16">
      <c r="A236" t="str">
        <v>diesel_Canada_CNR_9000</v>
      </c>
      <c r="B236" t="b" cm="1">
        <f t="array" ref="B236">_xlfn.XLOOKUP(A236,CONTROL[VEHIDCODE],PROPERTIES[EXCLUDE])</f>
        <v>0</v>
      </c>
      <c r="C236">
        <f>FLOOR(_xlfn.XLOOKUP($A236,PROPERTIES[VEHIDCODE],PROPERTIES[INTRODUCTION_YEAR]),20)</f>
        <v>1920</v>
      </c>
      <c r="D236" t="str">
        <f>_xlfn.XLOOKUP($A236,PROPERTIES[VEHIDCODE],PROPERTIES[ROLE])</f>
        <v>Heavy Freight</v>
      </c>
      <c r="E236" s="35" t="str">
        <f>_xlfn.XLOOKUP($A236,PROPERTIES[VEHIDCODE],PROPERTIES[REGION1])</f>
        <v>NORTH_AMERICA</v>
      </c>
      <c r="F236" s="35" t="str">
        <f>_xlfn.XLOOKUP($A236,PROPERTIES[VEHIDCODE],PROPERTIES[REGION2])</f>
        <v>NO_REGION</v>
      </c>
      <c r="G236" s="35" t="str">
        <f t="shared" si="20"/>
        <v>NORTH_AMERICA_NO_REGION</v>
      </c>
      <c r="H236" t="b">
        <f t="shared" si="21"/>
        <v>0</v>
      </c>
      <c r="I236" t="b">
        <f t="shared" si="22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3"/>
        <v>0</v>
      </c>
      <c r="N236" t="b">
        <f t="shared" si="24"/>
        <v>1</v>
      </c>
      <c r="O236" t="b">
        <f t="shared" si="24"/>
        <v>0</v>
      </c>
      <c r="P236" t="b">
        <f t="shared" si="25"/>
        <v>0</v>
      </c>
    </row>
    <row r="237" spans="1:16">
      <c r="A237" t="str">
        <v>diesel_UK_LMS_7051_diesel_shunter</v>
      </c>
      <c r="B237" t="b" cm="1">
        <f t="array" ref="B237">_xlfn.XLOOKUP(A237,CONTROL[VEHIDCODE],PROPERTIES[EXCLUDE])</f>
        <v>0</v>
      </c>
      <c r="C237">
        <f>FLOOR(_xlfn.XLOOKUP($A237,PROPERTIES[VEHIDCODE],PROPERTIES[INTRODUCTION_YEAR]),20)</f>
        <v>1920</v>
      </c>
      <c r="D237" t="str">
        <f>_xlfn.XLOOKUP($A237,PROPERTIES[VEHIDCODE],PROPERTIES[ROLE])</f>
        <v>Shunting</v>
      </c>
      <c r="E237" s="35" t="str">
        <f>_xlfn.XLOOKUP($A237,PROPERTIES[VEHIDCODE],PROPERTIES[REGION1])</f>
        <v>NORTHERN_EUROPE</v>
      </c>
      <c r="F237" s="35" t="str">
        <f>_xlfn.XLOOKUP($A237,PROPERTIES[VEHIDCODE],PROPERTIES[REGION2])</f>
        <v>NO_REGION</v>
      </c>
      <c r="G237" s="35" t="str">
        <f t="shared" si="20"/>
        <v>NORTHERN_EUROPE_NO_REGION</v>
      </c>
      <c r="H237" t="b">
        <f t="shared" si="21"/>
        <v>0</v>
      </c>
      <c r="I237" t="b">
        <f t="shared" si="22"/>
        <v>0</v>
      </c>
      <c r="J237" t="b">
        <f t="shared" si="23"/>
        <v>0</v>
      </c>
      <c r="K237" t="b">
        <f t="shared" si="23"/>
        <v>0</v>
      </c>
      <c r="L237" t="b">
        <f t="shared" si="23"/>
        <v>0</v>
      </c>
      <c r="M237" t="b">
        <f t="shared" si="23"/>
        <v>1</v>
      </c>
      <c r="N237" t="b">
        <f t="shared" si="24"/>
        <v>0</v>
      </c>
      <c r="O237" t="b">
        <f t="shared" si="24"/>
        <v>0</v>
      </c>
      <c r="P237" t="b">
        <f t="shared" si="25"/>
        <v>0</v>
      </c>
    </row>
    <row r="238" spans="1:16">
      <c r="A238" t="str">
        <v>diesel_USA_Rock_Island_EMC_TA</v>
      </c>
      <c r="B238" t="b" cm="1">
        <f t="array" ref="B238">_xlfn.XLOOKUP(A238,CONTROL[VEHIDCODE],PROPERTIES[EXCLUDE])</f>
        <v>0</v>
      </c>
      <c r="C238">
        <f>FLOOR(_xlfn.XLOOKUP($A238,PROPERTIES[VEHIDCODE],PROPERTIES[INTRODUCTION_YEAR]),20)</f>
        <v>1920</v>
      </c>
      <c r="D238" t="str">
        <f>_xlfn.XLOOKUP($A238,PROPERTIES[VEHIDCODE],PROPERTIES[ROLE])</f>
        <v>Express</v>
      </c>
      <c r="E238" s="35" t="str">
        <f>_xlfn.XLOOKUP($A238,PROPERTIES[VEHIDCODE],PROPERTIES[REGION1])</f>
        <v>NORTH_AMERICA</v>
      </c>
      <c r="F238" s="35" t="str">
        <f>_xlfn.XLOOKUP($A238,PROPERTIES[VEHIDCODE],PROPERTIES[REGION2])</f>
        <v>NO_REGION</v>
      </c>
      <c r="G238" s="35" t="str">
        <f t="shared" si="20"/>
        <v>NORTH_AMERICA_NO_REGION</v>
      </c>
      <c r="H238" t="b">
        <f t="shared" si="21"/>
        <v>0</v>
      </c>
      <c r="I238" t="b">
        <f t="shared" si="22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3"/>
        <v>0</v>
      </c>
      <c r="N238" t="b">
        <f t="shared" si="24"/>
        <v>1</v>
      </c>
      <c r="O238" t="b">
        <f t="shared" si="24"/>
        <v>0</v>
      </c>
      <c r="P238" t="b">
        <f t="shared" si="25"/>
        <v>0</v>
      </c>
    </row>
    <row r="239" spans="1:16">
      <c r="A239" t="str">
        <v>diesel_USA_NYC_Baldwin_VO_660</v>
      </c>
      <c r="B239" t="b" cm="1">
        <f t="array" ref="B239">_xlfn.XLOOKUP(A239,CONTROL[VEHIDCODE],PROPERTIES[EXCLUDE])</f>
        <v>0</v>
      </c>
      <c r="C239">
        <f>FLOOR(_xlfn.XLOOKUP($A239,PROPERTIES[VEHIDCODE],PROPERTIES[INTRODUCTION_YEAR]),20)</f>
        <v>1920</v>
      </c>
      <c r="D239" t="str">
        <f>_xlfn.XLOOKUP($A239,PROPERTIES[VEHIDCODE],PROPERTIES[ROLE])</f>
        <v>Universal</v>
      </c>
      <c r="E239" s="35" t="str">
        <f>_xlfn.XLOOKUP($A239,PROPERTIES[VEHIDCODE],PROPERTIES[REGION1])</f>
        <v>NORTH_AMERICA</v>
      </c>
      <c r="F239" s="35" t="str">
        <f>_xlfn.XLOOKUP($A239,PROPERTIES[VEHIDCODE],PROPERTIES[REGION2])</f>
        <v>NO_REGION</v>
      </c>
      <c r="G239" s="35" t="str">
        <f t="shared" si="20"/>
        <v>NORTH_AMERICA_NO_REGION</v>
      </c>
      <c r="H239" t="b">
        <f t="shared" si="21"/>
        <v>0</v>
      </c>
      <c r="I239" t="b">
        <f t="shared" si="22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3"/>
        <v>0</v>
      </c>
      <c r="N239" t="b">
        <f t="shared" si="24"/>
        <v>1</v>
      </c>
      <c r="O239" t="b">
        <f t="shared" si="24"/>
        <v>0</v>
      </c>
      <c r="P239" t="b">
        <f t="shared" si="25"/>
        <v>0</v>
      </c>
    </row>
    <row r="240" spans="1:16">
      <c r="A240" t="str">
        <v>diesel_UK_BR_Class_D3_7</v>
      </c>
      <c r="B240" t="b" cm="1">
        <f t="array" ref="B240">_xlfn.XLOOKUP(A240,CONTROL[VEHIDCODE],PROPERTIES[EXCLUDE])</f>
        <v>0</v>
      </c>
      <c r="C240">
        <f>FLOOR(_xlfn.XLOOKUP($A240,PROPERTIES[VEHIDCODE],PROPERTIES[INTRODUCTION_YEAR]),20)</f>
        <v>1920</v>
      </c>
      <c r="D240" t="str">
        <f>_xlfn.XLOOKUP($A240,PROPERTIES[VEHIDCODE],PROPERTIES[ROLE])</f>
        <v>Shunting</v>
      </c>
      <c r="E240" s="35" t="str">
        <f>_xlfn.XLOOKUP($A240,PROPERTIES[VEHIDCODE],PROPERTIES[REGION1])</f>
        <v>NORTHERN_EUROPE</v>
      </c>
      <c r="F240" s="35" t="str">
        <f>_xlfn.XLOOKUP($A240,PROPERTIES[VEHIDCODE],PROPERTIES[REGION2])</f>
        <v>NO_REGION</v>
      </c>
      <c r="G240" s="35" t="str">
        <f t="shared" si="20"/>
        <v>NORTHERN_EUROPE_NO_REGION</v>
      </c>
      <c r="H240" t="b">
        <f t="shared" si="21"/>
        <v>0</v>
      </c>
      <c r="I240" t="b">
        <f t="shared" si="22"/>
        <v>0</v>
      </c>
      <c r="J240" t="b">
        <f t="shared" si="23"/>
        <v>0</v>
      </c>
      <c r="K240" t="b">
        <f t="shared" si="23"/>
        <v>0</v>
      </c>
      <c r="L240" t="b">
        <f t="shared" si="23"/>
        <v>0</v>
      </c>
      <c r="M240" t="b">
        <f t="shared" si="23"/>
        <v>1</v>
      </c>
      <c r="N240" t="b">
        <f t="shared" si="24"/>
        <v>0</v>
      </c>
      <c r="O240" t="b">
        <f t="shared" si="24"/>
        <v>0</v>
      </c>
      <c r="P240" t="b">
        <f t="shared" si="25"/>
        <v>0</v>
      </c>
    </row>
    <row r="241" spans="1:16">
      <c r="A241" t="str">
        <v>diesel_Australia_Queensland_Railways_DL_Class</v>
      </c>
      <c r="B241" t="b" cm="1">
        <f t="array" ref="B241">_xlfn.XLOOKUP(A241,CONTROL[VEHIDCODE],PROPERTIES[EXCLUDE])</f>
        <v>0</v>
      </c>
      <c r="C241">
        <f>FLOOR(_xlfn.XLOOKUP($A241,PROPERTIES[VEHIDCODE],PROPERTIES[INTRODUCTION_YEAR]),20)</f>
        <v>1920</v>
      </c>
      <c r="D241" t="str">
        <f>_xlfn.XLOOKUP($A241,PROPERTIES[VEHIDCODE],PROPERTIES[ROLE])</f>
        <v>Shunting</v>
      </c>
      <c r="E241" s="35" t="str">
        <f>_xlfn.XLOOKUP($A241,PROPERTIES[VEHIDCODE],PROPERTIES[REGION1])</f>
        <v>OCEANIA</v>
      </c>
      <c r="F241" s="35" t="str">
        <f>_xlfn.XLOOKUP($A241,PROPERTIES[VEHIDCODE],PROPERTIES[REGION2])</f>
        <v>NO_REGION</v>
      </c>
      <c r="G241" s="35" t="str">
        <f t="shared" si="20"/>
        <v>OCEANIA_NO_REGION</v>
      </c>
      <c r="H241" t="b">
        <f t="shared" si="21"/>
        <v>0</v>
      </c>
      <c r="I241" t="b">
        <f t="shared" si="22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3"/>
        <v>0</v>
      </c>
      <c r="N241" t="b">
        <f t="shared" si="24"/>
        <v>0</v>
      </c>
      <c r="O241" t="b">
        <f t="shared" si="24"/>
        <v>0</v>
      </c>
      <c r="P241" t="b">
        <f t="shared" si="25"/>
        <v>1</v>
      </c>
    </row>
    <row r="242" spans="1:16">
      <c r="A242" t="str">
        <v>diesel_USA_PRR_FM_H_10_44</v>
      </c>
      <c r="B242" t="b" cm="1">
        <f t="array" ref="B242">_xlfn.XLOOKUP(A242,CONTROL[VEHIDCODE],PROPERTIES[EXCLUDE])</f>
        <v>0</v>
      </c>
      <c r="C242">
        <f>FLOOR(_xlfn.XLOOKUP($A242,PROPERTIES[VEHIDCODE],PROPERTIES[INTRODUCTION_YEAR]),20)</f>
        <v>1940</v>
      </c>
      <c r="D242" t="str">
        <f>_xlfn.XLOOKUP($A242,PROPERTIES[VEHIDCODE],PROPERTIES[ROLE])</f>
        <v>Universal</v>
      </c>
      <c r="E242" s="35" t="str">
        <f>_xlfn.XLOOKUP($A242,PROPERTIES[VEHIDCODE],PROPERTIES[REGION1])</f>
        <v>NORTH_AMERICA</v>
      </c>
      <c r="F242" s="35" t="str">
        <f>_xlfn.XLOOKUP($A242,PROPERTIES[VEHIDCODE],PROPERTIES[REGION2])</f>
        <v>NO_REGION</v>
      </c>
      <c r="G242" s="35" t="str">
        <f t="shared" si="20"/>
        <v>NORTH_AMERICA_NO_REGION</v>
      </c>
      <c r="H242" t="b">
        <f t="shared" si="21"/>
        <v>0</v>
      </c>
      <c r="I242" t="b">
        <f t="shared" si="22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3"/>
        <v>0</v>
      </c>
      <c r="N242" t="b">
        <f t="shared" si="24"/>
        <v>1</v>
      </c>
      <c r="O242" t="b">
        <f t="shared" si="24"/>
        <v>0</v>
      </c>
      <c r="P242" t="b">
        <f t="shared" si="25"/>
        <v>0</v>
      </c>
    </row>
    <row r="243" spans="1:16">
      <c r="A243" t="str">
        <v>diesel_Algeria_SNTF_Baldwin_DRS6_4_1000</v>
      </c>
      <c r="B243" t="b" cm="1">
        <f t="array" ref="B243">_xlfn.XLOOKUP(A243,CONTROL[VEHIDCODE],PROPERTIES[EXCLUDE])</f>
        <v>0</v>
      </c>
      <c r="C243">
        <f>FLOOR(_xlfn.XLOOKUP($A243,PROPERTIES[VEHIDCODE],PROPERTIES[INTRODUCTION_YEAR]),20)</f>
        <v>1940</v>
      </c>
      <c r="D243" t="str">
        <f>_xlfn.XLOOKUP($A243,PROPERTIES[VEHIDCODE],PROPERTIES[ROLE])</f>
        <v>Universal</v>
      </c>
      <c r="E243" s="35" t="str">
        <f>_xlfn.XLOOKUP($A243,PROPERTIES[VEHIDCODE],PROPERTIES[REGION1])</f>
        <v>AFRICA</v>
      </c>
      <c r="F243" s="35" t="str">
        <f>_xlfn.XLOOKUP($A243,PROPERTIES[VEHIDCODE],PROPERTIES[REGION2])</f>
        <v>NO_REGION</v>
      </c>
      <c r="G243" s="35" t="str">
        <f t="shared" si="20"/>
        <v>AFRICA_NO_REGION</v>
      </c>
      <c r="H243" t="b">
        <f t="shared" si="21"/>
        <v>1</v>
      </c>
      <c r="I243" t="b">
        <f t="shared" si="22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3"/>
        <v>0</v>
      </c>
      <c r="N243" t="b">
        <f t="shared" si="24"/>
        <v>0</v>
      </c>
      <c r="O243" t="b">
        <f t="shared" si="24"/>
        <v>0</v>
      </c>
      <c r="P243" t="b">
        <f t="shared" si="25"/>
        <v>0</v>
      </c>
    </row>
    <row r="244" spans="1:16">
      <c r="A244" t="str">
        <v>diesel_Ireland_CIE_113</v>
      </c>
      <c r="B244" t="b" cm="1">
        <f t="array" ref="B244">_xlfn.XLOOKUP(A244,CONTROL[VEHIDCODE],PROPERTIES[EXCLUDE])</f>
        <v>0</v>
      </c>
      <c r="C244">
        <f>FLOOR(_xlfn.XLOOKUP($A244,PROPERTIES[VEHIDCODE],PROPERTIES[INTRODUCTION_YEAR]),20)</f>
        <v>1940</v>
      </c>
      <c r="D244" t="str">
        <f>_xlfn.XLOOKUP($A244,PROPERTIES[VEHIDCODE],PROPERTIES[ROLE])</f>
        <v>Universal</v>
      </c>
      <c r="E244" s="35" t="str">
        <f>_xlfn.XLOOKUP($A244,PROPERTIES[VEHIDCODE],PROPERTIES[REGION1])</f>
        <v>NORTHERN_EUROPE</v>
      </c>
      <c r="F244" s="35" t="str">
        <f>_xlfn.XLOOKUP($A244,PROPERTIES[VEHIDCODE],PROPERTIES[REGION2])</f>
        <v>NO_REGION</v>
      </c>
      <c r="G244" s="35" t="str">
        <f t="shared" si="20"/>
        <v>NORTHERN_EUROPE_NO_REGION</v>
      </c>
      <c r="H244" t="b">
        <f t="shared" si="21"/>
        <v>0</v>
      </c>
      <c r="I244" t="b">
        <f t="shared" si="22"/>
        <v>0</v>
      </c>
      <c r="J244" t="b">
        <f t="shared" si="23"/>
        <v>0</v>
      </c>
      <c r="K244" t="b">
        <f t="shared" si="23"/>
        <v>0</v>
      </c>
      <c r="L244" t="b">
        <f t="shared" si="23"/>
        <v>0</v>
      </c>
      <c r="M244" t="b">
        <f t="shared" si="23"/>
        <v>1</v>
      </c>
      <c r="N244" t="b">
        <f t="shared" si="24"/>
        <v>0</v>
      </c>
      <c r="O244" t="b">
        <f t="shared" si="24"/>
        <v>0</v>
      </c>
      <c r="P244" t="b">
        <f t="shared" si="25"/>
        <v>0</v>
      </c>
    </row>
    <row r="245" spans="1:16">
      <c r="A245" t="str">
        <v>diesel_Brazil_EFC_3300_Baldwin_AS_616</v>
      </c>
      <c r="B245" t="b" cm="1">
        <f t="array" ref="B245">_xlfn.XLOOKUP(A245,CONTROL[VEHIDCODE],PROPERTIES[EXCLUDE])</f>
        <v>0</v>
      </c>
      <c r="C245">
        <f>FLOOR(_xlfn.XLOOKUP($A245,PROPERTIES[VEHIDCODE],PROPERTIES[INTRODUCTION_YEAR]),20)</f>
        <v>1940</v>
      </c>
      <c r="D245" t="str">
        <f>_xlfn.XLOOKUP($A245,PROPERTIES[VEHIDCODE],PROPERTIES[ROLE])</f>
        <v>Heavy Freight</v>
      </c>
      <c r="E245" s="35" t="str">
        <f>_xlfn.XLOOKUP($A245,PROPERTIES[VEHIDCODE],PROPERTIES[REGION1])</f>
        <v>SOUTH_AMERICA</v>
      </c>
      <c r="F245" s="35" t="str">
        <f>_xlfn.XLOOKUP($A245,PROPERTIES[VEHIDCODE],PROPERTIES[REGION2])</f>
        <v>NO_REGION</v>
      </c>
      <c r="G245" s="35" t="str">
        <f t="shared" si="20"/>
        <v>SOUTH_AMERICA_NO_REGION</v>
      </c>
      <c r="H245" t="b">
        <f t="shared" si="21"/>
        <v>0</v>
      </c>
      <c r="I245" t="b">
        <f t="shared" si="22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3"/>
        <v>0</v>
      </c>
      <c r="N245" t="b">
        <f t="shared" si="24"/>
        <v>0</v>
      </c>
      <c r="O245" t="b">
        <f t="shared" si="24"/>
        <v>1</v>
      </c>
      <c r="P245" t="b">
        <f t="shared" si="25"/>
        <v>0</v>
      </c>
    </row>
    <row r="246" spans="1:16">
      <c r="A246" t="str">
        <v>diesel_Mexico_CHP_500_FM_H_16_44</v>
      </c>
      <c r="B246" t="b" cm="1">
        <f t="array" ref="B246">_xlfn.XLOOKUP(A246,CONTROL[VEHIDCODE],PROPERTIES[EXCLUDE])</f>
        <v>0</v>
      </c>
      <c r="C246">
        <f>FLOOR(_xlfn.XLOOKUP($A246,PROPERTIES[VEHIDCODE],PROPERTIES[INTRODUCTION_YEAR]),20)</f>
        <v>1940</v>
      </c>
      <c r="D246" t="str">
        <f>_xlfn.XLOOKUP($A246,PROPERTIES[VEHIDCODE],PROPERTIES[ROLE])</f>
        <v>Universal</v>
      </c>
      <c r="E246" s="35" t="str">
        <f>_xlfn.XLOOKUP($A246,PROPERTIES[VEHIDCODE],PROPERTIES[REGION1])</f>
        <v>NORTH_AMERICA</v>
      </c>
      <c r="F246" s="35" t="str">
        <f>_xlfn.XLOOKUP($A246,PROPERTIES[VEHIDCODE],PROPERTIES[REGION2])</f>
        <v>NO_REGION</v>
      </c>
      <c r="G246" s="35" t="str">
        <f t="shared" si="20"/>
        <v>NORTH_AMERICA_NO_REGION</v>
      </c>
      <c r="H246" t="b">
        <f t="shared" si="21"/>
        <v>0</v>
      </c>
      <c r="I246" t="b">
        <f t="shared" si="22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3"/>
        <v>0</v>
      </c>
      <c r="N246" t="b">
        <f t="shared" si="24"/>
        <v>1</v>
      </c>
      <c r="O246" t="b">
        <f t="shared" si="24"/>
        <v>0</v>
      </c>
      <c r="P246" t="b">
        <f t="shared" si="25"/>
        <v>0</v>
      </c>
    </row>
    <row r="247" spans="1:16">
      <c r="A247" t="str">
        <v>diesel_Australia_South_Australian_Railways_900</v>
      </c>
      <c r="B247" t="b" cm="1">
        <f t="array" ref="B247">_xlfn.XLOOKUP(A247,CONTROL[VEHIDCODE],PROPERTIES[EXCLUDE])</f>
        <v>0</v>
      </c>
      <c r="C247">
        <f>FLOOR(_xlfn.XLOOKUP($A247,PROPERTIES[VEHIDCODE],PROPERTIES[INTRODUCTION_YEAR]),20)</f>
        <v>1940</v>
      </c>
      <c r="D247" t="str">
        <f>_xlfn.XLOOKUP($A247,PROPERTIES[VEHIDCODE],PROPERTIES[ROLE])</f>
        <v>Universal</v>
      </c>
      <c r="E247" s="35" t="str">
        <f>_xlfn.XLOOKUP($A247,PROPERTIES[VEHIDCODE],PROPERTIES[REGION1])</f>
        <v>OCEANIA</v>
      </c>
      <c r="F247" s="35" t="str">
        <f>_xlfn.XLOOKUP($A247,PROPERTIES[VEHIDCODE],PROPERTIES[REGION2])</f>
        <v>NO_REGION</v>
      </c>
      <c r="G247" s="35" t="str">
        <f t="shared" si="20"/>
        <v>OCEANIA_NO_REGION</v>
      </c>
      <c r="H247" t="b">
        <f t="shared" si="21"/>
        <v>0</v>
      </c>
      <c r="I247" t="b">
        <f t="shared" si="22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3"/>
        <v>0</v>
      </c>
      <c r="N247" t="b">
        <f t="shared" si="24"/>
        <v>0</v>
      </c>
      <c r="O247" t="b">
        <f t="shared" si="24"/>
        <v>0</v>
      </c>
      <c r="P247" t="b">
        <f t="shared" si="25"/>
        <v>1</v>
      </c>
    </row>
    <row r="248" spans="1:16">
      <c r="A248" t="str">
        <v>diesel_Sri_Lanka_Sri_Lanka_Railways_M2</v>
      </c>
      <c r="B248" t="b" cm="1">
        <f t="array" ref="B248">_xlfn.XLOOKUP(A248,CONTROL[VEHIDCODE],PROPERTIES[EXCLUDE])</f>
        <v>0</v>
      </c>
      <c r="C248">
        <f>FLOOR(_xlfn.XLOOKUP($A248,PROPERTIES[VEHIDCODE],PROPERTIES[INTRODUCTION_YEAR]),20)</f>
        <v>1940</v>
      </c>
      <c r="D248" t="str">
        <f>_xlfn.XLOOKUP($A248,PROPERTIES[VEHIDCODE],PROPERTIES[ROLE])</f>
        <v>Universal</v>
      </c>
      <c r="E248" s="35" t="str">
        <f>_xlfn.XLOOKUP($A248,PROPERTIES[VEHIDCODE],PROPERTIES[REGION1])</f>
        <v>ASIA</v>
      </c>
      <c r="F248" s="35" t="str">
        <f>_xlfn.XLOOKUP($A248,PROPERTIES[VEHIDCODE],PROPERTIES[REGION2])</f>
        <v>NO_REGION</v>
      </c>
      <c r="G248" s="35" t="str">
        <f t="shared" si="20"/>
        <v>ASIA_NO_REGION</v>
      </c>
      <c r="H248" t="b">
        <f t="shared" si="21"/>
        <v>0</v>
      </c>
      <c r="I248" t="b">
        <f t="shared" si="22"/>
        <v>1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3"/>
        <v>0</v>
      </c>
      <c r="N248" t="b">
        <f t="shared" si="24"/>
        <v>0</v>
      </c>
      <c r="O248" t="b">
        <f t="shared" si="24"/>
        <v>0</v>
      </c>
      <c r="P248" t="b">
        <f t="shared" si="25"/>
        <v>0</v>
      </c>
    </row>
    <row r="249" spans="1:16">
      <c r="A249" t="str">
        <v>diesel_Ireland_CIE_001</v>
      </c>
      <c r="B249" t="b" cm="1">
        <f t="array" ref="B249">_xlfn.XLOOKUP(A249,CONTROL[VEHIDCODE],PROPERTIES[EXCLUDE])</f>
        <v>0</v>
      </c>
      <c r="C249">
        <f>FLOOR(_xlfn.XLOOKUP($A249,PROPERTIES[VEHIDCODE],PROPERTIES[INTRODUCTION_YEAR]),20)</f>
        <v>1940</v>
      </c>
      <c r="D249" t="str">
        <f>_xlfn.XLOOKUP($A249,PROPERTIES[VEHIDCODE],PROPERTIES[ROLE])</f>
        <v>Universal</v>
      </c>
      <c r="E249" s="35" t="str">
        <f>_xlfn.XLOOKUP($A249,PROPERTIES[VEHIDCODE],PROPERTIES[REGION1])</f>
        <v>NORTHERN_EUROPE</v>
      </c>
      <c r="F249" s="35" t="str">
        <f>_xlfn.XLOOKUP($A249,PROPERTIES[VEHIDCODE],PROPERTIES[REGION2])</f>
        <v>NO_REGION</v>
      </c>
      <c r="G249" s="35" t="str">
        <f t="shared" si="20"/>
        <v>NORTHERN_EUROPE_NO_REGION</v>
      </c>
      <c r="H249" t="b">
        <f t="shared" si="21"/>
        <v>0</v>
      </c>
      <c r="I249" t="b">
        <f t="shared" si="22"/>
        <v>0</v>
      </c>
      <c r="J249" t="b">
        <f t="shared" si="23"/>
        <v>0</v>
      </c>
      <c r="K249" t="b">
        <f t="shared" si="23"/>
        <v>0</v>
      </c>
      <c r="L249" t="b">
        <f t="shared" si="23"/>
        <v>0</v>
      </c>
      <c r="M249" t="b">
        <f t="shared" si="23"/>
        <v>1</v>
      </c>
      <c r="N249" t="b">
        <f t="shared" si="24"/>
        <v>0</v>
      </c>
      <c r="O249" t="b">
        <f t="shared" si="24"/>
        <v>0</v>
      </c>
      <c r="P249" t="b">
        <f t="shared" si="25"/>
        <v>0</v>
      </c>
    </row>
    <row r="250" spans="1:16">
      <c r="A250" t="str">
        <v>diesel_Italy_FS_D341</v>
      </c>
      <c r="B250" t="b" cm="1">
        <f t="array" ref="B250">_xlfn.XLOOKUP(A250,CONTROL[VEHIDCODE],PROPERTIES[EXCLUDE])</f>
        <v>0</v>
      </c>
      <c r="C250">
        <f>FLOOR(_xlfn.XLOOKUP($A250,PROPERTIES[VEHIDCODE],PROPERTIES[INTRODUCTION_YEAR]),20)</f>
        <v>1940</v>
      </c>
      <c r="D250" t="str">
        <f>_xlfn.XLOOKUP($A250,PROPERTIES[VEHIDCODE],PROPERTIES[ROLE])</f>
        <v>Universal</v>
      </c>
      <c r="E250" s="35" t="str">
        <f>_xlfn.XLOOKUP($A250,PROPERTIES[VEHIDCODE],PROPERTIES[REGION1])</f>
        <v>SOUTHERN_EUROPE</v>
      </c>
      <c r="F250" s="35" t="str">
        <f>_xlfn.XLOOKUP($A250,PROPERTIES[VEHIDCODE],PROPERTIES[REGION2])</f>
        <v>NO_REGION</v>
      </c>
      <c r="G250" s="35" t="str">
        <f t="shared" si="20"/>
        <v>SOUTHERN_EUROPE_NO_REGION</v>
      </c>
      <c r="H250" t="b">
        <f t="shared" si="21"/>
        <v>0</v>
      </c>
      <c r="I250" t="b">
        <f t="shared" si="22"/>
        <v>0</v>
      </c>
      <c r="J250" t="b">
        <f t="shared" si="23"/>
        <v>1</v>
      </c>
      <c r="K250" t="b">
        <f t="shared" si="23"/>
        <v>0</v>
      </c>
      <c r="L250" t="b">
        <f t="shared" si="23"/>
        <v>0</v>
      </c>
      <c r="M250" t="b">
        <f t="shared" si="23"/>
        <v>0</v>
      </c>
      <c r="N250" t="b">
        <f t="shared" si="24"/>
        <v>0</v>
      </c>
      <c r="O250" t="b">
        <f t="shared" si="24"/>
        <v>0</v>
      </c>
      <c r="P250" t="b">
        <f t="shared" si="25"/>
        <v>0</v>
      </c>
    </row>
    <row r="251" spans="1:16">
      <c r="A251" t="str">
        <v>diesel_Australia_NSWGR_44</v>
      </c>
      <c r="B251" t="b" cm="1">
        <f t="array" ref="B251">_xlfn.XLOOKUP(A251,CONTROL[VEHIDCODE],PROPERTIES[EXCLUDE])</f>
        <v>0</v>
      </c>
      <c r="C251">
        <f>FLOOR(_xlfn.XLOOKUP($A251,PROPERTIES[VEHIDCODE],PROPERTIES[INTRODUCTION_YEAR]),20)</f>
        <v>1940</v>
      </c>
      <c r="D251" t="str">
        <f>_xlfn.XLOOKUP($A251,PROPERTIES[VEHIDCODE],PROPERTIES[ROLE])</f>
        <v>Universal</v>
      </c>
      <c r="E251" s="35" t="str">
        <f>_xlfn.XLOOKUP($A251,PROPERTIES[VEHIDCODE],PROPERTIES[REGION1])</f>
        <v>OCEANIA</v>
      </c>
      <c r="F251" s="35" t="str">
        <f>_xlfn.XLOOKUP($A251,PROPERTIES[VEHIDCODE],PROPERTIES[REGION2])</f>
        <v>NO_REGION</v>
      </c>
      <c r="G251" s="35" t="str">
        <f t="shared" si="20"/>
        <v>OCEANIA_NO_REGION</v>
      </c>
      <c r="H251" t="b">
        <f t="shared" si="21"/>
        <v>0</v>
      </c>
      <c r="I251" t="b">
        <f t="shared" si="22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3"/>
        <v>0</v>
      </c>
      <c r="N251" t="b">
        <f t="shared" si="24"/>
        <v>0</v>
      </c>
      <c r="O251" t="b">
        <f t="shared" si="24"/>
        <v>0</v>
      </c>
      <c r="P251" t="b">
        <f t="shared" si="25"/>
        <v>1</v>
      </c>
    </row>
    <row r="252" spans="1:16">
      <c r="A252" t="str">
        <v>diesel_Zimbabwe_Zimbabwe_Railways_DH_1</v>
      </c>
      <c r="B252" t="b" cm="1">
        <f t="array" ref="B252">_xlfn.XLOOKUP(A252,CONTROL[VEHIDCODE],PROPERTIES[EXCLUDE])</f>
        <v>0</v>
      </c>
      <c r="C252">
        <f>FLOOR(_xlfn.XLOOKUP($A252,PROPERTIES[VEHIDCODE],PROPERTIES[INTRODUCTION_YEAR]),20)</f>
        <v>1940</v>
      </c>
      <c r="D252" t="str">
        <f>_xlfn.XLOOKUP($A252,PROPERTIES[VEHIDCODE],PROPERTIES[ROLE])</f>
        <v>Universal</v>
      </c>
      <c r="E252" s="35" t="str">
        <f>_xlfn.XLOOKUP($A252,PROPERTIES[VEHIDCODE],PROPERTIES[REGION1])</f>
        <v>AFRICA</v>
      </c>
      <c r="F252" s="35" t="str">
        <f>_xlfn.XLOOKUP($A252,PROPERTIES[VEHIDCODE],PROPERTIES[REGION2])</f>
        <v>NO_REGION</v>
      </c>
      <c r="G252" s="35" t="str">
        <f t="shared" si="20"/>
        <v>AFRICA_NO_REGION</v>
      </c>
      <c r="H252" t="b">
        <f t="shared" si="21"/>
        <v>1</v>
      </c>
      <c r="I252" t="b">
        <f t="shared" si="22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3"/>
        <v>0</v>
      </c>
      <c r="N252" t="b">
        <f t="shared" si="24"/>
        <v>0</v>
      </c>
      <c r="O252" t="b">
        <f t="shared" si="24"/>
        <v>0</v>
      </c>
      <c r="P252" t="b">
        <f t="shared" si="25"/>
        <v>0</v>
      </c>
    </row>
    <row r="253" spans="1:16">
      <c r="A253" t="str">
        <v>diesel_South_Korea_Korail_6000_EMD_SD18</v>
      </c>
      <c r="B253" t="b" cm="1">
        <f t="array" ref="B253">_xlfn.XLOOKUP(A253,CONTROL[VEHIDCODE],PROPERTIES[EXCLUDE])</f>
        <v>0</v>
      </c>
      <c r="C253">
        <f>FLOOR(_xlfn.XLOOKUP($A253,PROPERTIES[VEHIDCODE],PROPERTIES[INTRODUCTION_YEAR]),20)</f>
        <v>1960</v>
      </c>
      <c r="D253" t="str">
        <f>_xlfn.XLOOKUP($A253,PROPERTIES[VEHIDCODE],PROPERTIES[ROLE])</f>
        <v>Heavy Freight</v>
      </c>
      <c r="E253" s="35" t="str">
        <f>_xlfn.XLOOKUP($A253,PROPERTIES[VEHIDCODE],PROPERTIES[REGION1])</f>
        <v>ASIA</v>
      </c>
      <c r="F253" s="35" t="str">
        <f>_xlfn.XLOOKUP($A253,PROPERTIES[VEHIDCODE],PROPERTIES[REGION2])</f>
        <v>NO_REGION</v>
      </c>
      <c r="G253" s="35" t="str">
        <f t="shared" si="20"/>
        <v>ASIA_NO_REGION</v>
      </c>
      <c r="H253" t="b">
        <f t="shared" si="21"/>
        <v>0</v>
      </c>
      <c r="I253" t="b">
        <f t="shared" si="22"/>
        <v>1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3"/>
        <v>0</v>
      </c>
      <c r="N253" t="b">
        <f t="shared" si="24"/>
        <v>0</v>
      </c>
      <c r="O253" t="b">
        <f t="shared" si="24"/>
        <v>0</v>
      </c>
      <c r="P253" t="b">
        <f t="shared" si="25"/>
        <v>0</v>
      </c>
    </row>
    <row r="254" spans="1:16">
      <c r="A254" t="str">
        <v>diesel_Italy_FS_D345</v>
      </c>
      <c r="B254" t="b" cm="1">
        <f t="array" ref="B254">_xlfn.XLOOKUP(A254,CONTROL[VEHIDCODE],PROPERTIES[EXCLUDE])</f>
        <v>0</v>
      </c>
      <c r="C254">
        <f>FLOOR(_xlfn.XLOOKUP($A254,PROPERTIES[VEHIDCODE],PROPERTIES[INTRODUCTION_YEAR]),20)</f>
        <v>1960</v>
      </c>
      <c r="D254" t="str">
        <f>_xlfn.XLOOKUP($A254,PROPERTIES[VEHIDCODE],PROPERTIES[ROLE])</f>
        <v>Universal</v>
      </c>
      <c r="E254" s="35" t="str">
        <f>_xlfn.XLOOKUP($A254,PROPERTIES[VEHIDCODE],PROPERTIES[REGION1])</f>
        <v>SOUTHERN_EUROPE</v>
      </c>
      <c r="F254" s="35" t="str">
        <f>_xlfn.XLOOKUP($A254,PROPERTIES[VEHIDCODE],PROPERTIES[REGION2])</f>
        <v>NO_REGION</v>
      </c>
      <c r="G254" s="35" t="str">
        <f t="shared" si="20"/>
        <v>SOUTHERN_EUROPE_NO_REGION</v>
      </c>
      <c r="H254" t="b">
        <f t="shared" si="21"/>
        <v>0</v>
      </c>
      <c r="I254" t="b">
        <f t="shared" si="22"/>
        <v>0</v>
      </c>
      <c r="J254" t="b">
        <f t="shared" si="23"/>
        <v>1</v>
      </c>
      <c r="K254" t="b">
        <f t="shared" si="23"/>
        <v>0</v>
      </c>
      <c r="L254" t="b">
        <f t="shared" si="23"/>
        <v>0</v>
      </c>
      <c r="M254" t="b">
        <f t="shared" si="23"/>
        <v>0</v>
      </c>
      <c r="N254" t="b">
        <f t="shared" si="24"/>
        <v>0</v>
      </c>
      <c r="O254" t="b">
        <f t="shared" si="24"/>
        <v>0</v>
      </c>
      <c r="P254" t="b">
        <f t="shared" si="25"/>
        <v>0</v>
      </c>
    </row>
    <row r="255" spans="1:16">
      <c r="A255" t="str">
        <v>diesel_Norway_NSB_Di4</v>
      </c>
      <c r="B255" t="b" cm="1">
        <f t="array" ref="B255">_xlfn.XLOOKUP(A255,CONTROL[VEHIDCODE],PROPERTIES[EXCLUDE])</f>
        <v>0</v>
      </c>
      <c r="C255">
        <f>FLOOR(_xlfn.XLOOKUP($A255,PROPERTIES[VEHIDCODE],PROPERTIES[INTRODUCTION_YEAR]),20)</f>
        <v>1980</v>
      </c>
      <c r="D255" t="str">
        <f>_xlfn.XLOOKUP($A255,PROPERTIES[VEHIDCODE],PROPERTIES[ROLE])</f>
        <v>Universal</v>
      </c>
      <c r="E255" s="35" t="str">
        <f>_xlfn.XLOOKUP($A255,PROPERTIES[VEHIDCODE],PROPERTIES[REGION1])</f>
        <v>NORTHERN_EUROPE</v>
      </c>
      <c r="F255" s="35" t="str">
        <f>_xlfn.XLOOKUP($A255,PROPERTIES[VEHIDCODE],PROPERTIES[REGION2])</f>
        <v>NO_REGION</v>
      </c>
      <c r="G255" s="35" t="str">
        <f t="shared" si="20"/>
        <v>NORTHERN_EUROPE_NO_REGION</v>
      </c>
      <c r="H255" t="b">
        <f t="shared" si="21"/>
        <v>0</v>
      </c>
      <c r="I255" t="b">
        <f t="shared" si="22"/>
        <v>0</v>
      </c>
      <c r="J255" t="b">
        <f t="shared" si="23"/>
        <v>0</v>
      </c>
      <c r="K255" t="b">
        <f t="shared" si="23"/>
        <v>0</v>
      </c>
      <c r="L255" t="b">
        <f t="shared" si="23"/>
        <v>0</v>
      </c>
      <c r="M255" t="b">
        <f t="shared" si="23"/>
        <v>1</v>
      </c>
      <c r="N255" t="b">
        <f t="shared" si="24"/>
        <v>0</v>
      </c>
      <c r="O255" t="b">
        <f t="shared" si="24"/>
        <v>0</v>
      </c>
      <c r="P255" t="b">
        <f t="shared" si="25"/>
        <v>0</v>
      </c>
    </row>
    <row r="256" spans="1:16">
      <c r="A256" t="str">
        <v>diesel_China_China_Railways_DF8</v>
      </c>
      <c r="B256" t="b" cm="1">
        <f t="array" ref="B256">_xlfn.XLOOKUP(A256,CONTROL[VEHIDCODE],PROPERTIES[EXCLUDE])</f>
        <v>0</v>
      </c>
      <c r="C256">
        <f>FLOOR(_xlfn.XLOOKUP($A256,PROPERTIES[VEHIDCODE],PROPERTIES[INTRODUCTION_YEAR]),20)</f>
        <v>1980</v>
      </c>
      <c r="D256" t="str">
        <f>_xlfn.XLOOKUP($A256,PROPERTIES[VEHIDCODE],PROPERTIES[ROLE])</f>
        <v>Heavy Freight</v>
      </c>
      <c r="E256" s="35" t="str">
        <f>_xlfn.XLOOKUP($A256,PROPERTIES[VEHIDCODE],PROPERTIES[REGION1])</f>
        <v>ASIA</v>
      </c>
      <c r="F256" s="35" t="str">
        <f>_xlfn.XLOOKUP($A256,PROPERTIES[VEHIDCODE],PROPERTIES[REGION2])</f>
        <v>NO_REGION</v>
      </c>
      <c r="G256" s="35" t="str">
        <f t="shared" si="20"/>
        <v>ASIA_NO_REGION</v>
      </c>
      <c r="H256" t="b">
        <f t="shared" si="21"/>
        <v>0</v>
      </c>
      <c r="I256" t="b">
        <f t="shared" si="22"/>
        <v>1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3"/>
        <v>0</v>
      </c>
      <c r="N256" t="b">
        <f t="shared" si="24"/>
        <v>0</v>
      </c>
      <c r="O256" t="b">
        <f t="shared" si="24"/>
        <v>0</v>
      </c>
      <c r="P256" t="b">
        <f t="shared" si="25"/>
        <v>0</v>
      </c>
    </row>
    <row r="257" spans="1:16">
      <c r="A257" t="str">
        <v>diesel_Australia_Pacific_National_G_Class</v>
      </c>
      <c r="B257" t="b" cm="1">
        <f t="array" ref="B257">_xlfn.XLOOKUP(A257,CONTROL[VEHIDCODE],PROPERTIES[EXCLUDE])</f>
        <v>0</v>
      </c>
      <c r="C257">
        <f>FLOOR(_xlfn.XLOOKUP($A257,PROPERTIES[VEHIDCODE],PROPERTIES[INTRODUCTION_YEAR]),20)</f>
        <v>1980</v>
      </c>
      <c r="D257" t="str">
        <f>_xlfn.XLOOKUP($A257,PROPERTIES[VEHIDCODE],PROPERTIES[ROLE])</f>
        <v>Universal</v>
      </c>
      <c r="E257" s="35" t="str">
        <f>_xlfn.XLOOKUP($A257,PROPERTIES[VEHIDCODE],PROPERTIES[REGION1])</f>
        <v>OCEANIA</v>
      </c>
      <c r="F257" s="35" t="str">
        <f>_xlfn.XLOOKUP($A257,PROPERTIES[VEHIDCODE],PROPERTIES[REGION2])</f>
        <v>NO_REGION</v>
      </c>
      <c r="G257" s="35" t="str">
        <f t="shared" si="20"/>
        <v>OCEANIA_NO_REGION</v>
      </c>
      <c r="H257" t="b">
        <f t="shared" si="21"/>
        <v>0</v>
      </c>
      <c r="I257" t="b">
        <f t="shared" si="22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3"/>
        <v>0</v>
      </c>
      <c r="N257" t="b">
        <f t="shared" si="24"/>
        <v>0</v>
      </c>
      <c r="O257" t="b">
        <f t="shared" si="24"/>
        <v>0</v>
      </c>
      <c r="P257" t="b">
        <f t="shared" si="25"/>
        <v>1</v>
      </c>
    </row>
    <row r="258" spans="1:16">
      <c r="A258" t="str">
        <v>diesel_UK_BR_60</v>
      </c>
      <c r="B258" t="b" cm="1">
        <f t="array" ref="B258">_xlfn.XLOOKUP(A258,CONTROL[VEHIDCODE],PROPERTIES[EXCLUDE])</f>
        <v>0</v>
      </c>
      <c r="C258">
        <f>FLOOR(_xlfn.XLOOKUP($A258,PROPERTIES[VEHIDCODE],PROPERTIES[INTRODUCTION_YEAR]),20)</f>
        <v>1980</v>
      </c>
      <c r="D258" t="str">
        <f>_xlfn.XLOOKUP($A258,PROPERTIES[VEHIDCODE],PROPERTIES[ROLE])</f>
        <v>Universal</v>
      </c>
      <c r="E258" s="35" t="str">
        <f>_xlfn.XLOOKUP($A258,PROPERTIES[VEHIDCODE],PROPERTIES[REGION1])</f>
        <v>NORTHERN_EUROPE</v>
      </c>
      <c r="F258" s="35" t="str">
        <f>_xlfn.XLOOKUP($A258,PROPERTIES[VEHIDCODE],PROPERTIES[REGION2])</f>
        <v>NO_REGION</v>
      </c>
      <c r="G258" s="35" t="str">
        <f t="shared" si="20"/>
        <v>NORTHERN_EUROPE_NO_REGION</v>
      </c>
      <c r="H258" t="b">
        <f t="shared" si="21"/>
        <v>0</v>
      </c>
      <c r="I258" t="b">
        <f t="shared" si="22"/>
        <v>0</v>
      </c>
      <c r="J258" t="b">
        <f t="shared" si="23"/>
        <v>0</v>
      </c>
      <c r="K258" t="b">
        <f t="shared" si="23"/>
        <v>0</v>
      </c>
      <c r="L258" t="b">
        <f t="shared" si="23"/>
        <v>0</v>
      </c>
      <c r="M258" t="b">
        <f t="shared" ref="K258:M321" si="26">OR(ISNUMBER(SEARCH("ALL_REGION",$G258)),
ISNUMBER(SEARCH("ALL_EUROPE",$G258)),
ISNUMBER(SEARCH(M$1,$G258)),
ISNUMBER(SEARCH("REGIONTYPE1",$G258)))</f>
        <v>1</v>
      </c>
      <c r="N258" t="b">
        <f t="shared" si="24"/>
        <v>0</v>
      </c>
      <c r="O258" t="b">
        <f t="shared" si="24"/>
        <v>0</v>
      </c>
      <c r="P258" t="b">
        <f t="shared" si="25"/>
        <v>0</v>
      </c>
    </row>
    <row r="259" spans="1:16">
      <c r="A259" t="str">
        <v>diesel_Australia_Westrail_P_Class</v>
      </c>
      <c r="B259" t="b" cm="1">
        <f t="array" ref="B259">_xlfn.XLOOKUP(A259,CONTROL[VEHIDCODE],PROPERTIES[EXCLUDE])</f>
        <v>0</v>
      </c>
      <c r="C259">
        <f>FLOOR(_xlfn.XLOOKUP($A259,PROPERTIES[VEHIDCODE],PROPERTIES[INTRODUCTION_YEAR]),20)</f>
        <v>1980</v>
      </c>
      <c r="D259" t="str">
        <f>_xlfn.XLOOKUP($A259,PROPERTIES[VEHIDCODE],PROPERTIES[ROLE])</f>
        <v>Universal</v>
      </c>
      <c r="E259" s="35" t="str">
        <f>_xlfn.XLOOKUP($A259,PROPERTIES[VEHIDCODE],PROPERTIES[REGION1])</f>
        <v>OCEANIA</v>
      </c>
      <c r="F259" s="35" t="str">
        <f>_xlfn.XLOOKUP($A259,PROPERTIES[VEHIDCODE],PROPERTIES[REGION2])</f>
        <v>NO_REGION</v>
      </c>
      <c r="G259" s="35" t="str">
        <f t="shared" ref="G259:G322" si="27">_xlfn.CONCAT($E259,"_",$F259)</f>
        <v>OCEANIA_NO_REGION</v>
      </c>
      <c r="H259" t="b">
        <f t="shared" ref="H259:H322" si="28">OR(ISNUMBER(SEARCH("ALL_REGION",$G259)),
ISNUMBER(SEARCH("AFRICA",$G259)),
ISNUMBER(SEARCH("REGIONTYPE1",$G259)),
ISNUMBER(SEARCH("REGIONTYPE2",$G259)))</f>
        <v>0</v>
      </c>
      <c r="I259" t="b">
        <f t="shared" ref="I259:I322" si="29">OR(ISNUMBER(SEARCH("ALL_REGION",$G259)),
ISNUMBER(SEARCH("ASIA",$G259)),
ISNUMBER(SEARCH("REGIONTYPE1",$G259)),
ISNUMBER(SEARCH("REGIONTYPE2",$G259)),
ISNUMBER(SEARCH("REGIONTYPE3",$G259)))</f>
        <v>0</v>
      </c>
      <c r="J259" t="b">
        <f t="shared" ref="J259:M322" si="30">OR(ISNUMBER(SEARCH("ALL_REGION",$G259)),
ISNUMBER(SEARCH("ALL_EUROPE",$G259)),
ISNUMBER(SEARCH(J$1,$G259)),
ISNUMBER(SEARCH("REGIONTYPE1",$G259)))</f>
        <v>0</v>
      </c>
      <c r="K259" t="b">
        <f t="shared" si="26"/>
        <v>0</v>
      </c>
      <c r="L259" t="b">
        <f t="shared" si="26"/>
        <v>0</v>
      </c>
      <c r="M259" t="b">
        <f t="shared" si="26"/>
        <v>0</v>
      </c>
      <c r="N259" t="b">
        <f t="shared" ref="N259:O322" si="31">OR(ISNUMBER(SEARCH("ALL_REGION",$G259)),
ISNUMBER(SEARCH("ALL_AMERICA",$G259)),
ISNUMBER(SEARCH(N$1,$G259)),
ISNUMBER(SEARCH("REGIONTYPE2",$G259)))</f>
        <v>0</v>
      </c>
      <c r="O259" t="b">
        <f t="shared" si="31"/>
        <v>0</v>
      </c>
      <c r="P259" t="b">
        <f t="shared" ref="P259:P322" si="32">OR(ISNUMBER(SEARCH("ALL_REGION",$G259)),
ISNUMBER(SEARCH(P$1,$G259)),
ISNUMBER(SEARCH("REGIONTYPE3",$G259)))</f>
        <v>1</v>
      </c>
    </row>
    <row r="260" spans="1:16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>
        <f>FLOOR(_xlfn.XLOOKUP($A260,PROPERTIES[VEHIDCODE],PROPERTIES[INTRODUCTION_YEAR]),20)</f>
        <v>1980</v>
      </c>
      <c r="D260" t="str">
        <f>_xlfn.XLOOKUP($A260,PROPERTIES[VEHIDCODE],PROPERTIES[ROLE])</f>
        <v>Heavy Freight</v>
      </c>
      <c r="E260" s="35" t="str">
        <f>_xlfn.XLOOKUP($A260,PROPERTIES[VEHIDCODE],PROPERTIES[REGION1])</f>
        <v>ASIA</v>
      </c>
      <c r="F260" s="35" t="str">
        <f>_xlfn.XLOOKUP($A260,PROPERTIES[VEHIDCODE],PROPERTIES[REGION2])</f>
        <v>NO_REGION</v>
      </c>
      <c r="G260" s="35" t="str">
        <f t="shared" si="27"/>
        <v>ASIA_NO_REGION</v>
      </c>
      <c r="H260" t="b">
        <f t="shared" si="28"/>
        <v>0</v>
      </c>
      <c r="I260" t="b">
        <f t="shared" si="29"/>
        <v>1</v>
      </c>
      <c r="J260" t="b">
        <f t="shared" si="30"/>
        <v>0</v>
      </c>
      <c r="K260" t="b">
        <f t="shared" si="26"/>
        <v>0</v>
      </c>
      <c r="L260" t="b">
        <f t="shared" si="26"/>
        <v>0</v>
      </c>
      <c r="M260" t="b">
        <f t="shared" si="26"/>
        <v>0</v>
      </c>
      <c r="N260" t="b">
        <f t="shared" si="31"/>
        <v>0</v>
      </c>
      <c r="O260" t="b">
        <f t="shared" si="31"/>
        <v>0</v>
      </c>
      <c r="P260" t="b">
        <f t="shared" si="32"/>
        <v>0</v>
      </c>
    </row>
    <row r="261" spans="1:16">
      <c r="A261" t="str">
        <v>diesel_Ireland_IE_201</v>
      </c>
      <c r="B261" t="b" cm="1">
        <f t="array" ref="B261">_xlfn.XLOOKUP(A261,CONTROL[VEHIDCODE],PROPERTIES[EXCLUDE])</f>
        <v>0</v>
      </c>
      <c r="C261">
        <f>FLOOR(_xlfn.XLOOKUP($A261,PROPERTIES[VEHIDCODE],PROPERTIES[INTRODUCTION_YEAR]),20)</f>
        <v>1980</v>
      </c>
      <c r="D261" t="str">
        <f>_xlfn.XLOOKUP($A261,PROPERTIES[VEHIDCODE],PROPERTIES[ROLE])</f>
        <v>Express</v>
      </c>
      <c r="E261" s="35" t="str">
        <f>_xlfn.XLOOKUP($A261,PROPERTIES[VEHIDCODE],PROPERTIES[REGION1])</f>
        <v>NORTHERN_EUROPE</v>
      </c>
      <c r="F261" s="35" t="str">
        <f>_xlfn.XLOOKUP($A261,PROPERTIES[VEHIDCODE],PROPERTIES[REGION2])</f>
        <v>NO_REGION</v>
      </c>
      <c r="G261" s="35" t="str">
        <f t="shared" si="27"/>
        <v>NORTHERN_EUROPE_NO_REGION</v>
      </c>
      <c r="H261" t="b">
        <f t="shared" si="28"/>
        <v>0</v>
      </c>
      <c r="I261" t="b">
        <f t="shared" si="29"/>
        <v>0</v>
      </c>
      <c r="J261" t="b">
        <f t="shared" si="30"/>
        <v>0</v>
      </c>
      <c r="K261" t="b">
        <f t="shared" si="26"/>
        <v>0</v>
      </c>
      <c r="L261" t="b">
        <f t="shared" si="26"/>
        <v>0</v>
      </c>
      <c r="M261" t="b">
        <f t="shared" si="26"/>
        <v>1</v>
      </c>
      <c r="N261" t="b">
        <f t="shared" si="31"/>
        <v>0</v>
      </c>
      <c r="O261" t="b">
        <f t="shared" si="31"/>
        <v>0</v>
      </c>
      <c r="P261" t="b">
        <f t="shared" si="32"/>
        <v>0</v>
      </c>
    </row>
    <row r="262" spans="1:16">
      <c r="A262" t="str">
        <v>diesel_USA_Metrolink_EMD_F59PH</v>
      </c>
      <c r="B262" t="b" cm="1">
        <f t="array" ref="B262">_xlfn.XLOOKUP(A262,CONTROL[VEHIDCODE],PROPERTIES[EXCLUDE])</f>
        <v>0</v>
      </c>
      <c r="C262">
        <f>FLOOR(_xlfn.XLOOKUP($A262,PROPERTIES[VEHIDCODE],PROPERTIES[INTRODUCTION_YEAR]),20)</f>
        <v>1980</v>
      </c>
      <c r="D262" t="str">
        <f>_xlfn.XLOOKUP($A262,PROPERTIES[VEHIDCODE],PROPERTIES[ROLE])</f>
        <v>Express</v>
      </c>
      <c r="E262" s="35" t="str">
        <f>_xlfn.XLOOKUP($A262,PROPERTIES[VEHIDCODE],PROPERTIES[REGION1])</f>
        <v>NORTH_AMERICA</v>
      </c>
      <c r="F262" s="35" t="str">
        <f>_xlfn.XLOOKUP($A262,PROPERTIES[VEHIDCODE],PROPERTIES[REGION2])</f>
        <v>NO_REGION</v>
      </c>
      <c r="G262" s="35" t="str">
        <f t="shared" si="27"/>
        <v>NORTH_AMERICA_NO_REGION</v>
      </c>
      <c r="H262" t="b">
        <f t="shared" si="28"/>
        <v>0</v>
      </c>
      <c r="I262" t="b">
        <f t="shared" si="29"/>
        <v>0</v>
      </c>
      <c r="J262" t="b">
        <f t="shared" si="30"/>
        <v>0</v>
      </c>
      <c r="K262" t="b">
        <f t="shared" si="26"/>
        <v>0</v>
      </c>
      <c r="L262" t="b">
        <f t="shared" si="26"/>
        <v>0</v>
      </c>
      <c r="M262" t="b">
        <f t="shared" si="26"/>
        <v>0</v>
      </c>
      <c r="N262" t="b">
        <f t="shared" si="31"/>
        <v>1</v>
      </c>
      <c r="O262" t="b">
        <f t="shared" si="31"/>
        <v>0</v>
      </c>
      <c r="P262" t="b">
        <f t="shared" si="32"/>
        <v>0</v>
      </c>
    </row>
    <row r="263" spans="1:16">
      <c r="A263" t="str">
        <v>diesel_France_SNCF_461000</v>
      </c>
      <c r="B263" t="b" cm="1">
        <f t="array" ref="B263">_xlfn.XLOOKUP(A263,CONTROL[VEHIDCODE],PROPERTIES[EXCLUDE])</f>
        <v>0</v>
      </c>
      <c r="C263">
        <f>FLOOR(_xlfn.XLOOKUP($A263,PROPERTIES[VEHIDCODE],PROPERTIES[INTRODUCTION_YEAR]),20)</f>
        <v>2000</v>
      </c>
      <c r="D263" t="str">
        <f>_xlfn.XLOOKUP($A263,PROPERTIES[VEHIDCODE],PROPERTIES[ROLE])</f>
        <v>Universal</v>
      </c>
      <c r="E263" s="35" t="str">
        <f>_xlfn.XLOOKUP($A263,PROPERTIES[VEHIDCODE],PROPERTIES[REGION1])</f>
        <v>WESTERN_EUROPE</v>
      </c>
      <c r="F263" s="35" t="str">
        <f>_xlfn.XLOOKUP($A263,PROPERTIES[VEHIDCODE],PROPERTIES[REGION2])</f>
        <v>NO_REGION</v>
      </c>
      <c r="G263" s="35" t="str">
        <f t="shared" si="27"/>
        <v>WESTERN_EUROPE_NO_REGION</v>
      </c>
      <c r="H263" t="b">
        <f t="shared" si="28"/>
        <v>0</v>
      </c>
      <c r="I263" t="b">
        <f t="shared" si="29"/>
        <v>0</v>
      </c>
      <c r="J263" t="b">
        <f t="shared" si="30"/>
        <v>0</v>
      </c>
      <c r="K263" t="b">
        <f t="shared" si="26"/>
        <v>0</v>
      </c>
      <c r="L263" t="b">
        <f t="shared" si="26"/>
        <v>1</v>
      </c>
      <c r="M263" t="b">
        <f t="shared" si="26"/>
        <v>0</v>
      </c>
      <c r="N263" t="b">
        <f t="shared" si="31"/>
        <v>0</v>
      </c>
      <c r="O263" t="b">
        <f t="shared" si="31"/>
        <v>0</v>
      </c>
      <c r="P263" t="b">
        <f t="shared" si="32"/>
        <v>0</v>
      </c>
    </row>
    <row r="264" spans="1:16">
      <c r="A264" t="str">
        <v>diesel_Italy_ACT_D_200</v>
      </c>
      <c r="B264" t="b" cm="1">
        <f t="array" ref="B264">_xlfn.XLOOKUP(A264,CONTROL[VEHIDCODE],PROPERTIES[EXCLUDE])</f>
        <v>0</v>
      </c>
      <c r="C264">
        <f>FLOOR(_xlfn.XLOOKUP($A264,PROPERTIES[VEHIDCODE],PROPERTIES[INTRODUCTION_YEAR]),20)</f>
        <v>2000</v>
      </c>
      <c r="D264" t="str">
        <f>_xlfn.XLOOKUP($A264,PROPERTIES[VEHIDCODE],PROPERTIES[ROLE])</f>
        <v>Universal</v>
      </c>
      <c r="E264" s="35" t="str">
        <f>_xlfn.XLOOKUP($A264,PROPERTIES[VEHIDCODE],PROPERTIES[REGION1])</f>
        <v>SOUTHERN_EUROPE</v>
      </c>
      <c r="F264" s="35" t="str">
        <f>_xlfn.XLOOKUP($A264,PROPERTIES[VEHIDCODE],PROPERTIES[REGION2])</f>
        <v>NO_REGION</v>
      </c>
      <c r="G264" s="35" t="str">
        <f t="shared" si="27"/>
        <v>SOUTHERN_EUROPE_NO_REGION</v>
      </c>
      <c r="H264" t="b">
        <f t="shared" si="28"/>
        <v>0</v>
      </c>
      <c r="I264" t="b">
        <f t="shared" si="29"/>
        <v>0</v>
      </c>
      <c r="J264" t="b">
        <f t="shared" si="30"/>
        <v>1</v>
      </c>
      <c r="K264" t="b">
        <f t="shared" si="26"/>
        <v>0</v>
      </c>
      <c r="L264" t="b">
        <f t="shared" si="26"/>
        <v>0</v>
      </c>
      <c r="M264" t="b">
        <f t="shared" si="26"/>
        <v>0</v>
      </c>
      <c r="N264" t="b">
        <f t="shared" si="31"/>
        <v>0</v>
      </c>
      <c r="O264" t="b">
        <f t="shared" si="31"/>
        <v>0</v>
      </c>
      <c r="P264" t="b">
        <f t="shared" si="32"/>
        <v>0</v>
      </c>
    </row>
    <row r="265" spans="1:16">
      <c r="A265" t="str">
        <v>diesel_Canada_GO_Transit_MP40PH_3C</v>
      </c>
      <c r="B265" t="b" cm="1">
        <f t="array" ref="B265">_xlfn.XLOOKUP(A265,CONTROL[VEHIDCODE],PROPERTIES[EXCLUDE])</f>
        <v>0</v>
      </c>
      <c r="C265">
        <f>FLOOR(_xlfn.XLOOKUP($A265,PROPERTIES[VEHIDCODE],PROPERTIES[INTRODUCTION_YEAR]),20)</f>
        <v>2000</v>
      </c>
      <c r="D265" t="str">
        <f>_xlfn.XLOOKUP($A265,PROPERTIES[VEHIDCODE],PROPERTIES[ROLE])</f>
        <v>Universal</v>
      </c>
      <c r="E265" s="35" t="str">
        <f>_xlfn.XLOOKUP($A265,PROPERTIES[VEHIDCODE],PROPERTIES[REGION1])</f>
        <v>NORTH_AMERICA</v>
      </c>
      <c r="F265" s="35" t="str">
        <f>_xlfn.XLOOKUP($A265,PROPERTIES[VEHIDCODE],PROPERTIES[REGION2])</f>
        <v>NO_REGION</v>
      </c>
      <c r="G265" s="35" t="str">
        <f t="shared" si="27"/>
        <v>NORTH_AMERICA_NO_REGION</v>
      </c>
      <c r="H265" t="b">
        <f t="shared" si="28"/>
        <v>0</v>
      </c>
      <c r="I265" t="b">
        <f t="shared" si="29"/>
        <v>0</v>
      </c>
      <c r="J265" t="b">
        <f t="shared" si="30"/>
        <v>0</v>
      </c>
      <c r="K265" t="b">
        <f t="shared" si="26"/>
        <v>0</v>
      </c>
      <c r="L265" t="b">
        <f t="shared" si="26"/>
        <v>0</v>
      </c>
      <c r="M265" t="b">
        <f t="shared" si="26"/>
        <v>0</v>
      </c>
      <c r="N265" t="b">
        <f t="shared" si="31"/>
        <v>1</v>
      </c>
      <c r="O265" t="b">
        <f t="shared" si="31"/>
        <v>0</v>
      </c>
      <c r="P265" t="b">
        <f t="shared" si="32"/>
        <v>0</v>
      </c>
    </row>
    <row r="266" spans="1:16">
      <c r="A266" t="str">
        <v>diesel_Spain_RENFE_Class_334</v>
      </c>
      <c r="B266" t="b" cm="1">
        <f t="array" ref="B266">_xlfn.XLOOKUP(A266,CONTROL[VEHIDCODE],PROPERTIES[EXCLUDE])</f>
        <v>0</v>
      </c>
      <c r="C266">
        <f>FLOOR(_xlfn.XLOOKUP($A266,PROPERTIES[VEHIDCODE],PROPERTIES[INTRODUCTION_YEAR]),20)</f>
        <v>2000</v>
      </c>
      <c r="D266" t="str">
        <f>_xlfn.XLOOKUP($A266,PROPERTIES[VEHIDCODE],PROPERTIES[ROLE])</f>
        <v>Express</v>
      </c>
      <c r="E266" s="35" t="str">
        <f>_xlfn.XLOOKUP($A266,PROPERTIES[VEHIDCODE],PROPERTIES[REGION1])</f>
        <v>SOUTHERN_EUROPE</v>
      </c>
      <c r="F266" s="35" t="str">
        <f>_xlfn.XLOOKUP($A266,PROPERTIES[VEHIDCODE],PROPERTIES[REGION2])</f>
        <v>NO_REGION</v>
      </c>
      <c r="G266" s="35" t="str">
        <f t="shared" si="27"/>
        <v>SOUTHERN_EUROPE_NO_REGION</v>
      </c>
      <c r="H266" t="b">
        <f t="shared" si="28"/>
        <v>0</v>
      </c>
      <c r="I266" t="b">
        <f t="shared" si="29"/>
        <v>0</v>
      </c>
      <c r="J266" t="b">
        <f t="shared" si="30"/>
        <v>1</v>
      </c>
      <c r="K266" t="b">
        <f t="shared" si="26"/>
        <v>0</v>
      </c>
      <c r="L266" t="b">
        <f t="shared" si="26"/>
        <v>0</v>
      </c>
      <c r="M266" t="b">
        <f t="shared" si="26"/>
        <v>0</v>
      </c>
      <c r="N266" t="b">
        <f t="shared" si="31"/>
        <v>0</v>
      </c>
      <c r="O266" t="b">
        <f t="shared" si="31"/>
        <v>0</v>
      </c>
      <c r="P266" t="b">
        <f t="shared" si="32"/>
        <v>0</v>
      </c>
    </row>
    <row r="267" spans="1:16">
      <c r="A267" t="str">
        <v>diesel_Indonesia_Indonesia_Railways_CC300</v>
      </c>
      <c r="B267" t="b" cm="1">
        <f t="array" ref="B267">_xlfn.XLOOKUP(A267,CONTROL[VEHIDCODE],PROPERTIES[EXCLUDE])</f>
        <v>0</v>
      </c>
      <c r="C267">
        <f>FLOOR(_xlfn.XLOOKUP($A267,PROPERTIES[VEHIDCODE],PROPERTIES[INTRODUCTION_YEAR]),20)</f>
        <v>2000</v>
      </c>
      <c r="D267" t="str">
        <f>_xlfn.XLOOKUP($A267,PROPERTIES[VEHIDCODE],PROPERTIES[ROLE])</f>
        <v>Express</v>
      </c>
      <c r="E267" s="35" t="str">
        <f>_xlfn.XLOOKUP($A267,PROPERTIES[VEHIDCODE],PROPERTIES[REGION1])</f>
        <v>OCEANIA</v>
      </c>
      <c r="F267" s="35" t="str">
        <f>_xlfn.XLOOKUP($A267,PROPERTIES[VEHIDCODE],PROPERTIES[REGION2])</f>
        <v>NO_REGION</v>
      </c>
      <c r="G267" s="35" t="str">
        <f t="shared" si="27"/>
        <v>OCEANIA_NO_REGION</v>
      </c>
      <c r="H267" t="b">
        <f t="shared" si="28"/>
        <v>0</v>
      </c>
      <c r="I267" t="b">
        <f t="shared" si="29"/>
        <v>0</v>
      </c>
      <c r="J267" t="b">
        <f t="shared" si="30"/>
        <v>0</v>
      </c>
      <c r="K267" t="b">
        <f t="shared" si="26"/>
        <v>0</v>
      </c>
      <c r="L267" t="b">
        <f t="shared" si="26"/>
        <v>0</v>
      </c>
      <c r="M267" t="b">
        <f t="shared" si="26"/>
        <v>0</v>
      </c>
      <c r="N267" t="b">
        <f t="shared" si="31"/>
        <v>0</v>
      </c>
      <c r="O267" t="b">
        <f t="shared" si="31"/>
        <v>0</v>
      </c>
      <c r="P267" t="b">
        <f t="shared" si="32"/>
        <v>1</v>
      </c>
    </row>
    <row r="268" spans="1:16">
      <c r="A268" t="str">
        <v>diesel_Argentina_Great_Southern_Railway_DH501</v>
      </c>
      <c r="B268" t="b" cm="1">
        <f t="array" ref="B268">_xlfn.XLOOKUP(A268,CONTROL[VEHIDCODE],PROPERTIES[EXCLUDE])</f>
        <v>0</v>
      </c>
      <c r="C268">
        <f>FLOOR(_xlfn.XLOOKUP($A268,PROPERTIES[VEHIDCODE],PROPERTIES[INTRODUCTION_YEAR]),20)</f>
        <v>1920</v>
      </c>
      <c r="D268" t="str">
        <f>_xlfn.XLOOKUP($A268,PROPERTIES[VEHIDCODE],PROPERTIES[ROLE])</f>
        <v>Heavy Freight</v>
      </c>
      <c r="E268" s="35" t="str">
        <f>_xlfn.XLOOKUP($A268,PROPERTIES[VEHIDCODE],PROPERTIES[REGION1])</f>
        <v>SOUTH_AMERICA</v>
      </c>
      <c r="F268" s="35" t="str">
        <f>_xlfn.XLOOKUP($A268,PROPERTIES[VEHIDCODE],PROPERTIES[REGION2])</f>
        <v>NO_REGION</v>
      </c>
      <c r="G268" s="35" t="str">
        <f t="shared" si="27"/>
        <v>SOUTH_AMERICA_NO_REGION</v>
      </c>
      <c r="H268" t="b">
        <f t="shared" si="28"/>
        <v>0</v>
      </c>
      <c r="I268" t="b">
        <f t="shared" si="29"/>
        <v>0</v>
      </c>
      <c r="J268" t="b">
        <f t="shared" si="30"/>
        <v>0</v>
      </c>
      <c r="K268" t="b">
        <f t="shared" si="26"/>
        <v>0</v>
      </c>
      <c r="L268" t="b">
        <f t="shared" si="26"/>
        <v>0</v>
      </c>
      <c r="M268" t="b">
        <f t="shared" si="26"/>
        <v>0</v>
      </c>
      <c r="N268" t="b">
        <f t="shared" si="31"/>
        <v>0</v>
      </c>
      <c r="O268" t="b">
        <f t="shared" si="31"/>
        <v>1</v>
      </c>
      <c r="P268" t="b">
        <f t="shared" si="32"/>
        <v>0</v>
      </c>
    </row>
    <row r="269" spans="1:16">
      <c r="A269" t="str">
        <v>diesel_Brazil_EE_VFFLB</v>
      </c>
      <c r="B269" t="b" cm="1">
        <f t="array" ref="B269">_xlfn.XLOOKUP(A269,CONTROL[VEHIDCODE],PROPERTIES[EXCLUDE])</f>
        <v>0</v>
      </c>
      <c r="C269">
        <f>FLOOR(_xlfn.XLOOKUP($A269,PROPERTIES[VEHIDCODE],PROPERTIES[INTRODUCTION_YEAR]),20)</f>
        <v>1920</v>
      </c>
      <c r="D269" t="str">
        <f>_xlfn.XLOOKUP($A269,PROPERTIES[VEHIDCODE],PROPERTIES[ROLE])</f>
        <v>Universal</v>
      </c>
      <c r="E269" s="35" t="str">
        <f>_xlfn.XLOOKUP($A269,PROPERTIES[VEHIDCODE],PROPERTIES[REGION1])</f>
        <v>SOUTH_AMERICA</v>
      </c>
      <c r="F269" s="35" t="str">
        <f>_xlfn.XLOOKUP($A269,PROPERTIES[VEHIDCODE],PROPERTIES[REGION2])</f>
        <v>NO_REGION</v>
      </c>
      <c r="G269" s="35" t="str">
        <f t="shared" si="27"/>
        <v>SOUTH_AMERICA_NO_REGION</v>
      </c>
      <c r="H269" t="b">
        <f t="shared" si="28"/>
        <v>0</v>
      </c>
      <c r="I269" t="b">
        <f t="shared" si="29"/>
        <v>0</v>
      </c>
      <c r="J269" t="b">
        <f t="shared" si="30"/>
        <v>0</v>
      </c>
      <c r="K269" t="b">
        <f t="shared" si="26"/>
        <v>0</v>
      </c>
      <c r="L269" t="b">
        <f t="shared" si="26"/>
        <v>0</v>
      </c>
      <c r="M269" t="b">
        <f t="shared" si="26"/>
        <v>0</v>
      </c>
      <c r="N269" t="b">
        <f t="shared" si="31"/>
        <v>0</v>
      </c>
      <c r="O269" t="b">
        <f t="shared" si="31"/>
        <v>1</v>
      </c>
      <c r="P269" t="b">
        <f t="shared" si="32"/>
        <v>0</v>
      </c>
    </row>
    <row r="270" spans="1:16">
      <c r="A270" t="str">
        <v>diesel_Chile_EFE_GE_U5B</v>
      </c>
      <c r="B270" t="b" cm="1">
        <f t="array" ref="B270">_xlfn.XLOOKUP(A270,CONTROL[VEHIDCODE],PROPERTIES[EXCLUDE])</f>
        <v>0</v>
      </c>
      <c r="C270">
        <f>FLOOR(_xlfn.XLOOKUP($A270,PROPERTIES[VEHIDCODE],PROPERTIES[INTRODUCTION_YEAR]),20)</f>
        <v>1960</v>
      </c>
      <c r="D270" t="str">
        <f>_xlfn.XLOOKUP($A270,PROPERTIES[VEHIDCODE],PROPERTIES[ROLE])</f>
        <v>Universal</v>
      </c>
      <c r="E270" s="35" t="str">
        <f>_xlfn.XLOOKUP($A270,PROPERTIES[VEHIDCODE],PROPERTIES[REGION1])</f>
        <v>SOUTH_AMERICA</v>
      </c>
      <c r="F270" s="35" t="str">
        <f>_xlfn.XLOOKUP($A270,PROPERTIES[VEHIDCODE],PROPERTIES[REGION2])</f>
        <v>NO_REGION</v>
      </c>
      <c r="G270" s="35" t="str">
        <f t="shared" si="27"/>
        <v>SOUTH_AMERICA_NO_REGION</v>
      </c>
      <c r="H270" t="b">
        <f t="shared" si="28"/>
        <v>0</v>
      </c>
      <c r="I270" t="b">
        <f t="shared" si="29"/>
        <v>0</v>
      </c>
      <c r="J270" t="b">
        <f t="shared" si="30"/>
        <v>0</v>
      </c>
      <c r="K270" t="b">
        <f t="shared" si="26"/>
        <v>0</v>
      </c>
      <c r="L270" t="b">
        <f t="shared" si="26"/>
        <v>0</v>
      </c>
      <c r="M270" t="b">
        <f t="shared" si="26"/>
        <v>0</v>
      </c>
      <c r="N270" t="b">
        <f t="shared" si="31"/>
        <v>0</v>
      </c>
      <c r="O270" t="b">
        <f t="shared" si="31"/>
        <v>1</v>
      </c>
      <c r="P270" t="b">
        <f t="shared" si="32"/>
        <v>0</v>
      </c>
    </row>
    <row r="271" spans="1:16">
      <c r="A271" t="str">
        <v>diesel_Peru_Ferrocarril_Central_Andino_Alco_RSD_39</v>
      </c>
      <c r="B271" t="b" cm="1">
        <f t="array" ref="B271">_xlfn.XLOOKUP(A271,CONTROL[VEHIDCODE],PROPERTIES[EXCLUDE])</f>
        <v>0</v>
      </c>
      <c r="C271">
        <f>FLOOR(_xlfn.XLOOKUP($A271,PROPERTIES[VEHIDCODE],PROPERTIES[INTRODUCTION_YEAR]),20)</f>
        <v>1960</v>
      </c>
      <c r="D271" t="str">
        <f>_xlfn.XLOOKUP($A271,PROPERTIES[VEHIDCODE],PROPERTIES[ROLE])</f>
        <v>Universal</v>
      </c>
      <c r="E271" s="35" t="str">
        <f>_xlfn.XLOOKUP($A271,PROPERTIES[VEHIDCODE],PROPERTIES[REGION1])</f>
        <v>SOUTH_AMERICA</v>
      </c>
      <c r="F271" s="35" t="str">
        <f>_xlfn.XLOOKUP($A271,PROPERTIES[VEHIDCODE],PROPERTIES[REGION2])</f>
        <v>NO_REGION</v>
      </c>
      <c r="G271" s="35" t="str">
        <f t="shared" si="27"/>
        <v>SOUTH_AMERICA_NO_REGION</v>
      </c>
      <c r="H271" t="b">
        <f t="shared" si="28"/>
        <v>0</v>
      </c>
      <c r="I271" t="b">
        <f t="shared" si="29"/>
        <v>0</v>
      </c>
      <c r="J271" t="b">
        <f t="shared" si="30"/>
        <v>0</v>
      </c>
      <c r="K271" t="b">
        <f t="shared" si="26"/>
        <v>0</v>
      </c>
      <c r="L271" t="b">
        <f t="shared" si="26"/>
        <v>0</v>
      </c>
      <c r="M271" t="b">
        <f t="shared" si="26"/>
        <v>0</v>
      </c>
      <c r="N271" t="b">
        <f t="shared" si="31"/>
        <v>0</v>
      </c>
      <c r="O271" t="b">
        <f t="shared" si="31"/>
        <v>1</v>
      </c>
      <c r="P271" t="b">
        <f t="shared" si="32"/>
        <v>0</v>
      </c>
    </row>
    <row r="272" spans="1:16">
      <c r="A272" t="str">
        <v>diesel_Brazil_EFVM_EMD_DDM45</v>
      </c>
      <c r="B272" t="b" cm="1">
        <f t="array" ref="B272">_xlfn.XLOOKUP(A272,CONTROL[VEHIDCODE],PROPERTIES[EXCLUDE])</f>
        <v>0</v>
      </c>
      <c r="C272">
        <f>FLOOR(_xlfn.XLOOKUP($A272,PROPERTIES[VEHIDCODE],PROPERTIES[INTRODUCTION_YEAR]),20)</f>
        <v>1960</v>
      </c>
      <c r="D272" t="str">
        <f>_xlfn.XLOOKUP($A272,PROPERTIES[VEHIDCODE],PROPERTIES[ROLE])</f>
        <v>Heavy Freight</v>
      </c>
      <c r="E272" s="35" t="str">
        <f>_xlfn.XLOOKUP($A272,PROPERTIES[VEHIDCODE],PROPERTIES[REGION1])</f>
        <v>SOUTH_AMERICA</v>
      </c>
      <c r="F272" s="35" t="str">
        <f>_xlfn.XLOOKUP($A272,PROPERTIES[VEHIDCODE],PROPERTIES[REGION2])</f>
        <v>NO_REGION</v>
      </c>
      <c r="G272" s="35" t="str">
        <f t="shared" si="27"/>
        <v>SOUTH_AMERICA_NO_REGION</v>
      </c>
      <c r="H272" t="b">
        <f t="shared" si="28"/>
        <v>0</v>
      </c>
      <c r="I272" t="b">
        <f t="shared" si="29"/>
        <v>0</v>
      </c>
      <c r="J272" t="b">
        <f t="shared" si="30"/>
        <v>0</v>
      </c>
      <c r="K272" t="b">
        <f t="shared" si="26"/>
        <v>0</v>
      </c>
      <c r="L272" t="b">
        <f t="shared" si="26"/>
        <v>0</v>
      </c>
      <c r="M272" t="b">
        <f t="shared" si="26"/>
        <v>0</v>
      </c>
      <c r="N272" t="b">
        <f t="shared" si="31"/>
        <v>0</v>
      </c>
      <c r="O272" t="b">
        <f t="shared" si="31"/>
        <v>1</v>
      </c>
      <c r="P272" t="b">
        <f t="shared" si="32"/>
        <v>0</v>
      </c>
    </row>
    <row r="273" spans="1:16">
      <c r="A273" t="str">
        <v>diesel_Peru_Ferrocarril_Central_Andino_GE_C39_8</v>
      </c>
      <c r="B273" t="b" cm="1">
        <f t="array" ref="B273">_xlfn.XLOOKUP(A273,CONTROL[VEHIDCODE],PROPERTIES[EXCLUDE])</f>
        <v>0</v>
      </c>
      <c r="C273">
        <f>FLOOR(_xlfn.XLOOKUP($A273,PROPERTIES[VEHIDCODE],PROPERTIES[INTRODUCTION_YEAR]),20)</f>
        <v>1980</v>
      </c>
      <c r="D273" t="str">
        <f>_xlfn.XLOOKUP($A273,PROPERTIES[VEHIDCODE],PROPERTIES[ROLE])</f>
        <v>Heavy Freight</v>
      </c>
      <c r="E273" s="35" t="str">
        <f>_xlfn.XLOOKUP($A273,PROPERTIES[VEHIDCODE],PROPERTIES[REGION1])</f>
        <v>SOUTH_AMERICA</v>
      </c>
      <c r="F273" s="35" t="str">
        <f>_xlfn.XLOOKUP($A273,PROPERTIES[VEHIDCODE],PROPERTIES[REGION2])</f>
        <v>NO_REGION</v>
      </c>
      <c r="G273" s="35" t="str">
        <f t="shared" si="27"/>
        <v>SOUTH_AMERICA_NO_REGION</v>
      </c>
      <c r="H273" t="b">
        <f t="shared" si="28"/>
        <v>0</v>
      </c>
      <c r="I273" t="b">
        <f t="shared" si="29"/>
        <v>0</v>
      </c>
      <c r="J273" t="b">
        <f t="shared" si="30"/>
        <v>0</v>
      </c>
      <c r="K273" t="b">
        <f t="shared" si="26"/>
        <v>0</v>
      </c>
      <c r="L273" t="b">
        <f t="shared" si="26"/>
        <v>0</v>
      </c>
      <c r="M273" t="b">
        <f t="shared" si="26"/>
        <v>0</v>
      </c>
      <c r="N273" t="b">
        <f t="shared" si="31"/>
        <v>0</v>
      </c>
      <c r="O273" t="b">
        <f t="shared" si="31"/>
        <v>1</v>
      </c>
      <c r="P273" t="b">
        <f t="shared" si="32"/>
        <v>0</v>
      </c>
    </row>
    <row r="274" spans="1:16">
      <c r="A274" t="str">
        <v>diesel_Argentina_SOFSE_3193</v>
      </c>
      <c r="B274" t="b" cm="1">
        <f t="array" ref="B274">_xlfn.XLOOKUP(A274,CONTROL[VEHIDCODE],PROPERTIES[EXCLUDE])</f>
        <v>0</v>
      </c>
      <c r="C274">
        <f>FLOOR(_xlfn.XLOOKUP($A274,PROPERTIES[VEHIDCODE],PROPERTIES[INTRODUCTION_YEAR]),20)</f>
        <v>1980</v>
      </c>
      <c r="D274" t="str">
        <f>_xlfn.XLOOKUP($A274,PROPERTIES[VEHIDCODE],PROPERTIES[ROLE])</f>
        <v>Universal</v>
      </c>
      <c r="E274" s="35" t="str">
        <f>_xlfn.XLOOKUP($A274,PROPERTIES[VEHIDCODE],PROPERTIES[REGION1])</f>
        <v>SOUTH_AMERICA</v>
      </c>
      <c r="F274" s="35" t="str">
        <f>_xlfn.XLOOKUP($A274,PROPERTIES[VEHIDCODE],PROPERTIES[REGION2])</f>
        <v>NO_REGION</v>
      </c>
      <c r="G274" s="35" t="str">
        <f t="shared" si="27"/>
        <v>SOUTH_AMERICA_NO_REGION</v>
      </c>
      <c r="H274" t="b">
        <f t="shared" si="28"/>
        <v>0</v>
      </c>
      <c r="I274" t="b">
        <f t="shared" si="29"/>
        <v>0</v>
      </c>
      <c r="J274" t="b">
        <f t="shared" si="30"/>
        <v>0</v>
      </c>
      <c r="K274" t="b">
        <f t="shared" si="26"/>
        <v>0</v>
      </c>
      <c r="L274" t="b">
        <f t="shared" si="26"/>
        <v>0</v>
      </c>
      <c r="M274" t="b">
        <f t="shared" si="26"/>
        <v>0</v>
      </c>
      <c r="N274" t="b">
        <f t="shared" si="31"/>
        <v>0</v>
      </c>
      <c r="O274" t="b">
        <f t="shared" si="31"/>
        <v>1</v>
      </c>
      <c r="P274" t="b">
        <f t="shared" si="32"/>
        <v>0</v>
      </c>
    </row>
    <row r="275" spans="1:16">
      <c r="A275" t="str">
        <v>diesel_Argentina_SOFSE_CNR_CKD8</v>
      </c>
      <c r="B275" t="b" cm="1">
        <f t="array" ref="B275">_xlfn.XLOOKUP(A275,CONTROL[VEHIDCODE],PROPERTIES[EXCLUDE])</f>
        <v>0</v>
      </c>
      <c r="C275">
        <f>FLOOR(_xlfn.XLOOKUP($A275,PROPERTIES[VEHIDCODE],PROPERTIES[INTRODUCTION_YEAR]),20)</f>
        <v>2000</v>
      </c>
      <c r="D275" t="str">
        <f>_xlfn.XLOOKUP($A275,PROPERTIES[VEHIDCODE],PROPERTIES[ROLE])</f>
        <v>Universal</v>
      </c>
      <c r="E275" s="35" t="str">
        <f>_xlfn.XLOOKUP($A275,PROPERTIES[VEHIDCODE],PROPERTIES[REGION1])</f>
        <v>SOUTH_AMERICA</v>
      </c>
      <c r="F275" s="35" t="str">
        <f>_xlfn.XLOOKUP($A275,PROPERTIES[VEHIDCODE],PROPERTIES[REGION2])</f>
        <v>NO_REGION</v>
      </c>
      <c r="G275" s="35" t="str">
        <f t="shared" si="27"/>
        <v>SOUTH_AMERICA_NO_REGION</v>
      </c>
      <c r="H275" t="b">
        <f t="shared" si="28"/>
        <v>0</v>
      </c>
      <c r="I275" t="b">
        <f t="shared" si="29"/>
        <v>0</v>
      </c>
      <c r="J275" t="b">
        <f t="shared" si="30"/>
        <v>0</v>
      </c>
      <c r="K275" t="b">
        <f t="shared" si="26"/>
        <v>0</v>
      </c>
      <c r="L275" t="b">
        <f t="shared" si="26"/>
        <v>0</v>
      </c>
      <c r="M275" t="b">
        <f t="shared" si="26"/>
        <v>0</v>
      </c>
      <c r="N275" t="b">
        <f t="shared" si="31"/>
        <v>0</v>
      </c>
      <c r="O275" t="b">
        <f t="shared" si="31"/>
        <v>1</v>
      </c>
      <c r="P275" t="b">
        <f t="shared" si="32"/>
        <v>0</v>
      </c>
    </row>
    <row r="276" spans="1:16">
      <c r="A276" t="str">
        <v>diesel_South_Africa_SAR_DS</v>
      </c>
      <c r="B276" t="b" cm="1">
        <f t="array" ref="B276">_xlfn.XLOOKUP(A276,CONTROL[VEHIDCODE],PROPERTIES[EXCLUDE])</f>
        <v>0</v>
      </c>
      <c r="C276">
        <f>FLOOR(_xlfn.XLOOKUP($A276,PROPERTIES[VEHIDCODE],PROPERTIES[INTRODUCTION_YEAR]),20)</f>
        <v>1920</v>
      </c>
      <c r="D276" t="str">
        <f>_xlfn.XLOOKUP($A276,PROPERTIES[VEHIDCODE],PROPERTIES[ROLE])</f>
        <v>Shunting</v>
      </c>
      <c r="E276" s="35" t="str">
        <f>_xlfn.XLOOKUP($A276,PROPERTIES[VEHIDCODE],PROPERTIES[REGION1])</f>
        <v>AFRICA</v>
      </c>
      <c r="F276" s="35" t="str">
        <f>_xlfn.XLOOKUP($A276,PROPERTIES[VEHIDCODE],PROPERTIES[REGION2])</f>
        <v>NO_REGION</v>
      </c>
      <c r="G276" s="35" t="str">
        <f t="shared" si="27"/>
        <v>AFRICA_NO_REGION</v>
      </c>
      <c r="H276" t="b">
        <f t="shared" si="28"/>
        <v>1</v>
      </c>
      <c r="I276" t="b">
        <f t="shared" si="29"/>
        <v>0</v>
      </c>
      <c r="J276" t="b">
        <f t="shared" si="30"/>
        <v>0</v>
      </c>
      <c r="K276" t="b">
        <f t="shared" si="26"/>
        <v>0</v>
      </c>
      <c r="L276" t="b">
        <f t="shared" si="26"/>
        <v>0</v>
      </c>
      <c r="M276" t="b">
        <f t="shared" si="26"/>
        <v>0</v>
      </c>
      <c r="N276" t="b">
        <f t="shared" si="31"/>
        <v>0</v>
      </c>
      <c r="O276" t="b">
        <f t="shared" si="31"/>
        <v>0</v>
      </c>
      <c r="P276" t="b">
        <f t="shared" si="32"/>
        <v>0</v>
      </c>
    </row>
    <row r="277" spans="1:16">
      <c r="A277" t="str">
        <v>diesel_Algeria_SNTF_040_DG</v>
      </c>
      <c r="B277" t="b" cm="1">
        <f t="array" ref="B277">_xlfn.XLOOKUP(A277,CONTROL[VEHIDCODE],PROPERTIES[EXCLUDE])</f>
        <v>0</v>
      </c>
      <c r="C277">
        <f>FLOOR(_xlfn.XLOOKUP($A277,PROPERTIES[VEHIDCODE],PROPERTIES[INTRODUCTION_YEAR]),20)</f>
        <v>1940</v>
      </c>
      <c r="D277" t="str">
        <f>_xlfn.XLOOKUP($A277,PROPERTIES[VEHIDCODE],PROPERTIES[ROLE])</f>
        <v>Universal</v>
      </c>
      <c r="E277" s="35" t="str">
        <f>_xlfn.XLOOKUP($A277,PROPERTIES[VEHIDCODE],PROPERTIES[REGION1])</f>
        <v>AFRICA</v>
      </c>
      <c r="F277" s="35" t="str">
        <f>_xlfn.XLOOKUP($A277,PROPERTIES[VEHIDCODE],PROPERTIES[REGION2])</f>
        <v>NO_REGION</v>
      </c>
      <c r="G277" s="35" t="str">
        <f t="shared" si="27"/>
        <v>AFRICA_NO_REGION</v>
      </c>
      <c r="H277" t="b">
        <f t="shared" si="28"/>
        <v>1</v>
      </c>
      <c r="I277" t="b">
        <f t="shared" si="29"/>
        <v>0</v>
      </c>
      <c r="J277" t="b">
        <f t="shared" si="30"/>
        <v>0</v>
      </c>
      <c r="K277" t="b">
        <f t="shared" si="26"/>
        <v>0</v>
      </c>
      <c r="L277" t="b">
        <f t="shared" si="26"/>
        <v>0</v>
      </c>
      <c r="M277" t="b">
        <f t="shared" si="26"/>
        <v>0</v>
      </c>
      <c r="N277" t="b">
        <f t="shared" si="31"/>
        <v>0</v>
      </c>
      <c r="O277" t="b">
        <f t="shared" si="31"/>
        <v>0</v>
      </c>
      <c r="P277" t="b">
        <f t="shared" si="32"/>
        <v>0</v>
      </c>
    </row>
    <row r="278" spans="1:16">
      <c r="A278" t="str">
        <v>diesel_Tunisia_SNCFT_040_DF</v>
      </c>
      <c r="B278" t="b" cm="1">
        <f t="array" ref="B278">_xlfn.XLOOKUP(A278,CONTROL[VEHIDCODE],PROPERTIES[EXCLUDE])</f>
        <v>0</v>
      </c>
      <c r="C278">
        <f>FLOOR(_xlfn.XLOOKUP($A278,PROPERTIES[VEHIDCODE],PROPERTIES[INTRODUCTION_YEAR]),20)</f>
        <v>1960</v>
      </c>
      <c r="D278" t="str">
        <f>_xlfn.XLOOKUP($A278,PROPERTIES[VEHIDCODE],PROPERTIES[ROLE])</f>
        <v>Universal</v>
      </c>
      <c r="E278" s="35" t="str">
        <f>_xlfn.XLOOKUP($A278,PROPERTIES[VEHIDCODE],PROPERTIES[REGION1])</f>
        <v>AFRICA</v>
      </c>
      <c r="F278" s="35" t="str">
        <f>_xlfn.XLOOKUP($A278,PROPERTIES[VEHIDCODE],PROPERTIES[REGION2])</f>
        <v>NO_REGION</v>
      </c>
      <c r="G278" s="35" t="str">
        <f t="shared" si="27"/>
        <v>AFRICA_NO_REGION</v>
      </c>
      <c r="H278" t="b">
        <f t="shared" si="28"/>
        <v>1</v>
      </c>
      <c r="I278" t="b">
        <f t="shared" si="29"/>
        <v>0</v>
      </c>
      <c r="J278" t="b">
        <f t="shared" si="30"/>
        <v>0</v>
      </c>
      <c r="K278" t="b">
        <f t="shared" si="26"/>
        <v>0</v>
      </c>
      <c r="L278" t="b">
        <f t="shared" si="26"/>
        <v>0</v>
      </c>
      <c r="M278" t="b">
        <f t="shared" si="26"/>
        <v>0</v>
      </c>
      <c r="N278" t="b">
        <f t="shared" si="31"/>
        <v>0</v>
      </c>
      <c r="O278" t="b">
        <f t="shared" si="31"/>
        <v>0</v>
      </c>
      <c r="P278" t="b">
        <f t="shared" si="32"/>
        <v>0</v>
      </c>
    </row>
    <row r="279" spans="1:16">
      <c r="A279" t="str">
        <v>diesel_Egypt_ENR_TE114E</v>
      </c>
      <c r="B279" t="b" cm="1">
        <f t="array" ref="B279">_xlfn.XLOOKUP(A279,CONTROL[VEHIDCODE],PROPERTIES[EXCLUDE])</f>
        <v>0</v>
      </c>
      <c r="C279">
        <f>FLOOR(_xlfn.XLOOKUP($A279,PROPERTIES[VEHIDCODE],PROPERTIES[INTRODUCTION_YEAR]),20)</f>
        <v>1960</v>
      </c>
      <c r="D279" t="str">
        <f>_xlfn.XLOOKUP($A279,PROPERTIES[VEHIDCODE],PROPERTIES[ROLE])</f>
        <v>Universal</v>
      </c>
      <c r="E279" s="35" t="str">
        <f>_xlfn.XLOOKUP($A279,PROPERTIES[VEHIDCODE],PROPERTIES[REGION1])</f>
        <v>AFRICA</v>
      </c>
      <c r="F279" s="35" t="str">
        <f>_xlfn.XLOOKUP($A279,PROPERTIES[VEHIDCODE],PROPERTIES[REGION2])</f>
        <v>NO_REGION</v>
      </c>
      <c r="G279" s="35" t="str">
        <f t="shared" si="27"/>
        <v>AFRICA_NO_REGION</v>
      </c>
      <c r="H279" t="b">
        <f t="shared" si="28"/>
        <v>1</v>
      </c>
      <c r="I279" t="b">
        <f t="shared" si="29"/>
        <v>0</v>
      </c>
      <c r="J279" t="b">
        <f t="shared" si="30"/>
        <v>0</v>
      </c>
      <c r="K279" t="b">
        <f t="shared" si="26"/>
        <v>0</v>
      </c>
      <c r="L279" t="b">
        <f t="shared" si="26"/>
        <v>0</v>
      </c>
      <c r="M279" t="b">
        <f t="shared" si="26"/>
        <v>0</v>
      </c>
      <c r="N279" t="b">
        <f t="shared" si="31"/>
        <v>0</v>
      </c>
      <c r="O279" t="b">
        <f t="shared" si="31"/>
        <v>0</v>
      </c>
      <c r="P279" t="b">
        <f t="shared" si="32"/>
        <v>0</v>
      </c>
    </row>
    <row r="280" spans="1:16">
      <c r="A280" t="str">
        <v>diesel_Tunisia_SNCFT_040_DJ</v>
      </c>
      <c r="B280" t="b" cm="1">
        <f t="array" ref="B280">_xlfn.XLOOKUP(A280,CONTROL[VEHIDCODE],PROPERTIES[EXCLUDE])</f>
        <v>0</v>
      </c>
      <c r="C280">
        <f>FLOOR(_xlfn.XLOOKUP($A280,PROPERTIES[VEHIDCODE],PROPERTIES[INTRODUCTION_YEAR]),20)</f>
        <v>1960</v>
      </c>
      <c r="D280" t="str">
        <f>_xlfn.XLOOKUP($A280,PROPERTIES[VEHIDCODE],PROPERTIES[ROLE])</f>
        <v>Universal</v>
      </c>
      <c r="E280" s="35" t="str">
        <f>_xlfn.XLOOKUP($A280,PROPERTIES[VEHIDCODE],PROPERTIES[REGION1])</f>
        <v>AFRICA</v>
      </c>
      <c r="F280" s="35" t="str">
        <f>_xlfn.XLOOKUP($A280,PROPERTIES[VEHIDCODE],PROPERTIES[REGION2])</f>
        <v>NO_REGION</v>
      </c>
      <c r="G280" s="35" t="str">
        <f t="shared" si="27"/>
        <v>AFRICA_NO_REGION</v>
      </c>
      <c r="H280" t="b">
        <f t="shared" si="28"/>
        <v>1</v>
      </c>
      <c r="I280" t="b">
        <f t="shared" si="29"/>
        <v>0</v>
      </c>
      <c r="J280" t="b">
        <f t="shared" si="30"/>
        <v>0</v>
      </c>
      <c r="K280" t="b">
        <f t="shared" si="26"/>
        <v>0</v>
      </c>
      <c r="L280" t="b">
        <f t="shared" si="26"/>
        <v>0</v>
      </c>
      <c r="M280" t="b">
        <f t="shared" si="26"/>
        <v>0</v>
      </c>
      <c r="N280" t="b">
        <f t="shared" si="31"/>
        <v>0</v>
      </c>
      <c r="O280" t="b">
        <f t="shared" si="31"/>
        <v>0</v>
      </c>
      <c r="P280" t="b">
        <f t="shared" si="32"/>
        <v>0</v>
      </c>
    </row>
    <row r="281" spans="1:16">
      <c r="A281" t="str">
        <v>diesel_Morocco_ONCF_DF_100</v>
      </c>
      <c r="B281" t="b" cm="1">
        <f t="array" ref="B281">_xlfn.XLOOKUP(A281,CONTROL[VEHIDCODE],PROPERTIES[EXCLUDE])</f>
        <v>0</v>
      </c>
      <c r="C281">
        <f>FLOOR(_xlfn.XLOOKUP($A281,PROPERTIES[VEHIDCODE],PROPERTIES[INTRODUCTION_YEAR]),20)</f>
        <v>1980</v>
      </c>
      <c r="D281" t="str">
        <f>_xlfn.XLOOKUP($A281,PROPERTIES[VEHIDCODE],PROPERTIES[ROLE])</f>
        <v>Universal</v>
      </c>
      <c r="E281" s="35" t="str">
        <f>_xlfn.XLOOKUP($A281,PROPERTIES[VEHIDCODE],PROPERTIES[REGION1])</f>
        <v>AFRICA</v>
      </c>
      <c r="F281" s="35" t="str">
        <f>_xlfn.XLOOKUP($A281,PROPERTIES[VEHIDCODE],PROPERTIES[REGION2])</f>
        <v>NO_REGION</v>
      </c>
      <c r="G281" s="35" t="str">
        <f t="shared" si="27"/>
        <v>AFRICA_NO_REGION</v>
      </c>
      <c r="H281" t="b">
        <f t="shared" si="28"/>
        <v>1</v>
      </c>
      <c r="I281" t="b">
        <f t="shared" si="29"/>
        <v>0</v>
      </c>
      <c r="J281" t="b">
        <f t="shared" si="30"/>
        <v>0</v>
      </c>
      <c r="K281" t="b">
        <f t="shared" si="26"/>
        <v>0</v>
      </c>
      <c r="L281" t="b">
        <f t="shared" si="26"/>
        <v>0</v>
      </c>
      <c r="M281" t="b">
        <f t="shared" si="26"/>
        <v>0</v>
      </c>
      <c r="N281" t="b">
        <f t="shared" si="31"/>
        <v>0</v>
      </c>
      <c r="O281" t="b">
        <f t="shared" si="31"/>
        <v>0</v>
      </c>
      <c r="P281" t="b">
        <f t="shared" si="32"/>
        <v>0</v>
      </c>
    </row>
    <row r="282" spans="1:16">
      <c r="A282" t="str">
        <v>diesel_Ukraine_UZ_TEP10L</v>
      </c>
      <c r="B282" t="b" cm="1">
        <f t="array" ref="B282">_xlfn.XLOOKUP(A282,CONTROL[VEHIDCODE],PROPERTIES[EXCLUDE])</f>
        <v>0</v>
      </c>
      <c r="C282">
        <f>FLOOR(_xlfn.XLOOKUP($A282,PROPERTIES[VEHIDCODE],PROPERTIES[INTRODUCTION_YEAR]),20)</f>
        <v>1960</v>
      </c>
      <c r="D282" t="str">
        <f>_xlfn.XLOOKUP($A282,PROPERTIES[VEHIDCODE],PROPERTIES[ROLE])</f>
        <v>Universal</v>
      </c>
      <c r="E282" s="35" t="str">
        <f>_xlfn.XLOOKUP($A282,PROPERTIES[VEHIDCODE],PROPERTIES[REGION1])</f>
        <v>EASTERN_EUROPE</v>
      </c>
      <c r="F282" s="35" t="str">
        <f>_xlfn.XLOOKUP($A282,PROPERTIES[VEHIDCODE],PROPERTIES[REGION2])</f>
        <v>NO_REGION</v>
      </c>
      <c r="G282" s="35" t="str">
        <f t="shared" si="27"/>
        <v>EASTERN_EUROPE_NO_REGION</v>
      </c>
      <c r="H282" t="b">
        <f t="shared" si="28"/>
        <v>0</v>
      </c>
      <c r="I282" t="b">
        <f t="shared" si="29"/>
        <v>0</v>
      </c>
      <c r="J282" t="b">
        <f t="shared" si="30"/>
        <v>0</v>
      </c>
      <c r="K282" t="b">
        <f t="shared" si="26"/>
        <v>1</v>
      </c>
      <c r="L282" t="b">
        <f t="shared" si="26"/>
        <v>0</v>
      </c>
      <c r="M282" t="b">
        <f t="shared" si="26"/>
        <v>0</v>
      </c>
      <c r="N282" t="b">
        <f t="shared" si="31"/>
        <v>0</v>
      </c>
      <c r="O282" t="b">
        <f t="shared" si="31"/>
        <v>0</v>
      </c>
      <c r="P282" t="b">
        <f t="shared" si="32"/>
        <v>0</v>
      </c>
    </row>
    <row r="283" spans="1:16">
      <c r="A283" t="str">
        <v>diesel_Belarus_BCh_2TE10M</v>
      </c>
      <c r="B283" t="b" cm="1">
        <f t="array" ref="B283">_xlfn.XLOOKUP(A283,CONTROL[VEHIDCODE],PROPERTIES[EXCLUDE])</f>
        <v>0</v>
      </c>
      <c r="C283">
        <f>FLOOR(_xlfn.XLOOKUP($A283,PROPERTIES[VEHIDCODE],PROPERTIES[INTRODUCTION_YEAR]),20)</f>
        <v>1980</v>
      </c>
      <c r="D283" t="str">
        <f>_xlfn.XLOOKUP($A283,PROPERTIES[VEHIDCODE],PROPERTIES[ROLE])</f>
        <v>Heavy Freight</v>
      </c>
      <c r="E283" s="35" t="str">
        <f>_xlfn.XLOOKUP($A283,PROPERTIES[VEHIDCODE],PROPERTIES[REGION1])</f>
        <v>EASTERN_EUROPE</v>
      </c>
      <c r="F283" s="35" t="str">
        <f>_xlfn.XLOOKUP($A283,PROPERTIES[VEHIDCODE],PROPERTIES[REGION2])</f>
        <v>NO_REGION</v>
      </c>
      <c r="G283" s="35" t="str">
        <f t="shared" si="27"/>
        <v>EASTERN_EUROPE_NO_REGION</v>
      </c>
      <c r="H283" t="b">
        <f t="shared" si="28"/>
        <v>0</v>
      </c>
      <c r="I283" t="b">
        <f t="shared" si="29"/>
        <v>0</v>
      </c>
      <c r="J283" t="b">
        <f t="shared" si="30"/>
        <v>0</v>
      </c>
      <c r="K283" t="b">
        <f t="shared" si="26"/>
        <v>1</v>
      </c>
      <c r="L283" t="b">
        <f t="shared" si="26"/>
        <v>0</v>
      </c>
      <c r="M283" t="b">
        <f t="shared" si="26"/>
        <v>0</v>
      </c>
      <c r="N283" t="b">
        <f t="shared" si="31"/>
        <v>0</v>
      </c>
      <c r="O283" t="b">
        <f t="shared" si="31"/>
        <v>0</v>
      </c>
      <c r="P283" t="b">
        <f t="shared" si="32"/>
        <v>0</v>
      </c>
    </row>
    <row r="284" spans="1:16">
      <c r="A284" t="str">
        <v>diesel_Poland_PKP_SP32</v>
      </c>
      <c r="B284" t="b" cm="1">
        <f t="array" ref="B284">_xlfn.XLOOKUP(A284,CONTROL[VEHIDCODE],PROPERTIES[EXCLUDE])</f>
        <v>0</v>
      </c>
      <c r="C284">
        <f>FLOOR(_xlfn.XLOOKUP($A284,PROPERTIES[VEHIDCODE],PROPERTIES[INTRODUCTION_YEAR]),20)</f>
        <v>1980</v>
      </c>
      <c r="D284" t="str">
        <f>_xlfn.XLOOKUP($A284,PROPERTIES[VEHIDCODE],PROPERTIES[ROLE])</f>
        <v>Universal</v>
      </c>
      <c r="E284" s="35" t="str">
        <f>_xlfn.XLOOKUP($A284,PROPERTIES[VEHIDCODE],PROPERTIES[REGION1])</f>
        <v>EASTERN_EUROPE</v>
      </c>
      <c r="F284" s="35" t="str">
        <f>_xlfn.XLOOKUP($A284,PROPERTIES[VEHIDCODE],PROPERTIES[REGION2])</f>
        <v>NO_REGION</v>
      </c>
      <c r="G284" s="35" t="str">
        <f t="shared" si="27"/>
        <v>EASTERN_EUROPE_NO_REGION</v>
      </c>
      <c r="H284" t="b">
        <f t="shared" si="28"/>
        <v>0</v>
      </c>
      <c r="I284" t="b">
        <f t="shared" si="29"/>
        <v>0</v>
      </c>
      <c r="J284" t="b">
        <f t="shared" si="30"/>
        <v>0</v>
      </c>
      <c r="K284" t="b">
        <f t="shared" si="26"/>
        <v>1</v>
      </c>
      <c r="L284" t="b">
        <f t="shared" si="26"/>
        <v>0</v>
      </c>
      <c r="M284" t="b">
        <f t="shared" si="26"/>
        <v>0</v>
      </c>
      <c r="N284" t="b">
        <f t="shared" si="31"/>
        <v>0</v>
      </c>
      <c r="O284" t="b">
        <f t="shared" si="31"/>
        <v>0</v>
      </c>
      <c r="P284" t="b">
        <f t="shared" si="32"/>
        <v>0</v>
      </c>
    </row>
    <row r="285" spans="1:16">
      <c r="A285" t="str">
        <v>diesel_Ukraine_UZ_2TE126</v>
      </c>
      <c r="B285" t="b" cm="1">
        <f t="array" ref="B285">_xlfn.XLOOKUP(A285,CONTROL[VEHIDCODE],PROPERTIES[EXCLUDE])</f>
        <v>0</v>
      </c>
      <c r="C285">
        <f>FLOOR(_xlfn.XLOOKUP($A285,PROPERTIES[VEHIDCODE],PROPERTIES[INTRODUCTION_YEAR]),20)</f>
        <v>1980</v>
      </c>
      <c r="D285" t="str">
        <f>_xlfn.XLOOKUP($A285,PROPERTIES[VEHIDCODE],PROPERTIES[ROLE])</f>
        <v>Heavy Freight</v>
      </c>
      <c r="E285" s="35" t="str">
        <f>_xlfn.XLOOKUP($A285,PROPERTIES[VEHIDCODE],PROPERTIES[REGION1])</f>
        <v>EASTERN_EUROPE</v>
      </c>
      <c r="F285" s="35" t="str">
        <f>_xlfn.XLOOKUP($A285,PROPERTIES[VEHIDCODE],PROPERTIES[REGION2])</f>
        <v>NO_REGION</v>
      </c>
      <c r="G285" s="35" t="str">
        <f t="shared" si="27"/>
        <v>EASTERN_EUROPE_NO_REGION</v>
      </c>
      <c r="H285" t="b">
        <f t="shared" si="28"/>
        <v>0</v>
      </c>
      <c r="I285" t="b">
        <f t="shared" si="29"/>
        <v>0</v>
      </c>
      <c r="J285" t="b">
        <f t="shared" si="30"/>
        <v>0</v>
      </c>
      <c r="K285" t="b">
        <f t="shared" si="26"/>
        <v>1</v>
      </c>
      <c r="L285" t="b">
        <f t="shared" si="26"/>
        <v>0</v>
      </c>
      <c r="M285" t="b">
        <f t="shared" si="26"/>
        <v>0</v>
      </c>
      <c r="N285" t="b">
        <f t="shared" si="31"/>
        <v>0</v>
      </c>
      <c r="O285" t="b">
        <f t="shared" si="31"/>
        <v>0</v>
      </c>
      <c r="P285" t="b">
        <f t="shared" si="32"/>
        <v>0</v>
      </c>
    </row>
    <row r="286" spans="1:16">
      <c r="A286" t="str">
        <v>diesel_Ukraine_UZ_2TE10Ut</v>
      </c>
      <c r="B286" t="b" cm="1">
        <f t="array" ref="B286">_xlfn.XLOOKUP(A286,CONTROL[VEHIDCODE],PROPERTIES[EXCLUDE])</f>
        <v>0</v>
      </c>
      <c r="C286">
        <f>FLOOR(_xlfn.XLOOKUP($A286,PROPERTIES[VEHIDCODE],PROPERTIES[INTRODUCTION_YEAR]),20)</f>
        <v>1980</v>
      </c>
      <c r="D286" t="str">
        <f>_xlfn.XLOOKUP($A286,PROPERTIES[VEHIDCODE],PROPERTIES[ROLE])</f>
        <v>Heavy Freight</v>
      </c>
      <c r="E286" s="35" t="str">
        <f>_xlfn.XLOOKUP($A286,PROPERTIES[VEHIDCODE],PROPERTIES[REGION1])</f>
        <v>EASTERN_EUROPE</v>
      </c>
      <c r="F286" s="35" t="str">
        <f>_xlfn.XLOOKUP($A286,PROPERTIES[VEHIDCODE],PROPERTIES[REGION2])</f>
        <v>NO_REGION</v>
      </c>
      <c r="G286" s="35" t="str">
        <f t="shared" si="27"/>
        <v>EASTERN_EUROPE_NO_REGION</v>
      </c>
      <c r="H286" t="b">
        <f t="shared" si="28"/>
        <v>0</v>
      </c>
      <c r="I286" t="b">
        <f t="shared" si="29"/>
        <v>0</v>
      </c>
      <c r="J286" t="b">
        <f t="shared" si="30"/>
        <v>0</v>
      </c>
      <c r="K286" t="b">
        <f t="shared" si="26"/>
        <v>1</v>
      </c>
      <c r="L286" t="b">
        <f t="shared" si="26"/>
        <v>0</v>
      </c>
      <c r="M286" t="b">
        <f t="shared" si="26"/>
        <v>0</v>
      </c>
      <c r="N286" t="b">
        <f t="shared" si="31"/>
        <v>0</v>
      </c>
      <c r="O286" t="b">
        <f t="shared" si="31"/>
        <v>0</v>
      </c>
      <c r="P286" t="b">
        <f t="shared" si="32"/>
        <v>0</v>
      </c>
    </row>
    <row r="287" spans="1:16">
      <c r="A287" t="str">
        <v>diesel_Serbia_ZS_621</v>
      </c>
      <c r="B287" t="b" cm="1">
        <f t="array" ref="B287">_xlfn.XLOOKUP(A287,CONTROL[VEHIDCODE],PROPERTIES[EXCLUDE])</f>
        <v>0</v>
      </c>
      <c r="C287">
        <f>FLOOR(_xlfn.XLOOKUP($A287,PROPERTIES[VEHIDCODE],PROPERTIES[INTRODUCTION_YEAR]),20)</f>
        <v>1980</v>
      </c>
      <c r="D287" t="str">
        <f>_xlfn.XLOOKUP($A287,PROPERTIES[VEHIDCODE],PROPERTIES[ROLE])</f>
        <v>Universal</v>
      </c>
      <c r="E287" s="35" t="str">
        <f>_xlfn.XLOOKUP($A287,PROPERTIES[VEHIDCODE],PROPERTIES[REGION1])</f>
        <v>EASTERN_EUROPE</v>
      </c>
      <c r="F287" s="35" t="str">
        <f>_xlfn.XLOOKUP($A287,PROPERTIES[VEHIDCODE],PROPERTIES[REGION2])</f>
        <v>NO_REGION</v>
      </c>
      <c r="G287" s="35" t="str">
        <f t="shared" si="27"/>
        <v>EASTERN_EUROPE_NO_REGION</v>
      </c>
      <c r="H287" t="b">
        <f t="shared" si="28"/>
        <v>0</v>
      </c>
      <c r="I287" t="b">
        <f t="shared" si="29"/>
        <v>0</v>
      </c>
      <c r="J287" t="b">
        <f t="shared" si="30"/>
        <v>0</v>
      </c>
      <c r="K287" t="b">
        <f t="shared" si="26"/>
        <v>1</v>
      </c>
      <c r="L287" t="b">
        <f t="shared" si="26"/>
        <v>0</v>
      </c>
      <c r="M287" t="b">
        <f t="shared" si="26"/>
        <v>0</v>
      </c>
      <c r="N287" t="b">
        <f t="shared" si="31"/>
        <v>0</v>
      </c>
      <c r="O287" t="b">
        <f t="shared" si="31"/>
        <v>0</v>
      </c>
      <c r="P287" t="b">
        <f t="shared" si="32"/>
        <v>0</v>
      </c>
    </row>
    <row r="288" spans="1:16">
      <c r="A288" t="str">
        <v>diesel_Italy_FS_207</v>
      </c>
      <c r="B288" t="b" cm="1">
        <f t="array" ref="B288">_xlfn.XLOOKUP(A288,CONTROL[VEHIDCODE],PROPERTIES[EXCLUDE])</f>
        <v>0</v>
      </c>
      <c r="C288">
        <f>FLOOR(_xlfn.XLOOKUP($A288,PROPERTIES[VEHIDCODE],PROPERTIES[INTRODUCTION_YEAR]),20)</f>
        <v>1920</v>
      </c>
      <c r="D288" t="str">
        <f>_xlfn.XLOOKUP($A288,PROPERTIES[VEHIDCODE],PROPERTIES[ROLE])</f>
        <v>Shunting</v>
      </c>
      <c r="E288" s="35" t="str">
        <f>_xlfn.XLOOKUP($A288,PROPERTIES[VEHIDCODE],PROPERTIES[REGION1])</f>
        <v>SOUTHERN_EUROPE</v>
      </c>
      <c r="F288" s="35" t="str">
        <f>_xlfn.XLOOKUP($A288,PROPERTIES[VEHIDCODE],PROPERTIES[REGION2])</f>
        <v>NO_REGION</v>
      </c>
      <c r="G288" s="35" t="str">
        <f t="shared" si="27"/>
        <v>SOUTHERN_EUROPE_NO_REGION</v>
      </c>
      <c r="H288" t="b">
        <f t="shared" si="28"/>
        <v>0</v>
      </c>
      <c r="I288" t="b">
        <f t="shared" si="29"/>
        <v>0</v>
      </c>
      <c r="J288" t="b">
        <f t="shared" si="30"/>
        <v>1</v>
      </c>
      <c r="K288" t="b">
        <f t="shared" si="26"/>
        <v>0</v>
      </c>
      <c r="L288" t="b">
        <f t="shared" si="26"/>
        <v>0</v>
      </c>
      <c r="M288" t="b">
        <f t="shared" si="26"/>
        <v>0</v>
      </c>
      <c r="N288" t="b">
        <f t="shared" si="31"/>
        <v>0</v>
      </c>
      <c r="O288" t="b">
        <f t="shared" si="31"/>
        <v>0</v>
      </c>
      <c r="P288" t="b">
        <f t="shared" si="32"/>
        <v>0</v>
      </c>
    </row>
    <row r="289" spans="1:16">
      <c r="A289" t="str">
        <v>diesel_Russia_RZD_Db</v>
      </c>
      <c r="B289" t="b" cm="1">
        <f t="array" ref="B289">_xlfn.XLOOKUP(A289,CONTROL[VEHIDCODE],PROPERTIES[EXCLUDE])</f>
        <v>0</v>
      </c>
      <c r="C289">
        <f>FLOOR(_xlfn.XLOOKUP($A289,PROPERTIES[VEHIDCODE],PROPERTIES[INTRODUCTION_YEAR]),20)</f>
        <v>1940</v>
      </c>
      <c r="D289" t="str">
        <f>_xlfn.XLOOKUP($A289,PROPERTIES[VEHIDCODE],PROPERTIES[ROLE])</f>
        <v>Universal</v>
      </c>
      <c r="E289" s="35" t="str">
        <f>_xlfn.XLOOKUP($A289,PROPERTIES[VEHIDCODE],PROPERTIES[REGION1])</f>
        <v>ASIA</v>
      </c>
      <c r="F289" s="35" t="str">
        <f>_xlfn.XLOOKUP($A289,PROPERTIES[VEHIDCODE],PROPERTIES[REGION2])</f>
        <v>NO_REGION</v>
      </c>
      <c r="G289" s="35" t="str">
        <f t="shared" si="27"/>
        <v>ASIA_NO_REGION</v>
      </c>
      <c r="H289" t="b">
        <f t="shared" si="28"/>
        <v>0</v>
      </c>
      <c r="I289" t="b">
        <f t="shared" si="29"/>
        <v>1</v>
      </c>
      <c r="J289" t="b">
        <f t="shared" si="30"/>
        <v>0</v>
      </c>
      <c r="K289" t="b">
        <f t="shared" si="26"/>
        <v>0</v>
      </c>
      <c r="L289" t="b">
        <f t="shared" si="26"/>
        <v>0</v>
      </c>
      <c r="M289" t="b">
        <f t="shared" si="26"/>
        <v>0</v>
      </c>
      <c r="N289" t="b">
        <f t="shared" si="31"/>
        <v>0</v>
      </c>
      <c r="O289" t="b">
        <f t="shared" si="31"/>
        <v>0</v>
      </c>
      <c r="P289" t="b">
        <f t="shared" si="32"/>
        <v>0</v>
      </c>
    </row>
    <row r="290" spans="1:16">
      <c r="A290" t="str">
        <v>diesel_Portugal_CP_1500</v>
      </c>
      <c r="B290" t="b" cm="1">
        <f t="array" ref="B290">_xlfn.XLOOKUP(A290,CONTROL[VEHIDCODE],PROPERTIES[EXCLUDE])</f>
        <v>0</v>
      </c>
      <c r="C290">
        <f>FLOOR(_xlfn.XLOOKUP($A290,PROPERTIES[VEHIDCODE],PROPERTIES[INTRODUCTION_YEAR]),20)</f>
        <v>1940</v>
      </c>
      <c r="D290" t="str">
        <f>_xlfn.XLOOKUP($A290,PROPERTIES[VEHIDCODE],PROPERTIES[ROLE])</f>
        <v>Universal</v>
      </c>
      <c r="E290" s="35" t="str">
        <f>_xlfn.XLOOKUP($A290,PROPERTIES[VEHIDCODE],PROPERTIES[REGION1])</f>
        <v>SOUTHERN_EUROPE</v>
      </c>
      <c r="F290" s="35" t="str">
        <f>_xlfn.XLOOKUP($A290,PROPERTIES[VEHIDCODE],PROPERTIES[REGION2])</f>
        <v>NO_REGION</v>
      </c>
      <c r="G290" s="35" t="str">
        <f t="shared" si="27"/>
        <v>SOUTHERN_EUROPE_NO_REGION</v>
      </c>
      <c r="H290" t="b">
        <f t="shared" si="28"/>
        <v>0</v>
      </c>
      <c r="I290" t="b">
        <f t="shared" si="29"/>
        <v>0</v>
      </c>
      <c r="J290" t="b">
        <f t="shared" si="30"/>
        <v>1</v>
      </c>
      <c r="K290" t="b">
        <f t="shared" si="26"/>
        <v>0</v>
      </c>
      <c r="L290" t="b">
        <f t="shared" si="26"/>
        <v>0</v>
      </c>
      <c r="M290" t="b">
        <f t="shared" si="26"/>
        <v>0</v>
      </c>
      <c r="N290" t="b">
        <f t="shared" si="31"/>
        <v>0</v>
      </c>
      <c r="O290" t="b">
        <f t="shared" si="31"/>
        <v>0</v>
      </c>
      <c r="P290" t="b">
        <f t="shared" si="32"/>
        <v>0</v>
      </c>
    </row>
    <row r="291" spans="1:16">
      <c r="A291" t="str">
        <v>diesel_France_SNCF_BB_67400</v>
      </c>
      <c r="B291" t="b" cm="1">
        <f t="array" ref="B291">_xlfn.XLOOKUP(A291,CONTROL[VEHIDCODE],PROPERTIES[EXCLUDE])</f>
        <v>0</v>
      </c>
      <c r="C291">
        <f>FLOOR(_xlfn.XLOOKUP($A291,PROPERTIES[VEHIDCODE],PROPERTIES[INTRODUCTION_YEAR]),20)</f>
        <v>1960</v>
      </c>
      <c r="D291" t="str">
        <f>_xlfn.XLOOKUP($A291,PROPERTIES[VEHIDCODE],PROPERTIES[ROLE])</f>
        <v>Universal</v>
      </c>
      <c r="E291" s="35" t="str">
        <f>_xlfn.XLOOKUP($A291,PROPERTIES[VEHIDCODE],PROPERTIES[REGION1])</f>
        <v>WESTERN_EUROPE</v>
      </c>
      <c r="F291" s="35" t="str">
        <f>_xlfn.XLOOKUP($A291,PROPERTIES[VEHIDCODE],PROPERTIES[REGION2])</f>
        <v>NO_REGION</v>
      </c>
      <c r="G291" s="35" t="str">
        <f t="shared" si="27"/>
        <v>WESTERN_EUROPE_NO_REGION</v>
      </c>
      <c r="H291" t="b">
        <f t="shared" si="28"/>
        <v>0</v>
      </c>
      <c r="I291" t="b">
        <f t="shared" si="29"/>
        <v>0</v>
      </c>
      <c r="J291" t="b">
        <f t="shared" si="30"/>
        <v>0</v>
      </c>
      <c r="K291" t="b">
        <f t="shared" si="26"/>
        <v>0</v>
      </c>
      <c r="L291" t="b">
        <f t="shared" si="26"/>
        <v>1</v>
      </c>
      <c r="M291" t="b">
        <f t="shared" si="26"/>
        <v>0</v>
      </c>
      <c r="N291" t="b">
        <f t="shared" si="31"/>
        <v>0</v>
      </c>
      <c r="O291" t="b">
        <f t="shared" si="31"/>
        <v>0</v>
      </c>
      <c r="P291" t="b">
        <f t="shared" si="32"/>
        <v>0</v>
      </c>
    </row>
    <row r="292" spans="1:16">
      <c r="A292" t="str">
        <v>diesel_Netherlands_NS_6400</v>
      </c>
      <c r="B292" t="b" cm="1">
        <f t="array" ref="B292">_xlfn.XLOOKUP(A292,CONTROL[VEHIDCODE],PROPERTIES[EXCLUDE])</f>
        <v>0</v>
      </c>
      <c r="C292">
        <f>FLOOR(_xlfn.XLOOKUP($A292,PROPERTIES[VEHIDCODE],PROPERTIES[INTRODUCTION_YEAR]),20)</f>
        <v>1980</v>
      </c>
      <c r="D292" t="str">
        <f>_xlfn.XLOOKUP($A292,PROPERTIES[VEHIDCODE],PROPERTIES[ROLE])</f>
        <v>Universal</v>
      </c>
      <c r="E292" s="35" t="str">
        <f>_xlfn.XLOOKUP($A292,PROPERTIES[VEHIDCODE],PROPERTIES[REGION1])</f>
        <v>WESTERN_EUROPE</v>
      </c>
      <c r="F292" s="35" t="str">
        <f>_xlfn.XLOOKUP($A292,PROPERTIES[VEHIDCODE],PROPERTIES[REGION2])</f>
        <v>NO_REGION</v>
      </c>
      <c r="G292" s="35" t="str">
        <f t="shared" si="27"/>
        <v>WESTERN_EUROPE_NO_REGION</v>
      </c>
      <c r="H292" t="b">
        <f t="shared" si="28"/>
        <v>0</v>
      </c>
      <c r="I292" t="b">
        <f t="shared" si="29"/>
        <v>0</v>
      </c>
      <c r="J292" t="b">
        <f t="shared" si="30"/>
        <v>0</v>
      </c>
      <c r="K292" t="b">
        <f t="shared" si="26"/>
        <v>0</v>
      </c>
      <c r="L292" t="b">
        <f t="shared" si="26"/>
        <v>1</v>
      </c>
      <c r="M292" t="b">
        <f t="shared" si="26"/>
        <v>0</v>
      </c>
      <c r="N292" t="b">
        <f t="shared" si="31"/>
        <v>0</v>
      </c>
      <c r="O292" t="b">
        <f t="shared" si="31"/>
        <v>0</v>
      </c>
      <c r="P292" t="b">
        <f t="shared" si="32"/>
        <v>0</v>
      </c>
    </row>
    <row r="293" spans="1:16">
      <c r="A293" t="str">
        <v>diesel_Egypt_ENR_2400_GE_ES40ACi</v>
      </c>
      <c r="B293" t="b" cm="1">
        <f t="array" ref="B293">_xlfn.XLOOKUP(A293,CONTROL[VEHIDCODE],PROPERTIES[EXCLUDE])</f>
        <v>0</v>
      </c>
      <c r="C293">
        <f>FLOOR(_xlfn.XLOOKUP($A293,PROPERTIES[VEHIDCODE],PROPERTIES[INTRODUCTION_YEAR]),20)</f>
        <v>2000</v>
      </c>
      <c r="D293" t="str">
        <f>_xlfn.XLOOKUP($A293,PROPERTIES[VEHIDCODE],PROPERTIES[ROLE])</f>
        <v>Universal</v>
      </c>
      <c r="E293" s="35" t="str">
        <f>_xlfn.XLOOKUP($A293,PROPERTIES[VEHIDCODE],PROPERTIES[REGION1])</f>
        <v>AFRICA</v>
      </c>
      <c r="F293" s="35" t="str">
        <f>_xlfn.XLOOKUP($A293,PROPERTIES[VEHIDCODE],PROPERTIES[REGION2])</f>
        <v>NO_REGION</v>
      </c>
      <c r="G293" s="35" t="str">
        <f t="shared" si="27"/>
        <v>AFRICA_NO_REGION</v>
      </c>
      <c r="H293" t="b">
        <f t="shared" si="28"/>
        <v>1</v>
      </c>
      <c r="I293" t="b">
        <f t="shared" si="29"/>
        <v>0</v>
      </c>
      <c r="J293" t="b">
        <f t="shared" si="30"/>
        <v>0</v>
      </c>
      <c r="K293" t="b">
        <f t="shared" si="26"/>
        <v>0</v>
      </c>
      <c r="L293" t="b">
        <f t="shared" si="26"/>
        <v>0</v>
      </c>
      <c r="M293" t="b">
        <f t="shared" si="26"/>
        <v>0</v>
      </c>
      <c r="N293" t="b">
        <f t="shared" si="31"/>
        <v>0</v>
      </c>
      <c r="O293" t="b">
        <f t="shared" si="31"/>
        <v>0</v>
      </c>
      <c r="P293" t="b">
        <f t="shared" si="32"/>
        <v>0</v>
      </c>
    </row>
    <row r="294" spans="1:16">
      <c r="A294" t="str">
        <v>diesel_South_Africa_SAR_Afro_4000</v>
      </c>
      <c r="B294" t="b" cm="1">
        <f t="array" ref="B294">_xlfn.XLOOKUP(A294,CONTROL[VEHIDCODE],PROPERTIES[EXCLUDE])</f>
        <v>0</v>
      </c>
      <c r="C294">
        <f>FLOOR(_xlfn.XLOOKUP($A294,PROPERTIES[VEHIDCODE],PROPERTIES[INTRODUCTION_YEAR]),20)</f>
        <v>2000</v>
      </c>
      <c r="D294" t="str">
        <f>_xlfn.XLOOKUP($A294,PROPERTIES[VEHIDCODE],PROPERTIES[ROLE])</f>
        <v>Express</v>
      </c>
      <c r="E294" s="35" t="str">
        <f>_xlfn.XLOOKUP($A294,PROPERTIES[VEHIDCODE],PROPERTIES[REGION1])</f>
        <v>AFRICA</v>
      </c>
      <c r="F294" s="35" t="str">
        <f>_xlfn.XLOOKUP($A294,PROPERTIES[VEHIDCODE],PROPERTIES[REGION2])</f>
        <v>NO_REGION</v>
      </c>
      <c r="G294" s="35" t="str">
        <f t="shared" si="27"/>
        <v>AFRICA_NO_REGION</v>
      </c>
      <c r="H294" t="b">
        <f t="shared" si="28"/>
        <v>1</v>
      </c>
      <c r="I294" t="b">
        <f t="shared" si="29"/>
        <v>0</v>
      </c>
      <c r="J294" t="b">
        <f t="shared" si="30"/>
        <v>0</v>
      </c>
      <c r="K294" t="b">
        <f t="shared" si="26"/>
        <v>0</v>
      </c>
      <c r="L294" t="b">
        <f t="shared" si="26"/>
        <v>0</v>
      </c>
      <c r="M294" t="b">
        <f t="shared" si="26"/>
        <v>0</v>
      </c>
      <c r="N294" t="b">
        <f t="shared" si="31"/>
        <v>0</v>
      </c>
      <c r="O294" t="b">
        <f t="shared" si="31"/>
        <v>0</v>
      </c>
      <c r="P294" t="b">
        <f t="shared" si="32"/>
        <v>0</v>
      </c>
    </row>
    <row r="295" spans="1:16">
      <c r="A295" t="str">
        <v>diesel_Spain_RENFE_308</v>
      </c>
      <c r="B295" t="b" cm="1">
        <f t="array" ref="B295">_xlfn.XLOOKUP(A295,CONTROL[VEHIDCODE],PROPERTIES[EXCLUDE])</f>
        <v>0</v>
      </c>
      <c r="C295">
        <f>FLOOR(_xlfn.XLOOKUP($A295,PROPERTIES[VEHIDCODE],PROPERTIES[INTRODUCTION_YEAR]),20)</f>
        <v>1960</v>
      </c>
      <c r="D295" t="str">
        <f>_xlfn.XLOOKUP($A295,PROPERTIES[VEHIDCODE],PROPERTIES[ROLE])</f>
        <v>Universal</v>
      </c>
      <c r="E295" s="35" t="str">
        <f>_xlfn.XLOOKUP($A295,PROPERTIES[VEHIDCODE],PROPERTIES[REGION1])</f>
        <v>SOUTHERN_EUROPE</v>
      </c>
      <c r="F295" s="35" t="str">
        <f>_xlfn.XLOOKUP($A295,PROPERTIES[VEHIDCODE],PROPERTIES[REGION2])</f>
        <v>NO_REGION</v>
      </c>
      <c r="G295" s="35" t="str">
        <f t="shared" si="27"/>
        <v>SOUTHERN_EUROPE_NO_REGION</v>
      </c>
      <c r="H295" t="b">
        <f t="shared" si="28"/>
        <v>0</v>
      </c>
      <c r="I295" t="b">
        <f t="shared" si="29"/>
        <v>0</v>
      </c>
      <c r="J295" t="b">
        <f t="shared" si="30"/>
        <v>1</v>
      </c>
      <c r="K295" t="b">
        <f t="shared" si="26"/>
        <v>0</v>
      </c>
      <c r="L295" t="b">
        <f t="shared" si="26"/>
        <v>0</v>
      </c>
      <c r="M295" t="b">
        <f t="shared" si="26"/>
        <v>0</v>
      </c>
      <c r="N295" t="b">
        <f t="shared" si="31"/>
        <v>0</v>
      </c>
      <c r="O295" t="b">
        <f t="shared" si="31"/>
        <v>0</v>
      </c>
      <c r="P295" t="b">
        <f t="shared" si="32"/>
        <v>0</v>
      </c>
    </row>
    <row r="296" spans="1:16">
      <c r="A296" t="str">
        <v>diesel_Australia_Pacific_National_XR_XRB</v>
      </c>
      <c r="B296" t="b" cm="1">
        <f t="array" ref="B296">_xlfn.XLOOKUP(A296,CONTROL[VEHIDCODE],PROPERTIES[EXCLUDE])</f>
        <v>0</v>
      </c>
      <c r="C296">
        <f>FLOOR(_xlfn.XLOOKUP($A296,PROPERTIES[VEHIDCODE],PROPERTIES[INTRODUCTION_YEAR]),20)</f>
        <v>2000</v>
      </c>
      <c r="D296" t="str">
        <f>_xlfn.XLOOKUP($A296,PROPERTIES[VEHIDCODE],PROPERTIES[ROLE])</f>
        <v>Universal</v>
      </c>
      <c r="E296" s="35" t="str">
        <f>_xlfn.XLOOKUP($A296,PROPERTIES[VEHIDCODE],PROPERTIES[REGION1])</f>
        <v>OCEANIA</v>
      </c>
      <c r="F296" s="35" t="str">
        <f>_xlfn.XLOOKUP($A296,PROPERTIES[VEHIDCODE],PROPERTIES[REGION2])</f>
        <v>NO_REGION</v>
      </c>
      <c r="G296" s="35" t="str">
        <f t="shared" si="27"/>
        <v>OCEANIA_NO_REGION</v>
      </c>
      <c r="H296" t="b">
        <f t="shared" si="28"/>
        <v>0</v>
      </c>
      <c r="I296" t="b">
        <f t="shared" si="29"/>
        <v>0</v>
      </c>
      <c r="J296" t="b">
        <f t="shared" si="30"/>
        <v>0</v>
      </c>
      <c r="K296" t="b">
        <f t="shared" si="26"/>
        <v>0</v>
      </c>
      <c r="L296" t="b">
        <f t="shared" si="26"/>
        <v>0</v>
      </c>
      <c r="M296" t="b">
        <f t="shared" si="26"/>
        <v>0</v>
      </c>
      <c r="N296" t="b">
        <f t="shared" si="31"/>
        <v>0</v>
      </c>
      <c r="O296" t="b">
        <f t="shared" si="31"/>
        <v>0</v>
      </c>
      <c r="P296" t="b">
        <f t="shared" si="32"/>
        <v>1</v>
      </c>
    </row>
    <row r="297" spans="1:16">
      <c r="A297" t="str">
        <v>diesel_Norway_CargoNet_312</v>
      </c>
      <c r="B297" t="b" cm="1">
        <f t="array" ref="B297">_xlfn.XLOOKUP(A297,CONTROL[VEHIDCODE],PROPERTIES[EXCLUDE])</f>
        <v>0</v>
      </c>
      <c r="C297">
        <f>FLOOR(_xlfn.XLOOKUP($A297,PROPERTIES[VEHIDCODE],PROPERTIES[INTRODUCTION_YEAR]),20)</f>
        <v>2000</v>
      </c>
      <c r="D297" t="str">
        <f>_xlfn.XLOOKUP($A297,PROPERTIES[VEHIDCODE],PROPERTIES[ROLE])</f>
        <v>Universal</v>
      </c>
      <c r="E297" s="35" t="str">
        <f>_xlfn.XLOOKUP($A297,PROPERTIES[VEHIDCODE],PROPERTIES[REGION1])</f>
        <v>NORTHERN_EUROPE</v>
      </c>
      <c r="F297" s="35" t="str">
        <f>_xlfn.XLOOKUP($A297,PROPERTIES[VEHIDCODE],PROPERTIES[REGION2])</f>
        <v>NO_REGION</v>
      </c>
      <c r="G297" s="35" t="str">
        <f t="shared" si="27"/>
        <v>NORTHERN_EUROPE_NO_REGION</v>
      </c>
      <c r="H297" t="b">
        <f t="shared" si="28"/>
        <v>0</v>
      </c>
      <c r="I297" t="b">
        <f t="shared" si="29"/>
        <v>0</v>
      </c>
      <c r="J297" t="b">
        <f t="shared" si="30"/>
        <v>0</v>
      </c>
      <c r="K297" t="b">
        <f t="shared" si="26"/>
        <v>0</v>
      </c>
      <c r="L297" t="b">
        <f t="shared" si="26"/>
        <v>0</v>
      </c>
      <c r="M297" t="b">
        <f t="shared" si="26"/>
        <v>1</v>
      </c>
      <c r="N297" t="b">
        <f t="shared" si="31"/>
        <v>0</v>
      </c>
      <c r="O297" t="b">
        <f t="shared" si="31"/>
        <v>0</v>
      </c>
      <c r="P297" t="b">
        <f t="shared" si="32"/>
        <v>0</v>
      </c>
    </row>
    <row r="298" spans="1:16">
      <c r="A298" t="str">
        <v>diesel_Australia_Pacific_National_92</v>
      </c>
      <c r="B298" t="b" cm="1">
        <f t="array" ref="B298">_xlfn.XLOOKUP(A298,CONTROL[VEHIDCODE],PROPERTIES[EXCLUDE])</f>
        <v>0</v>
      </c>
      <c r="C298">
        <f>FLOOR(_xlfn.XLOOKUP($A298,PROPERTIES[VEHIDCODE],PROPERTIES[INTRODUCTION_YEAR]),20)</f>
        <v>2000</v>
      </c>
      <c r="D298" t="str">
        <f>_xlfn.XLOOKUP($A298,PROPERTIES[VEHIDCODE],PROPERTIES[ROLE])</f>
        <v>Universal</v>
      </c>
      <c r="E298" s="35" t="str">
        <f>_xlfn.XLOOKUP($A298,PROPERTIES[VEHIDCODE],PROPERTIES[REGION1])</f>
        <v>OCEANIA</v>
      </c>
      <c r="F298" s="35" t="str">
        <f>_xlfn.XLOOKUP($A298,PROPERTIES[VEHIDCODE],PROPERTIES[REGION2])</f>
        <v>NO_REGION</v>
      </c>
      <c r="G298" s="35" t="str">
        <f t="shared" si="27"/>
        <v>OCEANIA_NO_REGION</v>
      </c>
      <c r="H298" t="b">
        <f t="shared" si="28"/>
        <v>0</v>
      </c>
      <c r="I298" t="b">
        <f t="shared" si="29"/>
        <v>0</v>
      </c>
      <c r="J298" t="b">
        <f t="shared" si="30"/>
        <v>0</v>
      </c>
      <c r="K298" t="b">
        <f t="shared" si="26"/>
        <v>0</v>
      </c>
      <c r="L298" t="b">
        <f t="shared" si="26"/>
        <v>0</v>
      </c>
      <c r="M298" t="b">
        <f t="shared" si="26"/>
        <v>0</v>
      </c>
      <c r="N298" t="b">
        <f t="shared" si="31"/>
        <v>0</v>
      </c>
      <c r="O298" t="b">
        <f t="shared" si="31"/>
        <v>0</v>
      </c>
      <c r="P298" t="b">
        <f t="shared" si="32"/>
        <v>1</v>
      </c>
    </row>
    <row r="299" spans="1:16">
      <c r="A299" t="str">
        <v>diesel_UK_BR_68</v>
      </c>
      <c r="B299" t="b" cm="1">
        <f t="array" ref="B299">_xlfn.XLOOKUP(A299,CONTROL[VEHIDCODE],PROPERTIES[EXCLUDE])</f>
        <v>0</v>
      </c>
      <c r="C299">
        <f>FLOOR(_xlfn.XLOOKUP($A299,PROPERTIES[VEHIDCODE],PROPERTIES[INTRODUCTION_YEAR]),20)</f>
        <v>2000</v>
      </c>
      <c r="D299" t="str">
        <f>_xlfn.XLOOKUP($A299,PROPERTIES[VEHIDCODE],PROPERTIES[ROLE])</f>
        <v>Express</v>
      </c>
      <c r="E299" s="35" t="str">
        <f>_xlfn.XLOOKUP($A299,PROPERTIES[VEHIDCODE],PROPERTIES[REGION1])</f>
        <v>NORTHERN_EUROPE</v>
      </c>
      <c r="F299" s="35" t="str">
        <f>_xlfn.XLOOKUP($A299,PROPERTIES[VEHIDCODE],PROPERTIES[REGION2])</f>
        <v>NO_REGION</v>
      </c>
      <c r="G299" s="35" t="str">
        <f t="shared" si="27"/>
        <v>NORTHERN_EUROPE_NO_REGION</v>
      </c>
      <c r="H299" t="b">
        <f t="shared" si="28"/>
        <v>0</v>
      </c>
      <c r="I299" t="b">
        <f t="shared" si="29"/>
        <v>0</v>
      </c>
      <c r="J299" t="b">
        <f t="shared" si="30"/>
        <v>0</v>
      </c>
      <c r="K299" t="b">
        <f t="shared" si="26"/>
        <v>0</v>
      </c>
      <c r="L299" t="b">
        <f t="shared" si="26"/>
        <v>0</v>
      </c>
      <c r="M299" t="b">
        <f t="shared" si="26"/>
        <v>1</v>
      </c>
      <c r="N299" t="b">
        <f t="shared" si="31"/>
        <v>0</v>
      </c>
      <c r="O299" t="b">
        <f t="shared" si="31"/>
        <v>0</v>
      </c>
      <c r="P299" t="b">
        <f t="shared" si="32"/>
        <v>0</v>
      </c>
    </row>
    <row r="300" spans="1:16">
      <c r="A300" t="str">
        <v>diesel_USA_Amtrak_Charger</v>
      </c>
      <c r="B300" t="b" cm="1">
        <f t="array" ref="B300">_xlfn.XLOOKUP(A300,CONTROL[VEHIDCODE],PROPERTIES[EXCLUDE])</f>
        <v>0</v>
      </c>
      <c r="C300">
        <f>FLOOR(_xlfn.XLOOKUP($A300,PROPERTIES[VEHIDCODE],PROPERTIES[INTRODUCTION_YEAR]),20)</f>
        <v>2000</v>
      </c>
      <c r="D300" t="str">
        <f>_xlfn.XLOOKUP($A300,PROPERTIES[VEHIDCODE],PROPERTIES[ROLE])</f>
        <v>Express</v>
      </c>
      <c r="E300" s="35" t="str">
        <f>_xlfn.XLOOKUP($A300,PROPERTIES[VEHIDCODE],PROPERTIES[REGION1])</f>
        <v>NORTH_AMERICA</v>
      </c>
      <c r="F300" s="35" t="str">
        <f>_xlfn.XLOOKUP($A300,PROPERTIES[VEHIDCODE],PROPERTIES[REGION2])</f>
        <v>NO_REGION</v>
      </c>
      <c r="G300" s="35" t="str">
        <f t="shared" si="27"/>
        <v>NORTH_AMERICA_NO_REGION</v>
      </c>
      <c r="H300" t="b">
        <f t="shared" si="28"/>
        <v>0</v>
      </c>
      <c r="I300" t="b">
        <f t="shared" si="29"/>
        <v>0</v>
      </c>
      <c r="J300" t="b">
        <f t="shared" si="30"/>
        <v>0</v>
      </c>
      <c r="K300" t="b">
        <f t="shared" si="26"/>
        <v>0</v>
      </c>
      <c r="L300" t="b">
        <f t="shared" si="26"/>
        <v>0</v>
      </c>
      <c r="M300" t="b">
        <f t="shared" si="26"/>
        <v>0</v>
      </c>
      <c r="N300" t="b">
        <f t="shared" si="31"/>
        <v>1</v>
      </c>
      <c r="O300" t="b">
        <f t="shared" si="31"/>
        <v>0</v>
      </c>
      <c r="P300" t="b">
        <f t="shared" si="32"/>
        <v>0</v>
      </c>
    </row>
    <row r="301" spans="1:16">
      <c r="A301" t="str">
        <v>mtro_Argentina_Le_Brugeoise</v>
      </c>
      <c r="B301" t="b" cm="1">
        <f t="array" ref="B301">_xlfn.XLOOKUP(A301,CONTROL[VEHIDCODE],PROPERTIES[EXCLUDE])</f>
        <v>0</v>
      </c>
      <c r="C301">
        <f>FLOOR(_xlfn.XLOOKUP($A301,PROPERTIES[VEHIDCODE],PROPERTIES[INTRODUCTION_YEAR]),20)</f>
        <v>1900</v>
      </c>
      <c r="D301" t="str">
        <f>_xlfn.XLOOKUP($A301,PROPERTIES[VEHIDCODE],PROPERTIES[ROLE])</f>
        <v>Metro</v>
      </c>
      <c r="E301" s="35" t="str">
        <f>_xlfn.XLOOKUP($A301,PROPERTIES[VEHIDCODE],PROPERTIES[REGION1])</f>
        <v>SOUTH_AMERICA</v>
      </c>
      <c r="F301" s="35" t="str">
        <f>_xlfn.XLOOKUP($A301,PROPERTIES[VEHIDCODE],PROPERTIES[REGION2])</f>
        <v>NO_REGION</v>
      </c>
      <c r="G301" s="35" t="str">
        <f t="shared" si="27"/>
        <v>SOUTH_AMERICA_NO_REGION</v>
      </c>
      <c r="H301" t="b">
        <f t="shared" si="28"/>
        <v>0</v>
      </c>
      <c r="I301" t="b">
        <f t="shared" si="29"/>
        <v>0</v>
      </c>
      <c r="J301" t="b">
        <f t="shared" si="30"/>
        <v>0</v>
      </c>
      <c r="K301" t="b">
        <f t="shared" si="26"/>
        <v>0</v>
      </c>
      <c r="L301" t="b">
        <f t="shared" si="26"/>
        <v>0</v>
      </c>
      <c r="M301" t="b">
        <f t="shared" si="26"/>
        <v>0</v>
      </c>
      <c r="N301" t="b">
        <f t="shared" si="31"/>
        <v>0</v>
      </c>
      <c r="O301" t="b">
        <f t="shared" si="31"/>
        <v>1</v>
      </c>
      <c r="P301" t="b">
        <f t="shared" si="32"/>
        <v>0</v>
      </c>
    </row>
    <row r="302" spans="1:16">
      <c r="A302" t="str">
        <v>mtro_USA_NY_R1</v>
      </c>
      <c r="B302" t="b" cm="1">
        <f t="array" ref="B302">_xlfn.XLOOKUP(A302,CONTROL[VEHIDCODE],PROPERTIES[EXCLUDE])</f>
        <v>0</v>
      </c>
      <c r="C302">
        <f>FLOOR(_xlfn.XLOOKUP($A302,PROPERTIES[VEHIDCODE],PROPERTIES[INTRODUCTION_YEAR]),20)</f>
        <v>1920</v>
      </c>
      <c r="D302" t="str">
        <f>_xlfn.XLOOKUP($A302,PROPERTIES[VEHIDCODE],PROPERTIES[ROLE])</f>
        <v>Metro</v>
      </c>
      <c r="E302" s="35" t="str">
        <f>_xlfn.XLOOKUP($A302,PROPERTIES[VEHIDCODE],PROPERTIES[REGION1])</f>
        <v>NORTH_AMERICA</v>
      </c>
      <c r="F302" s="35" t="str">
        <f>_xlfn.XLOOKUP($A302,PROPERTIES[VEHIDCODE],PROPERTIES[REGION2])</f>
        <v>NO_REGION</v>
      </c>
      <c r="G302" s="35" t="str">
        <f t="shared" si="27"/>
        <v>NORTH_AMERICA_NO_REGION</v>
      </c>
      <c r="H302" t="b">
        <f t="shared" si="28"/>
        <v>0</v>
      </c>
      <c r="I302" t="b">
        <f t="shared" si="29"/>
        <v>0</v>
      </c>
      <c r="J302" t="b">
        <f t="shared" si="30"/>
        <v>0</v>
      </c>
      <c r="K302" t="b">
        <f t="shared" si="26"/>
        <v>0</v>
      </c>
      <c r="L302" t="b">
        <f t="shared" si="26"/>
        <v>0</v>
      </c>
      <c r="M302" t="b">
        <f t="shared" si="26"/>
        <v>0</v>
      </c>
      <c r="N302" t="b">
        <f t="shared" si="31"/>
        <v>1</v>
      </c>
      <c r="O302" t="b">
        <f t="shared" si="31"/>
        <v>0</v>
      </c>
      <c r="P302" t="b">
        <f t="shared" si="32"/>
        <v>0</v>
      </c>
    </row>
    <row r="303" spans="1:16">
      <c r="A303" t="str">
        <v>mtro_Germany_DB_ET_171</v>
      </c>
      <c r="B303" t="b" cm="1">
        <f t="array" ref="B303">_xlfn.XLOOKUP(A303,CONTROL[VEHIDCODE],PROPERTIES[EXCLUDE])</f>
        <v>0</v>
      </c>
      <c r="C303">
        <f>FLOOR(_xlfn.XLOOKUP($A303,PROPERTIES[VEHIDCODE],PROPERTIES[INTRODUCTION_YEAR]),20)</f>
        <v>1940</v>
      </c>
      <c r="D303" t="str">
        <f>_xlfn.XLOOKUP($A303,PROPERTIES[VEHIDCODE],PROPERTIES[ROLE])</f>
        <v>Metro</v>
      </c>
      <c r="E303" s="35" t="str">
        <f>_xlfn.XLOOKUP($A303,PROPERTIES[VEHIDCODE],PROPERTIES[REGION1])</f>
        <v>WESTERN_EUROPE</v>
      </c>
      <c r="F303" s="35" t="str">
        <f>_xlfn.XLOOKUP($A303,PROPERTIES[VEHIDCODE],PROPERTIES[REGION2])</f>
        <v>NO_REGION</v>
      </c>
      <c r="G303" s="35" t="str">
        <f t="shared" si="27"/>
        <v>WESTERN_EUROPE_NO_REGION</v>
      </c>
      <c r="H303" t="b">
        <f t="shared" si="28"/>
        <v>0</v>
      </c>
      <c r="I303" t="b">
        <f t="shared" si="29"/>
        <v>0</v>
      </c>
      <c r="J303" t="b">
        <f t="shared" si="30"/>
        <v>0</v>
      </c>
      <c r="K303" t="b">
        <f t="shared" si="26"/>
        <v>0</v>
      </c>
      <c r="L303" t="b">
        <f t="shared" si="26"/>
        <v>1</v>
      </c>
      <c r="M303" t="b">
        <f t="shared" si="26"/>
        <v>0</v>
      </c>
      <c r="N303" t="b">
        <f t="shared" si="31"/>
        <v>0</v>
      </c>
      <c r="O303" t="b">
        <f t="shared" si="31"/>
        <v>0</v>
      </c>
      <c r="P303" t="b">
        <f t="shared" si="32"/>
        <v>0</v>
      </c>
    </row>
    <row r="304" spans="1:16">
      <c r="A304" t="str">
        <v>mtro_France_Paris_M2_840</v>
      </c>
      <c r="B304" t="b" cm="1">
        <f t="array" ref="B304">_xlfn.XLOOKUP(A304,CONTROL[VEHIDCODE],PROPERTIES[EXCLUDE])</f>
        <v>0</v>
      </c>
      <c r="C304">
        <f>FLOOR(_xlfn.XLOOKUP($A304,PROPERTIES[VEHIDCODE],PROPERTIES[INTRODUCTION_YEAR]),20)</f>
        <v>1940</v>
      </c>
      <c r="D304" t="str">
        <f>_xlfn.XLOOKUP($A304,PROPERTIES[VEHIDCODE],PROPERTIES[ROLE])</f>
        <v>Metro</v>
      </c>
      <c r="E304" s="35" t="str">
        <f>_xlfn.XLOOKUP($A304,PROPERTIES[VEHIDCODE],PROPERTIES[REGION1])</f>
        <v>WESTERN_EUROPE</v>
      </c>
      <c r="F304" s="35" t="str">
        <f>_xlfn.XLOOKUP($A304,PROPERTIES[VEHIDCODE],PROPERTIES[REGION2])</f>
        <v>NO_REGION</v>
      </c>
      <c r="G304" s="35" t="str">
        <f t="shared" si="27"/>
        <v>WESTERN_EUROPE_NO_REGION</v>
      </c>
      <c r="H304" t="b">
        <f t="shared" si="28"/>
        <v>0</v>
      </c>
      <c r="I304" t="b">
        <f t="shared" si="29"/>
        <v>0</v>
      </c>
      <c r="J304" t="b">
        <f t="shared" si="30"/>
        <v>0</v>
      </c>
      <c r="K304" t="b">
        <f t="shared" si="26"/>
        <v>0</v>
      </c>
      <c r="L304" t="b">
        <f t="shared" si="26"/>
        <v>1</v>
      </c>
      <c r="M304" t="b">
        <f t="shared" si="26"/>
        <v>0</v>
      </c>
      <c r="N304" t="b">
        <f t="shared" si="31"/>
        <v>0</v>
      </c>
      <c r="O304" t="b">
        <f t="shared" si="31"/>
        <v>0</v>
      </c>
      <c r="P304" t="b">
        <f t="shared" si="32"/>
        <v>0</v>
      </c>
    </row>
    <row r="305" spans="1:16">
      <c r="A305" t="str">
        <v>mtro_Portugal_Lisbon_ML7</v>
      </c>
      <c r="B305" t="b" cm="1">
        <f t="array" ref="B305">_xlfn.XLOOKUP(A305,CONTROL[VEHIDCODE],PROPERTIES[EXCLUDE])</f>
        <v>0</v>
      </c>
      <c r="C305">
        <f>FLOOR(_xlfn.XLOOKUP($A305,PROPERTIES[VEHIDCODE],PROPERTIES[INTRODUCTION_YEAR]),20)</f>
        <v>1940</v>
      </c>
      <c r="D305" t="str">
        <f>_xlfn.XLOOKUP($A305,PROPERTIES[VEHIDCODE],PROPERTIES[ROLE])</f>
        <v>Metro</v>
      </c>
      <c r="E305" s="35" t="str">
        <f>_xlfn.XLOOKUP($A305,PROPERTIES[VEHIDCODE],PROPERTIES[REGION1])</f>
        <v>SOUTHERN_EUROPE</v>
      </c>
      <c r="F305" s="35" t="str">
        <f>_xlfn.XLOOKUP($A305,PROPERTIES[VEHIDCODE],PROPERTIES[REGION2])</f>
        <v>NO_REGION</v>
      </c>
      <c r="G305" s="35" t="str">
        <f t="shared" si="27"/>
        <v>SOUTHERN_EUROPE_NO_REGION</v>
      </c>
      <c r="H305" t="b">
        <f t="shared" si="28"/>
        <v>0</v>
      </c>
      <c r="I305" t="b">
        <f t="shared" si="29"/>
        <v>0</v>
      </c>
      <c r="J305" t="b">
        <f t="shared" si="30"/>
        <v>1</v>
      </c>
      <c r="K305" t="b">
        <f t="shared" si="26"/>
        <v>0</v>
      </c>
      <c r="L305" t="b">
        <f t="shared" si="26"/>
        <v>0</v>
      </c>
      <c r="M305" t="b">
        <f t="shared" si="26"/>
        <v>0</v>
      </c>
      <c r="N305" t="b">
        <f t="shared" si="31"/>
        <v>0</v>
      </c>
      <c r="O305" t="b">
        <f t="shared" si="31"/>
        <v>0</v>
      </c>
      <c r="P305" t="b">
        <f t="shared" si="32"/>
        <v>0</v>
      </c>
    </row>
    <row r="306" spans="1:16">
      <c r="A306" t="str">
        <v>mtro_Hungary_Budapest_Ev3_200</v>
      </c>
      <c r="B306" t="b" cm="1">
        <f t="array" ref="B306">_xlfn.XLOOKUP(A306,CONTROL[VEHIDCODE],PROPERTIES[EXCLUDE])</f>
        <v>0</v>
      </c>
      <c r="C306">
        <f>FLOOR(_xlfn.XLOOKUP($A306,PROPERTIES[VEHIDCODE],PROPERTIES[INTRODUCTION_YEAR]),20)</f>
        <v>1960</v>
      </c>
      <c r="D306" t="str">
        <f>_xlfn.XLOOKUP($A306,PROPERTIES[VEHIDCODE],PROPERTIES[ROLE])</f>
        <v>Metro</v>
      </c>
      <c r="E306" s="35" t="str">
        <f>_xlfn.XLOOKUP($A306,PROPERTIES[VEHIDCODE],PROPERTIES[REGION1])</f>
        <v>EASTERN_EUROPE</v>
      </c>
      <c r="F306" s="35" t="str">
        <f>_xlfn.XLOOKUP($A306,PROPERTIES[VEHIDCODE],PROPERTIES[REGION2])</f>
        <v>NO_REGION</v>
      </c>
      <c r="G306" s="35" t="str">
        <f t="shared" si="27"/>
        <v>EASTERN_EUROPE_NO_REGION</v>
      </c>
      <c r="H306" t="b">
        <f t="shared" si="28"/>
        <v>0</v>
      </c>
      <c r="I306" t="b">
        <f t="shared" si="29"/>
        <v>0</v>
      </c>
      <c r="J306" t="b">
        <f t="shared" si="30"/>
        <v>0</v>
      </c>
      <c r="K306" t="b">
        <f t="shared" si="26"/>
        <v>1</v>
      </c>
      <c r="L306" t="b">
        <f t="shared" si="26"/>
        <v>0</v>
      </c>
      <c r="M306" t="b">
        <f t="shared" si="26"/>
        <v>0</v>
      </c>
      <c r="N306" t="b">
        <f t="shared" si="31"/>
        <v>0</v>
      </c>
      <c r="O306" t="b">
        <f t="shared" si="31"/>
        <v>0</v>
      </c>
      <c r="P306" t="b">
        <f t="shared" si="32"/>
        <v>0</v>
      </c>
    </row>
    <row r="307" spans="1:16">
      <c r="A307" t="str">
        <v>mtro_Norway_Oslo_T1000</v>
      </c>
      <c r="B307" t="b" cm="1">
        <f t="array" ref="B307">_xlfn.XLOOKUP(A307,CONTROL[VEHIDCODE],PROPERTIES[EXCLUDE])</f>
        <v>0</v>
      </c>
      <c r="C307">
        <f>FLOOR(_xlfn.XLOOKUP($A307,PROPERTIES[VEHIDCODE],PROPERTIES[INTRODUCTION_YEAR]),20)</f>
        <v>1960</v>
      </c>
      <c r="D307" t="str">
        <f>_xlfn.XLOOKUP($A307,PROPERTIES[VEHIDCODE],PROPERTIES[ROLE])</f>
        <v>Metro</v>
      </c>
      <c r="E307" s="35" t="str">
        <f>_xlfn.XLOOKUP($A307,PROPERTIES[VEHIDCODE],PROPERTIES[REGION1])</f>
        <v>NORTHERN_EUROPE</v>
      </c>
      <c r="F307" s="35" t="str">
        <f>_xlfn.XLOOKUP($A307,PROPERTIES[VEHIDCODE],PROPERTIES[REGION2])</f>
        <v>NO_REGION</v>
      </c>
      <c r="G307" s="35" t="str">
        <f t="shared" si="27"/>
        <v>NORTHERN_EUROPE_NO_REGION</v>
      </c>
      <c r="H307" t="b">
        <f t="shared" si="28"/>
        <v>0</v>
      </c>
      <c r="I307" t="b">
        <f t="shared" si="29"/>
        <v>0</v>
      </c>
      <c r="J307" t="b">
        <f t="shared" si="30"/>
        <v>0</v>
      </c>
      <c r="K307" t="b">
        <f t="shared" si="26"/>
        <v>0</v>
      </c>
      <c r="L307" t="b">
        <f t="shared" si="26"/>
        <v>0</v>
      </c>
      <c r="M307" t="b">
        <f t="shared" si="26"/>
        <v>1</v>
      </c>
      <c r="N307" t="b">
        <f t="shared" si="31"/>
        <v>0</v>
      </c>
      <c r="O307" t="b">
        <f t="shared" si="31"/>
        <v>0</v>
      </c>
      <c r="P307" t="b">
        <f t="shared" si="32"/>
        <v>0</v>
      </c>
    </row>
    <row r="308" spans="1:16">
      <c r="A308" t="str">
        <v>mtro_Canada_Toronto_H_series</v>
      </c>
      <c r="B308" t="b" cm="1">
        <f t="array" ref="B308">_xlfn.XLOOKUP(A308,CONTROL[VEHIDCODE],PROPERTIES[EXCLUDE])</f>
        <v>0</v>
      </c>
      <c r="C308">
        <f>FLOOR(_xlfn.XLOOKUP($A308,PROPERTIES[VEHIDCODE],PROPERTIES[INTRODUCTION_YEAR]),20)</f>
        <v>1960</v>
      </c>
      <c r="D308" t="str">
        <f>_xlfn.XLOOKUP($A308,PROPERTIES[VEHIDCODE],PROPERTIES[ROLE])</f>
        <v>Metro</v>
      </c>
      <c r="E308" s="35" t="str">
        <f>_xlfn.XLOOKUP($A308,PROPERTIES[VEHIDCODE],PROPERTIES[REGION1])</f>
        <v>NORTH_AMERICA</v>
      </c>
      <c r="F308" s="35" t="str">
        <f>_xlfn.XLOOKUP($A308,PROPERTIES[VEHIDCODE],PROPERTIES[REGION2])</f>
        <v>NO_REGION</v>
      </c>
      <c r="G308" s="35" t="str">
        <f t="shared" si="27"/>
        <v>NORTH_AMERICA_NO_REGION</v>
      </c>
      <c r="H308" t="b">
        <f t="shared" si="28"/>
        <v>0</v>
      </c>
      <c r="I308" t="b">
        <f t="shared" si="29"/>
        <v>0</v>
      </c>
      <c r="J308" t="b">
        <f t="shared" si="30"/>
        <v>0</v>
      </c>
      <c r="K308" t="b">
        <f t="shared" si="26"/>
        <v>0</v>
      </c>
      <c r="L308" t="b">
        <f t="shared" si="26"/>
        <v>0</v>
      </c>
      <c r="M308" t="b">
        <f t="shared" si="26"/>
        <v>0</v>
      </c>
      <c r="N308" t="b">
        <f t="shared" si="31"/>
        <v>1</v>
      </c>
      <c r="O308" t="b">
        <f t="shared" si="31"/>
        <v>0</v>
      </c>
      <c r="P308" t="b">
        <f t="shared" si="32"/>
        <v>0</v>
      </c>
    </row>
    <row r="309" spans="1:16">
      <c r="A309" t="str">
        <v>mtro_Germany_Munchen_MVG_A2</v>
      </c>
      <c r="B309" t="b" cm="1">
        <f t="array" ref="B309">_xlfn.XLOOKUP(A309,CONTROL[VEHIDCODE],PROPERTIES[EXCLUDE])</f>
        <v>0</v>
      </c>
      <c r="C309">
        <f>FLOOR(_xlfn.XLOOKUP($A309,PROPERTIES[VEHIDCODE],PROPERTIES[INTRODUCTION_YEAR]),20)</f>
        <v>1960</v>
      </c>
      <c r="D309" t="str">
        <f>_xlfn.XLOOKUP($A309,PROPERTIES[VEHIDCODE],PROPERTIES[ROLE])</f>
        <v>Metro</v>
      </c>
      <c r="E309" s="35" t="str">
        <f>_xlfn.XLOOKUP($A309,PROPERTIES[VEHIDCODE],PROPERTIES[REGION1])</f>
        <v>WESTERN_EUROPE</v>
      </c>
      <c r="F309" s="35" t="str">
        <f>_xlfn.XLOOKUP($A309,PROPERTIES[VEHIDCODE],PROPERTIES[REGION2])</f>
        <v>NO_REGION</v>
      </c>
      <c r="G309" s="35" t="str">
        <f t="shared" si="27"/>
        <v>WESTERN_EUROPE_NO_REGION</v>
      </c>
      <c r="H309" t="b">
        <f t="shared" si="28"/>
        <v>0</v>
      </c>
      <c r="I309" t="b">
        <f t="shared" si="29"/>
        <v>0</v>
      </c>
      <c r="J309" t="b">
        <f t="shared" si="30"/>
        <v>0</v>
      </c>
      <c r="K309" t="b">
        <f t="shared" si="26"/>
        <v>0</v>
      </c>
      <c r="L309" t="b">
        <f t="shared" si="26"/>
        <v>1</v>
      </c>
      <c r="M309" t="b">
        <f t="shared" si="26"/>
        <v>0</v>
      </c>
      <c r="N309" t="b">
        <f t="shared" si="31"/>
        <v>0</v>
      </c>
      <c r="O309" t="b">
        <f t="shared" si="31"/>
        <v>0</v>
      </c>
      <c r="P309" t="b">
        <f t="shared" si="32"/>
        <v>0</v>
      </c>
    </row>
    <row r="310" spans="1:16">
      <c r="A310" t="str">
        <v>mtro_USA_NY_R44</v>
      </c>
      <c r="B310" t="b" cm="1">
        <f t="array" ref="B310">_xlfn.XLOOKUP(A310,CONTROL[VEHIDCODE],PROPERTIES[EXCLUDE])</f>
        <v>0</v>
      </c>
      <c r="C310">
        <f>FLOOR(_xlfn.XLOOKUP($A310,PROPERTIES[VEHIDCODE],PROPERTIES[INTRODUCTION_YEAR]),20)</f>
        <v>1960</v>
      </c>
      <c r="D310" t="str">
        <f>_xlfn.XLOOKUP($A310,PROPERTIES[VEHIDCODE],PROPERTIES[ROLE])</f>
        <v>Metro</v>
      </c>
      <c r="E310" s="35" t="str">
        <f>_xlfn.XLOOKUP($A310,PROPERTIES[VEHIDCODE],PROPERTIES[REGION1])</f>
        <v>NORTH_AMERICA</v>
      </c>
      <c r="F310" s="35" t="str">
        <f>_xlfn.XLOOKUP($A310,PROPERTIES[VEHIDCODE],PROPERTIES[REGION2])</f>
        <v>NO_REGION</v>
      </c>
      <c r="G310" s="35" t="str">
        <f t="shared" si="27"/>
        <v>NORTH_AMERICA_NO_REGION</v>
      </c>
      <c r="H310" t="b">
        <f t="shared" si="28"/>
        <v>0</v>
      </c>
      <c r="I310" t="b">
        <f t="shared" si="29"/>
        <v>0</v>
      </c>
      <c r="J310" t="b">
        <f t="shared" si="30"/>
        <v>0</v>
      </c>
      <c r="K310" t="b">
        <f t="shared" si="26"/>
        <v>0</v>
      </c>
      <c r="L310" t="b">
        <f t="shared" si="26"/>
        <v>0</v>
      </c>
      <c r="M310" t="b">
        <f t="shared" si="26"/>
        <v>0</v>
      </c>
      <c r="N310" t="b">
        <f t="shared" si="31"/>
        <v>1</v>
      </c>
      <c r="O310" t="b">
        <f t="shared" si="31"/>
        <v>0</v>
      </c>
      <c r="P310" t="b">
        <f t="shared" si="32"/>
        <v>0</v>
      </c>
    </row>
    <row r="311" spans="1:16">
      <c r="A311" t="str">
        <v>mtro_Netherlands_Amsterdam_Type_M1</v>
      </c>
      <c r="B311" t="b" cm="1">
        <f t="array" ref="B311">_xlfn.XLOOKUP(A311,CONTROL[VEHIDCODE],PROPERTIES[EXCLUDE])</f>
        <v>0</v>
      </c>
      <c r="C311">
        <f>FLOOR(_xlfn.XLOOKUP($A311,PROPERTIES[VEHIDCODE],PROPERTIES[INTRODUCTION_YEAR]),20)</f>
        <v>1960</v>
      </c>
      <c r="D311" t="str">
        <f>_xlfn.XLOOKUP($A311,PROPERTIES[VEHIDCODE],PROPERTIES[ROLE])</f>
        <v>Metro</v>
      </c>
      <c r="E311" s="35" t="str">
        <f>_xlfn.XLOOKUP($A311,PROPERTIES[VEHIDCODE],PROPERTIES[REGION1])</f>
        <v>WESTERN_EUROPE</v>
      </c>
      <c r="F311" s="35" t="str">
        <f>_xlfn.XLOOKUP($A311,PROPERTIES[VEHIDCODE],PROPERTIES[REGION2])</f>
        <v>NO_REGION</v>
      </c>
      <c r="G311" s="35" t="str">
        <f t="shared" si="27"/>
        <v>WESTERN_EUROPE_NO_REGION</v>
      </c>
      <c r="H311" t="b">
        <f t="shared" si="28"/>
        <v>0</v>
      </c>
      <c r="I311" t="b">
        <f t="shared" si="29"/>
        <v>0</v>
      </c>
      <c r="J311" t="b">
        <f t="shared" si="30"/>
        <v>0</v>
      </c>
      <c r="K311" t="b">
        <f t="shared" si="26"/>
        <v>0</v>
      </c>
      <c r="L311" t="b">
        <f t="shared" si="26"/>
        <v>1</v>
      </c>
      <c r="M311" t="b">
        <f t="shared" si="26"/>
        <v>0</v>
      </c>
      <c r="N311" t="b">
        <f t="shared" si="31"/>
        <v>0</v>
      </c>
      <c r="O311" t="b">
        <f t="shared" si="31"/>
        <v>0</v>
      </c>
      <c r="P311" t="b">
        <f t="shared" si="32"/>
        <v>0</v>
      </c>
    </row>
    <row r="312" spans="1:16">
      <c r="A312" t="str">
        <v>mtro_Sweden_Stockholm_C8</v>
      </c>
      <c r="B312" t="b" cm="1">
        <f t="array" ref="B312">_xlfn.XLOOKUP(A312,CONTROL[VEHIDCODE],PROPERTIES[EXCLUDE])</f>
        <v>0</v>
      </c>
      <c r="C312">
        <f>FLOOR(_xlfn.XLOOKUP($A312,PROPERTIES[VEHIDCODE],PROPERTIES[INTRODUCTION_YEAR]),20)</f>
        <v>1960</v>
      </c>
      <c r="D312" t="str">
        <f>_xlfn.XLOOKUP($A312,PROPERTIES[VEHIDCODE],PROPERTIES[ROLE])</f>
        <v>Metro</v>
      </c>
      <c r="E312" s="35" t="str">
        <f>_xlfn.XLOOKUP($A312,PROPERTIES[VEHIDCODE],PROPERTIES[REGION1])</f>
        <v>NORTHERN_EUROPE</v>
      </c>
      <c r="F312" s="35" t="str">
        <f>_xlfn.XLOOKUP($A312,PROPERTIES[VEHIDCODE],PROPERTIES[REGION2])</f>
        <v>NO_REGION</v>
      </c>
      <c r="G312" s="35" t="str">
        <f t="shared" si="27"/>
        <v>NORTHERN_EUROPE_NO_REGION</v>
      </c>
      <c r="H312" t="b">
        <f t="shared" si="28"/>
        <v>0</v>
      </c>
      <c r="I312" t="b">
        <f t="shared" si="29"/>
        <v>0</v>
      </c>
      <c r="J312" t="b">
        <f t="shared" si="30"/>
        <v>0</v>
      </c>
      <c r="K312" t="b">
        <f t="shared" si="26"/>
        <v>0</v>
      </c>
      <c r="L312" t="b">
        <f t="shared" si="26"/>
        <v>0</v>
      </c>
      <c r="M312" t="b">
        <f t="shared" si="26"/>
        <v>1</v>
      </c>
      <c r="N312" t="b">
        <f t="shared" si="31"/>
        <v>0</v>
      </c>
      <c r="O312" t="b">
        <f t="shared" si="31"/>
        <v>0</v>
      </c>
      <c r="P312" t="b">
        <f t="shared" si="32"/>
        <v>0</v>
      </c>
    </row>
    <row r="313" spans="1:16">
      <c r="A313" t="str">
        <v>mtro_North_Korea_Pyongyang_D_stock</v>
      </c>
      <c r="B313" t="b" cm="1">
        <f t="array" ref="B313">_xlfn.XLOOKUP(A313,CONTROL[VEHIDCODE],PROPERTIES[EXCLUDE])</f>
        <v>0</v>
      </c>
      <c r="C313">
        <f>FLOOR(_xlfn.XLOOKUP($A313,PROPERTIES[VEHIDCODE],PROPERTIES[INTRODUCTION_YEAR]),20)</f>
        <v>1980</v>
      </c>
      <c r="D313" t="str">
        <f>_xlfn.XLOOKUP($A313,PROPERTIES[VEHIDCODE],PROPERTIES[ROLE])</f>
        <v>Metro</v>
      </c>
      <c r="E313" s="35" t="str">
        <f>_xlfn.XLOOKUP($A313,PROPERTIES[VEHIDCODE],PROPERTIES[REGION1])</f>
        <v>ASIA</v>
      </c>
      <c r="F313" s="35" t="str">
        <f>_xlfn.XLOOKUP($A313,PROPERTIES[VEHIDCODE],PROPERTIES[REGION2])</f>
        <v>NO_REGION</v>
      </c>
      <c r="G313" s="35" t="str">
        <f t="shared" si="27"/>
        <v>ASIA_NO_REGION</v>
      </c>
      <c r="H313" t="b">
        <f t="shared" si="28"/>
        <v>0</v>
      </c>
      <c r="I313" t="b">
        <f t="shared" si="29"/>
        <v>1</v>
      </c>
      <c r="J313" t="b">
        <f t="shared" si="30"/>
        <v>0</v>
      </c>
      <c r="K313" t="b">
        <f t="shared" si="26"/>
        <v>0</v>
      </c>
      <c r="L313" t="b">
        <f t="shared" si="26"/>
        <v>0</v>
      </c>
      <c r="M313" t="b">
        <f t="shared" si="26"/>
        <v>0</v>
      </c>
      <c r="N313" t="b">
        <f t="shared" si="31"/>
        <v>0</v>
      </c>
      <c r="O313" t="b">
        <f t="shared" si="31"/>
        <v>0</v>
      </c>
      <c r="P313" t="b">
        <f t="shared" si="32"/>
        <v>0</v>
      </c>
    </row>
    <row r="314" spans="1:16">
      <c r="A314" t="str">
        <v>mtro_Finland_Helsinki_M100</v>
      </c>
      <c r="B314" t="b" cm="1">
        <f t="array" ref="B314">_xlfn.XLOOKUP(A314,CONTROL[VEHIDCODE],PROPERTIES[EXCLUDE])</f>
        <v>0</v>
      </c>
      <c r="C314">
        <f>FLOOR(_xlfn.XLOOKUP($A314,PROPERTIES[VEHIDCODE],PROPERTIES[INTRODUCTION_YEAR]),20)</f>
        <v>1960</v>
      </c>
      <c r="D314" t="str">
        <f>_xlfn.XLOOKUP($A314,PROPERTIES[VEHIDCODE],PROPERTIES[ROLE])</f>
        <v>Metro</v>
      </c>
      <c r="E314" s="35" t="str">
        <f>_xlfn.XLOOKUP($A314,PROPERTIES[VEHIDCODE],PROPERTIES[REGION1])</f>
        <v>NORTHERN_EUROPE</v>
      </c>
      <c r="F314" s="35" t="str">
        <f>_xlfn.XLOOKUP($A314,PROPERTIES[VEHIDCODE],PROPERTIES[REGION2])</f>
        <v>NO_REGION</v>
      </c>
      <c r="G314" s="35" t="str">
        <f t="shared" si="27"/>
        <v>NORTHERN_EUROPE_NO_REGION</v>
      </c>
      <c r="H314" t="b">
        <f t="shared" si="28"/>
        <v>0</v>
      </c>
      <c r="I314" t="b">
        <f t="shared" si="29"/>
        <v>0</v>
      </c>
      <c r="J314" t="b">
        <f t="shared" si="30"/>
        <v>0</v>
      </c>
      <c r="K314" t="b">
        <f t="shared" si="26"/>
        <v>0</v>
      </c>
      <c r="L314" t="b">
        <f t="shared" si="26"/>
        <v>0</v>
      </c>
      <c r="M314" t="b">
        <f t="shared" si="26"/>
        <v>1</v>
      </c>
      <c r="N314" t="b">
        <f t="shared" si="31"/>
        <v>0</v>
      </c>
      <c r="O314" t="b">
        <f t="shared" si="31"/>
        <v>0</v>
      </c>
      <c r="P314" t="b">
        <f t="shared" si="32"/>
        <v>0</v>
      </c>
    </row>
    <row r="315" spans="1:16">
      <c r="A315" t="str">
        <v>mtro_Brazil_Sao_Paulo_Serie_5500</v>
      </c>
      <c r="B315" t="b" cm="1">
        <f t="array" ref="B315">_xlfn.XLOOKUP(A315,CONTROL[VEHIDCODE],PROPERTIES[EXCLUDE])</f>
        <v>0</v>
      </c>
      <c r="C315">
        <f>FLOOR(_xlfn.XLOOKUP($A315,PROPERTIES[VEHIDCODE],PROPERTIES[INTRODUCTION_YEAR]),20)</f>
        <v>1960</v>
      </c>
      <c r="D315" t="str">
        <f>_xlfn.XLOOKUP($A315,PROPERTIES[VEHIDCODE],PROPERTIES[ROLE])</f>
        <v>Metro</v>
      </c>
      <c r="E315" s="35" t="str">
        <f>_xlfn.XLOOKUP($A315,PROPERTIES[VEHIDCODE],PROPERTIES[REGION1])</f>
        <v>SOUTH_AMERICA</v>
      </c>
      <c r="F315" s="35" t="str">
        <f>_xlfn.XLOOKUP($A315,PROPERTIES[VEHIDCODE],PROPERTIES[REGION2])</f>
        <v>NO_REGION</v>
      </c>
      <c r="G315" s="35" t="str">
        <f t="shared" si="27"/>
        <v>SOUTH_AMERICA_NO_REGION</v>
      </c>
      <c r="H315" t="b">
        <f t="shared" si="28"/>
        <v>0</v>
      </c>
      <c r="I315" t="b">
        <f t="shared" si="29"/>
        <v>0</v>
      </c>
      <c r="J315" t="b">
        <f t="shared" si="30"/>
        <v>0</v>
      </c>
      <c r="K315" t="b">
        <f t="shared" si="26"/>
        <v>0</v>
      </c>
      <c r="L315" t="b">
        <f t="shared" si="26"/>
        <v>0</v>
      </c>
      <c r="M315" t="b">
        <f t="shared" si="26"/>
        <v>0</v>
      </c>
      <c r="N315" t="b">
        <f t="shared" si="31"/>
        <v>0</v>
      </c>
      <c r="O315" t="b">
        <f t="shared" si="31"/>
        <v>1</v>
      </c>
      <c r="P315" t="b">
        <f t="shared" si="32"/>
        <v>0</v>
      </c>
    </row>
    <row r="316" spans="1:16">
      <c r="A316" t="str">
        <v>mtro_Russia_Moscow_81_720</v>
      </c>
      <c r="B316" t="b" cm="1">
        <f t="array" ref="B316">_xlfn.XLOOKUP(A316,CONTROL[VEHIDCODE],PROPERTIES[EXCLUDE])</f>
        <v>0</v>
      </c>
      <c r="C316">
        <f>FLOOR(_xlfn.XLOOKUP($A316,PROPERTIES[VEHIDCODE],PROPERTIES[INTRODUCTION_YEAR]),20)</f>
        <v>1980</v>
      </c>
      <c r="D316" t="str">
        <f>_xlfn.XLOOKUP($A316,PROPERTIES[VEHIDCODE],PROPERTIES[ROLE])</f>
        <v>Metro</v>
      </c>
      <c r="E316" s="35" t="str">
        <f>_xlfn.XLOOKUP($A316,PROPERTIES[VEHIDCODE],PROPERTIES[REGION1])</f>
        <v>ASIA</v>
      </c>
      <c r="F316" s="35" t="str">
        <f>_xlfn.XLOOKUP($A316,PROPERTIES[VEHIDCODE],PROPERTIES[REGION2])</f>
        <v>NO_REGION</v>
      </c>
      <c r="G316" s="35" t="str">
        <f t="shared" si="27"/>
        <v>ASIA_NO_REGION</v>
      </c>
      <c r="H316" t="b">
        <f t="shared" si="28"/>
        <v>0</v>
      </c>
      <c r="I316" t="b">
        <f t="shared" si="29"/>
        <v>1</v>
      </c>
      <c r="J316" t="b">
        <f t="shared" si="30"/>
        <v>0</v>
      </c>
      <c r="K316" t="b">
        <f t="shared" si="26"/>
        <v>0</v>
      </c>
      <c r="L316" t="b">
        <f t="shared" si="26"/>
        <v>0</v>
      </c>
      <c r="M316" t="b">
        <f t="shared" si="26"/>
        <v>0</v>
      </c>
      <c r="N316" t="b">
        <f t="shared" si="31"/>
        <v>0</v>
      </c>
      <c r="O316" t="b">
        <f t="shared" si="31"/>
        <v>0</v>
      </c>
      <c r="P316" t="b">
        <f t="shared" si="32"/>
        <v>0</v>
      </c>
    </row>
    <row r="317" spans="1:16">
      <c r="A317" t="str">
        <v>mtro_Japan_Tokyo_S01</v>
      </c>
      <c r="B317" t="b" cm="1">
        <f t="array" ref="B317">_xlfn.XLOOKUP(A317,CONTROL[VEHIDCODE],PROPERTIES[EXCLUDE])</f>
        <v>0</v>
      </c>
      <c r="C317">
        <f>FLOOR(_xlfn.XLOOKUP($A317,PROPERTIES[VEHIDCODE],PROPERTIES[INTRODUCTION_YEAR]),20)</f>
        <v>1980</v>
      </c>
      <c r="D317" t="str">
        <f>_xlfn.XLOOKUP($A317,PROPERTIES[VEHIDCODE],PROPERTIES[ROLE])</f>
        <v>Metro</v>
      </c>
      <c r="E317" s="35" t="str">
        <f>_xlfn.XLOOKUP($A317,PROPERTIES[VEHIDCODE],PROPERTIES[REGION1])</f>
        <v>ASIA</v>
      </c>
      <c r="F317" s="35" t="str">
        <f>_xlfn.XLOOKUP($A317,PROPERTIES[VEHIDCODE],PROPERTIES[REGION2])</f>
        <v>NO_REGION</v>
      </c>
      <c r="G317" s="35" t="str">
        <f t="shared" si="27"/>
        <v>ASIA_NO_REGION</v>
      </c>
      <c r="H317" t="b">
        <f t="shared" si="28"/>
        <v>0</v>
      </c>
      <c r="I317" t="b">
        <f t="shared" si="29"/>
        <v>1</v>
      </c>
      <c r="J317" t="b">
        <f t="shared" si="30"/>
        <v>0</v>
      </c>
      <c r="K317" t="b">
        <f t="shared" si="26"/>
        <v>0</v>
      </c>
      <c r="L317" t="b">
        <f t="shared" si="26"/>
        <v>0</v>
      </c>
      <c r="M317" t="b">
        <f t="shared" si="26"/>
        <v>0</v>
      </c>
      <c r="N317" t="b">
        <f t="shared" si="31"/>
        <v>0</v>
      </c>
      <c r="O317" t="b">
        <f t="shared" si="31"/>
        <v>0</v>
      </c>
      <c r="P317" t="b">
        <f t="shared" si="32"/>
        <v>0</v>
      </c>
    </row>
    <row r="318" spans="1:16">
      <c r="A318" t="str">
        <v>mtro_Egypt_Cairo_1987_Stock</v>
      </c>
      <c r="B318" t="b" cm="1">
        <f t="array" ref="B318">_xlfn.XLOOKUP(A318,CONTROL[VEHIDCODE],PROPERTIES[EXCLUDE])</f>
        <v>0</v>
      </c>
      <c r="C318">
        <f>FLOOR(_xlfn.XLOOKUP($A318,PROPERTIES[VEHIDCODE],PROPERTIES[INTRODUCTION_YEAR]),20)</f>
        <v>1980</v>
      </c>
      <c r="D318" t="str">
        <f>_xlfn.XLOOKUP($A318,PROPERTIES[VEHIDCODE],PROPERTIES[ROLE])</f>
        <v>Metro</v>
      </c>
      <c r="E318" s="35" t="str">
        <f>_xlfn.XLOOKUP($A318,PROPERTIES[VEHIDCODE],PROPERTIES[REGION1])</f>
        <v>AFRICA</v>
      </c>
      <c r="F318" s="35" t="str">
        <f>_xlfn.XLOOKUP($A318,PROPERTIES[VEHIDCODE],PROPERTIES[REGION2])</f>
        <v>NO_REGION</v>
      </c>
      <c r="G318" s="35" t="str">
        <f t="shared" si="27"/>
        <v>AFRICA_NO_REGION</v>
      </c>
      <c r="H318" t="b">
        <f t="shared" si="28"/>
        <v>1</v>
      </c>
      <c r="I318" t="b">
        <f t="shared" si="29"/>
        <v>0</v>
      </c>
      <c r="J318" t="b">
        <f t="shared" si="30"/>
        <v>0</v>
      </c>
      <c r="K318" t="b">
        <f t="shared" si="26"/>
        <v>0</v>
      </c>
      <c r="L318" t="b">
        <f t="shared" si="26"/>
        <v>0</v>
      </c>
      <c r="M318" t="b">
        <f t="shared" si="26"/>
        <v>0</v>
      </c>
      <c r="N318" t="b">
        <f t="shared" si="31"/>
        <v>0</v>
      </c>
      <c r="O318" t="b">
        <f t="shared" si="31"/>
        <v>0</v>
      </c>
      <c r="P318" t="b">
        <f t="shared" si="32"/>
        <v>0</v>
      </c>
    </row>
    <row r="319" spans="1:16">
      <c r="A319" t="str">
        <v>mtro_UK_DLR_P86</v>
      </c>
      <c r="B319" t="b" cm="1">
        <f t="array" ref="B319">_xlfn.XLOOKUP(A319,CONTROL[VEHIDCODE],PROPERTIES[EXCLUDE])</f>
        <v>0</v>
      </c>
      <c r="C319">
        <f>FLOOR(_xlfn.XLOOKUP($A319,PROPERTIES[VEHIDCODE],PROPERTIES[INTRODUCTION_YEAR]),20)</f>
        <v>1980</v>
      </c>
      <c r="D319" t="str">
        <f>_xlfn.XLOOKUP($A319,PROPERTIES[VEHIDCODE],PROPERTIES[ROLE])</f>
        <v>Metro</v>
      </c>
      <c r="E319" s="35" t="str">
        <f>_xlfn.XLOOKUP($A319,PROPERTIES[VEHIDCODE],PROPERTIES[REGION1])</f>
        <v>NORTHERN_EUROPE</v>
      </c>
      <c r="F319" s="35" t="str">
        <f>_xlfn.XLOOKUP($A319,PROPERTIES[VEHIDCODE],PROPERTIES[REGION2])</f>
        <v>NO_REGION</v>
      </c>
      <c r="G319" s="35" t="str">
        <f t="shared" si="27"/>
        <v>NORTHERN_EUROPE_NO_REGION</v>
      </c>
      <c r="H319" t="b">
        <f t="shared" si="28"/>
        <v>0</v>
      </c>
      <c r="I319" t="b">
        <f t="shared" si="29"/>
        <v>0</v>
      </c>
      <c r="J319" t="b">
        <f t="shared" si="30"/>
        <v>0</v>
      </c>
      <c r="K319" t="b">
        <f t="shared" si="26"/>
        <v>0</v>
      </c>
      <c r="L319" t="b">
        <f t="shared" si="26"/>
        <v>0</v>
      </c>
      <c r="M319" t="b">
        <f t="shared" si="26"/>
        <v>1</v>
      </c>
      <c r="N319" t="b">
        <f t="shared" si="31"/>
        <v>0</v>
      </c>
      <c r="O319" t="b">
        <f t="shared" si="31"/>
        <v>0</v>
      </c>
      <c r="P319" t="b">
        <f t="shared" si="32"/>
        <v>0</v>
      </c>
    </row>
    <row r="320" spans="1:16">
      <c r="A320" t="str">
        <v>mtro_Russia_Moscow_81_7175M</v>
      </c>
      <c r="B320" t="b" cm="1">
        <f t="array" ref="B320">_xlfn.XLOOKUP(A320,CONTROL[VEHIDCODE],PROPERTIES[EXCLUDE])</f>
        <v>0</v>
      </c>
      <c r="C320">
        <f>FLOOR(_xlfn.XLOOKUP($A320,PROPERTIES[VEHIDCODE],PROPERTIES[INTRODUCTION_YEAR]),20)</f>
        <v>1980</v>
      </c>
      <c r="D320" t="str">
        <f>_xlfn.XLOOKUP($A320,PROPERTIES[VEHIDCODE],PROPERTIES[ROLE])</f>
        <v>Metro</v>
      </c>
      <c r="E320" s="35" t="str">
        <f>_xlfn.XLOOKUP($A320,PROPERTIES[VEHIDCODE],PROPERTIES[REGION1])</f>
        <v>ASIA</v>
      </c>
      <c r="F320" s="35" t="str">
        <f>_xlfn.XLOOKUP($A320,PROPERTIES[VEHIDCODE],PROPERTIES[REGION2])</f>
        <v>NO_REGION</v>
      </c>
      <c r="G320" s="35" t="str">
        <f t="shared" si="27"/>
        <v>ASIA_NO_REGION</v>
      </c>
      <c r="H320" t="b">
        <f t="shared" si="28"/>
        <v>0</v>
      </c>
      <c r="I320" t="b">
        <f t="shared" si="29"/>
        <v>1</v>
      </c>
      <c r="J320" t="b">
        <f t="shared" si="30"/>
        <v>0</v>
      </c>
      <c r="K320" t="b">
        <f t="shared" si="26"/>
        <v>0</v>
      </c>
      <c r="L320" t="b">
        <f t="shared" si="26"/>
        <v>0</v>
      </c>
      <c r="M320" t="b">
        <f t="shared" si="26"/>
        <v>0</v>
      </c>
      <c r="N320" t="b">
        <f t="shared" si="31"/>
        <v>0</v>
      </c>
      <c r="O320" t="b">
        <f t="shared" si="31"/>
        <v>0</v>
      </c>
      <c r="P320" t="b">
        <f t="shared" si="32"/>
        <v>0</v>
      </c>
    </row>
    <row r="321" spans="1:16">
      <c r="A321" t="str">
        <v>mtro_USA_Boston_01800</v>
      </c>
      <c r="B321" t="b" cm="1">
        <f t="array" ref="B321">_xlfn.XLOOKUP(A321,CONTROL[VEHIDCODE],PROPERTIES[EXCLUDE])</f>
        <v>0</v>
      </c>
      <c r="C321">
        <f>FLOOR(_xlfn.XLOOKUP($A321,PROPERTIES[VEHIDCODE],PROPERTIES[INTRODUCTION_YEAR]),20)</f>
        <v>1980</v>
      </c>
      <c r="D321" t="str">
        <f>_xlfn.XLOOKUP($A321,PROPERTIES[VEHIDCODE],PROPERTIES[ROLE])</f>
        <v>Metro</v>
      </c>
      <c r="E321" s="35" t="str">
        <f>_xlfn.XLOOKUP($A321,PROPERTIES[VEHIDCODE],PROPERTIES[REGION1])</f>
        <v>NORTH_AMERICA</v>
      </c>
      <c r="F321" s="35" t="str">
        <f>_xlfn.XLOOKUP($A321,PROPERTIES[VEHIDCODE],PROPERTIES[REGION2])</f>
        <v>NO_REGION</v>
      </c>
      <c r="G321" s="35" t="str">
        <f t="shared" si="27"/>
        <v>NORTH_AMERICA_NO_REGION</v>
      </c>
      <c r="H321" t="b">
        <f t="shared" si="28"/>
        <v>0</v>
      </c>
      <c r="I321" t="b">
        <f t="shared" si="29"/>
        <v>0</v>
      </c>
      <c r="J321" t="b">
        <f t="shared" si="30"/>
        <v>0</v>
      </c>
      <c r="K321" t="b">
        <f t="shared" si="26"/>
        <v>0</v>
      </c>
      <c r="L321" t="b">
        <f t="shared" si="26"/>
        <v>0</v>
      </c>
      <c r="M321" t="b">
        <f t="shared" si="26"/>
        <v>0</v>
      </c>
      <c r="N321" t="b">
        <f t="shared" si="31"/>
        <v>1</v>
      </c>
      <c r="O321" t="b">
        <f t="shared" si="31"/>
        <v>0</v>
      </c>
      <c r="P321" t="b">
        <f t="shared" si="32"/>
        <v>0</v>
      </c>
    </row>
    <row r="322" spans="1:16">
      <c r="A322" t="str">
        <v>mtro_USA_LA_A650</v>
      </c>
      <c r="B322" t="b" cm="1">
        <f t="array" ref="B322">_xlfn.XLOOKUP(A322,CONTROL[VEHIDCODE],PROPERTIES[EXCLUDE])</f>
        <v>0</v>
      </c>
      <c r="C322">
        <f>FLOOR(_xlfn.XLOOKUP($A322,PROPERTIES[VEHIDCODE],PROPERTIES[INTRODUCTION_YEAR]),20)</f>
        <v>1980</v>
      </c>
      <c r="D322" t="str">
        <f>_xlfn.XLOOKUP($A322,PROPERTIES[VEHIDCODE],PROPERTIES[ROLE])</f>
        <v>Metro</v>
      </c>
      <c r="E322" s="35" t="str">
        <f>_xlfn.XLOOKUP($A322,PROPERTIES[VEHIDCODE],PROPERTIES[REGION1])</f>
        <v>NORTH_AMERICA</v>
      </c>
      <c r="F322" s="35" t="str">
        <f>_xlfn.XLOOKUP($A322,PROPERTIES[VEHIDCODE],PROPERTIES[REGION2])</f>
        <v>NO_REGION</v>
      </c>
      <c r="G322" s="35" t="str">
        <f t="shared" si="27"/>
        <v>NORTH_AMERICA_NO_REGION</v>
      </c>
      <c r="H322" t="b">
        <f t="shared" si="28"/>
        <v>0</v>
      </c>
      <c r="I322" t="b">
        <f t="shared" si="29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0"/>
        <v>0</v>
      </c>
      <c r="N322" t="b">
        <f t="shared" si="31"/>
        <v>1</v>
      </c>
      <c r="O322" t="b">
        <f t="shared" si="31"/>
        <v>0</v>
      </c>
      <c r="P322" t="b">
        <f t="shared" si="32"/>
        <v>0</v>
      </c>
    </row>
    <row r="323" spans="1:16">
      <c r="A323" t="str">
        <v>mtro_Taiwan_Taipei_C301</v>
      </c>
      <c r="B323" t="b" cm="1">
        <f t="array" ref="B323">_xlfn.XLOOKUP(A323,CONTROL[VEHIDCODE],PROPERTIES[EXCLUDE])</f>
        <v>0</v>
      </c>
      <c r="C323">
        <f>FLOOR(_xlfn.XLOOKUP($A323,PROPERTIES[VEHIDCODE],PROPERTIES[INTRODUCTION_YEAR]),20)</f>
        <v>1980</v>
      </c>
      <c r="D323" t="str">
        <f>_xlfn.XLOOKUP($A323,PROPERTIES[VEHIDCODE],PROPERTIES[ROLE])</f>
        <v>Metro</v>
      </c>
      <c r="E323" s="35" t="str">
        <f>_xlfn.XLOOKUP($A323,PROPERTIES[VEHIDCODE],PROPERTIES[REGION1])</f>
        <v>ASIA</v>
      </c>
      <c r="F323" s="35" t="str">
        <f>_xlfn.XLOOKUP($A323,PROPERTIES[VEHIDCODE],PROPERTIES[REGION2])</f>
        <v>NO_REGION</v>
      </c>
      <c r="G323" s="35" t="str">
        <f t="shared" ref="G323:G386" si="33">_xlfn.CONCAT($E323,"_",$F323)</f>
        <v>ASIA_NO_REGION</v>
      </c>
      <c r="H323" t="b">
        <f t="shared" ref="H323:H386" si="34">OR(ISNUMBER(SEARCH("ALL_REGION",$G323)),
ISNUMBER(SEARCH("AFRICA",$G323)),
ISNUMBER(SEARCH("REGIONTYPE1",$G323)),
ISNUMBER(SEARCH("REGIONTYPE2",$G323)))</f>
        <v>0</v>
      </c>
      <c r="I323" t="b">
        <f t="shared" ref="I323:I386" si="35">OR(ISNUMBER(SEARCH("ALL_REGION",$G323)),
ISNUMBER(SEARCH("ASIA",$G323)),
ISNUMBER(SEARCH("REGIONTYPE1",$G323)),
ISNUMBER(SEARCH("REGIONTYPE2",$G323)),
ISNUMBER(SEARCH("REGIONTYPE3",$G323)))</f>
        <v>1</v>
      </c>
      <c r="J323" t="b">
        <f t="shared" ref="J323:M386" si="36">OR(ISNUMBER(SEARCH("ALL_REGION",$G323)),
ISNUMBER(SEARCH("ALL_EUROPE",$G323)),
ISNUMBER(SEARCH(J$1,$G323)),
ISNUMBER(SEARCH("REGIONTYPE1",$G323)))</f>
        <v>0</v>
      </c>
      <c r="K323" t="b">
        <f t="shared" si="36"/>
        <v>0</v>
      </c>
      <c r="L323" t="b">
        <f t="shared" si="36"/>
        <v>0</v>
      </c>
      <c r="M323" t="b">
        <f t="shared" si="36"/>
        <v>0</v>
      </c>
      <c r="N323" t="b">
        <f t="shared" ref="N323:O386" si="37">OR(ISNUMBER(SEARCH("ALL_REGION",$G323)),
ISNUMBER(SEARCH("ALL_AMERICA",$G323)),
ISNUMBER(SEARCH(N$1,$G323)),
ISNUMBER(SEARCH("REGIONTYPE2",$G323)))</f>
        <v>0</v>
      </c>
      <c r="O323" t="b">
        <f t="shared" si="37"/>
        <v>0</v>
      </c>
      <c r="P323" t="b">
        <f t="shared" ref="P323:P386" si="38">OR(ISNUMBER(SEARCH("ALL_REGION",$G323)),
ISNUMBER(SEARCH(P$1,$G323)),
ISNUMBER(SEARCH("REGIONTYPE3",$G323)))</f>
        <v>0</v>
      </c>
    </row>
    <row r="324" spans="1:16">
      <c r="A324" t="str">
        <v>mtro_Netherlands_Amsterdam_CAF_90</v>
      </c>
      <c r="B324" t="b" cm="1">
        <f t="array" ref="B324">_xlfn.XLOOKUP(A324,CONTROL[VEHIDCODE],PROPERTIES[EXCLUDE])</f>
        <v>0</v>
      </c>
      <c r="C324">
        <f>FLOOR(_xlfn.XLOOKUP($A324,PROPERTIES[VEHIDCODE],PROPERTIES[INTRODUCTION_YEAR]),20)</f>
        <v>1980</v>
      </c>
      <c r="D324" t="str">
        <f>_xlfn.XLOOKUP($A324,PROPERTIES[VEHIDCODE],PROPERTIES[ROLE])</f>
        <v>Metro</v>
      </c>
      <c r="E324" s="35" t="str">
        <f>_xlfn.XLOOKUP($A324,PROPERTIES[VEHIDCODE],PROPERTIES[REGION1])</f>
        <v>WESTERN_EUROPE</v>
      </c>
      <c r="F324" s="35" t="str">
        <f>_xlfn.XLOOKUP($A324,PROPERTIES[VEHIDCODE],PROPERTIES[REGION2])</f>
        <v>NO_REGION</v>
      </c>
      <c r="G324" s="35" t="str">
        <f t="shared" si="33"/>
        <v>WESTERN_EUROPE_NO_REGION</v>
      </c>
      <c r="H324" t="b">
        <f t="shared" si="34"/>
        <v>0</v>
      </c>
      <c r="I324" t="b">
        <f t="shared" si="35"/>
        <v>0</v>
      </c>
      <c r="J324" t="b">
        <f t="shared" si="36"/>
        <v>0</v>
      </c>
      <c r="K324" t="b">
        <f t="shared" si="36"/>
        <v>0</v>
      </c>
      <c r="L324" t="b">
        <f t="shared" si="36"/>
        <v>1</v>
      </c>
      <c r="M324" t="b">
        <f t="shared" si="36"/>
        <v>0</v>
      </c>
      <c r="N324" t="b">
        <f t="shared" si="37"/>
        <v>0</v>
      </c>
      <c r="O324" t="b">
        <f t="shared" si="37"/>
        <v>0</v>
      </c>
      <c r="P324" t="b">
        <f t="shared" si="38"/>
        <v>0</v>
      </c>
    </row>
    <row r="325" spans="1:16">
      <c r="A325" t="str">
        <v>mtro_France_Paris_MP89</v>
      </c>
      <c r="B325" t="b" cm="1">
        <f t="array" ref="B325">_xlfn.XLOOKUP(A325,CONTROL[VEHIDCODE],PROPERTIES[EXCLUDE])</f>
        <v>0</v>
      </c>
      <c r="C325">
        <f>FLOOR(_xlfn.XLOOKUP($A325,PROPERTIES[VEHIDCODE],PROPERTIES[INTRODUCTION_YEAR]),20)</f>
        <v>1980</v>
      </c>
      <c r="D325" t="str">
        <f>_xlfn.XLOOKUP($A325,PROPERTIES[VEHIDCODE],PROPERTIES[ROLE])</f>
        <v>Metro</v>
      </c>
      <c r="E325" s="35" t="str">
        <f>_xlfn.XLOOKUP($A325,PROPERTIES[VEHIDCODE],PROPERTIES[REGION1])</f>
        <v>WESTERN_EUROPE</v>
      </c>
      <c r="F325" s="35" t="str">
        <f>_xlfn.XLOOKUP($A325,PROPERTIES[VEHIDCODE],PROPERTIES[REGION2])</f>
        <v>NO_REGION</v>
      </c>
      <c r="G325" s="35" t="str">
        <f t="shared" si="33"/>
        <v>WESTERN_EUROPE_NO_REGION</v>
      </c>
      <c r="H325" t="b">
        <f t="shared" si="34"/>
        <v>0</v>
      </c>
      <c r="I325" t="b">
        <f t="shared" si="35"/>
        <v>0</v>
      </c>
      <c r="J325" t="b">
        <f t="shared" si="36"/>
        <v>0</v>
      </c>
      <c r="K325" t="b">
        <f t="shared" si="36"/>
        <v>0</v>
      </c>
      <c r="L325" t="b">
        <f t="shared" si="36"/>
        <v>1</v>
      </c>
      <c r="M325" t="b">
        <f t="shared" si="36"/>
        <v>0</v>
      </c>
      <c r="N325" t="b">
        <f t="shared" si="37"/>
        <v>0</v>
      </c>
      <c r="O325" t="b">
        <f t="shared" si="37"/>
        <v>0</v>
      </c>
      <c r="P325" t="b">
        <f t="shared" si="38"/>
        <v>0</v>
      </c>
    </row>
    <row r="326" spans="1:16">
      <c r="A326" t="str">
        <v>mtro_Russia_Moscow_81_740</v>
      </c>
      <c r="B326" t="b" cm="1">
        <f t="array" ref="B326">_xlfn.XLOOKUP(A326,CONTROL[VEHIDCODE],PROPERTIES[EXCLUDE])</f>
        <v>0</v>
      </c>
      <c r="C326">
        <f>FLOOR(_xlfn.XLOOKUP($A326,PROPERTIES[VEHIDCODE],PROPERTIES[INTRODUCTION_YEAR]),20)</f>
        <v>2000</v>
      </c>
      <c r="D326" t="str">
        <f>_xlfn.XLOOKUP($A326,PROPERTIES[VEHIDCODE],PROPERTIES[ROLE])</f>
        <v>Metro</v>
      </c>
      <c r="E326" s="35" t="str">
        <f>_xlfn.XLOOKUP($A326,PROPERTIES[VEHIDCODE],PROPERTIES[REGION1])</f>
        <v>ASIA</v>
      </c>
      <c r="F326" s="35" t="str">
        <f>_xlfn.XLOOKUP($A326,PROPERTIES[VEHIDCODE],PROPERTIES[REGION2])</f>
        <v>NO_REGION</v>
      </c>
      <c r="G326" s="35" t="str">
        <f t="shared" si="33"/>
        <v>ASIA_NO_REGION</v>
      </c>
      <c r="H326" t="b">
        <f t="shared" si="34"/>
        <v>0</v>
      </c>
      <c r="I326" t="b">
        <f t="shared" si="35"/>
        <v>1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6"/>
        <v>0</v>
      </c>
      <c r="N326" t="b">
        <f t="shared" si="37"/>
        <v>0</v>
      </c>
      <c r="O326" t="b">
        <f t="shared" si="37"/>
        <v>0</v>
      </c>
      <c r="P326" t="b">
        <f t="shared" si="38"/>
        <v>0</v>
      </c>
    </row>
    <row r="327" spans="1:16">
      <c r="A327" t="str">
        <v>mtro_Singapore_Singapore_C830_Metropolis</v>
      </c>
      <c r="B327" t="b" cm="1">
        <f t="array" ref="B327">_xlfn.XLOOKUP(A327,CONTROL[VEHIDCODE],PROPERTIES[EXCLUDE])</f>
        <v>0</v>
      </c>
      <c r="C327">
        <f>FLOOR(_xlfn.XLOOKUP($A327,PROPERTIES[VEHIDCODE],PROPERTIES[INTRODUCTION_YEAR]),20)</f>
        <v>2000</v>
      </c>
      <c r="D327" t="str">
        <f>_xlfn.XLOOKUP($A327,PROPERTIES[VEHIDCODE],PROPERTIES[ROLE])</f>
        <v>Metro</v>
      </c>
      <c r="E327" s="35" t="str">
        <f>_xlfn.XLOOKUP($A327,PROPERTIES[VEHIDCODE],PROPERTIES[REGION1])</f>
        <v>ASIA</v>
      </c>
      <c r="F327" s="35" t="str">
        <f>_xlfn.XLOOKUP($A327,PROPERTIES[VEHIDCODE],PROPERTIES[REGION2])</f>
        <v>NO_REGION</v>
      </c>
      <c r="G327" s="35" t="str">
        <f t="shared" si="33"/>
        <v>ASIA_NO_REGION</v>
      </c>
      <c r="H327" t="b">
        <f t="shared" si="34"/>
        <v>0</v>
      </c>
      <c r="I327" t="b">
        <f t="shared" si="35"/>
        <v>1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6"/>
        <v>0</v>
      </c>
      <c r="N327" t="b">
        <f t="shared" si="37"/>
        <v>0</v>
      </c>
      <c r="O327" t="b">
        <f t="shared" si="37"/>
        <v>0</v>
      </c>
      <c r="P327" t="b">
        <f t="shared" si="38"/>
        <v>0</v>
      </c>
    </row>
    <row r="328" spans="1:16">
      <c r="A328" t="str">
        <v>mtro_Norway_Oslo_MX3000</v>
      </c>
      <c r="B328" t="b" cm="1">
        <f t="array" ref="B328">_xlfn.XLOOKUP(A328,CONTROL[VEHIDCODE],PROPERTIES[EXCLUDE])</f>
        <v>0</v>
      </c>
      <c r="C328">
        <f>FLOOR(_xlfn.XLOOKUP($A328,PROPERTIES[VEHIDCODE],PROPERTIES[INTRODUCTION_YEAR]),20)</f>
        <v>2000</v>
      </c>
      <c r="D328" t="str">
        <f>_xlfn.XLOOKUP($A328,PROPERTIES[VEHIDCODE],PROPERTIES[ROLE])</f>
        <v>Metro</v>
      </c>
      <c r="E328" s="35" t="str">
        <f>_xlfn.XLOOKUP($A328,PROPERTIES[VEHIDCODE],PROPERTIES[REGION1])</f>
        <v>NORTHERN_EUROPE</v>
      </c>
      <c r="F328" s="35" t="str">
        <f>_xlfn.XLOOKUP($A328,PROPERTIES[VEHIDCODE],PROPERTIES[REGION2])</f>
        <v>NO_REGION</v>
      </c>
      <c r="G328" s="35" t="str">
        <f t="shared" si="33"/>
        <v>NORTHERN_EUROPE_NO_REGION</v>
      </c>
      <c r="H328" t="b">
        <f t="shared" si="34"/>
        <v>0</v>
      </c>
      <c r="I328" t="b">
        <f t="shared" si="35"/>
        <v>0</v>
      </c>
      <c r="J328" t="b">
        <f t="shared" si="36"/>
        <v>0</v>
      </c>
      <c r="K328" t="b">
        <f t="shared" si="36"/>
        <v>0</v>
      </c>
      <c r="L328" t="b">
        <f t="shared" si="36"/>
        <v>0</v>
      </c>
      <c r="M328" t="b">
        <f t="shared" si="36"/>
        <v>1</v>
      </c>
      <c r="N328" t="b">
        <f t="shared" si="37"/>
        <v>0</v>
      </c>
      <c r="O328" t="b">
        <f t="shared" si="37"/>
        <v>0</v>
      </c>
      <c r="P328" t="b">
        <f t="shared" si="38"/>
        <v>0</v>
      </c>
    </row>
    <row r="329" spans="1:16">
      <c r="A329" t="str">
        <v>mtro_Japan_Osaka_30000</v>
      </c>
      <c r="B329" t="b" cm="1">
        <f t="array" ref="B329">_xlfn.XLOOKUP(A329,CONTROL[VEHIDCODE],PROPERTIES[EXCLUDE])</f>
        <v>0</v>
      </c>
      <c r="C329">
        <f>FLOOR(_xlfn.XLOOKUP($A329,PROPERTIES[VEHIDCODE],PROPERTIES[INTRODUCTION_YEAR]),20)</f>
        <v>2000</v>
      </c>
      <c r="D329" t="str">
        <f>_xlfn.XLOOKUP($A329,PROPERTIES[VEHIDCODE],PROPERTIES[ROLE])</f>
        <v>Metro</v>
      </c>
      <c r="E329" s="35" t="str">
        <f>_xlfn.XLOOKUP($A329,PROPERTIES[VEHIDCODE],PROPERTIES[REGION1])</f>
        <v>ASIA</v>
      </c>
      <c r="F329" s="35" t="str">
        <f>_xlfn.XLOOKUP($A329,PROPERTIES[VEHIDCODE],PROPERTIES[REGION2])</f>
        <v>NO_REGION</v>
      </c>
      <c r="G329" s="35" t="str">
        <f t="shared" si="33"/>
        <v>ASIA_NO_REGION</v>
      </c>
      <c r="H329" t="b">
        <f t="shared" si="34"/>
        <v>0</v>
      </c>
      <c r="I329" t="b">
        <f t="shared" si="35"/>
        <v>1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6"/>
        <v>0</v>
      </c>
      <c r="N329" t="b">
        <f t="shared" si="37"/>
        <v>0</v>
      </c>
      <c r="O329" t="b">
        <f t="shared" si="37"/>
        <v>0</v>
      </c>
      <c r="P329" t="b">
        <f t="shared" si="38"/>
        <v>0</v>
      </c>
    </row>
    <row r="330" spans="1:16">
      <c r="A330" t="str">
        <v>mtro_Singapore_Singapore_C151A</v>
      </c>
      <c r="B330" t="b" cm="1">
        <f t="array" ref="B330">_xlfn.XLOOKUP(A330,CONTROL[VEHIDCODE],PROPERTIES[EXCLUDE])</f>
        <v>0</v>
      </c>
      <c r="C330">
        <f>FLOOR(_xlfn.XLOOKUP($A330,PROPERTIES[VEHIDCODE],PROPERTIES[INTRODUCTION_YEAR]),20)</f>
        <v>2000</v>
      </c>
      <c r="D330" t="str">
        <f>_xlfn.XLOOKUP($A330,PROPERTIES[VEHIDCODE],PROPERTIES[ROLE])</f>
        <v>Metro</v>
      </c>
      <c r="E330" s="35" t="str">
        <f>_xlfn.XLOOKUP($A330,PROPERTIES[VEHIDCODE],PROPERTIES[REGION1])</f>
        <v>ASIA</v>
      </c>
      <c r="F330" s="35" t="str">
        <f>_xlfn.XLOOKUP($A330,PROPERTIES[VEHIDCODE],PROPERTIES[REGION2])</f>
        <v>NO_REGION</v>
      </c>
      <c r="G330" s="35" t="str">
        <f t="shared" si="33"/>
        <v>ASIA_NO_REGION</v>
      </c>
      <c r="H330" t="b">
        <f t="shared" si="34"/>
        <v>0</v>
      </c>
      <c r="I330" t="b">
        <f t="shared" si="35"/>
        <v>1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6"/>
        <v>0</v>
      </c>
      <c r="N330" t="b">
        <f t="shared" si="37"/>
        <v>0</v>
      </c>
      <c r="O330" t="b">
        <f t="shared" si="37"/>
        <v>0</v>
      </c>
      <c r="P330" t="b">
        <f t="shared" si="38"/>
        <v>0</v>
      </c>
    </row>
    <row r="331" spans="1:16">
      <c r="A331" t="str">
        <v>mtro_USA_Washington_7000</v>
      </c>
      <c r="B331" t="b" cm="1">
        <f t="array" ref="B331">_xlfn.XLOOKUP(A331,CONTROL[VEHIDCODE],PROPERTIES[EXCLUDE])</f>
        <v>0</v>
      </c>
      <c r="C331">
        <f>FLOOR(_xlfn.XLOOKUP($A331,PROPERTIES[VEHIDCODE],PROPERTIES[INTRODUCTION_YEAR]),20)</f>
        <v>2000</v>
      </c>
      <c r="D331" t="str">
        <f>_xlfn.XLOOKUP($A331,PROPERTIES[VEHIDCODE],PROPERTIES[ROLE])</f>
        <v>Metro</v>
      </c>
      <c r="E331" s="35" t="str">
        <f>_xlfn.XLOOKUP($A331,PROPERTIES[VEHIDCODE],PROPERTIES[REGION1])</f>
        <v>NORTH_AMERICA</v>
      </c>
      <c r="F331" s="35" t="str">
        <f>_xlfn.XLOOKUP($A331,PROPERTIES[VEHIDCODE],PROPERTIES[REGION2])</f>
        <v>NO_REGION</v>
      </c>
      <c r="G331" s="35" t="str">
        <f t="shared" si="33"/>
        <v>NORTH_AMERICA_NO_REGION</v>
      </c>
      <c r="H331" t="b">
        <f t="shared" si="34"/>
        <v>0</v>
      </c>
      <c r="I331" t="b">
        <f t="shared" si="35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6"/>
        <v>0</v>
      </c>
      <c r="N331" t="b">
        <f t="shared" si="37"/>
        <v>1</v>
      </c>
      <c r="O331" t="b">
        <f t="shared" si="37"/>
        <v>0</v>
      </c>
      <c r="P331" t="b">
        <f t="shared" si="38"/>
        <v>0</v>
      </c>
    </row>
    <row r="332" spans="1:16">
      <c r="A332" t="str">
        <v>mtro_Greece_Thessaloniki_2014</v>
      </c>
      <c r="B332" t="b" cm="1">
        <f t="array" ref="B332">_xlfn.XLOOKUP(A332,CONTROL[VEHIDCODE],PROPERTIES[EXCLUDE])</f>
        <v>0</v>
      </c>
      <c r="C332">
        <f>FLOOR(_xlfn.XLOOKUP($A332,PROPERTIES[VEHIDCODE],PROPERTIES[INTRODUCTION_YEAR]),20)</f>
        <v>2020</v>
      </c>
      <c r="D332" t="str">
        <f>_xlfn.XLOOKUP($A332,PROPERTIES[VEHIDCODE],PROPERTIES[ROLE])</f>
        <v>Metro</v>
      </c>
      <c r="E332" s="35" t="str">
        <f>_xlfn.XLOOKUP($A332,PROPERTIES[VEHIDCODE],PROPERTIES[REGION1])</f>
        <v>SOUTHERN_EUROPE</v>
      </c>
      <c r="F332" s="35" t="str">
        <f>_xlfn.XLOOKUP($A332,PROPERTIES[VEHIDCODE],PROPERTIES[REGION2])</f>
        <v>NO_REGION</v>
      </c>
      <c r="G332" s="35" t="str">
        <f t="shared" si="33"/>
        <v>SOUTHERN_EUROPE_NO_REGION</v>
      </c>
      <c r="H332" t="b">
        <f t="shared" si="34"/>
        <v>0</v>
      </c>
      <c r="I332" t="b">
        <f t="shared" si="35"/>
        <v>0</v>
      </c>
      <c r="J332" t="b">
        <f t="shared" si="36"/>
        <v>1</v>
      </c>
      <c r="K332" t="b">
        <f t="shared" si="36"/>
        <v>0</v>
      </c>
      <c r="L332" t="b">
        <f t="shared" si="36"/>
        <v>0</v>
      </c>
      <c r="M332" t="b">
        <f t="shared" si="36"/>
        <v>0</v>
      </c>
      <c r="N332" t="b">
        <f t="shared" si="37"/>
        <v>0</v>
      </c>
      <c r="O332" t="b">
        <f t="shared" si="37"/>
        <v>0</v>
      </c>
      <c r="P332" t="b">
        <f t="shared" si="38"/>
        <v>0</v>
      </c>
    </row>
    <row r="333" spans="1:16">
      <c r="A333" t="str">
        <v>mtro_Germany_Berlin_U_Bahn_A_I</v>
      </c>
      <c r="B333" t="b" cm="1">
        <f t="array" ref="B333">_xlfn.XLOOKUP(A333,CONTROL[VEHIDCODE],PROPERTIES[EXCLUDE])</f>
        <v>0</v>
      </c>
      <c r="C333">
        <f>FLOOR(_xlfn.XLOOKUP($A333,PROPERTIES[VEHIDCODE],PROPERTIES[INTRODUCTION_YEAR]),20)</f>
        <v>1900</v>
      </c>
      <c r="D333" t="str">
        <f>_xlfn.XLOOKUP($A333,PROPERTIES[VEHIDCODE],PROPERTIES[ROLE])</f>
        <v>Metro</v>
      </c>
      <c r="E333" s="35" t="str">
        <f>_xlfn.XLOOKUP($A333,PROPERTIES[VEHIDCODE],PROPERTIES[REGION1])</f>
        <v>WESTERN_EUROPE</v>
      </c>
      <c r="F333" s="35" t="str">
        <f>_xlfn.XLOOKUP($A333,PROPERTIES[VEHIDCODE],PROPERTIES[REGION2])</f>
        <v>NO_REGION</v>
      </c>
      <c r="G333" s="35" t="str">
        <f t="shared" si="33"/>
        <v>WESTERN_EUROPE_NO_REGION</v>
      </c>
      <c r="H333" t="b">
        <f t="shared" si="34"/>
        <v>0</v>
      </c>
      <c r="I333" t="b">
        <f t="shared" si="35"/>
        <v>0</v>
      </c>
      <c r="J333" t="b">
        <f t="shared" si="36"/>
        <v>0</v>
      </c>
      <c r="K333" t="b">
        <f t="shared" si="36"/>
        <v>0</v>
      </c>
      <c r="L333" t="b">
        <f t="shared" si="36"/>
        <v>1</v>
      </c>
      <c r="M333" t="b">
        <f t="shared" si="36"/>
        <v>0</v>
      </c>
      <c r="N333" t="b">
        <f t="shared" si="37"/>
        <v>0</v>
      </c>
      <c r="O333" t="b">
        <f t="shared" si="37"/>
        <v>0</v>
      </c>
      <c r="P333" t="b">
        <f t="shared" si="38"/>
        <v>0</v>
      </c>
    </row>
    <row r="334" spans="1:16">
      <c r="A334" t="str">
        <v>mtro_USA_NY_Hedley_Hi_V</v>
      </c>
      <c r="B334" t="b" cm="1">
        <f t="array" ref="B334">_xlfn.XLOOKUP(A334,CONTROL[VEHIDCODE],PROPERTIES[EXCLUDE])</f>
        <v>0</v>
      </c>
      <c r="C334">
        <f>FLOOR(_xlfn.XLOOKUP($A334,PROPERTIES[VEHIDCODE],PROPERTIES[INTRODUCTION_YEAR]),20)</f>
        <v>1900</v>
      </c>
      <c r="D334" t="str">
        <f>_xlfn.XLOOKUP($A334,PROPERTIES[VEHIDCODE],PROPERTIES[ROLE])</f>
        <v>Metro</v>
      </c>
      <c r="E334" s="35" t="str">
        <f>_xlfn.XLOOKUP($A334,PROPERTIES[VEHIDCODE],PROPERTIES[REGION1])</f>
        <v>NORTH_AMERICA</v>
      </c>
      <c r="F334" s="35" t="str">
        <f>_xlfn.XLOOKUP($A334,PROPERTIES[VEHIDCODE],PROPERTIES[REGION2])</f>
        <v>NO_REGION</v>
      </c>
      <c r="G334" s="35" t="str">
        <f t="shared" si="33"/>
        <v>NORTH_AMERICA_NO_REGION</v>
      </c>
      <c r="H334" t="b">
        <f t="shared" si="34"/>
        <v>0</v>
      </c>
      <c r="I334" t="b">
        <f t="shared" si="35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6"/>
        <v>0</v>
      </c>
      <c r="N334" t="b">
        <f t="shared" si="37"/>
        <v>1</v>
      </c>
      <c r="O334" t="b">
        <f t="shared" si="37"/>
        <v>0</v>
      </c>
      <c r="P334" t="b">
        <f t="shared" si="38"/>
        <v>0</v>
      </c>
    </row>
    <row r="335" spans="1:16">
      <c r="A335" t="str">
        <v>mtro_Japan_Osaka_1000</v>
      </c>
      <c r="B335" t="b" cm="1">
        <f t="array" ref="B335">_xlfn.XLOOKUP(A335,CONTROL[VEHIDCODE],PROPERTIES[EXCLUDE])</f>
        <v>0</v>
      </c>
      <c r="C335">
        <f>FLOOR(_xlfn.XLOOKUP($A335,PROPERTIES[VEHIDCODE],PROPERTIES[INTRODUCTION_YEAR]),20)</f>
        <v>1920</v>
      </c>
      <c r="D335" t="str">
        <f>_xlfn.XLOOKUP($A335,PROPERTIES[VEHIDCODE],PROPERTIES[ROLE])</f>
        <v>Metro</v>
      </c>
      <c r="E335" s="35" t="str">
        <f>_xlfn.XLOOKUP($A335,PROPERTIES[VEHIDCODE],PROPERTIES[REGION1])</f>
        <v>ASIA</v>
      </c>
      <c r="F335" s="35" t="str">
        <f>_xlfn.XLOOKUP($A335,PROPERTIES[VEHIDCODE],PROPERTIES[REGION2])</f>
        <v>NO_REGION</v>
      </c>
      <c r="G335" s="35" t="str">
        <f t="shared" si="33"/>
        <v>ASIA_NO_REGION</v>
      </c>
      <c r="H335" t="b">
        <f t="shared" si="34"/>
        <v>0</v>
      </c>
      <c r="I335" t="b">
        <f t="shared" si="35"/>
        <v>1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6"/>
        <v>0</v>
      </c>
      <c r="N335" t="b">
        <f t="shared" si="37"/>
        <v>0</v>
      </c>
      <c r="O335" t="b">
        <f t="shared" si="37"/>
        <v>0</v>
      </c>
      <c r="P335" t="b">
        <f t="shared" si="38"/>
        <v>0</v>
      </c>
    </row>
    <row r="336" spans="1:16">
      <c r="A336" t="str">
        <v>mtro_Russia_Moscow_Type_A</v>
      </c>
      <c r="B336" t="b" cm="1">
        <f t="array" ref="B336">_xlfn.XLOOKUP(A336,CONTROL[VEHIDCODE],PROPERTIES[EXCLUDE])</f>
        <v>0</v>
      </c>
      <c r="C336">
        <f>FLOOR(_xlfn.XLOOKUP($A336,PROPERTIES[VEHIDCODE],PROPERTIES[INTRODUCTION_YEAR]),20)</f>
        <v>1920</v>
      </c>
      <c r="D336" t="str">
        <f>_xlfn.XLOOKUP($A336,PROPERTIES[VEHIDCODE],PROPERTIES[ROLE])</f>
        <v>Metro</v>
      </c>
      <c r="E336" s="35" t="str">
        <f>_xlfn.XLOOKUP($A336,PROPERTIES[VEHIDCODE],PROPERTIES[REGION1])</f>
        <v>ASIA</v>
      </c>
      <c r="F336" s="35" t="str">
        <f>_xlfn.XLOOKUP($A336,PROPERTIES[VEHIDCODE],PROPERTIES[REGION2])</f>
        <v>NO_REGION</v>
      </c>
      <c r="G336" s="35" t="str">
        <f t="shared" si="33"/>
        <v>ASIA_NO_REGION</v>
      </c>
      <c r="H336" t="b">
        <f t="shared" si="34"/>
        <v>0</v>
      </c>
      <c r="I336" t="b">
        <f t="shared" si="35"/>
        <v>1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6"/>
        <v>0</v>
      </c>
      <c r="N336" t="b">
        <f t="shared" si="37"/>
        <v>0</v>
      </c>
      <c r="O336" t="b">
        <f t="shared" si="37"/>
        <v>0</v>
      </c>
      <c r="P336" t="b">
        <f t="shared" si="38"/>
        <v>0</v>
      </c>
    </row>
    <row r="337" spans="1:16">
      <c r="A337" t="str">
        <v>mtro_USA_NY_R10</v>
      </c>
      <c r="B337" t="b" cm="1">
        <f t="array" ref="B337">_xlfn.XLOOKUP(A337,CONTROL[VEHIDCODE],PROPERTIES[EXCLUDE])</f>
        <v>0</v>
      </c>
      <c r="C337">
        <f>FLOOR(_xlfn.XLOOKUP($A337,PROPERTIES[VEHIDCODE],PROPERTIES[INTRODUCTION_YEAR]),20)</f>
        <v>1940</v>
      </c>
      <c r="D337" t="str">
        <f>_xlfn.XLOOKUP($A337,PROPERTIES[VEHIDCODE],PROPERTIES[ROLE])</f>
        <v>Metro</v>
      </c>
      <c r="E337" s="35" t="str">
        <f>_xlfn.XLOOKUP($A337,PROPERTIES[VEHIDCODE],PROPERTIES[REGION1])</f>
        <v>NORTH_AMERICA</v>
      </c>
      <c r="F337" s="35" t="str">
        <f>_xlfn.XLOOKUP($A337,PROPERTIES[VEHIDCODE],PROPERTIES[REGION2])</f>
        <v>NO_REGION</v>
      </c>
      <c r="G337" s="35" t="str">
        <f t="shared" si="33"/>
        <v>NORTH_AMERICA_NO_REGION</v>
      </c>
      <c r="H337" t="b">
        <f t="shared" si="34"/>
        <v>0</v>
      </c>
      <c r="I337" t="b">
        <f t="shared" si="35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6"/>
        <v>0</v>
      </c>
      <c r="N337" t="b">
        <f t="shared" si="37"/>
        <v>1</v>
      </c>
      <c r="O337" t="b">
        <f t="shared" si="37"/>
        <v>0</v>
      </c>
      <c r="P337" t="b">
        <f t="shared" si="38"/>
        <v>0</v>
      </c>
    </row>
    <row r="338" spans="1:16">
      <c r="A338" t="str">
        <v>mtro_Italy_Rome_MR_100</v>
      </c>
      <c r="B338" t="b" cm="1">
        <f t="array" ref="B338">_xlfn.XLOOKUP(A338,CONTROL[VEHIDCODE],PROPERTIES[EXCLUDE])</f>
        <v>0</v>
      </c>
      <c r="C338">
        <f>FLOOR(_xlfn.XLOOKUP($A338,PROPERTIES[VEHIDCODE],PROPERTIES[INTRODUCTION_YEAR]),20)</f>
        <v>1940</v>
      </c>
      <c r="D338" t="str">
        <f>_xlfn.XLOOKUP($A338,PROPERTIES[VEHIDCODE],PROPERTIES[ROLE])</f>
        <v>Metro</v>
      </c>
      <c r="E338" s="35" t="str">
        <f>_xlfn.XLOOKUP($A338,PROPERTIES[VEHIDCODE],PROPERTIES[REGION1])</f>
        <v>SOUTHERN_EUROPE</v>
      </c>
      <c r="F338" s="35" t="str">
        <f>_xlfn.XLOOKUP($A338,PROPERTIES[VEHIDCODE],PROPERTIES[REGION2])</f>
        <v>NO_REGION</v>
      </c>
      <c r="G338" s="35" t="str">
        <f t="shared" si="33"/>
        <v>SOUTHERN_EUROPE_NO_REGION</v>
      </c>
      <c r="H338" t="b">
        <f t="shared" si="34"/>
        <v>0</v>
      </c>
      <c r="I338" t="b">
        <f t="shared" si="35"/>
        <v>0</v>
      </c>
      <c r="J338" t="b">
        <f t="shared" si="36"/>
        <v>1</v>
      </c>
      <c r="K338" t="b">
        <f t="shared" si="36"/>
        <v>0</v>
      </c>
      <c r="L338" t="b">
        <f t="shared" si="36"/>
        <v>0</v>
      </c>
      <c r="M338" t="b">
        <f t="shared" si="36"/>
        <v>0</v>
      </c>
      <c r="N338" t="b">
        <f t="shared" si="37"/>
        <v>0</v>
      </c>
      <c r="O338" t="b">
        <f t="shared" si="37"/>
        <v>0</v>
      </c>
      <c r="P338" t="b">
        <f t="shared" si="38"/>
        <v>0</v>
      </c>
    </row>
    <row r="339" spans="1:16">
      <c r="A339" t="str">
        <v>mtro_Russia_Moscow_Type_D</v>
      </c>
      <c r="B339" t="b" cm="1">
        <f t="array" ref="B339">_xlfn.XLOOKUP(A339,CONTROL[VEHIDCODE],PROPERTIES[EXCLUDE])</f>
        <v>0</v>
      </c>
      <c r="C339">
        <f>FLOOR(_xlfn.XLOOKUP($A339,PROPERTIES[VEHIDCODE],PROPERTIES[INTRODUCTION_YEAR]),20)</f>
        <v>1940</v>
      </c>
      <c r="D339" t="str">
        <f>_xlfn.XLOOKUP($A339,PROPERTIES[VEHIDCODE],PROPERTIES[ROLE])</f>
        <v>Metro</v>
      </c>
      <c r="E339" s="35" t="str">
        <f>_xlfn.XLOOKUP($A339,PROPERTIES[VEHIDCODE],PROPERTIES[REGION1])</f>
        <v>ASIA</v>
      </c>
      <c r="F339" s="35" t="str">
        <f>_xlfn.XLOOKUP($A339,PROPERTIES[VEHIDCODE],PROPERTIES[REGION2])</f>
        <v>NO_REGION</v>
      </c>
      <c r="G339" s="35" t="str">
        <f t="shared" si="33"/>
        <v>ASIA_NO_REGION</v>
      </c>
      <c r="H339" t="b">
        <f t="shared" si="34"/>
        <v>0</v>
      </c>
      <c r="I339" t="b">
        <f t="shared" si="35"/>
        <v>1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6"/>
        <v>0</v>
      </c>
      <c r="N339" t="b">
        <f t="shared" si="37"/>
        <v>0</v>
      </c>
      <c r="O339" t="b">
        <f t="shared" si="37"/>
        <v>0</v>
      </c>
      <c r="P339" t="b">
        <f t="shared" si="38"/>
        <v>0</v>
      </c>
    </row>
    <row r="340" spans="1:16">
      <c r="A340" t="str">
        <v>mtro_Netherlands_Rotterdam_MG2_Type_M</v>
      </c>
      <c r="B340" t="b" cm="1">
        <f t="array" ref="B340">_xlfn.XLOOKUP(A340,CONTROL[VEHIDCODE],PROPERTIES[EXCLUDE])</f>
        <v>0</v>
      </c>
      <c r="C340">
        <f>FLOOR(_xlfn.XLOOKUP($A340,PROPERTIES[VEHIDCODE],PROPERTIES[INTRODUCTION_YEAR]),20)</f>
        <v>1960</v>
      </c>
      <c r="D340" t="str">
        <f>_xlfn.XLOOKUP($A340,PROPERTIES[VEHIDCODE],PROPERTIES[ROLE])</f>
        <v>Metro</v>
      </c>
      <c r="E340" s="35" t="str">
        <f>_xlfn.XLOOKUP($A340,PROPERTIES[VEHIDCODE],PROPERTIES[REGION1])</f>
        <v>WESTERN_EUROPE</v>
      </c>
      <c r="F340" s="35" t="str">
        <f>_xlfn.XLOOKUP($A340,PROPERTIES[VEHIDCODE],PROPERTIES[REGION2])</f>
        <v>NO_REGION</v>
      </c>
      <c r="G340" s="35" t="str">
        <f t="shared" si="33"/>
        <v>WESTERN_EUROPE_NO_REGION</v>
      </c>
      <c r="H340" t="b">
        <f t="shared" si="34"/>
        <v>0</v>
      </c>
      <c r="I340" t="b">
        <f t="shared" si="35"/>
        <v>0</v>
      </c>
      <c r="J340" t="b">
        <f t="shared" si="36"/>
        <v>0</v>
      </c>
      <c r="K340" t="b">
        <f t="shared" si="36"/>
        <v>0</v>
      </c>
      <c r="L340" t="b">
        <f t="shared" si="36"/>
        <v>1</v>
      </c>
      <c r="M340" t="b">
        <f t="shared" si="36"/>
        <v>0</v>
      </c>
      <c r="N340" t="b">
        <f t="shared" si="37"/>
        <v>0</v>
      </c>
      <c r="O340" t="b">
        <f t="shared" si="37"/>
        <v>0</v>
      </c>
      <c r="P340" t="b">
        <f t="shared" si="38"/>
        <v>0</v>
      </c>
    </row>
    <row r="341" spans="1:16">
      <c r="A341" t="str">
        <v>mtro_Czech_Republic_Prague_ECS_Set</v>
      </c>
      <c r="B341" t="b" cm="1">
        <f t="array" ref="B341">_xlfn.XLOOKUP(A341,CONTROL[VEHIDCODE],PROPERTIES[EXCLUDE])</f>
        <v>0</v>
      </c>
      <c r="C341">
        <f>FLOOR(_xlfn.XLOOKUP($A341,PROPERTIES[VEHIDCODE],PROPERTIES[INTRODUCTION_YEAR]),20)</f>
        <v>1960</v>
      </c>
      <c r="D341" t="str">
        <f>_xlfn.XLOOKUP($A341,PROPERTIES[VEHIDCODE],PROPERTIES[ROLE])</f>
        <v>Metro</v>
      </c>
      <c r="E341" s="35" t="str">
        <f>_xlfn.XLOOKUP($A341,PROPERTIES[VEHIDCODE],PROPERTIES[REGION1])</f>
        <v>EASTERN_EUROPE</v>
      </c>
      <c r="F341" s="35" t="str">
        <f>_xlfn.XLOOKUP($A341,PROPERTIES[VEHIDCODE],PROPERTIES[REGION2])</f>
        <v>NO_REGION</v>
      </c>
      <c r="G341" s="35" t="str">
        <f t="shared" si="33"/>
        <v>EASTERN_EUROPE_NO_REGION</v>
      </c>
      <c r="H341" t="b">
        <f t="shared" si="34"/>
        <v>0</v>
      </c>
      <c r="I341" t="b">
        <f t="shared" si="35"/>
        <v>0</v>
      </c>
      <c r="J341" t="b">
        <f t="shared" si="36"/>
        <v>0</v>
      </c>
      <c r="K341" t="b">
        <f t="shared" si="36"/>
        <v>1</v>
      </c>
      <c r="L341" t="b">
        <f t="shared" si="36"/>
        <v>0</v>
      </c>
      <c r="M341" t="b">
        <f t="shared" si="36"/>
        <v>0</v>
      </c>
      <c r="N341" t="b">
        <f t="shared" si="37"/>
        <v>0</v>
      </c>
      <c r="O341" t="b">
        <f t="shared" si="37"/>
        <v>0</v>
      </c>
      <c r="P341" t="b">
        <f t="shared" si="38"/>
        <v>0</v>
      </c>
    </row>
    <row r="342" spans="1:16">
      <c r="A342" t="str">
        <v>mtro_Argentina_Buenos_Aires_Serie_1200</v>
      </c>
      <c r="B342" t="b" cm="1">
        <f t="array" ref="B342">_xlfn.XLOOKUP(A342,CONTROL[VEHIDCODE],PROPERTIES[EXCLUDE])</f>
        <v>0</v>
      </c>
      <c r="C342">
        <f>FLOOR(_xlfn.XLOOKUP($A342,PROPERTIES[VEHIDCODE],PROPERTIES[INTRODUCTION_YEAR]),20)</f>
        <v>1980</v>
      </c>
      <c r="D342" t="str">
        <f>_xlfn.XLOOKUP($A342,PROPERTIES[VEHIDCODE],PROPERTIES[ROLE])</f>
        <v>Metro</v>
      </c>
      <c r="E342" s="35" t="str">
        <f>_xlfn.XLOOKUP($A342,PROPERTIES[VEHIDCODE],PROPERTIES[REGION1])</f>
        <v>SOUTH_AMERICA</v>
      </c>
      <c r="F342" s="35" t="str">
        <f>_xlfn.XLOOKUP($A342,PROPERTIES[VEHIDCODE],PROPERTIES[REGION2])</f>
        <v>NO_REGION</v>
      </c>
      <c r="G342" s="35" t="str">
        <f t="shared" si="33"/>
        <v>SOUTH_AMERICA_NO_REGION</v>
      </c>
      <c r="H342" t="b">
        <f t="shared" si="34"/>
        <v>0</v>
      </c>
      <c r="I342" t="b">
        <f t="shared" si="35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6"/>
        <v>0</v>
      </c>
      <c r="N342" t="b">
        <f t="shared" si="37"/>
        <v>0</v>
      </c>
      <c r="O342" t="b">
        <f t="shared" si="37"/>
        <v>1</v>
      </c>
      <c r="P342" t="b">
        <f t="shared" si="38"/>
        <v>0</v>
      </c>
    </row>
    <row r="343" spans="1:16">
      <c r="A343" t="str">
        <v>mtro_Chile_Santiago_NS_93</v>
      </c>
      <c r="B343" t="b" cm="1">
        <f t="array" ref="B343">_xlfn.XLOOKUP(A343,CONTROL[VEHIDCODE],PROPERTIES[EXCLUDE])</f>
        <v>0</v>
      </c>
      <c r="C343">
        <f>FLOOR(_xlfn.XLOOKUP($A343,PROPERTIES[VEHIDCODE],PROPERTIES[INTRODUCTION_YEAR]),20)</f>
        <v>1980</v>
      </c>
      <c r="D343" t="str">
        <f>_xlfn.XLOOKUP($A343,PROPERTIES[VEHIDCODE],PROPERTIES[ROLE])</f>
        <v>Metro</v>
      </c>
      <c r="E343" s="35" t="str">
        <f>_xlfn.XLOOKUP($A343,PROPERTIES[VEHIDCODE],PROPERTIES[REGION1])</f>
        <v>SOUTH_AMERICA</v>
      </c>
      <c r="F343" s="35" t="str">
        <f>_xlfn.XLOOKUP($A343,PROPERTIES[VEHIDCODE],PROPERTIES[REGION2])</f>
        <v>NO_REGION</v>
      </c>
      <c r="G343" s="35" t="str">
        <f t="shared" si="33"/>
        <v>SOUTH_AMERICA_NO_REGION</v>
      </c>
      <c r="H343" t="b">
        <f t="shared" si="34"/>
        <v>0</v>
      </c>
      <c r="I343" t="b">
        <f t="shared" si="35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6"/>
        <v>0</v>
      </c>
      <c r="N343" t="b">
        <f t="shared" si="37"/>
        <v>0</v>
      </c>
      <c r="O343" t="b">
        <f t="shared" si="37"/>
        <v>1</v>
      </c>
      <c r="P343" t="b">
        <f t="shared" si="38"/>
        <v>0</v>
      </c>
    </row>
    <row r="344" spans="1:16">
      <c r="A344" t="str">
        <v>mtro_Chile_Santiago_AS_2002</v>
      </c>
      <c r="B344" t="b" cm="1">
        <f t="array" ref="B344">_xlfn.XLOOKUP(A344,CONTROL[VEHIDCODE],PROPERTIES[EXCLUDE])</f>
        <v>0</v>
      </c>
      <c r="C344">
        <f>FLOOR(_xlfn.XLOOKUP($A344,PROPERTIES[VEHIDCODE],PROPERTIES[INTRODUCTION_YEAR]),20)</f>
        <v>2000</v>
      </c>
      <c r="D344" t="str">
        <f>_xlfn.XLOOKUP($A344,PROPERTIES[VEHIDCODE],PROPERTIES[ROLE])</f>
        <v>Metro</v>
      </c>
      <c r="E344" s="35" t="str">
        <f>_xlfn.XLOOKUP($A344,PROPERTIES[VEHIDCODE],PROPERTIES[REGION1])</f>
        <v>SOUTH_AMERICA</v>
      </c>
      <c r="F344" s="35" t="str">
        <f>_xlfn.XLOOKUP($A344,PROPERTIES[VEHIDCODE],PROPERTIES[REGION2])</f>
        <v>NO_REGION</v>
      </c>
      <c r="G344" s="35" t="str">
        <f t="shared" si="33"/>
        <v>SOUTH_AMERICA_NO_REGION</v>
      </c>
      <c r="H344" t="b">
        <f t="shared" si="34"/>
        <v>0</v>
      </c>
      <c r="I344" t="b">
        <f t="shared" si="35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6"/>
        <v>0</v>
      </c>
      <c r="N344" t="b">
        <f t="shared" si="37"/>
        <v>0</v>
      </c>
      <c r="O344" t="b">
        <f t="shared" si="37"/>
        <v>1</v>
      </c>
      <c r="P344" t="b">
        <f t="shared" si="38"/>
        <v>0</v>
      </c>
    </row>
    <row r="345" spans="1:16">
      <c r="A345" t="str">
        <v>mtro_Brazil_Recife_VLT_Mobile_3</v>
      </c>
      <c r="B345" t="b" cm="1">
        <f t="array" ref="B345">_xlfn.XLOOKUP(A345,CONTROL[VEHIDCODE],PROPERTIES[EXCLUDE])</f>
        <v>0</v>
      </c>
      <c r="C345">
        <f>FLOOR(_xlfn.XLOOKUP($A345,PROPERTIES[VEHIDCODE],PROPERTIES[INTRODUCTION_YEAR]),20)</f>
        <v>2000</v>
      </c>
      <c r="D345" t="str">
        <f>_xlfn.XLOOKUP($A345,PROPERTIES[VEHIDCODE],PROPERTIES[ROLE])</f>
        <v>Metro</v>
      </c>
      <c r="E345" s="35" t="str">
        <f>_xlfn.XLOOKUP($A345,PROPERTIES[VEHIDCODE],PROPERTIES[REGION1])</f>
        <v>SOUTH_AMERICA</v>
      </c>
      <c r="F345" s="35" t="str">
        <f>_xlfn.XLOOKUP($A345,PROPERTIES[VEHIDCODE],PROPERTIES[REGION2])</f>
        <v>NO_REGION</v>
      </c>
      <c r="G345" s="35" t="str">
        <f t="shared" si="33"/>
        <v>SOUTH_AMERICA_NO_REGION</v>
      </c>
      <c r="H345" t="b">
        <f t="shared" si="34"/>
        <v>0</v>
      </c>
      <c r="I345" t="b">
        <f t="shared" si="35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6"/>
        <v>0</v>
      </c>
      <c r="N345" t="b">
        <f t="shared" si="37"/>
        <v>0</v>
      </c>
      <c r="O345" t="b">
        <f t="shared" si="37"/>
        <v>1</v>
      </c>
      <c r="P345" t="b">
        <f t="shared" si="38"/>
        <v>0</v>
      </c>
    </row>
    <row r="346" spans="1:16">
      <c r="A346" t="str">
        <v>mtro_Spain_Madrid_Series_5000</v>
      </c>
      <c r="B346" t="b" cm="1">
        <f t="array" ref="B346">_xlfn.XLOOKUP(A346,CONTROL[VEHIDCODE],PROPERTIES[EXCLUDE])</f>
        <v>0</v>
      </c>
      <c r="C346">
        <f>FLOOR(_xlfn.XLOOKUP($A346,PROPERTIES[VEHIDCODE],PROPERTIES[INTRODUCTION_YEAR]),20)</f>
        <v>1960</v>
      </c>
      <c r="D346" t="str">
        <f>_xlfn.XLOOKUP($A346,PROPERTIES[VEHIDCODE],PROPERTIES[ROLE])</f>
        <v>Metro</v>
      </c>
      <c r="E346" s="35" t="str">
        <f>_xlfn.XLOOKUP($A346,PROPERTIES[VEHIDCODE],PROPERTIES[REGION1])</f>
        <v>SOUTHERN_EUROPE</v>
      </c>
      <c r="F346" s="35" t="str">
        <f>_xlfn.XLOOKUP($A346,PROPERTIES[VEHIDCODE],PROPERTIES[REGION2])</f>
        <v>NO_REGION</v>
      </c>
      <c r="G346" s="35" t="str">
        <f t="shared" si="33"/>
        <v>SOUTHERN_EUROPE_NO_REGION</v>
      </c>
      <c r="H346" t="b">
        <f t="shared" si="34"/>
        <v>0</v>
      </c>
      <c r="I346" t="b">
        <f t="shared" si="35"/>
        <v>0</v>
      </c>
      <c r="J346" t="b">
        <f t="shared" si="36"/>
        <v>1</v>
      </c>
      <c r="K346" t="b">
        <f t="shared" si="36"/>
        <v>0</v>
      </c>
      <c r="L346" t="b">
        <f t="shared" si="36"/>
        <v>0</v>
      </c>
      <c r="M346" t="b">
        <f t="shared" si="36"/>
        <v>0</v>
      </c>
      <c r="N346" t="b">
        <f t="shared" si="37"/>
        <v>0</v>
      </c>
      <c r="O346" t="b">
        <f t="shared" si="37"/>
        <v>0</v>
      </c>
      <c r="P346" t="b">
        <f t="shared" si="38"/>
        <v>0</v>
      </c>
    </row>
    <row r="347" spans="1:16">
      <c r="A347" t="str">
        <v>mtro_Italy_Rome_S_300</v>
      </c>
      <c r="B347" t="b" cm="1">
        <f t="array" ref="B347">_xlfn.XLOOKUP(A347,CONTROL[VEHIDCODE],PROPERTIES[EXCLUDE])</f>
        <v>0</v>
      </c>
      <c r="C347">
        <f>FLOOR(_xlfn.XLOOKUP($A347,PROPERTIES[VEHIDCODE],PROPERTIES[INTRODUCTION_YEAR]),20)</f>
        <v>1980</v>
      </c>
      <c r="D347" t="str">
        <f>_xlfn.XLOOKUP($A347,PROPERTIES[VEHIDCODE],PROPERTIES[ROLE])</f>
        <v>Metro</v>
      </c>
      <c r="E347" s="35" t="str">
        <f>_xlfn.XLOOKUP($A347,PROPERTIES[VEHIDCODE],PROPERTIES[REGION1])</f>
        <v>SOUTHERN_EUROPE</v>
      </c>
      <c r="F347" s="35" t="str">
        <f>_xlfn.XLOOKUP($A347,PROPERTIES[VEHIDCODE],PROPERTIES[REGION2])</f>
        <v>NO_REGION</v>
      </c>
      <c r="G347" s="35" t="str">
        <f t="shared" si="33"/>
        <v>SOUTHERN_EUROPE_NO_REGION</v>
      </c>
      <c r="H347" t="b">
        <f t="shared" si="34"/>
        <v>0</v>
      </c>
      <c r="I347" t="b">
        <f t="shared" si="35"/>
        <v>0</v>
      </c>
      <c r="J347" t="b">
        <f t="shared" si="36"/>
        <v>1</v>
      </c>
      <c r="K347" t="b">
        <f t="shared" si="36"/>
        <v>0</v>
      </c>
      <c r="L347" t="b">
        <f t="shared" si="36"/>
        <v>0</v>
      </c>
      <c r="M347" t="b">
        <f t="shared" si="36"/>
        <v>0</v>
      </c>
      <c r="N347" t="b">
        <f t="shared" si="37"/>
        <v>0</v>
      </c>
      <c r="O347" t="b">
        <f t="shared" si="37"/>
        <v>0</v>
      </c>
      <c r="P347" t="b">
        <f t="shared" si="38"/>
        <v>0</v>
      </c>
    </row>
    <row r="348" spans="1:16">
      <c r="A348" t="str">
        <v>mtro_Algeria_Algiers_CAF_2011_Stock</v>
      </c>
      <c r="B348" t="b" cm="1">
        <f t="array" ref="B348">_xlfn.XLOOKUP(A348,CONTROL[VEHIDCODE],PROPERTIES[EXCLUDE])</f>
        <v>0</v>
      </c>
      <c r="C348">
        <f>FLOOR(_xlfn.XLOOKUP($A348,PROPERTIES[VEHIDCODE],PROPERTIES[INTRODUCTION_YEAR]),20)</f>
        <v>2000</v>
      </c>
      <c r="D348" t="str">
        <f>_xlfn.XLOOKUP($A348,PROPERTIES[VEHIDCODE],PROPERTIES[ROLE])</f>
        <v>Metro</v>
      </c>
      <c r="E348" s="35" t="str">
        <f>_xlfn.XLOOKUP($A348,PROPERTIES[VEHIDCODE],PROPERTIES[REGION1])</f>
        <v>AFRICA</v>
      </c>
      <c r="F348" s="35" t="str">
        <f>_xlfn.XLOOKUP($A348,PROPERTIES[VEHIDCODE],PROPERTIES[REGION2])</f>
        <v>NO_REGION</v>
      </c>
      <c r="G348" s="35" t="str">
        <f t="shared" si="33"/>
        <v>AFRICA_NO_REGION</v>
      </c>
      <c r="H348" t="b">
        <f t="shared" si="34"/>
        <v>1</v>
      </c>
      <c r="I348" t="b">
        <f t="shared" si="35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6"/>
        <v>0</v>
      </c>
      <c r="N348" t="b">
        <f t="shared" si="37"/>
        <v>0</v>
      </c>
      <c r="O348" t="b">
        <f t="shared" si="37"/>
        <v>0</v>
      </c>
      <c r="P348" t="b">
        <f t="shared" si="38"/>
        <v>0</v>
      </c>
    </row>
    <row r="349" spans="1:16">
      <c r="A349" t="str">
        <v>mtro_Germany_Berlin_U_Bahn_IK</v>
      </c>
      <c r="B349" t="b" cm="1">
        <f t="array" ref="B349">_xlfn.XLOOKUP(A349,CONTROL[VEHIDCODE],PROPERTIES[EXCLUDE])</f>
        <v>0</v>
      </c>
      <c r="C349">
        <f>FLOOR(_xlfn.XLOOKUP($A349,PROPERTIES[VEHIDCODE],PROPERTIES[INTRODUCTION_YEAR]),20)</f>
        <v>2000</v>
      </c>
      <c r="D349" t="str">
        <f>_xlfn.XLOOKUP($A349,PROPERTIES[VEHIDCODE],PROPERTIES[ROLE])</f>
        <v>Metro</v>
      </c>
      <c r="E349" s="35" t="str">
        <f>_xlfn.XLOOKUP($A349,PROPERTIES[VEHIDCODE],PROPERTIES[REGION1])</f>
        <v>WESTERN_EUROPE</v>
      </c>
      <c r="F349" s="35" t="str">
        <f>_xlfn.XLOOKUP($A349,PROPERTIES[VEHIDCODE],PROPERTIES[REGION2])</f>
        <v>NO_REGION</v>
      </c>
      <c r="G349" s="35" t="str">
        <f t="shared" si="33"/>
        <v>WESTERN_EUROPE_NO_REGION</v>
      </c>
      <c r="H349" t="b">
        <f t="shared" si="34"/>
        <v>0</v>
      </c>
      <c r="I349" t="b">
        <f t="shared" si="35"/>
        <v>0</v>
      </c>
      <c r="J349" t="b">
        <f t="shared" si="36"/>
        <v>0</v>
      </c>
      <c r="K349" t="b">
        <f t="shared" si="36"/>
        <v>0</v>
      </c>
      <c r="L349" t="b">
        <f t="shared" si="36"/>
        <v>1</v>
      </c>
      <c r="M349" t="b">
        <f t="shared" si="36"/>
        <v>0</v>
      </c>
      <c r="N349" t="b">
        <f t="shared" si="37"/>
        <v>0</v>
      </c>
      <c r="O349" t="b">
        <f t="shared" si="37"/>
        <v>0</v>
      </c>
      <c r="P349" t="b">
        <f t="shared" si="38"/>
        <v>0</v>
      </c>
    </row>
    <row r="350" spans="1:16">
      <c r="A350" t="str">
        <v>mtro_USA_Chicago_L_6000</v>
      </c>
      <c r="B350" t="b" cm="1">
        <f t="array" ref="B350">_xlfn.XLOOKUP(A350,CONTROL[VEHIDCODE],PROPERTIES[EXCLUDE])</f>
        <v>0</v>
      </c>
      <c r="C350">
        <f>FLOOR(_xlfn.XLOOKUP($A350,PROPERTIES[VEHIDCODE],PROPERTIES[INTRODUCTION_YEAR]),20)</f>
        <v>1940</v>
      </c>
      <c r="D350" t="str">
        <f>_xlfn.XLOOKUP($A350,PROPERTIES[VEHIDCODE],PROPERTIES[ROLE])</f>
        <v>Metro</v>
      </c>
      <c r="E350" s="35" t="str">
        <f>_xlfn.XLOOKUP($A350,PROPERTIES[VEHIDCODE],PROPERTIES[REGION1])</f>
        <v>NORTH_AMERICA</v>
      </c>
      <c r="F350" s="35" t="str">
        <f>_xlfn.XLOOKUP($A350,PROPERTIES[VEHIDCODE],PROPERTIES[REGION2])</f>
        <v>NO_REGION</v>
      </c>
      <c r="G350" s="35" t="str">
        <f t="shared" si="33"/>
        <v>NORTH_AMERICA_NO_REGION</v>
      </c>
      <c r="H350" t="b">
        <f t="shared" si="34"/>
        <v>0</v>
      </c>
      <c r="I350" t="b">
        <f t="shared" si="35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6"/>
        <v>0</v>
      </c>
      <c r="N350" t="b">
        <f t="shared" si="37"/>
        <v>1</v>
      </c>
      <c r="O350" t="b">
        <f t="shared" si="37"/>
        <v>0</v>
      </c>
      <c r="P350" t="b">
        <f t="shared" si="38"/>
        <v>0</v>
      </c>
    </row>
    <row r="351" spans="1:16">
      <c r="A351" t="str">
        <v>mtro_UK_London_1903_Stock</v>
      </c>
      <c r="B351" t="b" cm="1">
        <f t="array" ref="B351">_xlfn.XLOOKUP(A351,CONTROL[VEHIDCODE],PROPERTIES[EXCLUDE])</f>
        <v>0</v>
      </c>
      <c r="C351">
        <f>FLOOR(_xlfn.XLOOKUP($A351,PROPERTIES[VEHIDCODE],PROPERTIES[INTRODUCTION_YEAR]),20)</f>
        <v>1900</v>
      </c>
      <c r="D351" t="str">
        <f>_xlfn.XLOOKUP($A351,PROPERTIES[VEHIDCODE],PROPERTIES[ROLE])</f>
        <v>Metro</v>
      </c>
      <c r="E351" s="35" t="str">
        <f>_xlfn.XLOOKUP($A351,PROPERTIES[VEHIDCODE],PROPERTIES[REGION1])</f>
        <v>NORTHERN_EUROPE</v>
      </c>
      <c r="F351" s="35" t="str">
        <f>_xlfn.XLOOKUP($A351,PROPERTIES[VEHIDCODE],PROPERTIES[REGION2])</f>
        <v>NO_REGION</v>
      </c>
      <c r="G351" s="35" t="str">
        <f t="shared" si="33"/>
        <v>NORTHERN_EUROPE_NO_REGION</v>
      </c>
      <c r="H351" t="b">
        <f t="shared" si="34"/>
        <v>0</v>
      </c>
      <c r="I351" t="b">
        <f t="shared" si="35"/>
        <v>0</v>
      </c>
      <c r="J351" t="b">
        <f t="shared" si="36"/>
        <v>0</v>
      </c>
      <c r="K351" t="b">
        <f t="shared" si="36"/>
        <v>0</v>
      </c>
      <c r="L351" t="b">
        <f t="shared" si="36"/>
        <v>0</v>
      </c>
      <c r="M351" t="b">
        <f t="shared" si="36"/>
        <v>1</v>
      </c>
      <c r="N351" t="b">
        <f t="shared" si="37"/>
        <v>0</v>
      </c>
      <c r="O351" t="b">
        <f t="shared" si="37"/>
        <v>0</v>
      </c>
      <c r="P351" t="b">
        <f t="shared" si="38"/>
        <v>0</v>
      </c>
    </row>
    <row r="352" spans="1:16">
      <c r="A352" t="str">
        <v>mtro_UK_London_1938_Stock</v>
      </c>
      <c r="B352" t="b" cm="1">
        <f t="array" ref="B352">_xlfn.XLOOKUP(A352,CONTROL[VEHIDCODE],PROPERTIES[EXCLUDE])</f>
        <v>0</v>
      </c>
      <c r="C352">
        <f>FLOOR(_xlfn.XLOOKUP($A352,PROPERTIES[VEHIDCODE],PROPERTIES[INTRODUCTION_YEAR]),20)</f>
        <v>1920</v>
      </c>
      <c r="D352" t="str">
        <f>_xlfn.XLOOKUP($A352,PROPERTIES[VEHIDCODE],PROPERTIES[ROLE])</f>
        <v>Metro</v>
      </c>
      <c r="E352" s="35" t="str">
        <f>_xlfn.XLOOKUP($A352,PROPERTIES[VEHIDCODE],PROPERTIES[REGION1])</f>
        <v>NORTHERN_EUROPE</v>
      </c>
      <c r="F352" s="35" t="str">
        <f>_xlfn.XLOOKUP($A352,PROPERTIES[VEHIDCODE],PROPERTIES[REGION2])</f>
        <v>NO_REGION</v>
      </c>
      <c r="G352" s="35" t="str">
        <f t="shared" si="33"/>
        <v>NORTHERN_EUROPE_NO_REGION</v>
      </c>
      <c r="H352" t="b">
        <f t="shared" si="34"/>
        <v>0</v>
      </c>
      <c r="I352" t="b">
        <f t="shared" si="35"/>
        <v>0</v>
      </c>
      <c r="J352" t="b">
        <f t="shared" si="36"/>
        <v>0</v>
      </c>
      <c r="K352" t="b">
        <f t="shared" si="36"/>
        <v>0</v>
      </c>
      <c r="L352" t="b">
        <f t="shared" si="36"/>
        <v>0</v>
      </c>
      <c r="M352" t="b">
        <f t="shared" si="36"/>
        <v>1</v>
      </c>
      <c r="N352" t="b">
        <f t="shared" si="37"/>
        <v>0</v>
      </c>
      <c r="O352" t="b">
        <f t="shared" si="37"/>
        <v>0</v>
      </c>
      <c r="P352" t="b">
        <f t="shared" si="38"/>
        <v>0</v>
      </c>
    </row>
    <row r="353" spans="1:16">
      <c r="A353" t="str">
        <v>electric_UK_NER_EF1</v>
      </c>
      <c r="B353" t="b" cm="1">
        <f t="array" ref="B353">_xlfn.XLOOKUP(A353,CONTROL[VEHIDCODE],PROPERTIES[EXCLUDE])</f>
        <v>0</v>
      </c>
      <c r="C353">
        <f>FLOOR(_xlfn.XLOOKUP($A353,PROPERTIES[VEHIDCODE],PROPERTIES[INTRODUCTION_YEAR]),20)</f>
        <v>1900</v>
      </c>
      <c r="D353" t="str">
        <f>_xlfn.XLOOKUP($A353,PROPERTIES[VEHIDCODE],PROPERTIES[ROLE])</f>
        <v>Shunting</v>
      </c>
      <c r="E353" s="35" t="str">
        <f>_xlfn.XLOOKUP($A353,PROPERTIES[VEHIDCODE],PROPERTIES[REGION1])</f>
        <v>NORTHERN_EUROPE</v>
      </c>
      <c r="F353" s="35" t="str">
        <f>_xlfn.XLOOKUP($A353,PROPERTIES[VEHIDCODE],PROPERTIES[REGION2])</f>
        <v>NO_REGION</v>
      </c>
      <c r="G353" s="35" t="str">
        <f t="shared" si="33"/>
        <v>NORTHERN_EUROPE_NO_REGION</v>
      </c>
      <c r="H353" t="b">
        <f t="shared" si="34"/>
        <v>0</v>
      </c>
      <c r="I353" t="b">
        <f t="shared" si="35"/>
        <v>0</v>
      </c>
      <c r="J353" t="b">
        <f t="shared" si="36"/>
        <v>0</v>
      </c>
      <c r="K353" t="b">
        <f t="shared" si="36"/>
        <v>0</v>
      </c>
      <c r="L353" t="b">
        <f t="shared" si="36"/>
        <v>0</v>
      </c>
      <c r="M353" t="b">
        <f t="shared" si="36"/>
        <v>1</v>
      </c>
      <c r="N353" t="b">
        <f t="shared" si="37"/>
        <v>0</v>
      </c>
      <c r="O353" t="b">
        <f t="shared" si="37"/>
        <v>0</v>
      </c>
      <c r="P353" t="b">
        <f t="shared" si="38"/>
        <v>0</v>
      </c>
    </row>
    <row r="354" spans="1:16">
      <c r="A354" t="str">
        <v>electric_Japan_JNR_EB10</v>
      </c>
      <c r="B354" t="b" cm="1">
        <f t="array" ref="B354">_xlfn.XLOOKUP(A354,CONTROL[VEHIDCODE],PROPERTIES[EXCLUDE])</f>
        <v>0</v>
      </c>
      <c r="C354">
        <f>FLOOR(_xlfn.XLOOKUP($A354,PROPERTIES[VEHIDCODE],PROPERTIES[INTRODUCTION_YEAR]),20)</f>
        <v>1920</v>
      </c>
      <c r="D354" t="str">
        <f>_xlfn.XLOOKUP($A354,PROPERTIES[VEHIDCODE],PROPERTIES[ROLE])</f>
        <v>Shunting</v>
      </c>
      <c r="E354" s="35" t="str">
        <f>_xlfn.XLOOKUP($A354,PROPERTIES[VEHIDCODE],PROPERTIES[REGION1])</f>
        <v>ASIA</v>
      </c>
      <c r="F354" s="35" t="str">
        <f>_xlfn.XLOOKUP($A354,PROPERTIES[VEHIDCODE],PROPERTIES[REGION2])</f>
        <v>NO_REGION</v>
      </c>
      <c r="G354" s="35" t="str">
        <f t="shared" si="33"/>
        <v>ASIA_NO_REGION</v>
      </c>
      <c r="H354" t="b">
        <f t="shared" si="34"/>
        <v>0</v>
      </c>
      <c r="I354" t="b">
        <f t="shared" si="35"/>
        <v>1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6"/>
        <v>0</v>
      </c>
      <c r="N354" t="b">
        <f t="shared" si="37"/>
        <v>0</v>
      </c>
      <c r="O354" t="b">
        <f t="shared" si="37"/>
        <v>0</v>
      </c>
      <c r="P354" t="b">
        <f t="shared" si="38"/>
        <v>0</v>
      </c>
    </row>
    <row r="355" spans="1:16">
      <c r="A355" t="str">
        <v>electric_Japan_JNR_EF55</v>
      </c>
      <c r="B355" t="b" cm="1">
        <f t="array" ref="B355">_xlfn.XLOOKUP(A355,CONTROL[VEHIDCODE],PROPERTIES[EXCLUDE])</f>
        <v>0</v>
      </c>
      <c r="C355">
        <f>FLOOR(_xlfn.XLOOKUP($A355,PROPERTIES[VEHIDCODE],PROPERTIES[INTRODUCTION_YEAR]),20)</f>
        <v>1920</v>
      </c>
      <c r="D355" t="str">
        <f>_xlfn.XLOOKUP($A355,PROPERTIES[VEHIDCODE],PROPERTIES[ROLE])</f>
        <v>Universal</v>
      </c>
      <c r="E355" s="35" t="str">
        <f>_xlfn.XLOOKUP($A355,PROPERTIES[VEHIDCODE],PROPERTIES[REGION1])</f>
        <v>ASIA</v>
      </c>
      <c r="F355" s="35" t="str">
        <f>_xlfn.XLOOKUP($A355,PROPERTIES[VEHIDCODE],PROPERTIES[REGION2])</f>
        <v>NO_REGION</v>
      </c>
      <c r="G355" s="35" t="str">
        <f t="shared" si="33"/>
        <v>ASIA_NO_REGION</v>
      </c>
      <c r="H355" t="b">
        <f t="shared" si="34"/>
        <v>0</v>
      </c>
      <c r="I355" t="b">
        <f t="shared" si="35"/>
        <v>1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6"/>
        <v>0</v>
      </c>
      <c r="N355" t="b">
        <f t="shared" si="37"/>
        <v>0</v>
      </c>
      <c r="O355" t="b">
        <f t="shared" si="37"/>
        <v>0</v>
      </c>
      <c r="P355" t="b">
        <f t="shared" si="38"/>
        <v>0</v>
      </c>
    </row>
    <row r="356" spans="1:16">
      <c r="A356" t="str">
        <v>electric_Netherlands_NS_1000</v>
      </c>
      <c r="B356" t="b" cm="1">
        <f t="array" ref="B356">_xlfn.XLOOKUP(A356,CONTROL[VEHIDCODE],PROPERTIES[EXCLUDE])</f>
        <v>0</v>
      </c>
      <c r="C356">
        <f>FLOOR(_xlfn.XLOOKUP($A356,PROPERTIES[VEHIDCODE],PROPERTIES[INTRODUCTION_YEAR]),20)</f>
        <v>1940</v>
      </c>
      <c r="D356" t="str">
        <f>_xlfn.XLOOKUP($A356,PROPERTIES[VEHIDCODE],PROPERTIES[ROLE])</f>
        <v>Universal</v>
      </c>
      <c r="E356" s="35" t="str">
        <f>_xlfn.XLOOKUP($A356,PROPERTIES[VEHIDCODE],PROPERTIES[REGION1])</f>
        <v>WESTERN_EUROPE</v>
      </c>
      <c r="F356" s="35" t="str">
        <f>_xlfn.XLOOKUP($A356,PROPERTIES[VEHIDCODE],PROPERTIES[REGION2])</f>
        <v>NO_REGION</v>
      </c>
      <c r="G356" s="35" t="str">
        <f t="shared" si="33"/>
        <v>WESTERN_EUROPE_NO_REGION</v>
      </c>
      <c r="H356" t="b">
        <f t="shared" si="34"/>
        <v>0</v>
      </c>
      <c r="I356" t="b">
        <f t="shared" si="35"/>
        <v>0</v>
      </c>
      <c r="J356" t="b">
        <f t="shared" si="36"/>
        <v>0</v>
      </c>
      <c r="K356" t="b">
        <f t="shared" si="36"/>
        <v>0</v>
      </c>
      <c r="L356" t="b">
        <f t="shared" si="36"/>
        <v>1</v>
      </c>
      <c r="M356" t="b">
        <f t="shared" si="36"/>
        <v>0</v>
      </c>
      <c r="N356" t="b">
        <f t="shared" si="37"/>
        <v>0</v>
      </c>
      <c r="O356" t="b">
        <f t="shared" si="37"/>
        <v>0</v>
      </c>
      <c r="P356" t="b">
        <f t="shared" si="38"/>
        <v>0</v>
      </c>
    </row>
    <row r="357" spans="1:16">
      <c r="A357" t="str">
        <v>electric_Netherlands_NS_1600</v>
      </c>
      <c r="B357" t="b" cm="1">
        <f t="array" ref="B357">_xlfn.XLOOKUP(A357,CONTROL[VEHIDCODE],PROPERTIES[EXCLUDE])</f>
        <v>0</v>
      </c>
      <c r="C357">
        <f>FLOOR(_xlfn.XLOOKUP($A357,PROPERTIES[VEHIDCODE],PROPERTIES[INTRODUCTION_YEAR]),20)</f>
        <v>1980</v>
      </c>
      <c r="D357" t="str">
        <f>_xlfn.XLOOKUP($A357,PROPERTIES[VEHIDCODE],PROPERTIES[ROLE])</f>
        <v>Express</v>
      </c>
      <c r="E357" s="35" t="str">
        <f>_xlfn.XLOOKUP($A357,PROPERTIES[VEHIDCODE],PROPERTIES[REGION1])</f>
        <v>WESTERN_EUROPE</v>
      </c>
      <c r="F357" s="35" t="str">
        <f>_xlfn.XLOOKUP($A357,PROPERTIES[VEHIDCODE],PROPERTIES[REGION2])</f>
        <v>NO_REGION</v>
      </c>
      <c r="G357" s="35" t="str">
        <f t="shared" si="33"/>
        <v>WESTERN_EUROPE_NO_REGION</v>
      </c>
      <c r="H357" t="b">
        <f t="shared" si="34"/>
        <v>0</v>
      </c>
      <c r="I357" t="b">
        <f t="shared" si="35"/>
        <v>0</v>
      </c>
      <c r="J357" t="b">
        <f t="shared" si="36"/>
        <v>0</v>
      </c>
      <c r="K357" t="b">
        <f t="shared" si="36"/>
        <v>0</v>
      </c>
      <c r="L357" t="b">
        <f t="shared" si="36"/>
        <v>1</v>
      </c>
      <c r="M357" t="b">
        <f t="shared" si="36"/>
        <v>0</v>
      </c>
      <c r="N357" t="b">
        <f t="shared" si="37"/>
        <v>0</v>
      </c>
      <c r="O357" t="b">
        <f t="shared" si="37"/>
        <v>0</v>
      </c>
      <c r="P357" t="b">
        <f t="shared" si="38"/>
        <v>0</v>
      </c>
    </row>
    <row r="358" spans="1:16">
      <c r="A358" t="str">
        <v>electric_Australia_Victorian_Railways_E_Class</v>
      </c>
      <c r="B358" t="b" cm="1">
        <f t="array" ref="B358">_xlfn.XLOOKUP(A358,CONTROL[VEHIDCODE],PROPERTIES[EXCLUDE])</f>
        <v>0</v>
      </c>
      <c r="C358">
        <f>FLOOR(_xlfn.XLOOKUP($A358,PROPERTIES[VEHIDCODE],PROPERTIES[INTRODUCTION_YEAR]),20)</f>
        <v>1920</v>
      </c>
      <c r="D358" t="str">
        <f>_xlfn.XLOOKUP($A358,PROPERTIES[VEHIDCODE],PROPERTIES[ROLE])</f>
        <v>Universal</v>
      </c>
      <c r="E358" s="35" t="str">
        <f>_xlfn.XLOOKUP($A358,PROPERTIES[VEHIDCODE],PROPERTIES[REGION1])</f>
        <v>OCEANIA</v>
      </c>
      <c r="F358" s="35" t="str">
        <f>_xlfn.XLOOKUP($A358,PROPERTIES[VEHIDCODE],PROPERTIES[REGION2])</f>
        <v>NO_REGION</v>
      </c>
      <c r="G358" s="35" t="str">
        <f t="shared" si="33"/>
        <v>OCEANIA_NO_REGION</v>
      </c>
      <c r="H358" t="b">
        <f t="shared" si="34"/>
        <v>0</v>
      </c>
      <c r="I358" t="b">
        <f t="shared" si="35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6"/>
        <v>0</v>
      </c>
      <c r="N358" t="b">
        <f t="shared" si="37"/>
        <v>0</v>
      </c>
      <c r="O358" t="b">
        <f t="shared" si="37"/>
        <v>0</v>
      </c>
      <c r="P358" t="b">
        <f t="shared" si="38"/>
        <v>1</v>
      </c>
    </row>
    <row r="359" spans="1:16">
      <c r="A359" t="str">
        <v>electric_UK_NER_ES1</v>
      </c>
      <c r="B359" t="b" cm="1">
        <f t="array" ref="B359">_xlfn.XLOOKUP(A359,CONTROL[VEHIDCODE],PROPERTIES[EXCLUDE])</f>
        <v>0</v>
      </c>
      <c r="C359">
        <f>FLOOR(_xlfn.XLOOKUP($A359,PROPERTIES[VEHIDCODE],PROPERTIES[INTRODUCTION_YEAR]),20)</f>
        <v>1900</v>
      </c>
      <c r="D359" t="str">
        <f>_xlfn.XLOOKUP($A359,PROPERTIES[VEHIDCODE],PROPERTIES[ROLE])</f>
        <v>Shunting</v>
      </c>
      <c r="E359" s="35" t="str">
        <f>_xlfn.XLOOKUP($A359,PROPERTIES[VEHIDCODE],PROPERTIES[REGION1])</f>
        <v>NORTHERN_EUROPE</v>
      </c>
      <c r="F359" s="35" t="str">
        <f>_xlfn.XLOOKUP($A359,PROPERTIES[VEHIDCODE],PROPERTIES[REGION2])</f>
        <v>NO_REGION</v>
      </c>
      <c r="G359" s="35" t="str">
        <f t="shared" si="33"/>
        <v>NORTHERN_EUROPE_NO_REGION</v>
      </c>
      <c r="H359" t="b">
        <f t="shared" si="34"/>
        <v>0</v>
      </c>
      <c r="I359" t="b">
        <f t="shared" si="35"/>
        <v>0</v>
      </c>
      <c r="J359" t="b">
        <f t="shared" si="36"/>
        <v>0</v>
      </c>
      <c r="K359" t="b">
        <f t="shared" si="36"/>
        <v>0</v>
      </c>
      <c r="L359" t="b">
        <f t="shared" si="36"/>
        <v>0</v>
      </c>
      <c r="M359" t="b">
        <f t="shared" si="36"/>
        <v>1</v>
      </c>
      <c r="N359" t="b">
        <f t="shared" si="37"/>
        <v>0</v>
      </c>
      <c r="O359" t="b">
        <f t="shared" si="37"/>
        <v>0</v>
      </c>
      <c r="P359" t="b">
        <f t="shared" si="38"/>
        <v>0</v>
      </c>
    </row>
    <row r="360" spans="1:16">
      <c r="A360" t="str">
        <v>electric_USA_NYC_S_motor</v>
      </c>
      <c r="B360" t="b" cm="1">
        <f t="array" ref="B360">_xlfn.XLOOKUP(A360,CONTROL[VEHIDCODE],PROPERTIES[EXCLUDE])</f>
        <v>0</v>
      </c>
      <c r="C360">
        <f>FLOOR(_xlfn.XLOOKUP($A360,PROPERTIES[VEHIDCODE],PROPERTIES[INTRODUCTION_YEAR]),20)</f>
        <v>1900</v>
      </c>
      <c r="D360" t="str">
        <f>_xlfn.XLOOKUP($A360,PROPERTIES[VEHIDCODE],PROPERTIES[ROLE])</f>
        <v>Universal</v>
      </c>
      <c r="E360" s="35" t="str">
        <f>_xlfn.XLOOKUP($A360,PROPERTIES[VEHIDCODE],PROPERTIES[REGION1])</f>
        <v>NORTH_AMERICA</v>
      </c>
      <c r="F360" s="35" t="str">
        <f>_xlfn.XLOOKUP($A360,PROPERTIES[VEHIDCODE],PROPERTIES[REGION2])</f>
        <v>NO_REGION</v>
      </c>
      <c r="G360" s="35" t="str">
        <f t="shared" si="33"/>
        <v>NORTH_AMERICA_NO_REGION</v>
      </c>
      <c r="H360" t="b">
        <f t="shared" si="34"/>
        <v>0</v>
      </c>
      <c r="I360" t="b">
        <f t="shared" si="35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6"/>
        <v>0</v>
      </c>
      <c r="N360" t="b">
        <f t="shared" si="37"/>
        <v>1</v>
      </c>
      <c r="O360" t="b">
        <f t="shared" si="37"/>
        <v>0</v>
      </c>
      <c r="P360" t="b">
        <f t="shared" si="38"/>
        <v>0</v>
      </c>
    </row>
    <row r="361" spans="1:16">
      <c r="A361" t="str">
        <v>electric_Japan_Aichi_Railroad_DeKi_400</v>
      </c>
      <c r="B361" t="b" cm="1">
        <f t="array" ref="B361">_xlfn.XLOOKUP(A361,CONTROL[VEHIDCODE],PROPERTIES[EXCLUDE])</f>
        <v>0</v>
      </c>
      <c r="C361">
        <f>FLOOR(_xlfn.XLOOKUP($A361,PROPERTIES[VEHIDCODE],PROPERTIES[INTRODUCTION_YEAR]),20)</f>
        <v>1920</v>
      </c>
      <c r="D361" t="str">
        <f>_xlfn.XLOOKUP($A361,PROPERTIES[VEHIDCODE],PROPERTIES[ROLE])</f>
        <v>Shunting</v>
      </c>
      <c r="E361" s="35" t="str">
        <f>_xlfn.XLOOKUP($A361,PROPERTIES[VEHIDCODE],PROPERTIES[REGION1])</f>
        <v>ASIA</v>
      </c>
      <c r="F361" s="35" t="str">
        <f>_xlfn.XLOOKUP($A361,PROPERTIES[VEHIDCODE],PROPERTIES[REGION2])</f>
        <v>NO_REGION</v>
      </c>
      <c r="G361" s="35" t="str">
        <f t="shared" si="33"/>
        <v>ASIA_NO_REGION</v>
      </c>
      <c r="H361" t="b">
        <f t="shared" si="34"/>
        <v>0</v>
      </c>
      <c r="I361" t="b">
        <f t="shared" si="35"/>
        <v>1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6"/>
        <v>0</v>
      </c>
      <c r="N361" t="b">
        <f t="shared" si="37"/>
        <v>0</v>
      </c>
      <c r="O361" t="b">
        <f t="shared" si="37"/>
        <v>0</v>
      </c>
      <c r="P361" t="b">
        <f t="shared" si="38"/>
        <v>0</v>
      </c>
    </row>
    <row r="362" spans="1:16">
      <c r="A362" t="str">
        <v>electric_India_Indian_Railways_WCG_1</v>
      </c>
      <c r="B362" t="b" cm="1">
        <f t="array" ref="B362">_xlfn.XLOOKUP(A362,CONTROL[VEHIDCODE],PROPERTIES[EXCLUDE])</f>
        <v>0</v>
      </c>
      <c r="C362">
        <f>FLOOR(_xlfn.XLOOKUP($A362,PROPERTIES[VEHIDCODE],PROPERTIES[INTRODUCTION_YEAR]),20)</f>
        <v>1920</v>
      </c>
      <c r="D362" t="str">
        <f>_xlfn.XLOOKUP($A362,PROPERTIES[VEHIDCODE],PROPERTIES[ROLE])</f>
        <v>Universal</v>
      </c>
      <c r="E362" s="35" t="str">
        <f>_xlfn.XLOOKUP($A362,PROPERTIES[VEHIDCODE],PROPERTIES[REGION1])</f>
        <v>ASIA</v>
      </c>
      <c r="F362" s="35" t="str">
        <f>_xlfn.XLOOKUP($A362,PROPERTIES[VEHIDCODE],PROPERTIES[REGION2])</f>
        <v>NO_REGION</v>
      </c>
      <c r="G362" s="35" t="str">
        <f t="shared" si="33"/>
        <v>ASIA_NO_REGION</v>
      </c>
      <c r="H362" t="b">
        <f t="shared" si="34"/>
        <v>0</v>
      </c>
      <c r="I362" t="b">
        <f t="shared" si="35"/>
        <v>1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6"/>
        <v>0</v>
      </c>
      <c r="N362" t="b">
        <f t="shared" si="37"/>
        <v>0</v>
      </c>
      <c r="O362" t="b">
        <f t="shared" si="37"/>
        <v>0</v>
      </c>
      <c r="P362" t="b">
        <f t="shared" si="38"/>
        <v>0</v>
      </c>
    </row>
    <row r="363" spans="1:16">
      <c r="A363" t="str">
        <v>electric_France_SNCF_BB_9004</v>
      </c>
      <c r="B363" t="b" cm="1">
        <f t="array" ref="B363">_xlfn.XLOOKUP(A363,CONTROL[VEHIDCODE],PROPERTIES[EXCLUDE])</f>
        <v>0</v>
      </c>
      <c r="C363">
        <f>FLOOR(_xlfn.XLOOKUP($A363,PROPERTIES[VEHIDCODE],PROPERTIES[INTRODUCTION_YEAR]),20)</f>
        <v>1940</v>
      </c>
      <c r="D363" t="str">
        <f>_xlfn.XLOOKUP($A363,PROPERTIES[VEHIDCODE],PROPERTIES[ROLE])</f>
        <v>Universal</v>
      </c>
      <c r="E363" s="35" t="str">
        <f>_xlfn.XLOOKUP($A363,PROPERTIES[VEHIDCODE],PROPERTIES[REGION1])</f>
        <v>WESTERN_EUROPE</v>
      </c>
      <c r="F363" s="35" t="str">
        <f>_xlfn.XLOOKUP($A363,PROPERTIES[VEHIDCODE],PROPERTIES[REGION2])</f>
        <v>NO_REGION</v>
      </c>
      <c r="G363" s="35" t="str">
        <f t="shared" si="33"/>
        <v>WESTERN_EUROPE_NO_REGION</v>
      </c>
      <c r="H363" t="b">
        <f t="shared" si="34"/>
        <v>0</v>
      </c>
      <c r="I363" t="b">
        <f t="shared" si="35"/>
        <v>0</v>
      </c>
      <c r="J363" t="b">
        <f t="shared" si="36"/>
        <v>0</v>
      </c>
      <c r="K363" t="b">
        <f t="shared" si="36"/>
        <v>0</v>
      </c>
      <c r="L363" t="b">
        <f t="shared" si="36"/>
        <v>1</v>
      </c>
      <c r="M363" t="b">
        <f t="shared" si="36"/>
        <v>0</v>
      </c>
      <c r="N363" t="b">
        <f t="shared" si="37"/>
        <v>0</v>
      </c>
      <c r="O363" t="b">
        <f t="shared" si="37"/>
        <v>0</v>
      </c>
      <c r="P363" t="b">
        <f t="shared" si="38"/>
        <v>0</v>
      </c>
    </row>
    <row r="364" spans="1:16">
      <c r="A364" t="str">
        <v>electric_Indonesia_ESS_3200</v>
      </c>
      <c r="B364" t="b" cm="1">
        <f t="array" ref="B364">_xlfn.XLOOKUP(A364,CONTROL[VEHIDCODE],PROPERTIES[EXCLUDE])</f>
        <v>0</v>
      </c>
      <c r="C364">
        <f>FLOOR(_xlfn.XLOOKUP($A364,PROPERTIES[VEHIDCODE],PROPERTIES[INTRODUCTION_YEAR]),20)</f>
        <v>1920</v>
      </c>
      <c r="D364" t="str">
        <f>_xlfn.XLOOKUP($A364,PROPERTIES[VEHIDCODE],PROPERTIES[ROLE])</f>
        <v>Express</v>
      </c>
      <c r="E364" s="35" t="str">
        <f>_xlfn.XLOOKUP($A364,PROPERTIES[VEHIDCODE],PROPERTIES[REGION1])</f>
        <v>OCEANIA</v>
      </c>
      <c r="F364" s="35" t="str">
        <f>_xlfn.XLOOKUP($A364,PROPERTIES[VEHIDCODE],PROPERTIES[REGION2])</f>
        <v>NO_REGION</v>
      </c>
      <c r="G364" s="35" t="str">
        <f t="shared" si="33"/>
        <v>OCEANIA_NO_REGION</v>
      </c>
      <c r="H364" t="b">
        <f t="shared" si="34"/>
        <v>0</v>
      </c>
      <c r="I364" t="b">
        <f t="shared" si="35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6"/>
        <v>0</v>
      </c>
      <c r="N364" t="b">
        <f t="shared" si="37"/>
        <v>0</v>
      </c>
      <c r="O364" t="b">
        <f t="shared" si="37"/>
        <v>0</v>
      </c>
      <c r="P364" t="b">
        <f t="shared" si="38"/>
        <v>1</v>
      </c>
    </row>
    <row r="365" spans="1:16">
      <c r="A365" t="str">
        <v>electric_UK_BR_77_Metrovic</v>
      </c>
      <c r="B365" t="b" cm="1">
        <f t="array" ref="B365">_xlfn.XLOOKUP(A365,CONTROL[VEHIDCODE],PROPERTIES[EXCLUDE])</f>
        <v>0</v>
      </c>
      <c r="C365">
        <f>FLOOR(_xlfn.XLOOKUP($A365,PROPERTIES[VEHIDCODE],PROPERTIES[INTRODUCTION_YEAR]),20)</f>
        <v>1940</v>
      </c>
      <c r="D365" t="str">
        <f>_xlfn.XLOOKUP($A365,PROPERTIES[VEHIDCODE],PROPERTIES[ROLE])</f>
        <v>Universal</v>
      </c>
      <c r="E365" s="35" t="str">
        <f>_xlfn.XLOOKUP($A365,PROPERTIES[VEHIDCODE],PROPERTIES[REGION1])</f>
        <v>NORTHERN_EUROPE</v>
      </c>
      <c r="F365" s="35" t="str">
        <f>_xlfn.XLOOKUP($A365,PROPERTIES[VEHIDCODE],PROPERTIES[REGION2])</f>
        <v>NO_REGION</v>
      </c>
      <c r="G365" s="35" t="str">
        <f t="shared" si="33"/>
        <v>NORTHERN_EUROPE_NO_REGION</v>
      </c>
      <c r="H365" t="b">
        <f t="shared" si="34"/>
        <v>0</v>
      </c>
      <c r="I365" t="b">
        <f t="shared" si="35"/>
        <v>0</v>
      </c>
      <c r="J365" t="b">
        <f t="shared" si="36"/>
        <v>0</v>
      </c>
      <c r="K365" t="b">
        <f t="shared" si="36"/>
        <v>0</v>
      </c>
      <c r="L365" t="b">
        <f t="shared" si="36"/>
        <v>0</v>
      </c>
      <c r="M365" t="b">
        <f t="shared" si="36"/>
        <v>1</v>
      </c>
      <c r="N365" t="b">
        <f t="shared" si="37"/>
        <v>0</v>
      </c>
      <c r="O365" t="b">
        <f t="shared" si="37"/>
        <v>0</v>
      </c>
      <c r="P365" t="b">
        <f t="shared" si="38"/>
        <v>0</v>
      </c>
    </row>
    <row r="366" spans="1:16">
      <c r="A366" t="str">
        <v>electric_UK_NER_EE1</v>
      </c>
      <c r="B366" t="b" cm="1">
        <f t="array" ref="B366">_xlfn.XLOOKUP(A366,CONTROL[VEHIDCODE],PROPERTIES[EXCLUDE])</f>
        <v>0</v>
      </c>
      <c r="C366">
        <f>FLOOR(_xlfn.XLOOKUP($A366,PROPERTIES[VEHIDCODE],PROPERTIES[INTRODUCTION_YEAR]),20)</f>
        <v>1920</v>
      </c>
      <c r="D366" t="str">
        <f>_xlfn.XLOOKUP($A366,PROPERTIES[VEHIDCODE],PROPERTIES[ROLE])</f>
        <v>Universal</v>
      </c>
      <c r="E366" s="35" t="str">
        <f>_xlfn.XLOOKUP($A366,PROPERTIES[VEHIDCODE],PROPERTIES[REGION1])</f>
        <v>NORTHERN_EUROPE</v>
      </c>
      <c r="F366" s="35" t="str">
        <f>_xlfn.XLOOKUP($A366,PROPERTIES[VEHIDCODE],PROPERTIES[REGION2])</f>
        <v>NO_REGION</v>
      </c>
      <c r="G366" s="35" t="str">
        <f t="shared" si="33"/>
        <v>NORTHERN_EUROPE_NO_REGION</v>
      </c>
      <c r="H366" t="b">
        <f t="shared" si="34"/>
        <v>0</v>
      </c>
      <c r="I366" t="b">
        <f t="shared" si="35"/>
        <v>0</v>
      </c>
      <c r="J366" t="b">
        <f t="shared" si="36"/>
        <v>0</v>
      </c>
      <c r="K366" t="b">
        <f t="shared" si="36"/>
        <v>0</v>
      </c>
      <c r="L366" t="b">
        <f t="shared" si="36"/>
        <v>0</v>
      </c>
      <c r="M366" t="b">
        <f t="shared" si="36"/>
        <v>1</v>
      </c>
      <c r="N366" t="b">
        <f t="shared" si="37"/>
        <v>0</v>
      </c>
      <c r="O366" t="b">
        <f t="shared" si="37"/>
        <v>0</v>
      </c>
      <c r="P366" t="b">
        <f t="shared" si="38"/>
        <v>0</v>
      </c>
    </row>
    <row r="367" spans="1:16">
      <c r="A367" t="str">
        <v>electric_USA_Milwaukee_Road_ES_2</v>
      </c>
      <c r="B367" t="b" cm="1">
        <f t="array" ref="B367">_xlfn.XLOOKUP(A367,CONTROL[VEHIDCODE],PROPERTIES[EXCLUDE])</f>
        <v>0</v>
      </c>
      <c r="C367">
        <f>FLOOR(_xlfn.XLOOKUP($A367,PROPERTIES[VEHIDCODE],PROPERTIES[INTRODUCTION_YEAR]),20)</f>
        <v>1900</v>
      </c>
      <c r="D367" t="str">
        <f>_xlfn.XLOOKUP($A367,PROPERTIES[VEHIDCODE],PROPERTIES[ROLE])</f>
        <v>Universal</v>
      </c>
      <c r="E367" s="35" t="str">
        <f>_xlfn.XLOOKUP($A367,PROPERTIES[VEHIDCODE],PROPERTIES[REGION1])</f>
        <v>NORTH_AMERICA</v>
      </c>
      <c r="F367" s="35" t="str">
        <f>_xlfn.XLOOKUP($A367,PROPERTIES[VEHIDCODE],PROPERTIES[REGION2])</f>
        <v>NO_REGION</v>
      </c>
      <c r="G367" s="35" t="str">
        <f t="shared" si="33"/>
        <v>NORTH_AMERICA_NO_REGION</v>
      </c>
      <c r="H367" t="b">
        <f t="shared" si="34"/>
        <v>0</v>
      </c>
      <c r="I367" t="b">
        <f t="shared" si="35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6"/>
        <v>0</v>
      </c>
      <c r="N367" t="b">
        <f t="shared" si="37"/>
        <v>1</v>
      </c>
      <c r="O367" t="b">
        <f t="shared" si="37"/>
        <v>0</v>
      </c>
      <c r="P367" t="b">
        <f t="shared" si="38"/>
        <v>0</v>
      </c>
    </row>
    <row r="368" spans="1:16">
      <c r="A368" t="str">
        <v>electric_USA_Milwaukee_Road_EP_2_Bipolar</v>
      </c>
      <c r="B368" t="b" cm="1">
        <f t="array" ref="B368">_xlfn.XLOOKUP(A368,CONTROL[VEHIDCODE],PROPERTIES[EXCLUDE])</f>
        <v>0</v>
      </c>
      <c r="C368">
        <f>FLOOR(_xlfn.XLOOKUP($A368,PROPERTIES[VEHIDCODE],PROPERTIES[INTRODUCTION_YEAR]),20)</f>
        <v>1900</v>
      </c>
      <c r="D368" t="str">
        <f>_xlfn.XLOOKUP($A368,PROPERTIES[VEHIDCODE],PROPERTIES[ROLE])</f>
        <v>Heavy Freight</v>
      </c>
      <c r="E368" s="35" t="str">
        <f>_xlfn.XLOOKUP($A368,PROPERTIES[VEHIDCODE],PROPERTIES[REGION1])</f>
        <v>NORTH_AMERICA</v>
      </c>
      <c r="F368" s="35" t="str">
        <f>_xlfn.XLOOKUP($A368,PROPERTIES[VEHIDCODE],PROPERTIES[REGION2])</f>
        <v>NO_REGION</v>
      </c>
      <c r="G368" s="35" t="str">
        <f t="shared" si="33"/>
        <v>NORTH_AMERICA_NO_REGION</v>
      </c>
      <c r="H368" t="b">
        <f t="shared" si="34"/>
        <v>0</v>
      </c>
      <c r="I368" t="b">
        <f t="shared" si="35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6"/>
        <v>0</v>
      </c>
      <c r="N368" t="b">
        <f t="shared" si="37"/>
        <v>1</v>
      </c>
      <c r="O368" t="b">
        <f t="shared" si="37"/>
        <v>0</v>
      </c>
      <c r="P368" t="b">
        <f t="shared" si="38"/>
        <v>0</v>
      </c>
    </row>
    <row r="369" spans="1:16">
      <c r="A369" t="str">
        <v>electric_Chile_EFE_E_28</v>
      </c>
      <c r="B369" t="b" cm="1">
        <f t="array" ref="B369">_xlfn.XLOOKUP(A369,CONTROL[VEHIDCODE],PROPERTIES[EXCLUDE])</f>
        <v>0</v>
      </c>
      <c r="C369">
        <f>FLOOR(_xlfn.XLOOKUP($A369,PROPERTIES[VEHIDCODE],PROPERTIES[INTRODUCTION_YEAR]),20)</f>
        <v>1920</v>
      </c>
      <c r="D369" t="str">
        <f>_xlfn.XLOOKUP($A369,PROPERTIES[VEHIDCODE],PROPERTIES[ROLE])</f>
        <v>Universal</v>
      </c>
      <c r="E369" s="35" t="str">
        <f>_xlfn.XLOOKUP($A369,PROPERTIES[VEHIDCODE],PROPERTIES[REGION1])</f>
        <v>SOUTH_AMERICA</v>
      </c>
      <c r="F369" s="35" t="str">
        <f>_xlfn.XLOOKUP($A369,PROPERTIES[VEHIDCODE],PROPERTIES[REGION2])</f>
        <v>NO_REGION</v>
      </c>
      <c r="G369" s="35" t="str">
        <f t="shared" si="33"/>
        <v>SOUTH_AMERICA_NO_REGION</v>
      </c>
      <c r="H369" t="b">
        <f t="shared" si="34"/>
        <v>0</v>
      </c>
      <c r="I369" t="b">
        <f t="shared" si="35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6"/>
        <v>0</v>
      </c>
      <c r="N369" t="b">
        <f t="shared" si="37"/>
        <v>0</v>
      </c>
      <c r="O369" t="b">
        <f t="shared" si="37"/>
        <v>1</v>
      </c>
      <c r="P369" t="b">
        <f t="shared" si="38"/>
        <v>0</v>
      </c>
    </row>
    <row r="370" spans="1:16">
      <c r="A370" t="str">
        <v>electric_Italy_FS_E428</v>
      </c>
      <c r="B370" t="b" cm="1">
        <f t="array" ref="B370">_xlfn.XLOOKUP(A370,CONTROL[VEHIDCODE],PROPERTIES[EXCLUDE])</f>
        <v>0</v>
      </c>
      <c r="C370">
        <f>FLOOR(_xlfn.XLOOKUP($A370,PROPERTIES[VEHIDCODE],PROPERTIES[INTRODUCTION_YEAR]),20)</f>
        <v>1920</v>
      </c>
      <c r="D370" t="str">
        <f>_xlfn.XLOOKUP($A370,PROPERTIES[VEHIDCODE],PROPERTIES[ROLE])</f>
        <v>Universal</v>
      </c>
      <c r="E370" s="35" t="str">
        <f>_xlfn.XLOOKUP($A370,PROPERTIES[VEHIDCODE],PROPERTIES[REGION1])</f>
        <v>SOUTHERN_EUROPE</v>
      </c>
      <c r="F370" s="35" t="str">
        <f>_xlfn.XLOOKUP($A370,PROPERTIES[VEHIDCODE],PROPERTIES[REGION2])</f>
        <v>NO_REGION</v>
      </c>
      <c r="G370" s="35" t="str">
        <f t="shared" si="33"/>
        <v>SOUTHERN_EUROPE_NO_REGION</v>
      </c>
      <c r="H370" t="b">
        <f t="shared" si="34"/>
        <v>0</v>
      </c>
      <c r="I370" t="b">
        <f t="shared" si="35"/>
        <v>0</v>
      </c>
      <c r="J370" t="b">
        <f t="shared" si="36"/>
        <v>1</v>
      </c>
      <c r="K370" t="b">
        <f t="shared" si="36"/>
        <v>0</v>
      </c>
      <c r="L370" t="b">
        <f t="shared" si="36"/>
        <v>0</v>
      </c>
      <c r="M370" t="b">
        <f t="shared" si="36"/>
        <v>0</v>
      </c>
      <c r="N370" t="b">
        <f t="shared" si="37"/>
        <v>0</v>
      </c>
      <c r="O370" t="b">
        <f t="shared" si="37"/>
        <v>0</v>
      </c>
      <c r="P370" t="b">
        <f t="shared" si="38"/>
        <v>0</v>
      </c>
    </row>
    <row r="371" spans="1:16">
      <c r="A371" t="str">
        <v>electric_South_Africa_SAR_ES_Class</v>
      </c>
      <c r="B371" t="b" cm="1">
        <f t="array" ref="B371">_xlfn.XLOOKUP(A371,CONTROL[VEHIDCODE],PROPERTIES[EXCLUDE])</f>
        <v>0</v>
      </c>
      <c r="C371">
        <f>FLOOR(_xlfn.XLOOKUP($A371,PROPERTIES[VEHIDCODE],PROPERTIES[INTRODUCTION_YEAR]),20)</f>
        <v>1920</v>
      </c>
      <c r="D371" t="str">
        <f>_xlfn.XLOOKUP($A371,PROPERTIES[VEHIDCODE],PROPERTIES[ROLE])</f>
        <v>Universal</v>
      </c>
      <c r="E371" s="35" t="str">
        <f>_xlfn.XLOOKUP($A371,PROPERTIES[VEHIDCODE],PROPERTIES[REGION1])</f>
        <v>AFRICA</v>
      </c>
      <c r="F371" s="35" t="str">
        <f>_xlfn.XLOOKUP($A371,PROPERTIES[VEHIDCODE],PROPERTIES[REGION2])</f>
        <v>NO_REGION</v>
      </c>
      <c r="G371" s="35" t="str">
        <f t="shared" si="33"/>
        <v>AFRICA_NO_REGION</v>
      </c>
      <c r="H371" t="b">
        <f t="shared" si="34"/>
        <v>1</v>
      </c>
      <c r="I371" t="b">
        <f t="shared" si="35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6"/>
        <v>0</v>
      </c>
      <c r="N371" t="b">
        <f t="shared" si="37"/>
        <v>0</v>
      </c>
      <c r="O371" t="b">
        <f t="shared" si="37"/>
        <v>0</v>
      </c>
      <c r="P371" t="b">
        <f t="shared" si="38"/>
        <v>0</v>
      </c>
    </row>
    <row r="372" spans="1:16">
      <c r="A372" t="str">
        <v>electric_Poland_PKP_EU06</v>
      </c>
      <c r="B372" t="b" cm="1">
        <f t="array" ref="B372">_xlfn.XLOOKUP(A372,CONTROL[VEHIDCODE],PROPERTIES[EXCLUDE])</f>
        <v>0</v>
      </c>
      <c r="C372">
        <f>FLOOR(_xlfn.XLOOKUP($A372,PROPERTIES[VEHIDCODE],PROPERTIES[INTRODUCTION_YEAR]),20)</f>
        <v>1960</v>
      </c>
      <c r="D372" t="str">
        <f>_xlfn.XLOOKUP($A372,PROPERTIES[VEHIDCODE],PROPERTIES[ROLE])</f>
        <v>Universal</v>
      </c>
      <c r="E372" s="35" t="str">
        <f>_xlfn.XLOOKUP($A372,PROPERTIES[VEHIDCODE],PROPERTIES[REGION1])</f>
        <v>EASTERN_EUROPE</v>
      </c>
      <c r="F372" s="35" t="str">
        <f>_xlfn.XLOOKUP($A372,PROPERTIES[VEHIDCODE],PROPERTIES[REGION2])</f>
        <v>NO_REGION</v>
      </c>
      <c r="G372" s="35" t="str">
        <f t="shared" si="33"/>
        <v>EASTERN_EUROPE_NO_REGION</v>
      </c>
      <c r="H372" t="b">
        <f t="shared" si="34"/>
        <v>0</v>
      </c>
      <c r="I372" t="b">
        <f t="shared" si="35"/>
        <v>0</v>
      </c>
      <c r="J372" t="b">
        <f t="shared" si="36"/>
        <v>0</v>
      </c>
      <c r="K372" t="b">
        <f t="shared" si="36"/>
        <v>1</v>
      </c>
      <c r="L372" t="b">
        <f t="shared" si="36"/>
        <v>0</v>
      </c>
      <c r="M372" t="b">
        <f t="shared" si="36"/>
        <v>0</v>
      </c>
      <c r="N372" t="b">
        <f t="shared" si="37"/>
        <v>0</v>
      </c>
      <c r="O372" t="b">
        <f t="shared" si="37"/>
        <v>0</v>
      </c>
      <c r="P372" t="b">
        <f t="shared" si="38"/>
        <v>0</v>
      </c>
    </row>
    <row r="373" spans="1:16">
      <c r="A373" t="str">
        <v>electric_Poland_PKP_ET41</v>
      </c>
      <c r="B373" t="b" cm="1">
        <f t="array" ref="B373">_xlfn.XLOOKUP(A373,CONTROL[VEHIDCODE],PROPERTIES[EXCLUDE])</f>
        <v>0</v>
      </c>
      <c r="C373">
        <f>FLOOR(_xlfn.XLOOKUP($A373,PROPERTIES[VEHIDCODE],PROPERTIES[INTRODUCTION_YEAR]),20)</f>
        <v>1960</v>
      </c>
      <c r="D373" t="str">
        <f>_xlfn.XLOOKUP($A373,PROPERTIES[VEHIDCODE],PROPERTIES[ROLE])</f>
        <v>Heavy Freight</v>
      </c>
      <c r="E373" s="35" t="str">
        <f>_xlfn.XLOOKUP($A373,PROPERTIES[VEHIDCODE],PROPERTIES[REGION1])</f>
        <v>EASTERN_EUROPE</v>
      </c>
      <c r="F373" s="35" t="str">
        <f>_xlfn.XLOOKUP($A373,PROPERTIES[VEHIDCODE],PROPERTIES[REGION2])</f>
        <v>NO_REGION</v>
      </c>
      <c r="G373" s="35" t="str">
        <f t="shared" si="33"/>
        <v>EASTERN_EUROPE_NO_REGION</v>
      </c>
      <c r="H373" t="b">
        <f t="shared" si="34"/>
        <v>0</v>
      </c>
      <c r="I373" t="b">
        <f t="shared" si="35"/>
        <v>0</v>
      </c>
      <c r="J373" t="b">
        <f t="shared" si="36"/>
        <v>0</v>
      </c>
      <c r="K373" t="b">
        <f t="shared" si="36"/>
        <v>1</v>
      </c>
      <c r="L373" t="b">
        <f t="shared" si="36"/>
        <v>0</v>
      </c>
      <c r="M373" t="b">
        <f t="shared" si="36"/>
        <v>0</v>
      </c>
      <c r="N373" t="b">
        <f t="shared" si="37"/>
        <v>0</v>
      </c>
      <c r="O373" t="b">
        <f t="shared" si="37"/>
        <v>0</v>
      </c>
      <c r="P373" t="b">
        <f t="shared" si="38"/>
        <v>0</v>
      </c>
    </row>
    <row r="374" spans="1:16">
      <c r="A374" t="str">
        <v>electric_Poland_PKP_EP09</v>
      </c>
      <c r="B374" t="b" cm="1">
        <f t="array" ref="B374">_xlfn.XLOOKUP(A374,CONTROL[VEHIDCODE],PROPERTIES[EXCLUDE])</f>
        <v>0</v>
      </c>
      <c r="C374">
        <f>FLOOR(_xlfn.XLOOKUP($A374,PROPERTIES[VEHIDCODE],PROPERTIES[INTRODUCTION_YEAR]),20)</f>
        <v>1980</v>
      </c>
      <c r="D374" t="str">
        <f>_xlfn.XLOOKUP($A374,PROPERTIES[VEHIDCODE],PROPERTIES[ROLE])</f>
        <v>Express</v>
      </c>
      <c r="E374" s="35" t="str">
        <f>_xlfn.XLOOKUP($A374,PROPERTIES[VEHIDCODE],PROPERTIES[REGION1])</f>
        <v>EASTERN_EUROPE</v>
      </c>
      <c r="F374" s="35" t="str">
        <f>_xlfn.XLOOKUP($A374,PROPERTIES[VEHIDCODE],PROPERTIES[REGION2])</f>
        <v>NO_REGION</v>
      </c>
      <c r="G374" s="35" t="str">
        <f t="shared" si="33"/>
        <v>EASTERN_EUROPE_NO_REGION</v>
      </c>
      <c r="H374" t="b">
        <f t="shared" si="34"/>
        <v>0</v>
      </c>
      <c r="I374" t="b">
        <f t="shared" si="35"/>
        <v>0</v>
      </c>
      <c r="J374" t="b">
        <f t="shared" si="36"/>
        <v>0</v>
      </c>
      <c r="K374" t="b">
        <f t="shared" si="36"/>
        <v>1</v>
      </c>
      <c r="L374" t="b">
        <f t="shared" si="36"/>
        <v>0</v>
      </c>
      <c r="M374" t="b">
        <f t="shared" si="36"/>
        <v>0</v>
      </c>
      <c r="N374" t="b">
        <f t="shared" si="37"/>
        <v>0</v>
      </c>
      <c r="O374" t="b">
        <f t="shared" si="37"/>
        <v>0</v>
      </c>
      <c r="P374" t="b">
        <f t="shared" si="38"/>
        <v>0</v>
      </c>
    </row>
    <row r="375" spans="1:16">
      <c r="A375" t="str">
        <v>electric_Slovakia_ZSSK_162</v>
      </c>
      <c r="B375" t="b" cm="1">
        <f t="array" ref="B375">_xlfn.XLOOKUP(A375,CONTROL[VEHIDCODE],PROPERTIES[EXCLUDE])</f>
        <v>0</v>
      </c>
      <c r="C375">
        <f>FLOOR(_xlfn.XLOOKUP($A375,PROPERTIES[VEHIDCODE],PROPERTIES[INTRODUCTION_YEAR]),20)</f>
        <v>1980</v>
      </c>
      <c r="D375" t="str">
        <f>_xlfn.XLOOKUP($A375,PROPERTIES[VEHIDCODE],PROPERTIES[ROLE])</f>
        <v>Universal</v>
      </c>
      <c r="E375" s="35" t="str">
        <f>_xlfn.XLOOKUP($A375,PROPERTIES[VEHIDCODE],PROPERTIES[REGION1])</f>
        <v>EASTERN_EUROPE</v>
      </c>
      <c r="F375" s="35" t="str">
        <f>_xlfn.XLOOKUP($A375,PROPERTIES[VEHIDCODE],PROPERTIES[REGION2])</f>
        <v>NO_REGION</v>
      </c>
      <c r="G375" s="35" t="str">
        <f t="shared" si="33"/>
        <v>EASTERN_EUROPE_NO_REGION</v>
      </c>
      <c r="H375" t="b">
        <f t="shared" si="34"/>
        <v>0</v>
      </c>
      <c r="I375" t="b">
        <f t="shared" si="35"/>
        <v>0</v>
      </c>
      <c r="J375" t="b">
        <f t="shared" si="36"/>
        <v>0</v>
      </c>
      <c r="K375" t="b">
        <f t="shared" si="36"/>
        <v>1</v>
      </c>
      <c r="L375" t="b">
        <f t="shared" si="36"/>
        <v>0</v>
      </c>
      <c r="M375" t="b">
        <f t="shared" si="36"/>
        <v>0</v>
      </c>
      <c r="N375" t="b">
        <f t="shared" si="37"/>
        <v>0</v>
      </c>
      <c r="O375" t="b">
        <f t="shared" si="37"/>
        <v>0</v>
      </c>
      <c r="P375" t="b">
        <f t="shared" si="38"/>
        <v>0</v>
      </c>
    </row>
    <row r="376" spans="1:16">
      <c r="A376" t="str">
        <v>electric_Italy_FS_E646</v>
      </c>
      <c r="B376" t="b" cm="1">
        <f t="array" ref="B376">_xlfn.XLOOKUP(A376,CONTROL[VEHIDCODE],PROPERTIES[EXCLUDE])</f>
        <v>0</v>
      </c>
      <c r="C376">
        <f>FLOOR(_xlfn.XLOOKUP($A376,PROPERTIES[VEHIDCODE],PROPERTIES[INTRODUCTION_YEAR]),20)</f>
        <v>1960</v>
      </c>
      <c r="D376" t="str">
        <f>_xlfn.XLOOKUP($A376,PROPERTIES[VEHIDCODE],PROPERTIES[ROLE])</f>
        <v>Universal</v>
      </c>
      <c r="E376" s="35" t="str">
        <f>_xlfn.XLOOKUP($A376,PROPERTIES[VEHIDCODE],PROPERTIES[REGION1])</f>
        <v>SOUTHERN_EUROPE</v>
      </c>
      <c r="F376" s="35" t="str">
        <f>_xlfn.XLOOKUP($A376,PROPERTIES[VEHIDCODE],PROPERTIES[REGION2])</f>
        <v>NO_REGION</v>
      </c>
      <c r="G376" s="35" t="str">
        <f t="shared" si="33"/>
        <v>SOUTHERN_EUROPE_NO_REGION</v>
      </c>
      <c r="H376" t="b">
        <f t="shared" si="34"/>
        <v>0</v>
      </c>
      <c r="I376" t="b">
        <f t="shared" si="35"/>
        <v>0</v>
      </c>
      <c r="J376" t="b">
        <f t="shared" si="36"/>
        <v>1</v>
      </c>
      <c r="K376" t="b">
        <f t="shared" si="36"/>
        <v>0</v>
      </c>
      <c r="L376" t="b">
        <f t="shared" si="36"/>
        <v>0</v>
      </c>
      <c r="M376" t="b">
        <f t="shared" si="36"/>
        <v>0</v>
      </c>
      <c r="N376" t="b">
        <f t="shared" si="37"/>
        <v>0</v>
      </c>
      <c r="O376" t="b">
        <f t="shared" si="37"/>
        <v>0</v>
      </c>
      <c r="P376" t="b">
        <f t="shared" si="38"/>
        <v>0</v>
      </c>
    </row>
    <row r="377" spans="1:16">
      <c r="A377" t="str">
        <v>electric_Italy_FS_E424</v>
      </c>
      <c r="B377" t="b" cm="1">
        <f t="array" ref="B377">_xlfn.XLOOKUP(A377,CONTROL[VEHIDCODE],PROPERTIES[EXCLUDE])</f>
        <v>0</v>
      </c>
      <c r="C377">
        <f>FLOOR(_xlfn.XLOOKUP($A377,PROPERTIES[VEHIDCODE],PROPERTIES[INTRODUCTION_YEAR]),20)</f>
        <v>1940</v>
      </c>
      <c r="D377" t="str">
        <f>_xlfn.XLOOKUP($A377,PROPERTIES[VEHIDCODE],PROPERTIES[ROLE])</f>
        <v>Universal</v>
      </c>
      <c r="E377" s="35" t="str">
        <f>_xlfn.XLOOKUP($A377,PROPERTIES[VEHIDCODE],PROPERTIES[REGION1])</f>
        <v>SOUTHERN_EUROPE</v>
      </c>
      <c r="F377" s="35" t="str">
        <f>_xlfn.XLOOKUP($A377,PROPERTIES[VEHIDCODE],PROPERTIES[REGION2])</f>
        <v>NO_REGION</v>
      </c>
      <c r="G377" s="35" t="str">
        <f t="shared" si="33"/>
        <v>SOUTHERN_EUROPE_NO_REGION</v>
      </c>
      <c r="H377" t="b">
        <f t="shared" si="34"/>
        <v>0</v>
      </c>
      <c r="I377" t="b">
        <f t="shared" si="35"/>
        <v>0</v>
      </c>
      <c r="J377" t="b">
        <f t="shared" si="36"/>
        <v>1</v>
      </c>
      <c r="K377" t="b">
        <f t="shared" si="36"/>
        <v>0</v>
      </c>
      <c r="L377" t="b">
        <f t="shared" si="36"/>
        <v>0</v>
      </c>
      <c r="M377" t="b">
        <f t="shared" si="36"/>
        <v>0</v>
      </c>
      <c r="N377" t="b">
        <f t="shared" si="37"/>
        <v>0</v>
      </c>
      <c r="O377" t="b">
        <f t="shared" si="37"/>
        <v>0</v>
      </c>
      <c r="P377" t="b">
        <f t="shared" si="38"/>
        <v>0</v>
      </c>
    </row>
    <row r="378" spans="1:16">
      <c r="A378" t="str">
        <v>electric_Italy_FS_E444</v>
      </c>
      <c r="B378" t="b" cm="1">
        <f t="array" ref="B378">_xlfn.XLOOKUP(A378,CONTROL[VEHIDCODE],PROPERTIES[EXCLUDE])</f>
        <v>0</v>
      </c>
      <c r="C378">
        <f>FLOOR(_xlfn.XLOOKUP($A378,PROPERTIES[VEHIDCODE],PROPERTIES[INTRODUCTION_YEAR]),20)</f>
        <v>1960</v>
      </c>
      <c r="D378" t="str">
        <f>_xlfn.XLOOKUP($A378,PROPERTIES[VEHIDCODE],PROPERTIES[ROLE])</f>
        <v>Express</v>
      </c>
      <c r="E378" s="35" t="str">
        <f>_xlfn.XLOOKUP($A378,PROPERTIES[VEHIDCODE],PROPERTIES[REGION1])</f>
        <v>SOUTHERN_EUROPE</v>
      </c>
      <c r="F378" s="35" t="str">
        <f>_xlfn.XLOOKUP($A378,PROPERTIES[VEHIDCODE],PROPERTIES[REGION2])</f>
        <v>NO_REGION</v>
      </c>
      <c r="G378" s="35" t="str">
        <f t="shared" si="33"/>
        <v>SOUTHERN_EUROPE_NO_REGION</v>
      </c>
      <c r="H378" t="b">
        <f t="shared" si="34"/>
        <v>0</v>
      </c>
      <c r="I378" t="b">
        <f t="shared" si="35"/>
        <v>0</v>
      </c>
      <c r="J378" t="b">
        <f t="shared" si="36"/>
        <v>1</v>
      </c>
      <c r="K378" t="b">
        <f t="shared" si="36"/>
        <v>0</v>
      </c>
      <c r="L378" t="b">
        <f t="shared" si="36"/>
        <v>0</v>
      </c>
      <c r="M378" t="b">
        <f t="shared" si="36"/>
        <v>0</v>
      </c>
      <c r="N378" t="b">
        <f t="shared" si="37"/>
        <v>0</v>
      </c>
      <c r="O378" t="b">
        <f t="shared" si="37"/>
        <v>0</v>
      </c>
      <c r="P378" t="b">
        <f t="shared" si="38"/>
        <v>0</v>
      </c>
    </row>
    <row r="379" spans="1:16">
      <c r="A379" t="str">
        <v>electric_Italy_FS_E633</v>
      </c>
      <c r="B379" t="b" cm="1">
        <f t="array" ref="B379">_xlfn.XLOOKUP(A379,CONTROL[VEHIDCODE],PROPERTIES[EXCLUDE])</f>
        <v>0</v>
      </c>
      <c r="C379">
        <f>FLOOR(_xlfn.XLOOKUP($A379,PROPERTIES[VEHIDCODE],PROPERTIES[INTRODUCTION_YEAR]),20)</f>
        <v>1960</v>
      </c>
      <c r="D379" t="str">
        <f>_xlfn.XLOOKUP($A379,PROPERTIES[VEHIDCODE],PROPERTIES[ROLE])</f>
        <v>Universal</v>
      </c>
      <c r="E379" s="35" t="str">
        <f>_xlfn.XLOOKUP($A379,PROPERTIES[VEHIDCODE],PROPERTIES[REGION1])</f>
        <v>SOUTHERN_EUROPE</v>
      </c>
      <c r="F379" s="35" t="str">
        <f>_xlfn.XLOOKUP($A379,PROPERTIES[VEHIDCODE],PROPERTIES[REGION2])</f>
        <v>NO_REGION</v>
      </c>
      <c r="G379" s="35" t="str">
        <f t="shared" si="33"/>
        <v>SOUTHERN_EUROPE_NO_REGION</v>
      </c>
      <c r="H379" t="b">
        <f t="shared" si="34"/>
        <v>0</v>
      </c>
      <c r="I379" t="b">
        <f t="shared" si="35"/>
        <v>0</v>
      </c>
      <c r="J379" t="b">
        <f t="shared" si="36"/>
        <v>1</v>
      </c>
      <c r="K379" t="b">
        <f t="shared" si="36"/>
        <v>0</v>
      </c>
      <c r="L379" t="b">
        <f t="shared" si="36"/>
        <v>0</v>
      </c>
      <c r="M379" t="b">
        <f t="shared" si="36"/>
        <v>0</v>
      </c>
      <c r="N379" t="b">
        <f t="shared" si="37"/>
        <v>0</v>
      </c>
      <c r="O379" t="b">
        <f t="shared" si="37"/>
        <v>0</v>
      </c>
      <c r="P379" t="b">
        <f t="shared" si="38"/>
        <v>0</v>
      </c>
    </row>
    <row r="380" spans="1:16">
      <c r="A380" t="str">
        <v>electric_Belgium_NMBS_Class_255</v>
      </c>
      <c r="B380" t="b" cm="1">
        <f t="array" ref="B380">_xlfn.XLOOKUP(A380,CONTROL[VEHIDCODE],PROPERTIES[EXCLUDE])</f>
        <v>0</v>
      </c>
      <c r="C380">
        <f>FLOOR(_xlfn.XLOOKUP($A380,PROPERTIES[VEHIDCODE],PROPERTIES[INTRODUCTION_YEAR]),20)</f>
        <v>1960</v>
      </c>
      <c r="D380" t="str">
        <f>_xlfn.XLOOKUP($A380,PROPERTIES[VEHIDCODE],PROPERTIES[ROLE])</f>
        <v>Universal</v>
      </c>
      <c r="E380" s="35" t="str">
        <f>_xlfn.XLOOKUP($A380,PROPERTIES[VEHIDCODE],PROPERTIES[REGION1])</f>
        <v>WESTERN_EUROPE</v>
      </c>
      <c r="F380" s="35" t="str">
        <f>_xlfn.XLOOKUP($A380,PROPERTIES[VEHIDCODE],PROPERTIES[REGION2])</f>
        <v>NO_REGION</v>
      </c>
      <c r="G380" s="35" t="str">
        <f t="shared" si="33"/>
        <v>WESTERN_EUROPE_NO_REGION</v>
      </c>
      <c r="H380" t="b">
        <f t="shared" si="34"/>
        <v>0</v>
      </c>
      <c r="I380" t="b">
        <f t="shared" si="35"/>
        <v>0</v>
      </c>
      <c r="J380" t="b">
        <f t="shared" si="36"/>
        <v>0</v>
      </c>
      <c r="K380" t="b">
        <f t="shared" si="36"/>
        <v>0</v>
      </c>
      <c r="L380" t="b">
        <f t="shared" si="36"/>
        <v>1</v>
      </c>
      <c r="M380" t="b">
        <f t="shared" si="36"/>
        <v>0</v>
      </c>
      <c r="N380" t="b">
        <f t="shared" si="37"/>
        <v>0</v>
      </c>
      <c r="O380" t="b">
        <f t="shared" si="37"/>
        <v>0</v>
      </c>
      <c r="P380" t="b">
        <f t="shared" si="38"/>
        <v>0</v>
      </c>
    </row>
    <row r="381" spans="1:16">
      <c r="A381" t="str">
        <v>electric_Spain_RENFE_250</v>
      </c>
      <c r="B381" t="b" cm="1">
        <f t="array" ref="B381">_xlfn.XLOOKUP(A381,CONTROL[VEHIDCODE],PROPERTIES[EXCLUDE])</f>
        <v>0</v>
      </c>
      <c r="C381">
        <f>FLOOR(_xlfn.XLOOKUP($A381,PROPERTIES[VEHIDCODE],PROPERTIES[INTRODUCTION_YEAR]),20)</f>
        <v>1980</v>
      </c>
      <c r="D381" t="str">
        <f>_xlfn.XLOOKUP($A381,PROPERTIES[VEHIDCODE],PROPERTIES[ROLE])</f>
        <v>Express</v>
      </c>
      <c r="E381" s="35" t="str">
        <f>_xlfn.XLOOKUP($A381,PROPERTIES[VEHIDCODE],PROPERTIES[REGION1])</f>
        <v>SOUTHERN_EUROPE</v>
      </c>
      <c r="F381" s="35" t="str">
        <f>_xlfn.XLOOKUP($A381,PROPERTIES[VEHIDCODE],PROPERTIES[REGION2])</f>
        <v>NO_REGION</v>
      </c>
      <c r="G381" s="35" t="str">
        <f t="shared" si="33"/>
        <v>SOUTHERN_EUROPE_NO_REGION</v>
      </c>
      <c r="H381" t="b">
        <f t="shared" si="34"/>
        <v>0</v>
      </c>
      <c r="I381" t="b">
        <f t="shared" si="35"/>
        <v>0</v>
      </c>
      <c r="J381" t="b">
        <f t="shared" si="36"/>
        <v>1</v>
      </c>
      <c r="K381" t="b">
        <f t="shared" si="36"/>
        <v>0</v>
      </c>
      <c r="L381" t="b">
        <f t="shared" si="36"/>
        <v>0</v>
      </c>
      <c r="M381" t="b">
        <f t="shared" si="36"/>
        <v>0</v>
      </c>
      <c r="N381" t="b">
        <f t="shared" si="37"/>
        <v>0</v>
      </c>
      <c r="O381" t="b">
        <f t="shared" si="37"/>
        <v>0</v>
      </c>
      <c r="P381" t="b">
        <f t="shared" si="38"/>
        <v>0</v>
      </c>
    </row>
    <row r="382" spans="1:16">
      <c r="A382" t="str">
        <v>electric_Chile_EFE_E_29</v>
      </c>
      <c r="B382" t="b" cm="1">
        <f t="array" ref="B382">_xlfn.XLOOKUP(A382,CONTROL[VEHIDCODE],PROPERTIES[EXCLUDE])</f>
        <v>0</v>
      </c>
      <c r="C382">
        <f>FLOOR(_xlfn.XLOOKUP($A382,PROPERTIES[VEHIDCODE],PROPERTIES[INTRODUCTION_YEAR]),20)</f>
        <v>1940</v>
      </c>
      <c r="D382" t="str">
        <f>_xlfn.XLOOKUP($A382,PROPERTIES[VEHIDCODE],PROPERTIES[ROLE])</f>
        <v>Universal</v>
      </c>
      <c r="E382" s="35" t="str">
        <f>_xlfn.XLOOKUP($A382,PROPERTIES[VEHIDCODE],PROPERTIES[REGION1])</f>
        <v>SOUTH_AMERICA</v>
      </c>
      <c r="F382" s="35" t="str">
        <f>_xlfn.XLOOKUP($A382,PROPERTIES[VEHIDCODE],PROPERTIES[REGION2])</f>
        <v>NO_REGION</v>
      </c>
      <c r="G382" s="35" t="str">
        <f t="shared" si="33"/>
        <v>SOUTH_AMERICA_NO_REGION</v>
      </c>
      <c r="H382" t="b">
        <f t="shared" si="34"/>
        <v>0</v>
      </c>
      <c r="I382" t="b">
        <f t="shared" si="35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6"/>
        <v>0</v>
      </c>
      <c r="N382" t="b">
        <f t="shared" si="37"/>
        <v>0</v>
      </c>
      <c r="O382" t="b">
        <f t="shared" si="37"/>
        <v>1</v>
      </c>
      <c r="P382" t="b">
        <f t="shared" si="38"/>
        <v>0</v>
      </c>
    </row>
    <row r="383" spans="1:16">
      <c r="A383" t="str">
        <v>electric_Chile_EFE_E_17</v>
      </c>
      <c r="B383" t="b" cm="1">
        <f t="array" ref="B383">_xlfn.XLOOKUP(A383,CONTROL[VEHIDCODE],PROPERTIES[EXCLUDE])</f>
        <v>0</v>
      </c>
      <c r="C383">
        <f>FLOOR(_xlfn.XLOOKUP($A383,PROPERTIES[VEHIDCODE],PROPERTIES[INTRODUCTION_YEAR]),20)</f>
        <v>1960</v>
      </c>
      <c r="D383" t="str">
        <f>_xlfn.XLOOKUP($A383,PROPERTIES[VEHIDCODE],PROPERTIES[ROLE])</f>
        <v>Universal</v>
      </c>
      <c r="E383" s="35" t="str">
        <f>_xlfn.XLOOKUP($A383,PROPERTIES[VEHIDCODE],PROPERTIES[REGION1])</f>
        <v>SOUTH_AMERICA</v>
      </c>
      <c r="F383" s="35" t="str">
        <f>_xlfn.XLOOKUP($A383,PROPERTIES[VEHIDCODE],PROPERTIES[REGION2])</f>
        <v>NO_REGION</v>
      </c>
      <c r="G383" s="35" t="str">
        <f t="shared" si="33"/>
        <v>SOUTH_AMERICA_NO_REGION</v>
      </c>
      <c r="H383" t="b">
        <f t="shared" si="34"/>
        <v>0</v>
      </c>
      <c r="I383" t="b">
        <f t="shared" si="35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6"/>
        <v>0</v>
      </c>
      <c r="N383" t="b">
        <f t="shared" si="37"/>
        <v>0</v>
      </c>
      <c r="O383" t="b">
        <f t="shared" si="37"/>
        <v>1</v>
      </c>
      <c r="P383" t="b">
        <f t="shared" si="38"/>
        <v>0</v>
      </c>
    </row>
    <row r="384" spans="1:16">
      <c r="A384" t="str">
        <v>electric_Morocco_ONCF_E_700</v>
      </c>
      <c r="B384" t="b" cm="1">
        <f t="array" ref="B384">_xlfn.XLOOKUP(A384,CONTROL[VEHIDCODE],PROPERTIES[EXCLUDE])</f>
        <v>0</v>
      </c>
      <c r="C384">
        <f>FLOOR(_xlfn.XLOOKUP($A384,PROPERTIES[VEHIDCODE],PROPERTIES[INTRODUCTION_YEAR]),20)</f>
        <v>1940</v>
      </c>
      <c r="D384" t="str">
        <f>_xlfn.XLOOKUP($A384,PROPERTIES[VEHIDCODE],PROPERTIES[ROLE])</f>
        <v>Universal</v>
      </c>
      <c r="E384" s="35" t="str">
        <f>_xlfn.XLOOKUP($A384,PROPERTIES[VEHIDCODE],PROPERTIES[REGION1])</f>
        <v>AFRICA</v>
      </c>
      <c r="F384" s="35" t="str">
        <f>_xlfn.XLOOKUP($A384,PROPERTIES[VEHIDCODE],PROPERTIES[REGION2])</f>
        <v>NO_REGION</v>
      </c>
      <c r="G384" s="35" t="str">
        <f t="shared" si="33"/>
        <v>AFRICA_NO_REGION</v>
      </c>
      <c r="H384" t="b">
        <f t="shared" si="34"/>
        <v>1</v>
      </c>
      <c r="I384" t="b">
        <f t="shared" si="35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6"/>
        <v>0</v>
      </c>
      <c r="N384" t="b">
        <f t="shared" si="37"/>
        <v>0</v>
      </c>
      <c r="O384" t="b">
        <f t="shared" si="37"/>
        <v>0</v>
      </c>
      <c r="P384" t="b">
        <f t="shared" si="38"/>
        <v>0</v>
      </c>
    </row>
    <row r="385" spans="1:16">
      <c r="A385" t="str">
        <v>electric_India_Indian_Railways_WCM_1</v>
      </c>
      <c r="B385" t="b" cm="1">
        <f t="array" ref="B385">_xlfn.XLOOKUP(A385,CONTROL[VEHIDCODE],PROPERTIES[EXCLUDE])</f>
        <v>0</v>
      </c>
      <c r="C385">
        <f>FLOOR(_xlfn.XLOOKUP($A385,PROPERTIES[VEHIDCODE],PROPERTIES[INTRODUCTION_YEAR]),20)</f>
        <v>1940</v>
      </c>
      <c r="D385" t="str">
        <f>_xlfn.XLOOKUP($A385,PROPERTIES[VEHIDCODE],PROPERTIES[ROLE])</f>
        <v>Universal</v>
      </c>
      <c r="E385" s="35" t="str">
        <f>_xlfn.XLOOKUP($A385,PROPERTIES[VEHIDCODE],PROPERTIES[REGION1])</f>
        <v>ASIA</v>
      </c>
      <c r="F385" s="35" t="str">
        <f>_xlfn.XLOOKUP($A385,PROPERTIES[VEHIDCODE],PROPERTIES[REGION2])</f>
        <v>NO_REGION</v>
      </c>
      <c r="G385" s="35" t="str">
        <f t="shared" si="33"/>
        <v>ASIA_NO_REGION</v>
      </c>
      <c r="H385" t="b">
        <f t="shared" si="34"/>
        <v>0</v>
      </c>
      <c r="I385" t="b">
        <f t="shared" si="35"/>
        <v>1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6"/>
        <v>0</v>
      </c>
      <c r="N385" t="b">
        <f t="shared" si="37"/>
        <v>0</v>
      </c>
      <c r="O385" t="b">
        <f t="shared" si="37"/>
        <v>0</v>
      </c>
      <c r="P385" t="b">
        <f t="shared" si="38"/>
        <v>0</v>
      </c>
    </row>
    <row r="386" spans="1:16">
      <c r="A386" t="str">
        <v>electric_South_Africa_SAR_E38</v>
      </c>
      <c r="B386" t="b" cm="1">
        <f t="array" ref="B386">_xlfn.XLOOKUP(A386,CONTROL[VEHIDCODE],PROPERTIES[EXCLUDE])</f>
        <v>0</v>
      </c>
      <c r="C386">
        <f>FLOOR(_xlfn.XLOOKUP($A386,PROPERTIES[VEHIDCODE],PROPERTIES[INTRODUCTION_YEAR]),20)</f>
        <v>1980</v>
      </c>
      <c r="D386" t="str">
        <f>_xlfn.XLOOKUP($A386,PROPERTIES[VEHIDCODE],PROPERTIES[ROLE])</f>
        <v>Express</v>
      </c>
      <c r="E386" s="35" t="str">
        <f>_xlfn.XLOOKUP($A386,PROPERTIES[VEHIDCODE],PROPERTIES[REGION1])</f>
        <v>AFRICA</v>
      </c>
      <c r="F386" s="35" t="str">
        <f>_xlfn.XLOOKUP($A386,PROPERTIES[VEHIDCODE],PROPERTIES[REGION2])</f>
        <v>NO_REGION</v>
      </c>
      <c r="G386" s="35" t="str">
        <f t="shared" si="33"/>
        <v>AFRICA_NO_REGION</v>
      </c>
      <c r="H386" t="b">
        <f t="shared" si="34"/>
        <v>1</v>
      </c>
      <c r="I386" t="b">
        <f t="shared" si="35"/>
        <v>0</v>
      </c>
      <c r="J386" t="b">
        <f t="shared" si="36"/>
        <v>0</v>
      </c>
      <c r="K386" t="b">
        <f t="shared" si="36"/>
        <v>0</v>
      </c>
      <c r="L386" t="b">
        <f t="shared" si="36"/>
        <v>0</v>
      </c>
      <c r="M386" t="b">
        <f t="shared" ref="K386:M449" si="39">OR(ISNUMBER(SEARCH("ALL_REGION",$G386)),
ISNUMBER(SEARCH("ALL_EUROPE",$G386)),
ISNUMBER(SEARCH(M$1,$G386)),
ISNUMBER(SEARCH("REGIONTYPE1",$G386)))</f>
        <v>0</v>
      </c>
      <c r="N386" t="b">
        <f t="shared" si="37"/>
        <v>0</v>
      </c>
      <c r="O386" t="b">
        <f t="shared" si="37"/>
        <v>0</v>
      </c>
      <c r="P386" t="b">
        <f t="shared" si="38"/>
        <v>0</v>
      </c>
    </row>
    <row r="387" spans="1:16">
      <c r="A387" t="str">
        <v>electric_Chile_EFE_E_269</v>
      </c>
      <c r="B387" t="b" cm="1">
        <f t="array" ref="B387">_xlfn.XLOOKUP(A387,CONTROL[VEHIDCODE],PROPERTIES[EXCLUDE])</f>
        <v>0</v>
      </c>
      <c r="C387">
        <f>FLOOR(_xlfn.XLOOKUP($A387,PROPERTIES[VEHIDCODE],PROPERTIES[INTRODUCTION_YEAR]),20)</f>
        <v>1980</v>
      </c>
      <c r="D387" t="str">
        <f>_xlfn.XLOOKUP($A387,PROPERTIES[VEHIDCODE],PROPERTIES[ROLE])</f>
        <v>Express</v>
      </c>
      <c r="E387" s="35" t="str">
        <f>_xlfn.XLOOKUP($A387,PROPERTIES[VEHIDCODE],PROPERTIES[REGION1])</f>
        <v>SOUTH_AMERICA</v>
      </c>
      <c r="F387" s="35" t="str">
        <f>_xlfn.XLOOKUP($A387,PROPERTIES[VEHIDCODE],PROPERTIES[REGION2])</f>
        <v>NO_REGION</v>
      </c>
      <c r="G387" s="35" t="str">
        <f t="shared" ref="G387:G450" si="40">_xlfn.CONCAT($E387,"_",$F387)</f>
        <v>SOUTH_AMERICA_NO_REGION</v>
      </c>
      <c r="H387" t="b">
        <f t="shared" ref="H387:H450" si="41">OR(ISNUMBER(SEARCH("ALL_REGION",$G387)),
ISNUMBER(SEARCH("AFRICA",$G387)),
ISNUMBER(SEARCH("REGIONTYPE1",$G387)),
ISNUMBER(SEARCH("REGIONTYPE2",$G387)))</f>
        <v>0</v>
      </c>
      <c r="I387" t="b">
        <f t="shared" ref="I387:I450" si="42">OR(ISNUMBER(SEARCH("ALL_REGION",$G387)),
ISNUMBER(SEARCH("ASIA",$G387)),
ISNUMBER(SEARCH("REGIONTYPE1",$G387)),
ISNUMBER(SEARCH("REGIONTYPE2",$G387)),
ISNUMBER(SEARCH("REGIONTYPE3",$G387)))</f>
        <v>0</v>
      </c>
      <c r="J387" t="b">
        <f t="shared" ref="J387:M450" si="43">OR(ISNUMBER(SEARCH("ALL_REGION",$G387)),
ISNUMBER(SEARCH("ALL_EUROPE",$G387)),
ISNUMBER(SEARCH(J$1,$G387)),
ISNUMBER(SEARCH("REGIONTYPE1",$G387)))</f>
        <v>0</v>
      </c>
      <c r="K387" t="b">
        <f t="shared" si="39"/>
        <v>0</v>
      </c>
      <c r="L387" t="b">
        <f t="shared" si="39"/>
        <v>0</v>
      </c>
      <c r="M387" t="b">
        <f t="shared" si="39"/>
        <v>0</v>
      </c>
      <c r="N387" t="b">
        <f t="shared" ref="N387:O450" si="44">OR(ISNUMBER(SEARCH("ALL_REGION",$G387)),
ISNUMBER(SEARCH("ALL_AMERICA",$G387)),
ISNUMBER(SEARCH(N$1,$G387)),
ISNUMBER(SEARCH("REGIONTYPE2",$G387)))</f>
        <v>0</v>
      </c>
      <c r="O387" t="b">
        <f t="shared" si="44"/>
        <v>1</v>
      </c>
      <c r="P387" t="b">
        <f t="shared" ref="P387:P450" si="45">OR(ISNUMBER(SEARCH("ALL_REGION",$G387)),
ISNUMBER(SEARCH(P$1,$G387)),
ISNUMBER(SEARCH("REGIONTYPE3",$G387)))</f>
        <v>0</v>
      </c>
    </row>
    <row r="388" spans="1:16">
      <c r="A388" t="str">
        <v>electric_Czech_Republic_CD_363</v>
      </c>
      <c r="B388" t="b" cm="1">
        <f t="array" ref="B388">_xlfn.XLOOKUP(A388,CONTROL[VEHIDCODE],PROPERTIES[EXCLUDE])</f>
        <v>0</v>
      </c>
      <c r="C388">
        <f>FLOOR(_xlfn.XLOOKUP($A388,PROPERTIES[VEHIDCODE],PROPERTIES[INTRODUCTION_YEAR]),20)</f>
        <v>1980</v>
      </c>
      <c r="D388" t="str">
        <f>_xlfn.XLOOKUP($A388,PROPERTIES[VEHIDCODE],PROPERTIES[ROLE])</f>
        <v>Universal</v>
      </c>
      <c r="E388" s="35" t="str">
        <f>_xlfn.XLOOKUP($A388,PROPERTIES[VEHIDCODE],PROPERTIES[REGION1])</f>
        <v>EASTERN_EUROPE</v>
      </c>
      <c r="F388" s="35" t="str">
        <f>_xlfn.XLOOKUP($A388,PROPERTIES[VEHIDCODE],PROPERTIES[REGION2])</f>
        <v>NO_REGION</v>
      </c>
      <c r="G388" s="35" t="str">
        <f t="shared" si="40"/>
        <v>EASTERN_EUROPE_NO_REGION</v>
      </c>
      <c r="H388" t="b">
        <f t="shared" si="41"/>
        <v>0</v>
      </c>
      <c r="I388" t="b">
        <f t="shared" si="42"/>
        <v>0</v>
      </c>
      <c r="J388" t="b">
        <f t="shared" si="43"/>
        <v>0</v>
      </c>
      <c r="K388" t="b">
        <f t="shared" si="39"/>
        <v>1</v>
      </c>
      <c r="L388" t="b">
        <f t="shared" si="39"/>
        <v>0</v>
      </c>
      <c r="M388" t="b">
        <f t="shared" si="39"/>
        <v>0</v>
      </c>
      <c r="N388" t="b">
        <f t="shared" si="44"/>
        <v>0</v>
      </c>
      <c r="O388" t="b">
        <f t="shared" si="44"/>
        <v>0</v>
      </c>
      <c r="P388" t="b">
        <f t="shared" si="45"/>
        <v>0</v>
      </c>
    </row>
    <row r="389" spans="1:16">
      <c r="A389" t="str">
        <v>electric_Norway_NSB_EL7</v>
      </c>
      <c r="B389" t="b" cm="1">
        <f t="array" ref="B389">_xlfn.XLOOKUP(A389,CONTROL[VEHIDCODE],PROPERTIES[EXCLUDE])</f>
        <v>0</v>
      </c>
      <c r="C389">
        <f>FLOOR(_xlfn.XLOOKUP($A389,PROPERTIES[VEHIDCODE],PROPERTIES[INTRODUCTION_YEAR]),20)</f>
        <v>1900</v>
      </c>
      <c r="D389" t="str">
        <f>_xlfn.XLOOKUP($A389,PROPERTIES[VEHIDCODE],PROPERTIES[ROLE])</f>
        <v>Shunting</v>
      </c>
      <c r="E389" s="35" t="str">
        <f>_xlfn.XLOOKUP($A389,PROPERTIES[VEHIDCODE],PROPERTIES[REGION1])</f>
        <v>NORTHERN_EUROPE</v>
      </c>
      <c r="F389" s="35" t="str">
        <f>_xlfn.XLOOKUP($A389,PROPERTIES[VEHIDCODE],PROPERTIES[REGION2])</f>
        <v>NO_REGION</v>
      </c>
      <c r="G389" s="35" t="str">
        <f t="shared" si="40"/>
        <v>NORTHERN_EUROPE_NO_REGION</v>
      </c>
      <c r="H389" t="b">
        <f t="shared" si="41"/>
        <v>0</v>
      </c>
      <c r="I389" t="b">
        <f t="shared" si="42"/>
        <v>0</v>
      </c>
      <c r="J389" t="b">
        <f t="shared" si="43"/>
        <v>0</v>
      </c>
      <c r="K389" t="b">
        <f t="shared" si="39"/>
        <v>0</v>
      </c>
      <c r="L389" t="b">
        <f t="shared" si="39"/>
        <v>0</v>
      </c>
      <c r="M389" t="b">
        <f t="shared" si="39"/>
        <v>1</v>
      </c>
      <c r="N389" t="b">
        <f t="shared" si="44"/>
        <v>0</v>
      </c>
      <c r="O389" t="b">
        <f t="shared" si="44"/>
        <v>0</v>
      </c>
      <c r="P389" t="b">
        <f t="shared" si="45"/>
        <v>0</v>
      </c>
    </row>
    <row r="390" spans="1:16">
      <c r="A390" t="str">
        <v>electric_USA_Pennsylvania_Railroad_FF_1</v>
      </c>
      <c r="B390" t="b" cm="1">
        <f t="array" ref="B390">_xlfn.XLOOKUP(A390,CONTROL[VEHIDCODE],PROPERTIES[EXCLUDE])</f>
        <v>0</v>
      </c>
      <c r="C390">
        <f>FLOOR(_xlfn.XLOOKUP($A390,PROPERTIES[VEHIDCODE],PROPERTIES[INTRODUCTION_YEAR]),20)</f>
        <v>1900</v>
      </c>
      <c r="D390" t="str">
        <f>_xlfn.XLOOKUP($A390,PROPERTIES[VEHIDCODE],PROPERTIES[ROLE])</f>
        <v>Heavy Freight</v>
      </c>
      <c r="E390" s="35" t="str">
        <f>_xlfn.XLOOKUP($A390,PROPERTIES[VEHIDCODE],PROPERTIES[REGION1])</f>
        <v>NORTH_AMERICA</v>
      </c>
      <c r="F390" s="35" t="str">
        <f>_xlfn.XLOOKUP($A390,PROPERTIES[VEHIDCODE],PROPERTIES[REGION2])</f>
        <v>NO_REGION</v>
      </c>
      <c r="G390" s="35" t="str">
        <f t="shared" si="40"/>
        <v>NORTH_AMERICA_NO_REGION</v>
      </c>
      <c r="H390" t="b">
        <f t="shared" si="41"/>
        <v>0</v>
      </c>
      <c r="I390" t="b">
        <f t="shared" si="42"/>
        <v>0</v>
      </c>
      <c r="J390" t="b">
        <f t="shared" si="43"/>
        <v>0</v>
      </c>
      <c r="K390" t="b">
        <f t="shared" si="39"/>
        <v>0</v>
      </c>
      <c r="L390" t="b">
        <f t="shared" si="39"/>
        <v>0</v>
      </c>
      <c r="M390" t="b">
        <f t="shared" si="39"/>
        <v>0</v>
      </c>
      <c r="N390" t="b">
        <f t="shared" si="44"/>
        <v>1</v>
      </c>
      <c r="O390" t="b">
        <f t="shared" si="44"/>
        <v>0</v>
      </c>
      <c r="P390" t="b">
        <f t="shared" si="45"/>
        <v>0</v>
      </c>
    </row>
    <row r="391" spans="1:16">
      <c r="A391" t="str">
        <v>electric_Austria_OBB_1161</v>
      </c>
      <c r="B391" t="b" cm="1">
        <f t="array" ref="B391">_xlfn.XLOOKUP(A391,CONTROL[VEHIDCODE],PROPERTIES[EXCLUDE])</f>
        <v>0</v>
      </c>
      <c r="C391">
        <f>FLOOR(_xlfn.XLOOKUP($A391,PROPERTIES[VEHIDCODE],PROPERTIES[INTRODUCTION_YEAR]),20)</f>
        <v>1920</v>
      </c>
      <c r="D391" t="str">
        <f>_xlfn.XLOOKUP($A391,PROPERTIES[VEHIDCODE],PROPERTIES[ROLE])</f>
        <v>Shunting</v>
      </c>
      <c r="E391" s="35" t="str">
        <f>_xlfn.XLOOKUP($A391,PROPERTIES[VEHIDCODE],PROPERTIES[REGION1])</f>
        <v>WESTERN_EUROPE</v>
      </c>
      <c r="F391" s="35" t="str">
        <f>_xlfn.XLOOKUP($A391,PROPERTIES[VEHIDCODE],PROPERTIES[REGION2])</f>
        <v>NO_REGION</v>
      </c>
      <c r="G391" s="35" t="str">
        <f t="shared" si="40"/>
        <v>WESTERN_EUROPE_NO_REGION</v>
      </c>
      <c r="H391" t="b">
        <f t="shared" si="41"/>
        <v>0</v>
      </c>
      <c r="I391" t="b">
        <f t="shared" si="42"/>
        <v>0</v>
      </c>
      <c r="J391" t="b">
        <f t="shared" si="43"/>
        <v>0</v>
      </c>
      <c r="K391" t="b">
        <f t="shared" si="39"/>
        <v>0</v>
      </c>
      <c r="L391" t="b">
        <f t="shared" si="39"/>
        <v>1</v>
      </c>
      <c r="M391" t="b">
        <f t="shared" si="39"/>
        <v>0</v>
      </c>
      <c r="N391" t="b">
        <f t="shared" si="44"/>
        <v>0</v>
      </c>
      <c r="O391" t="b">
        <f t="shared" si="44"/>
        <v>0</v>
      </c>
      <c r="P391" t="b">
        <f t="shared" si="45"/>
        <v>0</v>
      </c>
    </row>
    <row r="392" spans="1:16">
      <c r="A392" t="str">
        <v>electric_Germany_DB_169</v>
      </c>
      <c r="B392" t="b" cm="1">
        <f t="array" ref="B392">_xlfn.XLOOKUP(A392,CONTROL[VEHIDCODE],PROPERTIES[EXCLUDE])</f>
        <v>0</v>
      </c>
      <c r="C392">
        <f>FLOOR(_xlfn.XLOOKUP($A392,PROPERTIES[VEHIDCODE],PROPERTIES[INTRODUCTION_YEAR]),20)</f>
        <v>1920</v>
      </c>
      <c r="D392" t="str">
        <f>_xlfn.XLOOKUP($A392,PROPERTIES[VEHIDCODE],PROPERTIES[ROLE])</f>
        <v>Shunting</v>
      </c>
      <c r="E392" s="35" t="str">
        <f>_xlfn.XLOOKUP($A392,PROPERTIES[VEHIDCODE],PROPERTIES[REGION1])</f>
        <v>WESTERN_EUROPE</v>
      </c>
      <c r="F392" s="35" t="str">
        <f>_xlfn.XLOOKUP($A392,PROPERTIES[VEHIDCODE],PROPERTIES[REGION2])</f>
        <v>NO_REGION</v>
      </c>
      <c r="G392" s="35" t="str">
        <f t="shared" si="40"/>
        <v>WESTERN_EUROPE_NO_REGION</v>
      </c>
      <c r="H392" t="b">
        <f t="shared" si="41"/>
        <v>0</v>
      </c>
      <c r="I392" t="b">
        <f t="shared" si="42"/>
        <v>0</v>
      </c>
      <c r="J392" t="b">
        <f t="shared" si="43"/>
        <v>0</v>
      </c>
      <c r="K392" t="b">
        <f t="shared" si="39"/>
        <v>0</v>
      </c>
      <c r="L392" t="b">
        <f t="shared" si="39"/>
        <v>1</v>
      </c>
      <c r="M392" t="b">
        <f t="shared" si="39"/>
        <v>0</v>
      </c>
      <c r="N392" t="b">
        <f t="shared" si="44"/>
        <v>0</v>
      </c>
      <c r="O392" t="b">
        <f t="shared" si="44"/>
        <v>0</v>
      </c>
      <c r="P392" t="b">
        <f t="shared" si="45"/>
        <v>0</v>
      </c>
    </row>
    <row r="393" spans="1:16">
      <c r="A393" t="str">
        <v>electric_Norway_NSB_EL10</v>
      </c>
      <c r="B393" t="b" cm="1">
        <f t="array" ref="B393">_xlfn.XLOOKUP(A393,CONTROL[VEHIDCODE],PROPERTIES[EXCLUDE])</f>
        <v>0</v>
      </c>
      <c r="C393">
        <f>FLOOR(_xlfn.XLOOKUP($A393,PROPERTIES[VEHIDCODE],PROPERTIES[INTRODUCTION_YEAR]),20)</f>
        <v>1920</v>
      </c>
      <c r="D393" t="str">
        <f>_xlfn.XLOOKUP($A393,PROPERTIES[VEHIDCODE],PROPERTIES[ROLE])</f>
        <v>Shunting</v>
      </c>
      <c r="E393" s="35" t="str">
        <f>_xlfn.XLOOKUP($A393,PROPERTIES[VEHIDCODE],PROPERTIES[REGION1])</f>
        <v>NORTHERN_EUROPE</v>
      </c>
      <c r="F393" s="35" t="str">
        <f>_xlfn.XLOOKUP($A393,PROPERTIES[VEHIDCODE],PROPERTIES[REGION2])</f>
        <v>NO_REGION</v>
      </c>
      <c r="G393" s="35" t="str">
        <f t="shared" si="40"/>
        <v>NORTHERN_EUROPE_NO_REGION</v>
      </c>
      <c r="H393" t="b">
        <f t="shared" si="41"/>
        <v>0</v>
      </c>
      <c r="I393" t="b">
        <f t="shared" si="42"/>
        <v>0</v>
      </c>
      <c r="J393" t="b">
        <f t="shared" si="43"/>
        <v>0</v>
      </c>
      <c r="K393" t="b">
        <f t="shared" si="39"/>
        <v>0</v>
      </c>
      <c r="L393" t="b">
        <f t="shared" si="39"/>
        <v>0</v>
      </c>
      <c r="M393" t="b">
        <f t="shared" si="39"/>
        <v>1</v>
      </c>
      <c r="N393" t="b">
        <f t="shared" si="44"/>
        <v>0</v>
      </c>
      <c r="O393" t="b">
        <f t="shared" si="44"/>
        <v>0</v>
      </c>
      <c r="P393" t="b">
        <f t="shared" si="45"/>
        <v>0</v>
      </c>
    </row>
    <row r="394" spans="1:16">
      <c r="A394" t="str">
        <v>electric_Germany_DB_104</v>
      </c>
      <c r="B394" t="b" cm="1">
        <f t="array" ref="B394">_xlfn.XLOOKUP(A394,CONTROL[VEHIDCODE],PROPERTIES[EXCLUDE])</f>
        <v>0</v>
      </c>
      <c r="C394">
        <f>FLOOR(_xlfn.XLOOKUP($A394,PROPERTIES[VEHIDCODE],PROPERTIES[INTRODUCTION_YEAR]),20)</f>
        <v>1920</v>
      </c>
      <c r="D394" t="str">
        <f>_xlfn.XLOOKUP($A394,PROPERTIES[VEHIDCODE],PROPERTIES[ROLE])</f>
        <v>Universal</v>
      </c>
      <c r="E394" s="35" t="str">
        <f>_xlfn.XLOOKUP($A394,PROPERTIES[VEHIDCODE],PROPERTIES[REGION1])</f>
        <v>WESTERN_EUROPE</v>
      </c>
      <c r="F394" s="35" t="str">
        <f>_xlfn.XLOOKUP($A394,PROPERTIES[VEHIDCODE],PROPERTIES[REGION2])</f>
        <v>NO_REGION</v>
      </c>
      <c r="G394" s="35" t="str">
        <f t="shared" si="40"/>
        <v>WESTERN_EUROPE_NO_REGION</v>
      </c>
      <c r="H394" t="b">
        <f t="shared" si="41"/>
        <v>0</v>
      </c>
      <c r="I394" t="b">
        <f t="shared" si="42"/>
        <v>0</v>
      </c>
      <c r="J394" t="b">
        <f t="shared" si="43"/>
        <v>0</v>
      </c>
      <c r="K394" t="b">
        <f t="shared" si="39"/>
        <v>0</v>
      </c>
      <c r="L394" t="b">
        <f t="shared" si="39"/>
        <v>1</v>
      </c>
      <c r="M394" t="b">
        <f t="shared" si="39"/>
        <v>0</v>
      </c>
      <c r="N394" t="b">
        <f t="shared" si="44"/>
        <v>0</v>
      </c>
      <c r="O394" t="b">
        <f t="shared" si="44"/>
        <v>0</v>
      </c>
      <c r="P394" t="b">
        <f t="shared" si="45"/>
        <v>0</v>
      </c>
    </row>
    <row r="395" spans="1:16">
      <c r="A395" t="str">
        <v>electric_USA_Pennsylvania_Railroad_GG_1</v>
      </c>
      <c r="B395" t="b" cm="1">
        <f t="array" ref="B395">_xlfn.XLOOKUP(A395,CONTROL[VEHIDCODE],PROPERTIES[EXCLUDE])</f>
        <v>0</v>
      </c>
      <c r="C395">
        <f>FLOOR(_xlfn.XLOOKUP($A395,PROPERTIES[VEHIDCODE],PROPERTIES[INTRODUCTION_YEAR]),20)</f>
        <v>1920</v>
      </c>
      <c r="D395" t="str">
        <f>_xlfn.XLOOKUP($A395,PROPERTIES[VEHIDCODE],PROPERTIES[ROLE])</f>
        <v>Express</v>
      </c>
      <c r="E395" s="35" t="str">
        <f>_xlfn.XLOOKUP($A395,PROPERTIES[VEHIDCODE],PROPERTIES[REGION1])</f>
        <v>NORTH_AMERICA</v>
      </c>
      <c r="F395" s="35" t="str">
        <f>_xlfn.XLOOKUP($A395,PROPERTIES[VEHIDCODE],PROPERTIES[REGION2])</f>
        <v>NO_REGION</v>
      </c>
      <c r="G395" s="35" t="str">
        <f t="shared" si="40"/>
        <v>NORTH_AMERICA_NO_REGION</v>
      </c>
      <c r="H395" t="b">
        <f t="shared" si="41"/>
        <v>0</v>
      </c>
      <c r="I395" t="b">
        <f t="shared" si="42"/>
        <v>0</v>
      </c>
      <c r="J395" t="b">
        <f t="shared" si="43"/>
        <v>0</v>
      </c>
      <c r="K395" t="b">
        <f t="shared" si="39"/>
        <v>0</v>
      </c>
      <c r="L395" t="b">
        <f t="shared" si="39"/>
        <v>0</v>
      </c>
      <c r="M395" t="b">
        <f t="shared" si="39"/>
        <v>0</v>
      </c>
      <c r="N395" t="b">
        <f t="shared" si="44"/>
        <v>1</v>
      </c>
      <c r="O395" t="b">
        <f t="shared" si="44"/>
        <v>0</v>
      </c>
      <c r="P395" t="b">
        <f t="shared" si="45"/>
        <v>0</v>
      </c>
    </row>
    <row r="396" spans="1:16">
      <c r="A396" t="str">
        <v>electric_Austria_OBB_1020_Crocodile</v>
      </c>
      <c r="B396" t="b" cm="1">
        <f t="array" ref="B396">_xlfn.XLOOKUP(A396,CONTROL[VEHIDCODE],PROPERTIES[EXCLUDE])</f>
        <v>0</v>
      </c>
      <c r="C396">
        <f>FLOOR(_xlfn.XLOOKUP($A396,PROPERTIES[VEHIDCODE],PROPERTIES[INTRODUCTION_YEAR]),20)</f>
        <v>1940</v>
      </c>
      <c r="D396" t="str">
        <f>_xlfn.XLOOKUP($A396,PROPERTIES[VEHIDCODE],PROPERTIES[ROLE])</f>
        <v>Universal</v>
      </c>
      <c r="E396" s="35" t="str">
        <f>_xlfn.XLOOKUP($A396,PROPERTIES[VEHIDCODE],PROPERTIES[REGION1])</f>
        <v>WESTERN_EUROPE</v>
      </c>
      <c r="F396" s="35" t="str">
        <f>_xlfn.XLOOKUP($A396,PROPERTIES[VEHIDCODE],PROPERTIES[REGION2])</f>
        <v>NO_REGION</v>
      </c>
      <c r="G396" s="35" t="str">
        <f t="shared" si="40"/>
        <v>WESTERN_EUROPE_NO_REGION</v>
      </c>
      <c r="H396" t="b">
        <f t="shared" si="41"/>
        <v>0</v>
      </c>
      <c r="I396" t="b">
        <f t="shared" si="42"/>
        <v>0</v>
      </c>
      <c r="J396" t="b">
        <f t="shared" si="43"/>
        <v>0</v>
      </c>
      <c r="K396" t="b">
        <f t="shared" si="39"/>
        <v>0</v>
      </c>
      <c r="L396" t="b">
        <f t="shared" si="39"/>
        <v>1</v>
      </c>
      <c r="M396" t="b">
        <f t="shared" si="39"/>
        <v>0</v>
      </c>
      <c r="N396" t="b">
        <f t="shared" si="44"/>
        <v>0</v>
      </c>
      <c r="O396" t="b">
        <f t="shared" si="44"/>
        <v>0</v>
      </c>
      <c r="P396" t="b">
        <f t="shared" si="45"/>
        <v>0</v>
      </c>
    </row>
    <row r="397" spans="1:16">
      <c r="A397" t="str">
        <v>electric_Germany_DB_1031</v>
      </c>
      <c r="B397" t="b" cm="1">
        <f t="array" ref="B397">_xlfn.XLOOKUP(A397,CONTROL[VEHIDCODE],PROPERTIES[EXCLUDE])</f>
        <v>0</v>
      </c>
      <c r="C397">
        <f>FLOOR(_xlfn.XLOOKUP($A397,PROPERTIES[VEHIDCODE],PROPERTIES[INTRODUCTION_YEAR]),20)</f>
        <v>1960</v>
      </c>
      <c r="D397" t="str">
        <f>_xlfn.XLOOKUP($A397,PROPERTIES[VEHIDCODE],PROPERTIES[ROLE])</f>
        <v>Express</v>
      </c>
      <c r="E397" s="35" t="str">
        <f>_xlfn.XLOOKUP($A397,PROPERTIES[VEHIDCODE],PROPERTIES[REGION1])</f>
        <v>WESTERN_EUROPE</v>
      </c>
      <c r="F397" s="35" t="str">
        <f>_xlfn.XLOOKUP($A397,PROPERTIES[VEHIDCODE],PROPERTIES[REGION2])</f>
        <v>NO_REGION</v>
      </c>
      <c r="G397" s="35" t="str">
        <f t="shared" si="40"/>
        <v>WESTERN_EUROPE_NO_REGION</v>
      </c>
      <c r="H397" t="b">
        <f t="shared" si="41"/>
        <v>0</v>
      </c>
      <c r="I397" t="b">
        <f t="shared" si="42"/>
        <v>0</v>
      </c>
      <c r="J397" t="b">
        <f t="shared" si="43"/>
        <v>0</v>
      </c>
      <c r="K397" t="b">
        <f t="shared" si="39"/>
        <v>0</v>
      </c>
      <c r="L397" t="b">
        <f t="shared" si="39"/>
        <v>1</v>
      </c>
      <c r="M397" t="b">
        <f t="shared" si="39"/>
        <v>0</v>
      </c>
      <c r="N397" t="b">
        <f t="shared" si="44"/>
        <v>0</v>
      </c>
      <c r="O397" t="b">
        <f t="shared" si="44"/>
        <v>0</v>
      </c>
      <c r="P397" t="b">
        <f t="shared" si="45"/>
        <v>0</v>
      </c>
    </row>
    <row r="398" spans="1:16">
      <c r="A398" t="str">
        <v>electric_Germany_DB_E_919</v>
      </c>
      <c r="B398" t="b" cm="1">
        <f t="array" ref="B398">_xlfn.XLOOKUP(A398,CONTROL[VEHIDCODE],PROPERTIES[EXCLUDE])</f>
        <v>0</v>
      </c>
      <c r="C398">
        <f>FLOOR(_xlfn.XLOOKUP($A398,PROPERTIES[VEHIDCODE],PROPERTIES[INTRODUCTION_YEAR]),20)</f>
        <v>1920</v>
      </c>
      <c r="D398" t="str">
        <f>_xlfn.XLOOKUP($A398,PROPERTIES[VEHIDCODE],PROPERTIES[ROLE])</f>
        <v>Universal</v>
      </c>
      <c r="E398" s="35" t="str">
        <f>_xlfn.XLOOKUP($A398,PROPERTIES[VEHIDCODE],PROPERTIES[REGION1])</f>
        <v>WESTERN_EUROPE</v>
      </c>
      <c r="F398" s="35" t="str">
        <f>_xlfn.XLOOKUP($A398,PROPERTIES[VEHIDCODE],PROPERTIES[REGION2])</f>
        <v>NO_REGION</v>
      </c>
      <c r="G398" s="35" t="str">
        <f t="shared" si="40"/>
        <v>WESTERN_EUROPE_NO_REGION</v>
      </c>
      <c r="H398" t="b">
        <f t="shared" si="41"/>
        <v>0</v>
      </c>
      <c r="I398" t="b">
        <f t="shared" si="42"/>
        <v>0</v>
      </c>
      <c r="J398" t="b">
        <f t="shared" si="43"/>
        <v>0</v>
      </c>
      <c r="K398" t="b">
        <f t="shared" si="39"/>
        <v>0</v>
      </c>
      <c r="L398" t="b">
        <f t="shared" si="39"/>
        <v>1</v>
      </c>
      <c r="M398" t="b">
        <f t="shared" si="39"/>
        <v>0</v>
      </c>
      <c r="N398" t="b">
        <f t="shared" si="44"/>
        <v>0</v>
      </c>
      <c r="O398" t="b">
        <f t="shared" si="44"/>
        <v>0</v>
      </c>
      <c r="P398" t="b">
        <f t="shared" si="45"/>
        <v>0</v>
      </c>
    </row>
    <row r="399" spans="1:16">
      <c r="A399" t="str">
        <v>electric_Switzerland_BLS_Ce_4_4</v>
      </c>
      <c r="B399" t="b" cm="1">
        <f t="array" ref="B399">_xlfn.XLOOKUP(A399,CONTROL[VEHIDCODE],PROPERTIES[EXCLUDE])</f>
        <v>0</v>
      </c>
      <c r="C399">
        <f>FLOOR(_xlfn.XLOOKUP($A399,PROPERTIES[VEHIDCODE],PROPERTIES[INTRODUCTION_YEAR]),20)</f>
        <v>1940</v>
      </c>
      <c r="D399" t="str">
        <f>_xlfn.XLOOKUP($A399,PROPERTIES[VEHIDCODE],PROPERTIES[ROLE])</f>
        <v>Universal</v>
      </c>
      <c r="E399" s="35" t="str">
        <f>_xlfn.XLOOKUP($A399,PROPERTIES[VEHIDCODE],PROPERTIES[REGION1])</f>
        <v>WESTERN_EUROPE</v>
      </c>
      <c r="F399" s="35" t="str">
        <f>_xlfn.XLOOKUP($A399,PROPERTIES[VEHIDCODE],PROPERTIES[REGION2])</f>
        <v>NO_REGION</v>
      </c>
      <c r="G399" s="35" t="str">
        <f t="shared" si="40"/>
        <v>WESTERN_EUROPE_NO_REGION</v>
      </c>
      <c r="H399" t="b">
        <f t="shared" si="41"/>
        <v>0</v>
      </c>
      <c r="I399" t="b">
        <f t="shared" si="42"/>
        <v>0</v>
      </c>
      <c r="J399" t="b">
        <f t="shared" si="43"/>
        <v>0</v>
      </c>
      <c r="K399" t="b">
        <f t="shared" si="39"/>
        <v>0</v>
      </c>
      <c r="L399" t="b">
        <f t="shared" si="39"/>
        <v>1</v>
      </c>
      <c r="M399" t="b">
        <f t="shared" si="39"/>
        <v>0</v>
      </c>
      <c r="N399" t="b">
        <f t="shared" si="44"/>
        <v>0</v>
      </c>
      <c r="O399" t="b">
        <f t="shared" si="44"/>
        <v>0</v>
      </c>
      <c r="P399" t="b">
        <f t="shared" si="45"/>
        <v>0</v>
      </c>
    </row>
    <row r="400" spans="1:16">
      <c r="A400" t="str">
        <v>electric_Switzerland_SBB_Ae_6_6</v>
      </c>
      <c r="B400" t="b" cm="1">
        <f t="array" ref="B400">_xlfn.XLOOKUP(A400,CONTROL[VEHIDCODE],PROPERTIES[EXCLUDE])</f>
        <v>0</v>
      </c>
      <c r="C400">
        <f>FLOOR(_xlfn.XLOOKUP($A400,PROPERTIES[VEHIDCODE],PROPERTIES[INTRODUCTION_YEAR]),20)</f>
        <v>1940</v>
      </c>
      <c r="D400" t="str">
        <f>_xlfn.XLOOKUP($A400,PROPERTIES[VEHIDCODE],PROPERTIES[ROLE])</f>
        <v>Universal</v>
      </c>
      <c r="E400" s="35" t="str">
        <f>_xlfn.XLOOKUP($A400,PROPERTIES[VEHIDCODE],PROPERTIES[REGION1])</f>
        <v>WESTERN_EUROPE</v>
      </c>
      <c r="F400" s="35" t="str">
        <f>_xlfn.XLOOKUP($A400,PROPERTIES[VEHIDCODE],PROPERTIES[REGION2])</f>
        <v>NO_REGION</v>
      </c>
      <c r="G400" s="35" t="str">
        <f t="shared" si="40"/>
        <v>WESTERN_EUROPE_NO_REGION</v>
      </c>
      <c r="H400" t="b">
        <f t="shared" si="41"/>
        <v>0</v>
      </c>
      <c r="I400" t="b">
        <f t="shared" si="42"/>
        <v>0</v>
      </c>
      <c r="J400" t="b">
        <f t="shared" si="43"/>
        <v>0</v>
      </c>
      <c r="K400" t="b">
        <f t="shared" si="39"/>
        <v>0</v>
      </c>
      <c r="L400" t="b">
        <f t="shared" si="39"/>
        <v>1</v>
      </c>
      <c r="M400" t="b">
        <f t="shared" si="39"/>
        <v>0</v>
      </c>
      <c r="N400" t="b">
        <f t="shared" si="44"/>
        <v>0</v>
      </c>
      <c r="O400" t="b">
        <f t="shared" si="44"/>
        <v>0</v>
      </c>
      <c r="P400" t="b">
        <f t="shared" si="45"/>
        <v>0</v>
      </c>
    </row>
    <row r="401" spans="1:16">
      <c r="A401" t="str">
        <v>electric_Switzerland_SBB_Re460_Lok_2000</v>
      </c>
      <c r="B401" t="b" cm="1">
        <f t="array" ref="B401">_xlfn.XLOOKUP(A401,CONTROL[VEHIDCODE],PROPERTIES[EXCLUDE])</f>
        <v>0</v>
      </c>
      <c r="C401">
        <f>FLOOR(_xlfn.XLOOKUP($A401,PROPERTIES[VEHIDCODE],PROPERTIES[INTRODUCTION_YEAR]),20)</f>
        <v>1980</v>
      </c>
      <c r="D401" t="str">
        <f>_xlfn.XLOOKUP($A401,PROPERTIES[VEHIDCODE],PROPERTIES[ROLE])</f>
        <v>Express</v>
      </c>
      <c r="E401" s="35" t="str">
        <f>_xlfn.XLOOKUP($A401,PROPERTIES[VEHIDCODE],PROPERTIES[REGION1])</f>
        <v>WESTERN_EUROPE</v>
      </c>
      <c r="F401" s="35" t="str">
        <f>_xlfn.XLOOKUP($A401,PROPERTIES[VEHIDCODE],PROPERTIES[REGION2])</f>
        <v>NO_REGION</v>
      </c>
      <c r="G401" s="35" t="str">
        <f t="shared" si="40"/>
        <v>WESTERN_EUROPE_NO_REGION</v>
      </c>
      <c r="H401" t="b">
        <f t="shared" si="41"/>
        <v>0</v>
      </c>
      <c r="I401" t="b">
        <f t="shared" si="42"/>
        <v>0</v>
      </c>
      <c r="J401" t="b">
        <f t="shared" si="43"/>
        <v>0</v>
      </c>
      <c r="K401" t="b">
        <f t="shared" si="39"/>
        <v>0</v>
      </c>
      <c r="L401" t="b">
        <f t="shared" si="39"/>
        <v>1</v>
      </c>
      <c r="M401" t="b">
        <f t="shared" si="39"/>
        <v>0</v>
      </c>
      <c r="N401" t="b">
        <f t="shared" si="44"/>
        <v>0</v>
      </c>
      <c r="O401" t="b">
        <f t="shared" si="44"/>
        <v>0</v>
      </c>
      <c r="P401" t="b">
        <f t="shared" si="45"/>
        <v>0</v>
      </c>
    </row>
    <row r="402" spans="1:16">
      <c r="A402" t="str">
        <v>electric_Switzerland_SBB_Eem_923</v>
      </c>
      <c r="B402" t="b" cm="1">
        <f t="array" ref="B402">_xlfn.XLOOKUP(A402,CONTROL[VEHIDCODE],PROPERTIES[EXCLUDE])</f>
        <v>0</v>
      </c>
      <c r="C402">
        <f>FLOOR(_xlfn.XLOOKUP($A402,PROPERTIES[VEHIDCODE],PROPERTIES[INTRODUCTION_YEAR]),20)</f>
        <v>2000</v>
      </c>
      <c r="D402" t="str">
        <f>_xlfn.XLOOKUP($A402,PROPERTIES[VEHIDCODE],PROPERTIES[ROLE])</f>
        <v>Universal</v>
      </c>
      <c r="E402" s="35" t="str">
        <f>_xlfn.XLOOKUP($A402,PROPERTIES[VEHIDCODE],PROPERTIES[REGION1])</f>
        <v>WESTERN_EUROPE</v>
      </c>
      <c r="F402" s="35" t="str">
        <f>_xlfn.XLOOKUP($A402,PROPERTIES[VEHIDCODE],PROPERTIES[REGION2])</f>
        <v>NO_REGION</v>
      </c>
      <c r="G402" s="35" t="str">
        <f t="shared" si="40"/>
        <v>WESTERN_EUROPE_NO_REGION</v>
      </c>
      <c r="H402" t="b">
        <f t="shared" si="41"/>
        <v>0</v>
      </c>
      <c r="I402" t="b">
        <f t="shared" si="42"/>
        <v>0</v>
      </c>
      <c r="J402" t="b">
        <f t="shared" si="43"/>
        <v>0</v>
      </c>
      <c r="K402" t="b">
        <f t="shared" si="39"/>
        <v>0</v>
      </c>
      <c r="L402" t="b">
        <f t="shared" si="39"/>
        <v>1</v>
      </c>
      <c r="M402" t="b">
        <f t="shared" si="39"/>
        <v>0</v>
      </c>
      <c r="N402" t="b">
        <f t="shared" si="44"/>
        <v>0</v>
      </c>
      <c r="O402" t="b">
        <f t="shared" si="44"/>
        <v>0</v>
      </c>
      <c r="P402" t="b">
        <f t="shared" si="45"/>
        <v>0</v>
      </c>
    </row>
    <row r="403" spans="1:16">
      <c r="A403" t="str">
        <v>electric_Austria_OBB_1044</v>
      </c>
      <c r="B403" t="b" cm="1">
        <f t="array" ref="B403">_xlfn.XLOOKUP(A403,CONTROL[VEHIDCODE],PROPERTIES[EXCLUDE])</f>
        <v>0</v>
      </c>
      <c r="C403">
        <f>FLOOR(_xlfn.XLOOKUP($A403,PROPERTIES[VEHIDCODE],PROPERTIES[INTRODUCTION_YEAR]),20)</f>
        <v>1960</v>
      </c>
      <c r="D403" t="str">
        <f>_xlfn.XLOOKUP($A403,PROPERTIES[VEHIDCODE],PROPERTIES[ROLE])</f>
        <v>Express</v>
      </c>
      <c r="E403" s="35" t="str">
        <f>_xlfn.XLOOKUP($A403,PROPERTIES[VEHIDCODE],PROPERTIES[REGION1])</f>
        <v>WESTERN_EUROPE</v>
      </c>
      <c r="F403" s="35" t="str">
        <f>_xlfn.XLOOKUP($A403,PROPERTIES[VEHIDCODE],PROPERTIES[REGION2])</f>
        <v>NO_REGION</v>
      </c>
      <c r="G403" s="35" t="str">
        <f t="shared" si="40"/>
        <v>WESTERN_EUROPE_NO_REGION</v>
      </c>
      <c r="H403" t="b">
        <f t="shared" si="41"/>
        <v>0</v>
      </c>
      <c r="I403" t="b">
        <f t="shared" si="42"/>
        <v>0</v>
      </c>
      <c r="J403" t="b">
        <f t="shared" si="43"/>
        <v>0</v>
      </c>
      <c r="K403" t="b">
        <f t="shared" si="39"/>
        <v>0</v>
      </c>
      <c r="L403" t="b">
        <f t="shared" si="39"/>
        <v>1</v>
      </c>
      <c r="M403" t="b">
        <f t="shared" si="39"/>
        <v>0</v>
      </c>
      <c r="N403" t="b">
        <f t="shared" si="44"/>
        <v>0</v>
      </c>
      <c r="O403" t="b">
        <f t="shared" si="44"/>
        <v>0</v>
      </c>
      <c r="P403" t="b">
        <f t="shared" si="45"/>
        <v>0</v>
      </c>
    </row>
    <row r="404" spans="1:16">
      <c r="A404" t="str">
        <v>electric_Austria_OBB_1063</v>
      </c>
      <c r="B404" t="b" cm="1">
        <f t="array" ref="B404">_xlfn.XLOOKUP(A404,CONTROL[VEHIDCODE],PROPERTIES[EXCLUDE])</f>
        <v>0</v>
      </c>
      <c r="C404">
        <f>FLOOR(_xlfn.XLOOKUP($A404,PROPERTIES[VEHIDCODE],PROPERTIES[INTRODUCTION_YEAR]),20)</f>
        <v>1980</v>
      </c>
      <c r="D404" t="str">
        <f>_xlfn.XLOOKUP($A404,PROPERTIES[VEHIDCODE],PROPERTIES[ROLE])</f>
        <v>Universal</v>
      </c>
      <c r="E404" s="35" t="str">
        <f>_xlfn.XLOOKUP($A404,PROPERTIES[VEHIDCODE],PROPERTIES[REGION1])</f>
        <v>WESTERN_EUROPE</v>
      </c>
      <c r="F404" s="35" t="str">
        <f>_xlfn.XLOOKUP($A404,PROPERTIES[VEHIDCODE],PROPERTIES[REGION2])</f>
        <v>NO_REGION</v>
      </c>
      <c r="G404" s="35" t="str">
        <f t="shared" si="40"/>
        <v>WESTERN_EUROPE_NO_REGION</v>
      </c>
      <c r="H404" t="b">
        <f t="shared" si="41"/>
        <v>0</v>
      </c>
      <c r="I404" t="b">
        <f t="shared" si="42"/>
        <v>0</v>
      </c>
      <c r="J404" t="b">
        <f t="shared" si="43"/>
        <v>0</v>
      </c>
      <c r="K404" t="b">
        <f t="shared" si="39"/>
        <v>0</v>
      </c>
      <c r="L404" t="b">
        <f t="shared" si="39"/>
        <v>1</v>
      </c>
      <c r="M404" t="b">
        <f t="shared" si="39"/>
        <v>0</v>
      </c>
      <c r="N404" t="b">
        <f t="shared" si="44"/>
        <v>0</v>
      </c>
      <c r="O404" t="b">
        <f t="shared" si="44"/>
        <v>0</v>
      </c>
      <c r="P404" t="b">
        <f t="shared" si="45"/>
        <v>0</v>
      </c>
    </row>
    <row r="405" spans="1:16">
      <c r="A405" t="str">
        <v>electric_Sweden_MTAB_Dm3</v>
      </c>
      <c r="B405" t="b" cm="1">
        <f t="array" ref="B405">_xlfn.XLOOKUP(A405,CONTROL[VEHIDCODE],PROPERTIES[EXCLUDE])</f>
        <v>0</v>
      </c>
      <c r="C405">
        <f>FLOOR(_xlfn.XLOOKUP($A405,PROPERTIES[VEHIDCODE],PROPERTIES[INTRODUCTION_YEAR]),20)</f>
        <v>1940</v>
      </c>
      <c r="D405" t="str">
        <f>_xlfn.XLOOKUP($A405,PROPERTIES[VEHIDCODE],PROPERTIES[ROLE])</f>
        <v>Heavy Freight</v>
      </c>
      <c r="E405" s="35" t="str">
        <f>_xlfn.XLOOKUP($A405,PROPERTIES[VEHIDCODE],PROPERTIES[REGION1])</f>
        <v>NORTHERN_EUROPE</v>
      </c>
      <c r="F405" s="35" t="str">
        <f>_xlfn.XLOOKUP($A405,PROPERTIES[VEHIDCODE],PROPERTIES[REGION2])</f>
        <v>NO_REGION</v>
      </c>
      <c r="G405" s="35" t="str">
        <f t="shared" si="40"/>
        <v>NORTHERN_EUROPE_NO_REGION</v>
      </c>
      <c r="H405" t="b">
        <f t="shared" si="41"/>
        <v>0</v>
      </c>
      <c r="I405" t="b">
        <f t="shared" si="42"/>
        <v>0</v>
      </c>
      <c r="J405" t="b">
        <f t="shared" si="43"/>
        <v>0</v>
      </c>
      <c r="K405" t="b">
        <f t="shared" si="39"/>
        <v>0</v>
      </c>
      <c r="L405" t="b">
        <f t="shared" si="39"/>
        <v>0</v>
      </c>
      <c r="M405" t="b">
        <f t="shared" si="39"/>
        <v>1</v>
      </c>
      <c r="N405" t="b">
        <f t="shared" si="44"/>
        <v>0</v>
      </c>
      <c r="O405" t="b">
        <f t="shared" si="44"/>
        <v>0</v>
      </c>
      <c r="P405" t="b">
        <f t="shared" si="45"/>
        <v>0</v>
      </c>
    </row>
    <row r="406" spans="1:16">
      <c r="A406" t="str">
        <v>electric_Sweden_MTAB_IORE</v>
      </c>
      <c r="B406" t="b" cm="1">
        <f t="array" ref="B406">_xlfn.XLOOKUP(A406,CONTROL[VEHIDCODE],PROPERTIES[EXCLUDE])</f>
        <v>0</v>
      </c>
      <c r="C406">
        <f>FLOOR(_xlfn.XLOOKUP($A406,PROPERTIES[VEHIDCODE],PROPERTIES[INTRODUCTION_YEAR]),20)</f>
        <v>2000</v>
      </c>
      <c r="D406" t="str">
        <f>_xlfn.XLOOKUP($A406,PROPERTIES[VEHIDCODE],PROPERTIES[ROLE])</f>
        <v>Heavy Freight</v>
      </c>
      <c r="E406" s="35" t="str">
        <f>_xlfn.XLOOKUP($A406,PROPERTIES[VEHIDCODE],PROPERTIES[REGION1])</f>
        <v>NORTHERN_EUROPE</v>
      </c>
      <c r="F406" s="35" t="str">
        <f>_xlfn.XLOOKUP($A406,PROPERTIES[VEHIDCODE],PROPERTIES[REGION2])</f>
        <v>NO_REGION</v>
      </c>
      <c r="G406" s="35" t="str">
        <f t="shared" si="40"/>
        <v>NORTHERN_EUROPE_NO_REGION</v>
      </c>
      <c r="H406" t="b">
        <f t="shared" si="41"/>
        <v>0</v>
      </c>
      <c r="I406" t="b">
        <f t="shared" si="42"/>
        <v>0</v>
      </c>
      <c r="J406" t="b">
        <f t="shared" si="43"/>
        <v>0</v>
      </c>
      <c r="K406" t="b">
        <f t="shared" si="39"/>
        <v>0</v>
      </c>
      <c r="L406" t="b">
        <f t="shared" si="39"/>
        <v>0</v>
      </c>
      <c r="M406" t="b">
        <f t="shared" si="39"/>
        <v>1</v>
      </c>
      <c r="N406" t="b">
        <f t="shared" si="44"/>
        <v>0</v>
      </c>
      <c r="O406" t="b">
        <f t="shared" si="44"/>
        <v>0</v>
      </c>
      <c r="P406" t="b">
        <f t="shared" si="45"/>
        <v>0</v>
      </c>
    </row>
    <row r="407" spans="1:16">
      <c r="A407" t="str">
        <v>electric_Sweden_SJ_O_Class</v>
      </c>
      <c r="B407" t="b" cm="1">
        <f t="array" ref="B407">_xlfn.XLOOKUP(A407,CONTROL[VEHIDCODE],PROPERTIES[EXCLUDE])</f>
        <v>0</v>
      </c>
      <c r="C407">
        <f>FLOOR(_xlfn.XLOOKUP($A407,PROPERTIES[VEHIDCODE],PROPERTIES[INTRODUCTION_YEAR]),20)</f>
        <v>1900</v>
      </c>
      <c r="D407" t="str">
        <f>_xlfn.XLOOKUP($A407,PROPERTIES[VEHIDCODE],PROPERTIES[ROLE])</f>
        <v>Universal</v>
      </c>
      <c r="E407" s="35" t="str">
        <f>_xlfn.XLOOKUP($A407,PROPERTIES[VEHIDCODE],PROPERTIES[REGION1])</f>
        <v>NORTHERN_EUROPE</v>
      </c>
      <c r="F407" s="35" t="str">
        <f>_xlfn.XLOOKUP($A407,PROPERTIES[VEHIDCODE],PROPERTIES[REGION2])</f>
        <v>NO_REGION</v>
      </c>
      <c r="G407" s="35" t="str">
        <f t="shared" si="40"/>
        <v>NORTHERN_EUROPE_NO_REGION</v>
      </c>
      <c r="H407" t="b">
        <f t="shared" si="41"/>
        <v>0</v>
      </c>
      <c r="I407" t="b">
        <f t="shared" si="42"/>
        <v>0</v>
      </c>
      <c r="J407" t="b">
        <f t="shared" si="43"/>
        <v>0</v>
      </c>
      <c r="K407" t="b">
        <f t="shared" si="39"/>
        <v>0</v>
      </c>
      <c r="L407" t="b">
        <f t="shared" si="39"/>
        <v>0</v>
      </c>
      <c r="M407" t="b">
        <f t="shared" si="39"/>
        <v>1</v>
      </c>
      <c r="N407" t="b">
        <f t="shared" si="44"/>
        <v>0</v>
      </c>
      <c r="O407" t="b">
        <f t="shared" si="44"/>
        <v>0</v>
      </c>
      <c r="P407" t="b">
        <f t="shared" si="45"/>
        <v>0</v>
      </c>
    </row>
    <row r="408" spans="1:16">
      <c r="A408" t="str">
        <v>electric_Sweden_SJ_F_Class</v>
      </c>
      <c r="B408" t="b" cm="1">
        <f t="array" ref="B408">_xlfn.XLOOKUP(A408,CONTROL[VEHIDCODE],PROPERTIES[EXCLUDE])</f>
        <v>0</v>
      </c>
      <c r="C408">
        <f>FLOOR(_xlfn.XLOOKUP($A408,PROPERTIES[VEHIDCODE],PROPERTIES[INTRODUCTION_YEAR]),20)</f>
        <v>1940</v>
      </c>
      <c r="D408" t="str">
        <f>_xlfn.XLOOKUP($A408,PROPERTIES[VEHIDCODE],PROPERTIES[ROLE])</f>
        <v>Universal</v>
      </c>
      <c r="E408" s="35" t="str">
        <f>_xlfn.XLOOKUP($A408,PROPERTIES[VEHIDCODE],PROPERTIES[REGION1])</f>
        <v>NORTHERN_EUROPE</v>
      </c>
      <c r="F408" s="35" t="str">
        <f>_xlfn.XLOOKUP($A408,PROPERTIES[VEHIDCODE],PROPERTIES[REGION2])</f>
        <v>NO_REGION</v>
      </c>
      <c r="G408" s="35" t="str">
        <f t="shared" si="40"/>
        <v>NORTHERN_EUROPE_NO_REGION</v>
      </c>
      <c r="H408" t="b">
        <f t="shared" si="41"/>
        <v>0</v>
      </c>
      <c r="I408" t="b">
        <f t="shared" si="42"/>
        <v>0</v>
      </c>
      <c r="J408" t="b">
        <f t="shared" si="43"/>
        <v>0</v>
      </c>
      <c r="K408" t="b">
        <f t="shared" si="39"/>
        <v>0</v>
      </c>
      <c r="L408" t="b">
        <f t="shared" si="39"/>
        <v>0</v>
      </c>
      <c r="M408" t="b">
        <f t="shared" si="39"/>
        <v>1</v>
      </c>
      <c r="N408" t="b">
        <f t="shared" si="44"/>
        <v>0</v>
      </c>
      <c r="O408" t="b">
        <f t="shared" si="44"/>
        <v>0</v>
      </c>
      <c r="P408" t="b">
        <f t="shared" si="45"/>
        <v>0</v>
      </c>
    </row>
    <row r="409" spans="1:16">
      <c r="A409" t="str">
        <v>electric_Norway_NSB_EL17</v>
      </c>
      <c r="B409" t="b" cm="1">
        <f t="array" ref="B409">_xlfn.XLOOKUP(A409,CONTROL[VEHIDCODE],PROPERTIES[EXCLUDE])</f>
        <v>0</v>
      </c>
      <c r="C409">
        <f>FLOOR(_xlfn.XLOOKUP($A409,PROPERTIES[VEHIDCODE],PROPERTIES[INTRODUCTION_YEAR]),20)</f>
        <v>1980</v>
      </c>
      <c r="D409" t="str">
        <f>_xlfn.XLOOKUP($A409,PROPERTIES[VEHIDCODE],PROPERTIES[ROLE])</f>
        <v>Universal</v>
      </c>
      <c r="E409" s="35" t="str">
        <f>_xlfn.XLOOKUP($A409,PROPERTIES[VEHIDCODE],PROPERTIES[REGION1])</f>
        <v>NORTHERN_EUROPE</v>
      </c>
      <c r="F409" s="35" t="str">
        <f>_xlfn.XLOOKUP($A409,PROPERTIES[VEHIDCODE],PROPERTIES[REGION2])</f>
        <v>NO_REGION</v>
      </c>
      <c r="G409" s="35" t="str">
        <f t="shared" si="40"/>
        <v>NORTHERN_EUROPE_NO_REGION</v>
      </c>
      <c r="H409" t="b">
        <f t="shared" si="41"/>
        <v>0</v>
      </c>
      <c r="I409" t="b">
        <f t="shared" si="42"/>
        <v>0</v>
      </c>
      <c r="J409" t="b">
        <f t="shared" si="43"/>
        <v>0</v>
      </c>
      <c r="K409" t="b">
        <f t="shared" si="39"/>
        <v>0</v>
      </c>
      <c r="L409" t="b">
        <f t="shared" si="39"/>
        <v>0</v>
      </c>
      <c r="M409" t="b">
        <f t="shared" si="39"/>
        <v>1</v>
      </c>
      <c r="N409" t="b">
        <f t="shared" si="44"/>
        <v>0</v>
      </c>
      <c r="O409" t="b">
        <f t="shared" si="44"/>
        <v>0</v>
      </c>
      <c r="P409" t="b">
        <f t="shared" si="45"/>
        <v>0</v>
      </c>
    </row>
    <row r="410" spans="1:16">
      <c r="A410" t="str">
        <v>electric_Germany_Prussian_ES_6</v>
      </c>
      <c r="B410" t="b" cm="1">
        <f t="array" ref="B410">_xlfn.XLOOKUP(A410,CONTROL[VEHIDCODE],PROPERTIES[EXCLUDE])</f>
        <v>0</v>
      </c>
      <c r="C410">
        <f>FLOOR(_xlfn.XLOOKUP($A410,PROPERTIES[VEHIDCODE],PROPERTIES[INTRODUCTION_YEAR]),20)</f>
        <v>1900</v>
      </c>
      <c r="D410" t="str">
        <f>_xlfn.XLOOKUP($A410,PROPERTIES[VEHIDCODE],PROPERTIES[ROLE])</f>
        <v>Universal</v>
      </c>
      <c r="E410" s="35" t="str">
        <f>_xlfn.XLOOKUP($A410,PROPERTIES[VEHIDCODE],PROPERTIES[REGION1])</f>
        <v>WESTERN_EUROPE</v>
      </c>
      <c r="F410" s="35" t="str">
        <f>_xlfn.XLOOKUP($A410,PROPERTIES[VEHIDCODE],PROPERTIES[REGION2])</f>
        <v>NO_REGION</v>
      </c>
      <c r="G410" s="35" t="str">
        <f t="shared" si="40"/>
        <v>WESTERN_EUROPE_NO_REGION</v>
      </c>
      <c r="H410" t="b">
        <f t="shared" si="41"/>
        <v>0</v>
      </c>
      <c r="I410" t="b">
        <f t="shared" si="42"/>
        <v>0</v>
      </c>
      <c r="J410" t="b">
        <f t="shared" si="43"/>
        <v>0</v>
      </c>
      <c r="K410" t="b">
        <f t="shared" si="39"/>
        <v>0</v>
      </c>
      <c r="L410" t="b">
        <f t="shared" si="39"/>
        <v>1</v>
      </c>
      <c r="M410" t="b">
        <f t="shared" si="39"/>
        <v>0</v>
      </c>
      <c r="N410" t="b">
        <f t="shared" si="44"/>
        <v>0</v>
      </c>
      <c r="O410" t="b">
        <f t="shared" si="44"/>
        <v>0</v>
      </c>
      <c r="P410" t="b">
        <f t="shared" si="45"/>
        <v>0</v>
      </c>
    </row>
    <row r="411" spans="1:16">
      <c r="A411" t="str">
        <v>electric_USA_Virginian_Railway_EL_2B</v>
      </c>
      <c r="B411" t="b" cm="1">
        <f t="array" ref="B411">_xlfn.XLOOKUP(A411,CONTROL[VEHIDCODE],PROPERTIES[EXCLUDE])</f>
        <v>0</v>
      </c>
      <c r="C411">
        <f>FLOOR(_xlfn.XLOOKUP($A411,PROPERTIES[VEHIDCODE],PROPERTIES[INTRODUCTION_YEAR]),20)</f>
        <v>1940</v>
      </c>
      <c r="D411" t="str">
        <f>_xlfn.XLOOKUP($A411,PROPERTIES[VEHIDCODE],PROPERTIES[ROLE])</f>
        <v>Heavy Freight</v>
      </c>
      <c r="E411" s="35" t="str">
        <f>_xlfn.XLOOKUP($A411,PROPERTIES[VEHIDCODE],PROPERTIES[REGION1])</f>
        <v>NORTH_AMERICA</v>
      </c>
      <c r="F411" s="35" t="str">
        <f>_xlfn.XLOOKUP($A411,PROPERTIES[VEHIDCODE],PROPERTIES[REGION2])</f>
        <v>NO_REGION</v>
      </c>
      <c r="G411" s="35" t="str">
        <f t="shared" si="40"/>
        <v>NORTH_AMERICA_NO_REGION</v>
      </c>
      <c r="H411" t="b">
        <f t="shared" si="41"/>
        <v>0</v>
      </c>
      <c r="I411" t="b">
        <f t="shared" si="42"/>
        <v>0</v>
      </c>
      <c r="J411" t="b">
        <f t="shared" si="43"/>
        <v>0</v>
      </c>
      <c r="K411" t="b">
        <f t="shared" si="39"/>
        <v>0</v>
      </c>
      <c r="L411" t="b">
        <f t="shared" si="39"/>
        <v>0</v>
      </c>
      <c r="M411" t="b">
        <f t="shared" si="39"/>
        <v>0</v>
      </c>
      <c r="N411" t="b">
        <f t="shared" si="44"/>
        <v>1</v>
      </c>
      <c r="O411" t="b">
        <f t="shared" si="44"/>
        <v>0</v>
      </c>
      <c r="P411" t="b">
        <f t="shared" si="45"/>
        <v>0</v>
      </c>
    </row>
    <row r="412" spans="1:16">
      <c r="A412" t="str">
        <v>electric_USA_GN_W_1</v>
      </c>
      <c r="B412" t="b" cm="1">
        <f t="array" ref="B412">_xlfn.XLOOKUP(A412,CONTROL[VEHIDCODE],PROPERTIES[EXCLUDE])</f>
        <v>0</v>
      </c>
      <c r="C412">
        <f>FLOOR(_xlfn.XLOOKUP($A412,PROPERTIES[VEHIDCODE],PROPERTIES[INTRODUCTION_YEAR]),20)</f>
        <v>1940</v>
      </c>
      <c r="D412" t="str">
        <f>_xlfn.XLOOKUP($A412,PROPERTIES[VEHIDCODE],PROPERTIES[ROLE])</f>
        <v>Heavy Freight</v>
      </c>
      <c r="E412" s="35" t="str">
        <f>_xlfn.XLOOKUP($A412,PROPERTIES[VEHIDCODE],PROPERTIES[REGION1])</f>
        <v>NORTH_AMERICA</v>
      </c>
      <c r="F412" s="35" t="str">
        <f>_xlfn.XLOOKUP($A412,PROPERTIES[VEHIDCODE],PROPERTIES[REGION2])</f>
        <v>NO_REGION</v>
      </c>
      <c r="G412" s="35" t="str">
        <f t="shared" si="40"/>
        <v>NORTH_AMERICA_NO_REGION</v>
      </c>
      <c r="H412" t="b">
        <f t="shared" si="41"/>
        <v>0</v>
      </c>
      <c r="I412" t="b">
        <f t="shared" si="42"/>
        <v>0</v>
      </c>
      <c r="J412" t="b">
        <f t="shared" si="43"/>
        <v>0</v>
      </c>
      <c r="K412" t="b">
        <f t="shared" si="39"/>
        <v>0</v>
      </c>
      <c r="L412" t="b">
        <f t="shared" si="39"/>
        <v>0</v>
      </c>
      <c r="M412" t="b">
        <f t="shared" si="39"/>
        <v>0</v>
      </c>
      <c r="N412" t="b">
        <f t="shared" si="44"/>
        <v>1</v>
      </c>
      <c r="O412" t="b">
        <f t="shared" si="44"/>
        <v>0</v>
      </c>
      <c r="P412" t="b">
        <f t="shared" si="45"/>
        <v>0</v>
      </c>
    </row>
    <row r="413" spans="1:16">
      <c r="A413" t="str">
        <v>electric_USA_PRR_B1</v>
      </c>
      <c r="B413" t="b" cm="1">
        <f t="array" ref="B413">_xlfn.XLOOKUP(A413,CONTROL[VEHIDCODE],PROPERTIES[EXCLUDE])</f>
        <v>0</v>
      </c>
      <c r="C413">
        <f>FLOOR(_xlfn.XLOOKUP($A413,PROPERTIES[VEHIDCODE],PROPERTIES[INTRODUCTION_YEAR]),20)</f>
        <v>1920</v>
      </c>
      <c r="D413" t="str">
        <f>_xlfn.XLOOKUP($A413,PROPERTIES[VEHIDCODE],PROPERTIES[ROLE])</f>
        <v>Shunting</v>
      </c>
      <c r="E413" s="35" t="str">
        <f>_xlfn.XLOOKUP($A413,PROPERTIES[VEHIDCODE],PROPERTIES[REGION1])</f>
        <v>NORTH_AMERICA</v>
      </c>
      <c r="F413" s="35" t="str">
        <f>_xlfn.XLOOKUP($A413,PROPERTIES[VEHIDCODE],PROPERTIES[REGION2])</f>
        <v>NO_REGION</v>
      </c>
      <c r="G413" s="35" t="str">
        <f t="shared" si="40"/>
        <v>NORTH_AMERICA_NO_REGION</v>
      </c>
      <c r="H413" t="b">
        <f t="shared" si="41"/>
        <v>0</v>
      </c>
      <c r="I413" t="b">
        <f t="shared" si="42"/>
        <v>0</v>
      </c>
      <c r="J413" t="b">
        <f t="shared" si="43"/>
        <v>0</v>
      </c>
      <c r="K413" t="b">
        <f t="shared" si="39"/>
        <v>0</v>
      </c>
      <c r="L413" t="b">
        <f t="shared" si="39"/>
        <v>0</v>
      </c>
      <c r="M413" t="b">
        <f t="shared" si="39"/>
        <v>0</v>
      </c>
      <c r="N413" t="b">
        <f t="shared" si="44"/>
        <v>1</v>
      </c>
      <c r="O413" t="b">
        <f t="shared" si="44"/>
        <v>0</v>
      </c>
      <c r="P413" t="b">
        <f t="shared" si="45"/>
        <v>0</v>
      </c>
    </row>
    <row r="414" spans="1:16">
      <c r="A414" t="str">
        <v>electric_Australia_Aurizon_E40_AG_V1</v>
      </c>
      <c r="B414" t="b" cm="1">
        <f t="array" ref="B414">_xlfn.XLOOKUP(A414,CONTROL[VEHIDCODE],PROPERTIES[EXCLUDE])</f>
        <v>0</v>
      </c>
      <c r="C414">
        <f>FLOOR(_xlfn.XLOOKUP($A414,PROPERTIES[VEHIDCODE],PROPERTIES[INTRODUCTION_YEAR]),20)</f>
        <v>2000</v>
      </c>
      <c r="D414" t="str">
        <f>_xlfn.XLOOKUP($A414,PROPERTIES[VEHIDCODE],PROPERTIES[ROLE])</f>
        <v>Universal</v>
      </c>
      <c r="E414" s="35" t="str">
        <f>_xlfn.XLOOKUP($A414,PROPERTIES[VEHIDCODE],PROPERTIES[REGION1])</f>
        <v>OCEANIA</v>
      </c>
      <c r="F414" s="35" t="str">
        <f>_xlfn.XLOOKUP($A414,PROPERTIES[VEHIDCODE],PROPERTIES[REGION2])</f>
        <v>NO_REGION</v>
      </c>
      <c r="G414" s="35" t="str">
        <f t="shared" si="40"/>
        <v>OCEANIA_NO_REGION</v>
      </c>
      <c r="H414" t="b">
        <f t="shared" si="41"/>
        <v>0</v>
      </c>
      <c r="I414" t="b">
        <f t="shared" si="42"/>
        <v>0</v>
      </c>
      <c r="J414" t="b">
        <f t="shared" si="43"/>
        <v>0</v>
      </c>
      <c r="K414" t="b">
        <f t="shared" si="39"/>
        <v>0</v>
      </c>
      <c r="L414" t="b">
        <f t="shared" si="39"/>
        <v>0</v>
      </c>
      <c r="M414" t="b">
        <f t="shared" si="39"/>
        <v>0</v>
      </c>
      <c r="N414" t="b">
        <f t="shared" si="44"/>
        <v>0</v>
      </c>
      <c r="O414" t="b">
        <f t="shared" si="44"/>
        <v>0</v>
      </c>
      <c r="P414" t="b">
        <f t="shared" si="45"/>
        <v>1</v>
      </c>
    </row>
    <row r="415" spans="1:16">
      <c r="A415" t="str">
        <v>electric_China_China_Railways_SS6</v>
      </c>
      <c r="B415" t="b" cm="1">
        <f t="array" ref="B415">_xlfn.XLOOKUP(A415,CONTROL[VEHIDCODE],PROPERTIES[EXCLUDE])</f>
        <v>0</v>
      </c>
      <c r="C415">
        <f>FLOOR(_xlfn.XLOOKUP($A415,PROPERTIES[VEHIDCODE],PROPERTIES[INTRODUCTION_YEAR]),20)</f>
        <v>1980</v>
      </c>
      <c r="D415" t="str">
        <f>_xlfn.XLOOKUP($A415,PROPERTIES[VEHIDCODE],PROPERTIES[ROLE])</f>
        <v>Universal</v>
      </c>
      <c r="E415" s="35" t="str">
        <f>_xlfn.XLOOKUP($A415,PROPERTIES[VEHIDCODE],PROPERTIES[REGION1])</f>
        <v>ASIA</v>
      </c>
      <c r="F415" s="35" t="str">
        <f>_xlfn.XLOOKUP($A415,PROPERTIES[VEHIDCODE],PROPERTIES[REGION2])</f>
        <v>NO_REGION</v>
      </c>
      <c r="G415" s="35" t="str">
        <f t="shared" si="40"/>
        <v>ASIA_NO_REGION</v>
      </c>
      <c r="H415" t="b">
        <f t="shared" si="41"/>
        <v>0</v>
      </c>
      <c r="I415" t="b">
        <f t="shared" si="42"/>
        <v>1</v>
      </c>
      <c r="J415" t="b">
        <f t="shared" si="43"/>
        <v>0</v>
      </c>
      <c r="K415" t="b">
        <f t="shared" si="39"/>
        <v>0</v>
      </c>
      <c r="L415" t="b">
        <f t="shared" si="39"/>
        <v>0</v>
      </c>
      <c r="M415" t="b">
        <f t="shared" si="39"/>
        <v>0</v>
      </c>
      <c r="N415" t="b">
        <f t="shared" si="44"/>
        <v>0</v>
      </c>
      <c r="O415" t="b">
        <f t="shared" si="44"/>
        <v>0</v>
      </c>
      <c r="P415" t="b">
        <f t="shared" si="45"/>
        <v>0</v>
      </c>
    </row>
    <row r="416" spans="1:16">
      <c r="A416" t="str">
        <v>electric_China_China_Railways_SS3</v>
      </c>
      <c r="B416" t="b" cm="1">
        <f t="array" ref="B416">_xlfn.XLOOKUP(A416,CONTROL[VEHIDCODE],PROPERTIES[EXCLUDE])</f>
        <v>0</v>
      </c>
      <c r="C416">
        <f>FLOOR(_xlfn.XLOOKUP($A416,PROPERTIES[VEHIDCODE],PROPERTIES[INTRODUCTION_YEAR]),20)</f>
        <v>1960</v>
      </c>
      <c r="D416" t="str">
        <f>_xlfn.XLOOKUP($A416,PROPERTIES[VEHIDCODE],PROPERTIES[ROLE])</f>
        <v>Universal</v>
      </c>
      <c r="E416" s="35" t="str">
        <f>_xlfn.XLOOKUP($A416,PROPERTIES[VEHIDCODE],PROPERTIES[REGION1])</f>
        <v>ASIA</v>
      </c>
      <c r="F416" s="35" t="str">
        <f>_xlfn.XLOOKUP($A416,PROPERTIES[VEHIDCODE],PROPERTIES[REGION2])</f>
        <v>NO_REGION</v>
      </c>
      <c r="G416" s="35" t="str">
        <f t="shared" si="40"/>
        <v>ASIA_NO_REGION</v>
      </c>
      <c r="H416" t="b">
        <f t="shared" si="41"/>
        <v>0</v>
      </c>
      <c r="I416" t="b">
        <f t="shared" si="42"/>
        <v>1</v>
      </c>
      <c r="J416" t="b">
        <f t="shared" si="43"/>
        <v>0</v>
      </c>
      <c r="K416" t="b">
        <f t="shared" si="39"/>
        <v>0</v>
      </c>
      <c r="L416" t="b">
        <f t="shared" si="39"/>
        <v>0</v>
      </c>
      <c r="M416" t="b">
        <f t="shared" si="39"/>
        <v>0</v>
      </c>
      <c r="N416" t="b">
        <f t="shared" si="44"/>
        <v>0</v>
      </c>
      <c r="O416" t="b">
        <f t="shared" si="44"/>
        <v>0</v>
      </c>
      <c r="P416" t="b">
        <f t="shared" si="45"/>
        <v>0</v>
      </c>
    </row>
    <row r="417" spans="1:16">
      <c r="A417" t="str">
        <v>electric_China_China_Railways_HXD3</v>
      </c>
      <c r="B417" t="b" cm="1">
        <f t="array" ref="B417">_xlfn.XLOOKUP(A417,CONTROL[VEHIDCODE],PROPERTIES[EXCLUDE])</f>
        <v>0</v>
      </c>
      <c r="C417">
        <f>FLOOR(_xlfn.XLOOKUP($A417,PROPERTIES[VEHIDCODE],PROPERTIES[INTRODUCTION_YEAR]),20)</f>
        <v>2000</v>
      </c>
      <c r="D417" t="str">
        <f>_xlfn.XLOOKUP($A417,PROPERTIES[VEHIDCODE],PROPERTIES[ROLE])</f>
        <v>Heavy Freight</v>
      </c>
      <c r="E417" s="35" t="str">
        <f>_xlfn.XLOOKUP($A417,PROPERTIES[VEHIDCODE],PROPERTIES[REGION1])</f>
        <v>ASIA</v>
      </c>
      <c r="F417" s="35" t="str">
        <f>_xlfn.XLOOKUP($A417,PROPERTIES[VEHIDCODE],PROPERTIES[REGION2])</f>
        <v>NO_REGION</v>
      </c>
      <c r="G417" s="35" t="str">
        <f t="shared" si="40"/>
        <v>ASIA_NO_REGION</v>
      </c>
      <c r="H417" t="b">
        <f t="shared" si="41"/>
        <v>0</v>
      </c>
      <c r="I417" t="b">
        <f t="shared" si="42"/>
        <v>1</v>
      </c>
      <c r="J417" t="b">
        <f t="shared" si="43"/>
        <v>0</v>
      </c>
      <c r="K417" t="b">
        <f t="shared" si="39"/>
        <v>0</v>
      </c>
      <c r="L417" t="b">
        <f t="shared" si="39"/>
        <v>0</v>
      </c>
      <c r="M417" t="b">
        <f t="shared" si="39"/>
        <v>0</v>
      </c>
      <c r="N417" t="b">
        <f t="shared" si="44"/>
        <v>0</v>
      </c>
      <c r="O417" t="b">
        <f t="shared" si="44"/>
        <v>0</v>
      </c>
      <c r="P417" t="b">
        <f t="shared" si="45"/>
        <v>0</v>
      </c>
    </row>
    <row r="418" spans="1:16">
      <c r="A418" t="str">
        <v>electric_China_China_Railways_HXD1D</v>
      </c>
      <c r="B418" t="b" cm="1">
        <f t="array" ref="B418">_xlfn.XLOOKUP(A418,CONTROL[VEHIDCODE],PROPERTIES[EXCLUDE])</f>
        <v>0</v>
      </c>
      <c r="C418">
        <f>FLOOR(_xlfn.XLOOKUP($A418,PROPERTIES[VEHIDCODE],PROPERTIES[INTRODUCTION_YEAR]),20)</f>
        <v>2000</v>
      </c>
      <c r="D418" t="str">
        <f>_xlfn.XLOOKUP($A418,PROPERTIES[VEHIDCODE],PROPERTIES[ROLE])</f>
        <v>Express</v>
      </c>
      <c r="E418" s="35" t="str">
        <f>_xlfn.XLOOKUP($A418,PROPERTIES[VEHIDCODE],PROPERTIES[REGION1])</f>
        <v>ASIA</v>
      </c>
      <c r="F418" s="35" t="str">
        <f>_xlfn.XLOOKUP($A418,PROPERTIES[VEHIDCODE],PROPERTIES[REGION2])</f>
        <v>NO_REGION</v>
      </c>
      <c r="G418" s="35" t="str">
        <f t="shared" si="40"/>
        <v>ASIA_NO_REGION</v>
      </c>
      <c r="H418" t="b">
        <f t="shared" si="41"/>
        <v>0</v>
      </c>
      <c r="I418" t="b">
        <f t="shared" si="42"/>
        <v>1</v>
      </c>
      <c r="J418" t="b">
        <f t="shared" si="43"/>
        <v>0</v>
      </c>
      <c r="K418" t="b">
        <f t="shared" si="39"/>
        <v>0</v>
      </c>
      <c r="L418" t="b">
        <f t="shared" si="39"/>
        <v>0</v>
      </c>
      <c r="M418" t="b">
        <f t="shared" si="39"/>
        <v>0</v>
      </c>
      <c r="N418" t="b">
        <f t="shared" si="44"/>
        <v>0</v>
      </c>
      <c r="O418" t="b">
        <f t="shared" si="44"/>
        <v>0</v>
      </c>
      <c r="P418" t="b">
        <f t="shared" si="45"/>
        <v>0</v>
      </c>
    </row>
    <row r="419" spans="1:16">
      <c r="A419" t="str">
        <v>electric_China_China_Railways_6K</v>
      </c>
      <c r="B419" t="b" cm="1">
        <f t="array" ref="B419">_xlfn.XLOOKUP(A419,CONTROL[VEHIDCODE],PROPERTIES[EXCLUDE])</f>
        <v>0</v>
      </c>
      <c r="C419">
        <f>FLOOR(_xlfn.XLOOKUP($A419,PROPERTIES[VEHIDCODE],PROPERTIES[INTRODUCTION_YEAR]),20)</f>
        <v>1980</v>
      </c>
      <c r="D419" t="str">
        <f>_xlfn.XLOOKUP($A419,PROPERTIES[VEHIDCODE],PROPERTIES[ROLE])</f>
        <v>Universal</v>
      </c>
      <c r="E419" s="35" t="str">
        <f>_xlfn.XLOOKUP($A419,PROPERTIES[VEHIDCODE],PROPERTIES[REGION1])</f>
        <v>ASIA</v>
      </c>
      <c r="F419" s="35" t="str">
        <f>_xlfn.XLOOKUP($A419,PROPERTIES[VEHIDCODE],PROPERTIES[REGION2])</f>
        <v>NO_REGION</v>
      </c>
      <c r="G419" s="35" t="str">
        <f t="shared" si="40"/>
        <v>ASIA_NO_REGION</v>
      </c>
      <c r="H419" t="b">
        <f t="shared" si="41"/>
        <v>0</v>
      </c>
      <c r="I419" t="b">
        <f t="shared" si="42"/>
        <v>1</v>
      </c>
      <c r="J419" t="b">
        <f t="shared" si="43"/>
        <v>0</v>
      </c>
      <c r="K419" t="b">
        <f t="shared" si="39"/>
        <v>0</v>
      </c>
      <c r="L419" t="b">
        <f t="shared" si="39"/>
        <v>0</v>
      </c>
      <c r="M419" t="b">
        <f t="shared" si="39"/>
        <v>0</v>
      </c>
      <c r="N419" t="b">
        <f t="shared" si="44"/>
        <v>0</v>
      </c>
      <c r="O419" t="b">
        <f t="shared" si="44"/>
        <v>0</v>
      </c>
      <c r="P419" t="b">
        <f t="shared" si="45"/>
        <v>0</v>
      </c>
    </row>
    <row r="420" spans="1:16">
      <c r="A420" t="str">
        <v>electric_USA_PRR_E44</v>
      </c>
      <c r="B420" t="b" cm="1">
        <f t="array" ref="B420">_xlfn.XLOOKUP(A420,CONTROL[VEHIDCODE],PROPERTIES[EXCLUDE])</f>
        <v>0</v>
      </c>
      <c r="C420">
        <f>FLOOR(_xlfn.XLOOKUP($A420,PROPERTIES[VEHIDCODE],PROPERTIES[INTRODUCTION_YEAR]),20)</f>
        <v>1960</v>
      </c>
      <c r="D420" t="str">
        <f>_xlfn.XLOOKUP($A420,PROPERTIES[VEHIDCODE],PROPERTIES[ROLE])</f>
        <v>Heavy Freight</v>
      </c>
      <c r="E420" s="35" t="str">
        <f>_xlfn.XLOOKUP($A420,PROPERTIES[VEHIDCODE],PROPERTIES[REGION1])</f>
        <v>NORTH_AMERICA</v>
      </c>
      <c r="F420" s="35" t="str">
        <f>_xlfn.XLOOKUP($A420,PROPERTIES[VEHIDCODE],PROPERTIES[REGION2])</f>
        <v>NO_REGION</v>
      </c>
      <c r="G420" s="35" t="str">
        <f t="shared" si="40"/>
        <v>NORTH_AMERICA_NO_REGION</v>
      </c>
      <c r="H420" t="b">
        <f t="shared" si="41"/>
        <v>0</v>
      </c>
      <c r="I420" t="b">
        <f t="shared" si="42"/>
        <v>0</v>
      </c>
      <c r="J420" t="b">
        <f t="shared" si="43"/>
        <v>0</v>
      </c>
      <c r="K420" t="b">
        <f t="shared" si="39"/>
        <v>0</v>
      </c>
      <c r="L420" t="b">
        <f t="shared" si="39"/>
        <v>0</v>
      </c>
      <c r="M420" t="b">
        <f t="shared" si="39"/>
        <v>0</v>
      </c>
      <c r="N420" t="b">
        <f t="shared" si="44"/>
        <v>1</v>
      </c>
      <c r="O420" t="b">
        <f t="shared" si="44"/>
        <v>0</v>
      </c>
      <c r="P420" t="b">
        <f t="shared" si="45"/>
        <v>0</v>
      </c>
    </row>
    <row r="421" spans="1:16">
      <c r="A421" t="str">
        <v>electric_Croatia_HZ_1141</v>
      </c>
      <c r="B421" t="b" cm="1">
        <f t="array" ref="B421">_xlfn.XLOOKUP(A421,CONTROL[VEHIDCODE],PROPERTIES[EXCLUDE])</f>
        <v>0</v>
      </c>
      <c r="C421">
        <f>FLOOR(_xlfn.XLOOKUP($A421,PROPERTIES[VEHIDCODE],PROPERTIES[INTRODUCTION_YEAR]),20)</f>
        <v>1960</v>
      </c>
      <c r="D421" t="str">
        <f>_xlfn.XLOOKUP($A421,PROPERTIES[VEHIDCODE],PROPERTIES[ROLE])</f>
        <v>Universal</v>
      </c>
      <c r="E421" s="35" t="str">
        <f>_xlfn.XLOOKUP($A421,PROPERTIES[VEHIDCODE],PROPERTIES[REGION1])</f>
        <v>EASTERN_EUROPE</v>
      </c>
      <c r="F421" s="35" t="str">
        <f>_xlfn.XLOOKUP($A421,PROPERTIES[VEHIDCODE],PROPERTIES[REGION2])</f>
        <v>NO_REGION</v>
      </c>
      <c r="G421" s="35" t="str">
        <f t="shared" si="40"/>
        <v>EASTERN_EUROPE_NO_REGION</v>
      </c>
      <c r="H421" t="b">
        <f t="shared" si="41"/>
        <v>0</v>
      </c>
      <c r="I421" t="b">
        <f t="shared" si="42"/>
        <v>0</v>
      </c>
      <c r="J421" t="b">
        <f t="shared" si="43"/>
        <v>0</v>
      </c>
      <c r="K421" t="b">
        <f t="shared" si="39"/>
        <v>1</v>
      </c>
      <c r="L421" t="b">
        <f t="shared" si="39"/>
        <v>0</v>
      </c>
      <c r="M421" t="b">
        <f t="shared" si="39"/>
        <v>0</v>
      </c>
      <c r="N421" t="b">
        <f t="shared" si="44"/>
        <v>0</v>
      </c>
      <c r="O421" t="b">
        <f t="shared" si="44"/>
        <v>0</v>
      </c>
      <c r="P421" t="b">
        <f t="shared" si="45"/>
        <v>0</v>
      </c>
    </row>
    <row r="422" spans="1:16">
      <c r="A422" t="str">
        <v>electric_Hungary_MAV_Class_V43</v>
      </c>
      <c r="B422" t="b" cm="1">
        <f t="array" ref="B422">_xlfn.XLOOKUP(A422,CONTROL[VEHIDCODE],PROPERTIES[EXCLUDE])</f>
        <v>0</v>
      </c>
      <c r="C422">
        <f>FLOOR(_xlfn.XLOOKUP($A422,PROPERTIES[VEHIDCODE],PROPERTIES[INTRODUCTION_YEAR]),20)</f>
        <v>1960</v>
      </c>
      <c r="D422" t="str">
        <f>_xlfn.XLOOKUP($A422,PROPERTIES[VEHIDCODE],PROPERTIES[ROLE])</f>
        <v>Universal</v>
      </c>
      <c r="E422" s="35" t="str">
        <f>_xlfn.XLOOKUP($A422,PROPERTIES[VEHIDCODE],PROPERTIES[REGION1])</f>
        <v>EASTERN_EUROPE</v>
      </c>
      <c r="F422" s="35" t="str">
        <f>_xlfn.XLOOKUP($A422,PROPERTIES[VEHIDCODE],PROPERTIES[REGION2])</f>
        <v>NO_REGION</v>
      </c>
      <c r="G422" s="35" t="str">
        <f t="shared" si="40"/>
        <v>EASTERN_EUROPE_NO_REGION</v>
      </c>
      <c r="H422" t="b">
        <f t="shared" si="41"/>
        <v>0</v>
      </c>
      <c r="I422" t="b">
        <f t="shared" si="42"/>
        <v>0</v>
      </c>
      <c r="J422" t="b">
        <f t="shared" si="43"/>
        <v>0</v>
      </c>
      <c r="K422" t="b">
        <f t="shared" si="39"/>
        <v>1</v>
      </c>
      <c r="L422" t="b">
        <f t="shared" si="39"/>
        <v>0</v>
      </c>
      <c r="M422" t="b">
        <f t="shared" si="39"/>
        <v>0</v>
      </c>
      <c r="N422" t="b">
        <f t="shared" si="44"/>
        <v>0</v>
      </c>
      <c r="O422" t="b">
        <f t="shared" si="44"/>
        <v>0</v>
      </c>
      <c r="P422" t="b">
        <f t="shared" si="45"/>
        <v>0</v>
      </c>
    </row>
    <row r="423" spans="1:16">
      <c r="A423" t="str">
        <v>electric_Portugal_CP_2500</v>
      </c>
      <c r="B423" t="b" cm="1">
        <f t="array" ref="B423">_xlfn.XLOOKUP(A423,CONTROL[VEHIDCODE],PROPERTIES[EXCLUDE])</f>
        <v>0</v>
      </c>
      <c r="C423">
        <f>FLOOR(_xlfn.XLOOKUP($A423,PROPERTIES[VEHIDCODE],PROPERTIES[INTRODUCTION_YEAR]),20)</f>
        <v>1940</v>
      </c>
      <c r="D423" t="str">
        <f>_xlfn.XLOOKUP($A423,PROPERTIES[VEHIDCODE],PROPERTIES[ROLE])</f>
        <v>Universal</v>
      </c>
      <c r="E423" s="35" t="str">
        <f>_xlfn.XLOOKUP($A423,PROPERTIES[VEHIDCODE],PROPERTIES[REGION1])</f>
        <v>SOUTHERN_EUROPE</v>
      </c>
      <c r="F423" s="35" t="str">
        <f>_xlfn.XLOOKUP($A423,PROPERTIES[VEHIDCODE],PROPERTIES[REGION2])</f>
        <v>NO_REGION</v>
      </c>
      <c r="G423" s="35" t="str">
        <f t="shared" si="40"/>
        <v>SOUTHERN_EUROPE_NO_REGION</v>
      </c>
      <c r="H423" t="b">
        <f t="shared" si="41"/>
        <v>0</v>
      </c>
      <c r="I423" t="b">
        <f t="shared" si="42"/>
        <v>0</v>
      </c>
      <c r="J423" t="b">
        <f t="shared" si="43"/>
        <v>1</v>
      </c>
      <c r="K423" t="b">
        <f t="shared" si="39"/>
        <v>0</v>
      </c>
      <c r="L423" t="b">
        <f t="shared" si="39"/>
        <v>0</v>
      </c>
      <c r="M423" t="b">
        <f t="shared" si="39"/>
        <v>0</v>
      </c>
      <c r="N423" t="b">
        <f t="shared" si="44"/>
        <v>0</v>
      </c>
      <c r="O423" t="b">
        <f t="shared" si="44"/>
        <v>0</v>
      </c>
      <c r="P423" t="b">
        <f t="shared" si="45"/>
        <v>0</v>
      </c>
    </row>
    <row r="424" spans="1:16">
      <c r="A424" t="str">
        <v>electric_Portugal_CP_2600</v>
      </c>
      <c r="B424" t="b" cm="1">
        <f t="array" ref="B424">_xlfn.XLOOKUP(A424,CONTROL[VEHIDCODE],PROPERTIES[EXCLUDE])</f>
        <v>0</v>
      </c>
      <c r="C424">
        <f>FLOOR(_xlfn.XLOOKUP($A424,PROPERTIES[VEHIDCODE],PROPERTIES[INTRODUCTION_YEAR]),20)</f>
        <v>1960</v>
      </c>
      <c r="D424" t="str">
        <f>_xlfn.XLOOKUP($A424,PROPERTIES[VEHIDCODE],PROPERTIES[ROLE])</f>
        <v>Universal</v>
      </c>
      <c r="E424" s="35" t="str">
        <f>_xlfn.XLOOKUP($A424,PROPERTIES[VEHIDCODE],PROPERTIES[REGION1])</f>
        <v>SOUTHERN_EUROPE</v>
      </c>
      <c r="F424" s="35" t="str">
        <f>_xlfn.XLOOKUP($A424,PROPERTIES[VEHIDCODE],PROPERTIES[REGION2])</f>
        <v>NO_REGION</v>
      </c>
      <c r="G424" s="35" t="str">
        <f t="shared" si="40"/>
        <v>SOUTHERN_EUROPE_NO_REGION</v>
      </c>
      <c r="H424" t="b">
        <f t="shared" si="41"/>
        <v>0</v>
      </c>
      <c r="I424" t="b">
        <f t="shared" si="42"/>
        <v>0</v>
      </c>
      <c r="J424" t="b">
        <f t="shared" si="43"/>
        <v>1</v>
      </c>
      <c r="K424" t="b">
        <f t="shared" si="39"/>
        <v>0</v>
      </c>
      <c r="L424" t="b">
        <f t="shared" si="39"/>
        <v>0</v>
      </c>
      <c r="M424" t="b">
        <f t="shared" si="39"/>
        <v>0</v>
      </c>
      <c r="N424" t="b">
        <f t="shared" si="44"/>
        <v>0</v>
      </c>
      <c r="O424" t="b">
        <f t="shared" si="44"/>
        <v>0</v>
      </c>
      <c r="P424" t="b">
        <f t="shared" si="45"/>
        <v>0</v>
      </c>
    </row>
    <row r="425" spans="1:16">
      <c r="A425" t="str">
        <v>electric_South_Africa_SAR_20E</v>
      </c>
      <c r="B425" t="b" cm="1">
        <f t="array" ref="B425">_xlfn.XLOOKUP(A425,CONTROL[VEHIDCODE],PROPERTIES[EXCLUDE])</f>
        <v>0</v>
      </c>
      <c r="C425">
        <f>FLOOR(_xlfn.XLOOKUP($A425,PROPERTIES[VEHIDCODE],PROPERTIES[INTRODUCTION_YEAR]),20)</f>
        <v>2000</v>
      </c>
      <c r="D425" t="str">
        <f>_xlfn.XLOOKUP($A425,PROPERTIES[VEHIDCODE],PROPERTIES[ROLE])</f>
        <v>Express</v>
      </c>
      <c r="E425" s="35" t="str">
        <f>_xlfn.XLOOKUP($A425,PROPERTIES[VEHIDCODE],PROPERTIES[REGION1])</f>
        <v>AFRICA</v>
      </c>
      <c r="F425" s="35" t="str">
        <f>_xlfn.XLOOKUP($A425,PROPERTIES[VEHIDCODE],PROPERTIES[REGION2])</f>
        <v>NO_REGION</v>
      </c>
      <c r="G425" s="35" t="str">
        <f t="shared" si="40"/>
        <v>AFRICA_NO_REGION</v>
      </c>
      <c r="H425" t="b">
        <f t="shared" si="41"/>
        <v>1</v>
      </c>
      <c r="I425" t="b">
        <f t="shared" si="42"/>
        <v>0</v>
      </c>
      <c r="J425" t="b">
        <f t="shared" si="43"/>
        <v>0</v>
      </c>
      <c r="K425" t="b">
        <f t="shared" si="39"/>
        <v>0</v>
      </c>
      <c r="L425" t="b">
        <f t="shared" si="39"/>
        <v>0</v>
      </c>
      <c r="M425" t="b">
        <f t="shared" si="39"/>
        <v>0</v>
      </c>
      <c r="N425" t="b">
        <f t="shared" si="44"/>
        <v>0</v>
      </c>
      <c r="O425" t="b">
        <f t="shared" si="44"/>
        <v>0</v>
      </c>
      <c r="P425" t="b">
        <f t="shared" si="45"/>
        <v>0</v>
      </c>
    </row>
    <row r="426" spans="1:16">
      <c r="A426" t="str">
        <v>electric_South_Korea_Korail_8200</v>
      </c>
      <c r="B426" t="b" cm="1">
        <f t="array" ref="B426">_xlfn.XLOOKUP(A426,CONTROL[VEHIDCODE],PROPERTIES[EXCLUDE])</f>
        <v>0</v>
      </c>
      <c r="C426">
        <f>FLOOR(_xlfn.XLOOKUP($A426,PROPERTIES[VEHIDCODE],PROPERTIES[INTRODUCTION_YEAR]),20)</f>
        <v>2000</v>
      </c>
      <c r="D426" t="str">
        <f>_xlfn.XLOOKUP($A426,PROPERTIES[VEHIDCODE],PROPERTIES[ROLE])</f>
        <v>Universal</v>
      </c>
      <c r="E426" s="35" t="str">
        <f>_xlfn.XLOOKUP($A426,PROPERTIES[VEHIDCODE],PROPERTIES[REGION1])</f>
        <v>ASIA</v>
      </c>
      <c r="F426" s="35" t="str">
        <f>_xlfn.XLOOKUP($A426,PROPERTIES[VEHIDCODE],PROPERTIES[REGION2])</f>
        <v>NO_REGION</v>
      </c>
      <c r="G426" s="35" t="str">
        <f t="shared" si="40"/>
        <v>ASIA_NO_REGION</v>
      </c>
      <c r="H426" t="b">
        <f t="shared" si="41"/>
        <v>0</v>
      </c>
      <c r="I426" t="b">
        <f t="shared" si="42"/>
        <v>1</v>
      </c>
      <c r="J426" t="b">
        <f t="shared" si="43"/>
        <v>0</v>
      </c>
      <c r="K426" t="b">
        <f t="shared" si="39"/>
        <v>0</v>
      </c>
      <c r="L426" t="b">
        <f t="shared" si="39"/>
        <v>0</v>
      </c>
      <c r="M426" t="b">
        <f t="shared" si="39"/>
        <v>0</v>
      </c>
      <c r="N426" t="b">
        <f t="shared" si="44"/>
        <v>0</v>
      </c>
      <c r="O426" t="b">
        <f t="shared" si="44"/>
        <v>0</v>
      </c>
      <c r="P426" t="b">
        <f t="shared" si="45"/>
        <v>0</v>
      </c>
    </row>
    <row r="427" spans="1:16">
      <c r="A427" t="str">
        <v>electric_Ukraine_UZ_DS3</v>
      </c>
      <c r="B427" t="b" cm="1">
        <f t="array" ref="B427">_xlfn.XLOOKUP(A427,CONTROL[VEHIDCODE],PROPERTIES[EXCLUDE])</f>
        <v>0</v>
      </c>
      <c r="C427">
        <f>FLOOR(_xlfn.XLOOKUP($A427,PROPERTIES[VEHIDCODE],PROPERTIES[INTRODUCTION_YEAR]),20)</f>
        <v>2000</v>
      </c>
      <c r="D427" t="str">
        <f>_xlfn.XLOOKUP($A427,PROPERTIES[VEHIDCODE],PROPERTIES[ROLE])</f>
        <v>Express</v>
      </c>
      <c r="E427" s="35" t="str">
        <f>_xlfn.XLOOKUP($A427,PROPERTIES[VEHIDCODE],PROPERTIES[REGION1])</f>
        <v>EASTERN_EUROPE</v>
      </c>
      <c r="F427" s="35" t="str">
        <f>_xlfn.XLOOKUP($A427,PROPERTIES[VEHIDCODE],PROPERTIES[REGION2])</f>
        <v>NO_REGION</v>
      </c>
      <c r="G427" s="35" t="str">
        <f t="shared" si="40"/>
        <v>EASTERN_EUROPE_NO_REGION</v>
      </c>
      <c r="H427" t="b">
        <f t="shared" si="41"/>
        <v>0</v>
      </c>
      <c r="I427" t="b">
        <f t="shared" si="42"/>
        <v>0</v>
      </c>
      <c r="J427" t="b">
        <f t="shared" si="43"/>
        <v>0</v>
      </c>
      <c r="K427" t="b">
        <f t="shared" si="39"/>
        <v>1</v>
      </c>
      <c r="L427" t="b">
        <f t="shared" si="39"/>
        <v>0</v>
      </c>
      <c r="M427" t="b">
        <f t="shared" si="39"/>
        <v>0</v>
      </c>
      <c r="N427" t="b">
        <f t="shared" si="44"/>
        <v>0</v>
      </c>
      <c r="O427" t="b">
        <f t="shared" si="44"/>
        <v>0</v>
      </c>
      <c r="P427" t="b">
        <f t="shared" si="45"/>
        <v>0</v>
      </c>
    </row>
    <row r="428" spans="1:16">
      <c r="A428" t="str">
        <v>electric_Czech_Republic_CD_S499</v>
      </c>
      <c r="B428" t="b" cm="1">
        <f t="array" ref="B428">_xlfn.XLOOKUP(A428,CONTROL[VEHIDCODE],PROPERTIES[EXCLUDE])</f>
        <v>0</v>
      </c>
      <c r="C428">
        <f>FLOOR(_xlfn.XLOOKUP($A428,PROPERTIES[VEHIDCODE],PROPERTIES[INTRODUCTION_YEAR]),20)</f>
        <v>1960</v>
      </c>
      <c r="D428" t="str">
        <f>_xlfn.XLOOKUP($A428,PROPERTIES[VEHIDCODE],PROPERTIES[ROLE])</f>
        <v>Universal</v>
      </c>
      <c r="E428" s="35" t="str">
        <f>_xlfn.XLOOKUP($A428,PROPERTIES[VEHIDCODE],PROPERTIES[REGION1])</f>
        <v>EASTERN_EUROPE</v>
      </c>
      <c r="F428" s="35" t="str">
        <f>_xlfn.XLOOKUP($A428,PROPERTIES[VEHIDCODE],PROPERTIES[REGION2])</f>
        <v>NO_REGION</v>
      </c>
      <c r="G428" s="35" t="str">
        <f t="shared" si="40"/>
        <v>EASTERN_EUROPE_NO_REGION</v>
      </c>
      <c r="H428" t="b">
        <f t="shared" si="41"/>
        <v>0</v>
      </c>
      <c r="I428" t="b">
        <f t="shared" si="42"/>
        <v>0</v>
      </c>
      <c r="J428" t="b">
        <f t="shared" si="43"/>
        <v>0</v>
      </c>
      <c r="K428" t="b">
        <f t="shared" si="39"/>
        <v>1</v>
      </c>
      <c r="L428" t="b">
        <f t="shared" si="39"/>
        <v>0</v>
      </c>
      <c r="M428" t="b">
        <f t="shared" si="39"/>
        <v>0</v>
      </c>
      <c r="N428" t="b">
        <f t="shared" si="44"/>
        <v>0</v>
      </c>
      <c r="O428" t="b">
        <f t="shared" si="44"/>
        <v>0</v>
      </c>
      <c r="P428" t="b">
        <f t="shared" si="45"/>
        <v>0</v>
      </c>
    </row>
    <row r="429" spans="1:16">
      <c r="A429" t="str">
        <v>electric_Italy_FS_E491</v>
      </c>
      <c r="B429" t="b" cm="1">
        <f t="array" ref="B429">_xlfn.XLOOKUP(A429,CONTROL[VEHIDCODE],PROPERTIES[EXCLUDE])</f>
        <v>0</v>
      </c>
      <c r="C429">
        <f>FLOOR(_xlfn.XLOOKUP($A429,PROPERTIES[VEHIDCODE],PROPERTIES[INTRODUCTION_YEAR]),20)</f>
        <v>1980</v>
      </c>
      <c r="D429" t="str">
        <f>_xlfn.XLOOKUP($A429,PROPERTIES[VEHIDCODE],PROPERTIES[ROLE])</f>
        <v>Universal</v>
      </c>
      <c r="E429" s="35" t="str">
        <f>_xlfn.XLOOKUP($A429,PROPERTIES[VEHIDCODE],PROPERTIES[REGION1])</f>
        <v>SOUTHERN_EUROPE</v>
      </c>
      <c r="F429" s="35" t="str">
        <f>_xlfn.XLOOKUP($A429,PROPERTIES[VEHIDCODE],PROPERTIES[REGION2])</f>
        <v>NO_REGION</v>
      </c>
      <c r="G429" s="35" t="str">
        <f t="shared" si="40"/>
        <v>SOUTHERN_EUROPE_NO_REGION</v>
      </c>
      <c r="H429" t="b">
        <f t="shared" si="41"/>
        <v>0</v>
      </c>
      <c r="I429" t="b">
        <f t="shared" si="42"/>
        <v>0</v>
      </c>
      <c r="J429" t="b">
        <f t="shared" si="43"/>
        <v>1</v>
      </c>
      <c r="K429" t="b">
        <f t="shared" si="39"/>
        <v>0</v>
      </c>
      <c r="L429" t="b">
        <f t="shared" si="39"/>
        <v>0</v>
      </c>
      <c r="M429" t="b">
        <f t="shared" si="39"/>
        <v>0</v>
      </c>
      <c r="N429" t="b">
        <f t="shared" si="44"/>
        <v>0</v>
      </c>
      <c r="O429" t="b">
        <f t="shared" si="44"/>
        <v>0</v>
      </c>
      <c r="P429" t="b">
        <f t="shared" si="45"/>
        <v>0</v>
      </c>
    </row>
    <row r="430" spans="1:16">
      <c r="A430" t="str">
        <v>electric_Macedonia_Macedonian_Railways_462</v>
      </c>
      <c r="B430" t="b" cm="1">
        <f t="array" ref="B430">_xlfn.XLOOKUP(A430,CONTROL[VEHIDCODE],PROPERTIES[EXCLUDE])</f>
        <v>0</v>
      </c>
      <c r="C430">
        <f>FLOOR(_xlfn.XLOOKUP($A430,PROPERTIES[VEHIDCODE],PROPERTIES[INTRODUCTION_YEAR]),20)</f>
        <v>1960</v>
      </c>
      <c r="D430" t="str">
        <f>_xlfn.XLOOKUP($A430,PROPERTIES[VEHIDCODE],PROPERTIES[ROLE])</f>
        <v>Universal</v>
      </c>
      <c r="E430" s="35" t="str">
        <f>_xlfn.XLOOKUP($A430,PROPERTIES[VEHIDCODE],PROPERTIES[REGION1])</f>
        <v>SOUTHERN_EUROPE</v>
      </c>
      <c r="F430" s="35" t="str">
        <f>_xlfn.XLOOKUP($A430,PROPERTIES[VEHIDCODE],PROPERTIES[REGION2])</f>
        <v>NO_REGION</v>
      </c>
      <c r="G430" s="35" t="str">
        <f t="shared" si="40"/>
        <v>SOUTHERN_EUROPE_NO_REGION</v>
      </c>
      <c r="H430" t="b">
        <f t="shared" si="41"/>
        <v>0</v>
      </c>
      <c r="I430" t="b">
        <f t="shared" si="42"/>
        <v>0</v>
      </c>
      <c r="J430" t="b">
        <f t="shared" si="43"/>
        <v>1</v>
      </c>
      <c r="K430" t="b">
        <f t="shared" si="39"/>
        <v>0</v>
      </c>
      <c r="L430" t="b">
        <f t="shared" si="39"/>
        <v>0</v>
      </c>
      <c r="M430" t="b">
        <f t="shared" si="39"/>
        <v>0</v>
      </c>
      <c r="N430" t="b">
        <f t="shared" si="44"/>
        <v>0</v>
      </c>
      <c r="O430" t="b">
        <f t="shared" si="44"/>
        <v>0</v>
      </c>
      <c r="P430" t="b">
        <f t="shared" si="45"/>
        <v>0</v>
      </c>
    </row>
    <row r="431" spans="1:16">
      <c r="A431" t="str">
        <v>electric_Morocco_ONCFM_E_500</v>
      </c>
      <c r="B431" t="b" cm="1">
        <f t="array" ref="B431">_xlfn.XLOOKUP(A431,CONTROL[VEHIDCODE],PROPERTIES[EXCLUDE])</f>
        <v>0</v>
      </c>
      <c r="C431">
        <f>FLOOR(_xlfn.XLOOKUP($A431,PROPERTIES[VEHIDCODE],PROPERTIES[INTRODUCTION_YEAR]),20)</f>
        <v>1920</v>
      </c>
      <c r="D431" t="str">
        <f>_xlfn.XLOOKUP($A431,PROPERTIES[VEHIDCODE],PROPERTIES[ROLE])</f>
        <v>Universal</v>
      </c>
      <c r="E431" s="35" t="str">
        <f>_xlfn.XLOOKUP($A431,PROPERTIES[VEHIDCODE],PROPERTIES[REGION1])</f>
        <v>AFRICA</v>
      </c>
      <c r="F431" s="35" t="str">
        <f>_xlfn.XLOOKUP($A431,PROPERTIES[VEHIDCODE],PROPERTIES[REGION2])</f>
        <v>NO_REGION</v>
      </c>
      <c r="G431" s="35" t="str">
        <f t="shared" si="40"/>
        <v>AFRICA_NO_REGION</v>
      </c>
      <c r="H431" t="b">
        <f t="shared" si="41"/>
        <v>1</v>
      </c>
      <c r="I431" t="b">
        <f t="shared" si="42"/>
        <v>0</v>
      </c>
      <c r="J431" t="b">
        <f t="shared" si="43"/>
        <v>0</v>
      </c>
      <c r="K431" t="b">
        <f t="shared" si="39"/>
        <v>0</v>
      </c>
      <c r="L431" t="b">
        <f t="shared" si="39"/>
        <v>0</v>
      </c>
      <c r="M431" t="b">
        <f t="shared" si="39"/>
        <v>0</v>
      </c>
      <c r="N431" t="b">
        <f t="shared" si="44"/>
        <v>0</v>
      </c>
      <c r="O431" t="b">
        <f t="shared" si="44"/>
        <v>0</v>
      </c>
      <c r="P431" t="b">
        <f t="shared" si="45"/>
        <v>0</v>
      </c>
    </row>
    <row r="432" spans="1:16">
      <c r="A432" t="str">
        <v>electric_UK_BR_85</v>
      </c>
      <c r="B432" t="b" cm="1">
        <f t="array" ref="B432">_xlfn.XLOOKUP(A432,CONTROL[VEHIDCODE],PROPERTIES[EXCLUDE])</f>
        <v>0</v>
      </c>
      <c r="C432">
        <f>FLOOR(_xlfn.XLOOKUP($A432,PROPERTIES[VEHIDCODE],PROPERTIES[INTRODUCTION_YEAR]),20)</f>
        <v>1960</v>
      </c>
      <c r="D432" t="str">
        <f>_xlfn.XLOOKUP($A432,PROPERTIES[VEHIDCODE],PROPERTIES[ROLE])</f>
        <v>Express</v>
      </c>
      <c r="E432" s="35" t="str">
        <f>_xlfn.XLOOKUP($A432,PROPERTIES[VEHIDCODE],PROPERTIES[REGION1])</f>
        <v>NORTHERN_EUROPE</v>
      </c>
      <c r="F432" s="35" t="str">
        <f>_xlfn.XLOOKUP($A432,PROPERTIES[VEHIDCODE],PROPERTIES[REGION2])</f>
        <v>NO_REGION</v>
      </c>
      <c r="G432" s="35" t="str">
        <f t="shared" si="40"/>
        <v>NORTHERN_EUROPE_NO_REGION</v>
      </c>
      <c r="H432" t="b">
        <f t="shared" si="41"/>
        <v>0</v>
      </c>
      <c r="I432" t="b">
        <f t="shared" si="42"/>
        <v>0</v>
      </c>
      <c r="J432" t="b">
        <f t="shared" si="43"/>
        <v>0</v>
      </c>
      <c r="K432" t="b">
        <f t="shared" si="39"/>
        <v>0</v>
      </c>
      <c r="L432" t="b">
        <f t="shared" si="39"/>
        <v>0</v>
      </c>
      <c r="M432" t="b">
        <f t="shared" si="39"/>
        <v>1</v>
      </c>
      <c r="N432" t="b">
        <f t="shared" si="44"/>
        <v>0</v>
      </c>
      <c r="O432" t="b">
        <f t="shared" si="44"/>
        <v>0</v>
      </c>
      <c r="P432" t="b">
        <f t="shared" si="45"/>
        <v>0</v>
      </c>
    </row>
    <row r="433" spans="1:16">
      <c r="A433" t="str">
        <v>electric_Mexico_FNM_GE_E60C_2</v>
      </c>
      <c r="B433" t="b" cm="1">
        <f t="array" ref="B433">_xlfn.XLOOKUP(A433,CONTROL[VEHIDCODE],PROPERTIES[EXCLUDE])</f>
        <v>0</v>
      </c>
      <c r="C433">
        <f>FLOOR(_xlfn.XLOOKUP($A433,PROPERTIES[VEHIDCODE],PROPERTIES[INTRODUCTION_YEAR]),20)</f>
        <v>1980</v>
      </c>
      <c r="D433" t="str">
        <f>_xlfn.XLOOKUP($A433,PROPERTIES[VEHIDCODE],PROPERTIES[ROLE])</f>
        <v>Heavy Freight</v>
      </c>
      <c r="E433" s="35" t="str">
        <f>_xlfn.XLOOKUP($A433,PROPERTIES[VEHIDCODE],PROPERTIES[REGION1])</f>
        <v>NORTH_AMERICA</v>
      </c>
      <c r="F433" s="35" t="str">
        <f>_xlfn.XLOOKUP($A433,PROPERTIES[VEHIDCODE],PROPERTIES[REGION2])</f>
        <v>NO_REGION</v>
      </c>
      <c r="G433" s="35" t="str">
        <f t="shared" si="40"/>
        <v>NORTH_AMERICA_NO_REGION</v>
      </c>
      <c r="H433" t="b">
        <f t="shared" si="41"/>
        <v>0</v>
      </c>
      <c r="I433" t="b">
        <f t="shared" si="42"/>
        <v>0</v>
      </c>
      <c r="J433" t="b">
        <f t="shared" si="43"/>
        <v>0</v>
      </c>
      <c r="K433" t="b">
        <f t="shared" si="39"/>
        <v>0</v>
      </c>
      <c r="L433" t="b">
        <f t="shared" si="39"/>
        <v>0</v>
      </c>
      <c r="M433" t="b">
        <f t="shared" si="39"/>
        <v>0</v>
      </c>
      <c r="N433" t="b">
        <f t="shared" si="44"/>
        <v>1</v>
      </c>
      <c r="O433" t="b">
        <f t="shared" si="44"/>
        <v>0</v>
      </c>
      <c r="P433" t="b">
        <f t="shared" si="45"/>
        <v>0</v>
      </c>
    </row>
    <row r="434" spans="1:16">
      <c r="A434" t="str">
        <v>electric_Morocco_ONCF_E_1400_Prima_II</v>
      </c>
      <c r="B434" t="b" cm="1">
        <f t="array" ref="B434">_xlfn.XLOOKUP(A434,CONTROL[VEHIDCODE],PROPERTIES[EXCLUDE])</f>
        <v>0</v>
      </c>
      <c r="C434">
        <f>FLOOR(_xlfn.XLOOKUP($A434,PROPERTIES[VEHIDCODE],PROPERTIES[INTRODUCTION_YEAR]),20)</f>
        <v>2000</v>
      </c>
      <c r="D434" t="str">
        <f>_xlfn.XLOOKUP($A434,PROPERTIES[VEHIDCODE],PROPERTIES[ROLE])</f>
        <v>Express</v>
      </c>
      <c r="E434" s="35" t="str">
        <f>_xlfn.XLOOKUP($A434,PROPERTIES[VEHIDCODE],PROPERTIES[REGION1])</f>
        <v>AFRICA</v>
      </c>
      <c r="F434" s="35" t="str">
        <f>_xlfn.XLOOKUP($A434,PROPERTIES[VEHIDCODE],PROPERTIES[REGION2])</f>
        <v>NO_REGION</v>
      </c>
      <c r="G434" s="35" t="str">
        <f t="shared" si="40"/>
        <v>AFRICA_NO_REGION</v>
      </c>
      <c r="H434" t="b">
        <f t="shared" si="41"/>
        <v>1</v>
      </c>
      <c r="I434" t="b">
        <f t="shared" si="42"/>
        <v>0</v>
      </c>
      <c r="J434" t="b">
        <f t="shared" si="43"/>
        <v>0</v>
      </c>
      <c r="K434" t="b">
        <f t="shared" si="39"/>
        <v>0</v>
      </c>
      <c r="L434" t="b">
        <f t="shared" si="39"/>
        <v>0</v>
      </c>
      <c r="M434" t="b">
        <f t="shared" si="39"/>
        <v>0</v>
      </c>
      <c r="N434" t="b">
        <f t="shared" si="44"/>
        <v>0</v>
      </c>
      <c r="O434" t="b">
        <f t="shared" si="44"/>
        <v>0</v>
      </c>
      <c r="P434" t="b">
        <f t="shared" si="45"/>
        <v>0</v>
      </c>
    </row>
    <row r="435" spans="1:16">
      <c r="A435" t="str">
        <v>electric_New_Zealand_NZR_EA</v>
      </c>
      <c r="B435" t="b" cm="1">
        <f t="array" ref="B435">_xlfn.XLOOKUP(A435,CONTROL[VEHIDCODE],PROPERTIES[EXCLUDE])</f>
        <v>0</v>
      </c>
      <c r="C435">
        <f>FLOOR(_xlfn.XLOOKUP($A435,PROPERTIES[VEHIDCODE],PROPERTIES[INTRODUCTION_YEAR]),20)</f>
        <v>1960</v>
      </c>
      <c r="D435" t="str">
        <f>_xlfn.XLOOKUP($A435,PROPERTIES[VEHIDCODE],PROPERTIES[ROLE])</f>
        <v>Universal</v>
      </c>
      <c r="E435" s="35" t="str">
        <f>_xlfn.XLOOKUP($A435,PROPERTIES[VEHIDCODE],PROPERTIES[REGION1])</f>
        <v>OCEANIA</v>
      </c>
      <c r="F435" s="35" t="str">
        <f>_xlfn.XLOOKUP($A435,PROPERTIES[VEHIDCODE],PROPERTIES[REGION2])</f>
        <v>NO_REGION</v>
      </c>
      <c r="G435" s="35" t="str">
        <f t="shared" si="40"/>
        <v>OCEANIA_NO_REGION</v>
      </c>
      <c r="H435" t="b">
        <f t="shared" si="41"/>
        <v>0</v>
      </c>
      <c r="I435" t="b">
        <f t="shared" si="42"/>
        <v>0</v>
      </c>
      <c r="J435" t="b">
        <f t="shared" si="43"/>
        <v>0</v>
      </c>
      <c r="K435" t="b">
        <f t="shared" si="39"/>
        <v>0</v>
      </c>
      <c r="L435" t="b">
        <f t="shared" si="39"/>
        <v>0</v>
      </c>
      <c r="M435" t="b">
        <f t="shared" si="39"/>
        <v>0</v>
      </c>
      <c r="N435" t="b">
        <f t="shared" si="44"/>
        <v>0</v>
      </c>
      <c r="O435" t="b">
        <f t="shared" si="44"/>
        <v>0</v>
      </c>
      <c r="P435" t="b">
        <f t="shared" si="45"/>
        <v>1</v>
      </c>
    </row>
    <row r="436" spans="1:16">
      <c r="A436" t="str">
        <v>electric_Canada_BC_Rail_GF6C</v>
      </c>
      <c r="B436" t="b" cm="1">
        <f t="array" ref="B436">_xlfn.XLOOKUP(A436,CONTROL[VEHIDCODE],PROPERTIES[EXCLUDE])</f>
        <v>0</v>
      </c>
      <c r="C436">
        <f>FLOOR(_xlfn.XLOOKUP($A436,PROPERTIES[VEHIDCODE],PROPERTIES[INTRODUCTION_YEAR]),20)</f>
        <v>1980</v>
      </c>
      <c r="D436" t="str">
        <f>_xlfn.XLOOKUP($A436,PROPERTIES[VEHIDCODE],PROPERTIES[ROLE])</f>
        <v>Heavy Freight</v>
      </c>
      <c r="E436" s="35" t="str">
        <f>_xlfn.XLOOKUP($A436,PROPERTIES[VEHIDCODE],PROPERTIES[REGION1])</f>
        <v>NORTH_AMERICA</v>
      </c>
      <c r="F436" s="35" t="str">
        <f>_xlfn.XLOOKUP($A436,PROPERTIES[VEHIDCODE],PROPERTIES[REGION2])</f>
        <v>NO_REGION</v>
      </c>
      <c r="G436" s="35" t="str">
        <f t="shared" si="40"/>
        <v>NORTH_AMERICA_NO_REGION</v>
      </c>
      <c r="H436" t="b">
        <f t="shared" si="41"/>
        <v>0</v>
      </c>
      <c r="I436" t="b">
        <f t="shared" si="42"/>
        <v>0</v>
      </c>
      <c r="J436" t="b">
        <f t="shared" si="43"/>
        <v>0</v>
      </c>
      <c r="K436" t="b">
        <f t="shared" si="39"/>
        <v>0</v>
      </c>
      <c r="L436" t="b">
        <f t="shared" si="39"/>
        <v>0</v>
      </c>
      <c r="M436" t="b">
        <f t="shared" si="39"/>
        <v>0</v>
      </c>
      <c r="N436" t="b">
        <f t="shared" si="44"/>
        <v>1</v>
      </c>
      <c r="O436" t="b">
        <f t="shared" si="44"/>
        <v>0</v>
      </c>
      <c r="P436" t="b">
        <f t="shared" si="45"/>
        <v>0</v>
      </c>
    </row>
    <row r="437" spans="1:16">
      <c r="A437" t="str">
        <v>electric_France_SNCF_BB_22200</v>
      </c>
      <c r="B437" t="b" cm="1">
        <f t="array" ref="B437">_xlfn.XLOOKUP(A437,CONTROL[VEHIDCODE],PROPERTIES[EXCLUDE])</f>
        <v>0</v>
      </c>
      <c r="C437">
        <f>FLOOR(_xlfn.XLOOKUP($A437,PROPERTIES[VEHIDCODE],PROPERTIES[INTRODUCTION_YEAR]),20)</f>
        <v>1960</v>
      </c>
      <c r="D437" t="str">
        <f>_xlfn.XLOOKUP($A437,PROPERTIES[VEHIDCODE],PROPERTIES[ROLE])</f>
        <v>Express</v>
      </c>
      <c r="E437" s="35" t="str">
        <f>_xlfn.XLOOKUP($A437,PROPERTIES[VEHIDCODE],PROPERTIES[REGION1])</f>
        <v>WESTERN_EUROPE</v>
      </c>
      <c r="F437" s="35" t="str">
        <f>_xlfn.XLOOKUP($A437,PROPERTIES[VEHIDCODE],PROPERTIES[REGION2])</f>
        <v>NO_REGION</v>
      </c>
      <c r="G437" s="35" t="str">
        <f t="shared" si="40"/>
        <v>WESTERN_EUROPE_NO_REGION</v>
      </c>
      <c r="H437" t="b">
        <f t="shared" si="41"/>
        <v>0</v>
      </c>
      <c r="I437" t="b">
        <f t="shared" si="42"/>
        <v>0</v>
      </c>
      <c r="J437" t="b">
        <f t="shared" si="43"/>
        <v>0</v>
      </c>
      <c r="K437" t="b">
        <f t="shared" si="39"/>
        <v>0</v>
      </c>
      <c r="L437" t="b">
        <f t="shared" si="39"/>
        <v>1</v>
      </c>
      <c r="M437" t="b">
        <f t="shared" si="39"/>
        <v>0</v>
      </c>
      <c r="N437" t="b">
        <f t="shared" si="44"/>
        <v>0</v>
      </c>
      <c r="O437" t="b">
        <f t="shared" si="44"/>
        <v>0</v>
      </c>
      <c r="P437" t="b">
        <f t="shared" si="45"/>
        <v>0</v>
      </c>
    </row>
    <row r="438" spans="1:16">
      <c r="A438" t="str">
        <v>electric_France_SNCF_BB_26000</v>
      </c>
      <c r="B438" t="b" cm="1">
        <f t="array" ref="B438">_xlfn.XLOOKUP(A438,CONTROL[VEHIDCODE],PROPERTIES[EXCLUDE])</f>
        <v>0</v>
      </c>
      <c r="C438">
        <f>FLOOR(_xlfn.XLOOKUP($A438,PROPERTIES[VEHIDCODE],PROPERTIES[INTRODUCTION_YEAR]),20)</f>
        <v>1980</v>
      </c>
      <c r="D438" t="str">
        <f>_xlfn.XLOOKUP($A438,PROPERTIES[VEHIDCODE],PROPERTIES[ROLE])</f>
        <v>Express</v>
      </c>
      <c r="E438" s="35" t="str">
        <f>_xlfn.XLOOKUP($A438,PROPERTIES[VEHIDCODE],PROPERTIES[REGION1])</f>
        <v>WESTERN_EUROPE</v>
      </c>
      <c r="F438" s="35" t="str">
        <f>_xlfn.XLOOKUP($A438,PROPERTIES[VEHIDCODE],PROPERTIES[REGION2])</f>
        <v>NO_REGION</v>
      </c>
      <c r="G438" s="35" t="str">
        <f t="shared" si="40"/>
        <v>WESTERN_EUROPE_NO_REGION</v>
      </c>
      <c r="H438" t="b">
        <f t="shared" si="41"/>
        <v>0</v>
      </c>
      <c r="I438" t="b">
        <f t="shared" si="42"/>
        <v>0</v>
      </c>
      <c r="J438" t="b">
        <f t="shared" si="43"/>
        <v>0</v>
      </c>
      <c r="K438" t="b">
        <f t="shared" si="39"/>
        <v>0</v>
      </c>
      <c r="L438" t="b">
        <f t="shared" si="39"/>
        <v>1</v>
      </c>
      <c r="M438" t="b">
        <f t="shared" si="39"/>
        <v>0</v>
      </c>
      <c r="N438" t="b">
        <f t="shared" si="44"/>
        <v>0</v>
      </c>
      <c r="O438" t="b">
        <f t="shared" si="44"/>
        <v>0</v>
      </c>
      <c r="P438" t="b">
        <f t="shared" si="45"/>
        <v>0</v>
      </c>
    </row>
    <row r="439" spans="1:16">
      <c r="A439" t="str">
        <v>electric_France_SNCF_BB_25500</v>
      </c>
      <c r="B439" t="b" cm="1">
        <f t="array" ref="B439">_xlfn.XLOOKUP(A439,CONTROL[VEHIDCODE],PROPERTIES[EXCLUDE])</f>
        <v>0</v>
      </c>
      <c r="C439">
        <f>FLOOR(_xlfn.XLOOKUP($A439,PROPERTIES[VEHIDCODE],PROPERTIES[INTRODUCTION_YEAR]),20)</f>
        <v>1960</v>
      </c>
      <c r="D439" t="str">
        <f>_xlfn.XLOOKUP($A439,PROPERTIES[VEHIDCODE],PROPERTIES[ROLE])</f>
        <v>Universal</v>
      </c>
      <c r="E439" s="35" t="str">
        <f>_xlfn.XLOOKUP($A439,PROPERTIES[VEHIDCODE],PROPERTIES[REGION1])</f>
        <v>WESTERN_EUROPE</v>
      </c>
      <c r="F439" s="35" t="str">
        <f>_xlfn.XLOOKUP($A439,PROPERTIES[VEHIDCODE],PROPERTIES[REGION2])</f>
        <v>NO_REGION</v>
      </c>
      <c r="G439" s="35" t="str">
        <f t="shared" si="40"/>
        <v>WESTERN_EUROPE_NO_REGION</v>
      </c>
      <c r="H439" t="b">
        <f t="shared" si="41"/>
        <v>0</v>
      </c>
      <c r="I439" t="b">
        <f t="shared" si="42"/>
        <v>0</v>
      </c>
      <c r="J439" t="b">
        <f t="shared" si="43"/>
        <v>0</v>
      </c>
      <c r="K439" t="b">
        <f t="shared" si="39"/>
        <v>0</v>
      </c>
      <c r="L439" t="b">
        <f t="shared" si="39"/>
        <v>1</v>
      </c>
      <c r="M439" t="b">
        <f t="shared" si="39"/>
        <v>0</v>
      </c>
      <c r="N439" t="b">
        <f t="shared" si="44"/>
        <v>0</v>
      </c>
      <c r="O439" t="b">
        <f t="shared" si="44"/>
        <v>0</v>
      </c>
      <c r="P439" t="b">
        <f t="shared" si="45"/>
        <v>0</v>
      </c>
    </row>
    <row r="440" spans="1:16">
      <c r="A440" t="str">
        <v>electric_Germany_DB_182_ES64U_Taurus</v>
      </c>
      <c r="B440" t="b" cm="1">
        <f t="array" ref="B440">_xlfn.XLOOKUP(A440,CONTROL[VEHIDCODE],PROPERTIES[EXCLUDE])</f>
        <v>0</v>
      </c>
      <c r="C440">
        <f>FLOOR(_xlfn.XLOOKUP($A440,PROPERTIES[VEHIDCODE],PROPERTIES[INTRODUCTION_YEAR]),20)</f>
        <v>2000</v>
      </c>
      <c r="D440" t="str">
        <f>_xlfn.XLOOKUP($A440,PROPERTIES[VEHIDCODE],PROPERTIES[ROLE])</f>
        <v>Express</v>
      </c>
      <c r="E440" s="35" t="str">
        <f>_xlfn.XLOOKUP($A440,PROPERTIES[VEHIDCODE],PROPERTIES[REGION1])</f>
        <v>WESTERN_EUROPE</v>
      </c>
      <c r="F440" s="35" t="str">
        <f>_xlfn.XLOOKUP($A440,PROPERTIES[VEHIDCODE],PROPERTIES[REGION2])</f>
        <v>NO_REGION</v>
      </c>
      <c r="G440" s="35" t="str">
        <f t="shared" si="40"/>
        <v>WESTERN_EUROPE_NO_REGION</v>
      </c>
      <c r="H440" t="b">
        <f t="shared" si="41"/>
        <v>0</v>
      </c>
      <c r="I440" t="b">
        <f t="shared" si="42"/>
        <v>0</v>
      </c>
      <c r="J440" t="b">
        <f t="shared" si="43"/>
        <v>0</v>
      </c>
      <c r="K440" t="b">
        <f t="shared" si="39"/>
        <v>0</v>
      </c>
      <c r="L440" t="b">
        <f t="shared" si="39"/>
        <v>1</v>
      </c>
      <c r="M440" t="b">
        <f t="shared" si="39"/>
        <v>0</v>
      </c>
      <c r="N440" t="b">
        <f t="shared" si="44"/>
        <v>0</v>
      </c>
      <c r="O440" t="b">
        <f t="shared" si="44"/>
        <v>0</v>
      </c>
      <c r="P440" t="b">
        <f t="shared" si="45"/>
        <v>0</v>
      </c>
    </row>
    <row r="441" spans="1:16">
      <c r="A441" t="str">
        <v>electric_Japan_JR_EH500</v>
      </c>
      <c r="B441" t="b" cm="1">
        <f t="array" ref="B441">_xlfn.XLOOKUP(A441,CONTROL[VEHIDCODE],PROPERTIES[EXCLUDE])</f>
        <v>0</v>
      </c>
      <c r="C441">
        <f>FLOOR(_xlfn.XLOOKUP($A441,PROPERTIES[VEHIDCODE],PROPERTIES[INTRODUCTION_YEAR]),20)</f>
        <v>1980</v>
      </c>
      <c r="D441" t="str">
        <f>_xlfn.XLOOKUP($A441,PROPERTIES[VEHIDCODE],PROPERTIES[ROLE])</f>
        <v>Express</v>
      </c>
      <c r="E441" s="35" t="str">
        <f>_xlfn.XLOOKUP($A441,PROPERTIES[VEHIDCODE],PROPERTIES[REGION1])</f>
        <v>ASIA</v>
      </c>
      <c r="F441" s="35" t="str">
        <f>_xlfn.XLOOKUP($A441,PROPERTIES[VEHIDCODE],PROPERTIES[REGION2])</f>
        <v>NO_REGION</v>
      </c>
      <c r="G441" s="35" t="str">
        <f t="shared" si="40"/>
        <v>ASIA_NO_REGION</v>
      </c>
      <c r="H441" t="b">
        <f t="shared" si="41"/>
        <v>0</v>
      </c>
      <c r="I441" t="b">
        <f t="shared" si="42"/>
        <v>1</v>
      </c>
      <c r="J441" t="b">
        <f t="shared" si="43"/>
        <v>0</v>
      </c>
      <c r="K441" t="b">
        <f t="shared" si="39"/>
        <v>0</v>
      </c>
      <c r="L441" t="b">
        <f t="shared" si="39"/>
        <v>0</v>
      </c>
      <c r="M441" t="b">
        <f t="shared" si="39"/>
        <v>0</v>
      </c>
      <c r="N441" t="b">
        <f t="shared" si="44"/>
        <v>0</v>
      </c>
      <c r="O441" t="b">
        <f t="shared" si="44"/>
        <v>0</v>
      </c>
      <c r="P441" t="b">
        <f t="shared" si="45"/>
        <v>0</v>
      </c>
    </row>
    <row r="442" spans="1:16">
      <c r="A442" t="str">
        <v>electric_USA_Amtrak_EMD_AEM_7</v>
      </c>
      <c r="B442" t="b" cm="1">
        <f t="array" ref="B442">_xlfn.XLOOKUP(A442,CONTROL[VEHIDCODE],PROPERTIES[EXCLUDE])</f>
        <v>0</v>
      </c>
      <c r="C442">
        <f>FLOOR(_xlfn.XLOOKUP($A442,PROPERTIES[VEHIDCODE],PROPERTIES[INTRODUCTION_YEAR]),20)</f>
        <v>1960</v>
      </c>
      <c r="D442" t="str">
        <f>_xlfn.XLOOKUP($A442,PROPERTIES[VEHIDCODE],PROPERTIES[ROLE])</f>
        <v>Express</v>
      </c>
      <c r="E442" s="35" t="str">
        <f>_xlfn.XLOOKUP($A442,PROPERTIES[VEHIDCODE],PROPERTIES[REGION1])</f>
        <v>NORTH_AMERICA</v>
      </c>
      <c r="F442" s="35" t="str">
        <f>_xlfn.XLOOKUP($A442,PROPERTIES[VEHIDCODE],PROPERTIES[REGION2])</f>
        <v>NO_REGION</v>
      </c>
      <c r="G442" s="35" t="str">
        <f t="shared" si="40"/>
        <v>NORTH_AMERICA_NO_REGION</v>
      </c>
      <c r="H442" t="b">
        <f t="shared" si="41"/>
        <v>0</v>
      </c>
      <c r="I442" t="b">
        <f t="shared" si="42"/>
        <v>0</v>
      </c>
      <c r="J442" t="b">
        <f t="shared" si="43"/>
        <v>0</v>
      </c>
      <c r="K442" t="b">
        <f t="shared" si="39"/>
        <v>0</v>
      </c>
      <c r="L442" t="b">
        <f t="shared" si="39"/>
        <v>0</v>
      </c>
      <c r="M442" t="b">
        <f t="shared" si="39"/>
        <v>0</v>
      </c>
      <c r="N442" t="b">
        <f t="shared" si="44"/>
        <v>1</v>
      </c>
      <c r="O442" t="b">
        <f t="shared" si="44"/>
        <v>0</v>
      </c>
      <c r="P442" t="b">
        <f t="shared" si="45"/>
        <v>0</v>
      </c>
    </row>
    <row r="443" spans="1:16">
      <c r="A443" t="str">
        <v>electric_USA_Amtrak_HHP_8</v>
      </c>
      <c r="B443" t="b" cm="1">
        <f t="array" ref="B443">_xlfn.XLOOKUP(A443,CONTROL[VEHIDCODE],PROPERTIES[EXCLUDE])</f>
        <v>0</v>
      </c>
      <c r="C443">
        <f>FLOOR(_xlfn.XLOOKUP($A443,PROPERTIES[VEHIDCODE],PROPERTIES[INTRODUCTION_YEAR]),20)</f>
        <v>1980</v>
      </c>
      <c r="D443" t="str">
        <f>_xlfn.XLOOKUP($A443,PROPERTIES[VEHIDCODE],PROPERTIES[ROLE])</f>
        <v>Express</v>
      </c>
      <c r="E443" s="35" t="str">
        <f>_xlfn.XLOOKUP($A443,PROPERTIES[VEHIDCODE],PROPERTIES[REGION1])</f>
        <v>NORTH_AMERICA</v>
      </c>
      <c r="F443" s="35" t="str">
        <f>_xlfn.XLOOKUP($A443,PROPERTIES[VEHIDCODE],PROPERTIES[REGION2])</f>
        <v>NO_REGION</v>
      </c>
      <c r="G443" s="35" t="str">
        <f t="shared" si="40"/>
        <v>NORTH_AMERICA_NO_REGION</v>
      </c>
      <c r="H443" t="b">
        <f t="shared" si="41"/>
        <v>0</v>
      </c>
      <c r="I443" t="b">
        <f t="shared" si="42"/>
        <v>0</v>
      </c>
      <c r="J443" t="b">
        <f t="shared" si="43"/>
        <v>0</v>
      </c>
      <c r="K443" t="b">
        <f t="shared" si="39"/>
        <v>0</v>
      </c>
      <c r="L443" t="b">
        <f t="shared" si="39"/>
        <v>0</v>
      </c>
      <c r="M443" t="b">
        <f t="shared" si="39"/>
        <v>0</v>
      </c>
      <c r="N443" t="b">
        <f t="shared" si="44"/>
        <v>1</v>
      </c>
      <c r="O443" t="b">
        <f t="shared" si="44"/>
        <v>0</v>
      </c>
      <c r="P443" t="b">
        <f t="shared" si="45"/>
        <v>0</v>
      </c>
    </row>
    <row r="444" spans="1:16">
      <c r="A444" t="str">
        <v>electric_Czech_Republic_CD_380</v>
      </c>
      <c r="B444" t="b" cm="1">
        <f t="array" ref="B444">_xlfn.XLOOKUP(A444,CONTROL[VEHIDCODE],PROPERTIES[EXCLUDE])</f>
        <v>0</v>
      </c>
      <c r="C444">
        <f>FLOOR(_xlfn.XLOOKUP($A444,PROPERTIES[VEHIDCODE],PROPERTIES[INTRODUCTION_YEAR]),20)</f>
        <v>2000</v>
      </c>
      <c r="D444" t="str">
        <f>_xlfn.XLOOKUP($A444,PROPERTIES[VEHIDCODE],PROPERTIES[ROLE])</f>
        <v>Express</v>
      </c>
      <c r="E444" s="35" t="str">
        <f>_xlfn.XLOOKUP($A444,PROPERTIES[VEHIDCODE],PROPERTIES[REGION1])</f>
        <v>EASTERN_EUROPE</v>
      </c>
      <c r="F444" s="35" t="str">
        <f>_xlfn.XLOOKUP($A444,PROPERTIES[VEHIDCODE],PROPERTIES[REGION2])</f>
        <v>NO_REGION</v>
      </c>
      <c r="G444" s="35" t="str">
        <f t="shared" si="40"/>
        <v>EASTERN_EUROPE_NO_REGION</v>
      </c>
      <c r="H444" t="b">
        <f t="shared" si="41"/>
        <v>0</v>
      </c>
      <c r="I444" t="b">
        <f t="shared" si="42"/>
        <v>0</v>
      </c>
      <c r="J444" t="b">
        <f t="shared" si="43"/>
        <v>0</v>
      </c>
      <c r="K444" t="b">
        <f t="shared" si="39"/>
        <v>1</v>
      </c>
      <c r="L444" t="b">
        <f t="shared" si="39"/>
        <v>0</v>
      </c>
      <c r="M444" t="b">
        <f t="shared" si="39"/>
        <v>0</v>
      </c>
      <c r="N444" t="b">
        <f t="shared" si="44"/>
        <v>0</v>
      </c>
      <c r="O444" t="b">
        <f t="shared" si="44"/>
        <v>0</v>
      </c>
      <c r="P444" t="b">
        <f t="shared" si="45"/>
        <v>0</v>
      </c>
    </row>
    <row r="445" spans="1:16">
      <c r="A445" t="str">
        <v>electric_Spain_RENFE_252</v>
      </c>
      <c r="B445" t="b" cm="1">
        <f t="array" ref="B445">_xlfn.XLOOKUP(A445,CONTROL[VEHIDCODE],PROPERTIES[EXCLUDE])</f>
        <v>0</v>
      </c>
      <c r="C445">
        <f>FLOOR(_xlfn.XLOOKUP($A445,PROPERTIES[VEHIDCODE],PROPERTIES[INTRODUCTION_YEAR]),20)</f>
        <v>1980</v>
      </c>
      <c r="D445" t="str">
        <f>_xlfn.XLOOKUP($A445,PROPERTIES[VEHIDCODE],PROPERTIES[ROLE])</f>
        <v>Express</v>
      </c>
      <c r="E445" s="35" t="str">
        <f>_xlfn.XLOOKUP($A445,PROPERTIES[VEHIDCODE],PROPERTIES[REGION1])</f>
        <v>SOUTHERN_EUROPE</v>
      </c>
      <c r="F445" s="35" t="str">
        <f>_xlfn.XLOOKUP($A445,PROPERTIES[VEHIDCODE],PROPERTIES[REGION2])</f>
        <v>NO_REGION</v>
      </c>
      <c r="G445" s="35" t="str">
        <f t="shared" si="40"/>
        <v>SOUTHERN_EUROPE_NO_REGION</v>
      </c>
      <c r="H445" t="b">
        <f t="shared" si="41"/>
        <v>0</v>
      </c>
      <c r="I445" t="b">
        <f t="shared" si="42"/>
        <v>0</v>
      </c>
      <c r="J445" t="b">
        <f t="shared" si="43"/>
        <v>1</v>
      </c>
      <c r="K445" t="b">
        <f t="shared" si="39"/>
        <v>0</v>
      </c>
      <c r="L445" t="b">
        <f t="shared" si="39"/>
        <v>0</v>
      </c>
      <c r="M445" t="b">
        <f t="shared" si="39"/>
        <v>0</v>
      </c>
      <c r="N445" t="b">
        <f t="shared" si="44"/>
        <v>0</v>
      </c>
      <c r="O445" t="b">
        <f t="shared" si="44"/>
        <v>0</v>
      </c>
      <c r="P445" t="b">
        <f t="shared" si="45"/>
        <v>0</v>
      </c>
    </row>
    <row r="446" spans="1:16">
      <c r="A446" t="str">
        <v>electric_Germany_DB_185_TRAXX_F140</v>
      </c>
      <c r="B446" t="b" cm="1">
        <f t="array" ref="B446">_xlfn.XLOOKUP(A446,CONTROL[VEHIDCODE],PROPERTIES[EXCLUDE])</f>
        <v>0</v>
      </c>
      <c r="C446">
        <f>FLOOR(_xlfn.XLOOKUP($A446,PROPERTIES[VEHIDCODE],PROPERTIES[INTRODUCTION_YEAR]),20)</f>
        <v>2000</v>
      </c>
      <c r="D446" t="str">
        <f>_xlfn.XLOOKUP($A446,PROPERTIES[VEHIDCODE],PROPERTIES[ROLE])</f>
        <v>Universal</v>
      </c>
      <c r="E446" s="35" t="str">
        <f>_xlfn.XLOOKUP($A446,PROPERTIES[VEHIDCODE],PROPERTIES[REGION1])</f>
        <v>WESTERN_EUROPE</v>
      </c>
      <c r="F446" s="35" t="str">
        <f>_xlfn.XLOOKUP($A446,PROPERTIES[VEHIDCODE],PROPERTIES[REGION2])</f>
        <v>NO_REGION</v>
      </c>
      <c r="G446" s="35" t="str">
        <f t="shared" si="40"/>
        <v>WESTERN_EUROPE_NO_REGION</v>
      </c>
      <c r="H446" t="b">
        <f t="shared" si="41"/>
        <v>0</v>
      </c>
      <c r="I446" t="b">
        <f t="shared" si="42"/>
        <v>0</v>
      </c>
      <c r="J446" t="b">
        <f t="shared" si="43"/>
        <v>0</v>
      </c>
      <c r="K446" t="b">
        <f t="shared" si="39"/>
        <v>0</v>
      </c>
      <c r="L446" t="b">
        <f t="shared" si="39"/>
        <v>1</v>
      </c>
      <c r="M446" t="b">
        <f t="shared" si="39"/>
        <v>0</v>
      </c>
      <c r="N446" t="b">
        <f t="shared" si="44"/>
        <v>0</v>
      </c>
      <c r="O446" t="b">
        <f t="shared" si="44"/>
        <v>0</v>
      </c>
      <c r="P446" t="b">
        <f t="shared" si="45"/>
        <v>0</v>
      </c>
    </row>
    <row r="447" spans="1:16">
      <c r="A447" t="str">
        <v>electric_Italy_FS_E550</v>
      </c>
      <c r="B447" t="b" cm="1">
        <f t="array" ref="B447">_xlfn.XLOOKUP(A447,CONTROL[VEHIDCODE],PROPERTIES[EXCLUDE])</f>
        <v>0</v>
      </c>
      <c r="C447">
        <f>FLOOR(_xlfn.XLOOKUP($A447,PROPERTIES[VEHIDCODE],PROPERTIES[INTRODUCTION_YEAR]),20)</f>
        <v>1900</v>
      </c>
      <c r="D447" t="str">
        <f>_xlfn.XLOOKUP($A447,PROPERTIES[VEHIDCODE],PROPERTIES[ROLE])</f>
        <v>Universal</v>
      </c>
      <c r="E447" s="35" t="str">
        <f>_xlfn.XLOOKUP($A447,PROPERTIES[VEHIDCODE],PROPERTIES[REGION1])</f>
        <v>SOUTHERN_EUROPE</v>
      </c>
      <c r="F447" s="35" t="str">
        <f>_xlfn.XLOOKUP($A447,PROPERTIES[VEHIDCODE],PROPERTIES[REGION2])</f>
        <v>NO_REGION</v>
      </c>
      <c r="G447" s="35" t="str">
        <f t="shared" si="40"/>
        <v>SOUTHERN_EUROPE_NO_REGION</v>
      </c>
      <c r="H447" t="b">
        <f t="shared" si="41"/>
        <v>0</v>
      </c>
      <c r="I447" t="b">
        <f t="shared" si="42"/>
        <v>0</v>
      </c>
      <c r="J447" t="b">
        <f t="shared" si="43"/>
        <v>1</v>
      </c>
      <c r="K447" t="b">
        <f t="shared" si="39"/>
        <v>0</v>
      </c>
      <c r="L447" t="b">
        <f t="shared" si="39"/>
        <v>0</v>
      </c>
      <c r="M447" t="b">
        <f t="shared" si="39"/>
        <v>0</v>
      </c>
      <c r="N447" t="b">
        <f t="shared" si="44"/>
        <v>0</v>
      </c>
      <c r="O447" t="b">
        <f t="shared" si="44"/>
        <v>0</v>
      </c>
      <c r="P447" t="b">
        <f t="shared" si="45"/>
        <v>0</v>
      </c>
    </row>
    <row r="448" spans="1:16">
      <c r="A448" t="str">
        <v>electric_Japan_JNR_EF81</v>
      </c>
      <c r="B448" t="b" cm="1">
        <f t="array" ref="B448">_xlfn.XLOOKUP(A448,CONTROL[VEHIDCODE],PROPERTIES[EXCLUDE])</f>
        <v>0</v>
      </c>
      <c r="C448">
        <f>FLOOR(_xlfn.XLOOKUP($A448,PROPERTIES[VEHIDCODE],PROPERTIES[INTRODUCTION_YEAR]),20)</f>
        <v>1960</v>
      </c>
      <c r="D448" t="str">
        <f>_xlfn.XLOOKUP($A448,PROPERTIES[VEHIDCODE],PROPERTIES[ROLE])</f>
        <v>Express</v>
      </c>
      <c r="E448" s="35" t="str">
        <f>_xlfn.XLOOKUP($A448,PROPERTIES[VEHIDCODE],PROPERTIES[REGION1])</f>
        <v>ASIA</v>
      </c>
      <c r="F448" s="35" t="str">
        <f>_xlfn.XLOOKUP($A448,PROPERTIES[VEHIDCODE],PROPERTIES[REGION2])</f>
        <v>NO_REGION</v>
      </c>
      <c r="G448" s="35" t="str">
        <f t="shared" si="40"/>
        <v>ASIA_NO_REGION</v>
      </c>
      <c r="H448" t="b">
        <f t="shared" si="41"/>
        <v>0</v>
      </c>
      <c r="I448" t="b">
        <f t="shared" si="42"/>
        <v>1</v>
      </c>
      <c r="J448" t="b">
        <f t="shared" si="43"/>
        <v>0</v>
      </c>
      <c r="K448" t="b">
        <f t="shared" si="39"/>
        <v>0</v>
      </c>
      <c r="L448" t="b">
        <f t="shared" si="39"/>
        <v>0</v>
      </c>
      <c r="M448" t="b">
        <f t="shared" si="39"/>
        <v>0</v>
      </c>
      <c r="N448" t="b">
        <f t="shared" si="44"/>
        <v>0</v>
      </c>
      <c r="O448" t="b">
        <f t="shared" si="44"/>
        <v>0</v>
      </c>
      <c r="P448" t="b">
        <f t="shared" si="45"/>
        <v>0</v>
      </c>
    </row>
    <row r="449" spans="1:16">
      <c r="A449" t="str">
        <v>electric_UK_BR_92</v>
      </c>
      <c r="B449" t="b" cm="1">
        <f t="array" ref="B449">_xlfn.XLOOKUP(A449,CONTROL[VEHIDCODE],PROPERTIES[EXCLUDE])</f>
        <v>0</v>
      </c>
      <c r="C449">
        <f>FLOOR(_xlfn.XLOOKUP($A449,PROPERTIES[VEHIDCODE],PROPERTIES[INTRODUCTION_YEAR]),20)</f>
        <v>1980</v>
      </c>
      <c r="D449" t="str">
        <f>_xlfn.XLOOKUP($A449,PROPERTIES[VEHIDCODE],PROPERTIES[ROLE])</f>
        <v>Universal</v>
      </c>
      <c r="E449" s="35" t="str">
        <f>_xlfn.XLOOKUP($A449,PROPERTIES[VEHIDCODE],PROPERTIES[REGION1])</f>
        <v>NORTHERN_EUROPE</v>
      </c>
      <c r="F449" s="35" t="str">
        <f>_xlfn.XLOOKUP($A449,PROPERTIES[VEHIDCODE],PROPERTIES[REGION2])</f>
        <v>NO_REGION</v>
      </c>
      <c r="G449" s="35" t="str">
        <f t="shared" si="40"/>
        <v>NORTHERN_EUROPE_NO_REGION</v>
      </c>
      <c r="H449" t="b">
        <f t="shared" si="41"/>
        <v>0</v>
      </c>
      <c r="I449" t="b">
        <f t="shared" si="42"/>
        <v>0</v>
      </c>
      <c r="J449" t="b">
        <f t="shared" si="43"/>
        <v>0</v>
      </c>
      <c r="K449" t="b">
        <f t="shared" si="39"/>
        <v>0</v>
      </c>
      <c r="L449" t="b">
        <f t="shared" si="39"/>
        <v>0</v>
      </c>
      <c r="M449" t="b">
        <f t="shared" si="39"/>
        <v>1</v>
      </c>
      <c r="N449" t="b">
        <f t="shared" si="44"/>
        <v>0</v>
      </c>
      <c r="O449" t="b">
        <f t="shared" si="44"/>
        <v>0</v>
      </c>
      <c r="P449" t="b">
        <f t="shared" si="45"/>
        <v>0</v>
      </c>
    </row>
    <row r="450" spans="1:16">
      <c r="A450" t="str">
        <v>electric_USA_Amtrak_ACS_64</v>
      </c>
      <c r="B450" t="b" cm="1">
        <f t="array" ref="B450">_xlfn.XLOOKUP(A450,CONTROL[VEHIDCODE],PROPERTIES[EXCLUDE])</f>
        <v>0</v>
      </c>
      <c r="C450">
        <f>FLOOR(_xlfn.XLOOKUP($A450,PROPERTIES[VEHIDCODE],PROPERTIES[INTRODUCTION_YEAR]),20)</f>
        <v>2000</v>
      </c>
      <c r="D450" t="str">
        <f>_xlfn.XLOOKUP($A450,PROPERTIES[VEHIDCODE],PROPERTIES[ROLE])</f>
        <v>Express</v>
      </c>
      <c r="E450" s="35" t="str">
        <f>_xlfn.XLOOKUP($A450,PROPERTIES[VEHIDCODE],PROPERTIES[REGION1])</f>
        <v>NORTH_AMERICA</v>
      </c>
      <c r="F450" s="35" t="str">
        <f>_xlfn.XLOOKUP($A450,PROPERTIES[VEHIDCODE],PROPERTIES[REGION2])</f>
        <v>NO_REGION</v>
      </c>
      <c r="G450" s="35" t="str">
        <f t="shared" si="40"/>
        <v>NORTH_AMERICA_NO_REGION</v>
      </c>
      <c r="H450" t="b">
        <f t="shared" si="41"/>
        <v>0</v>
      </c>
      <c r="I450" t="b">
        <f t="shared" si="42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3"/>
        <v>0</v>
      </c>
      <c r="N450" t="b">
        <f t="shared" si="44"/>
        <v>1</v>
      </c>
      <c r="O450" t="b">
        <f t="shared" si="44"/>
        <v>0</v>
      </c>
      <c r="P450" t="b">
        <f t="shared" si="45"/>
        <v>0</v>
      </c>
    </row>
    <row r="451" spans="1:16">
      <c r="A451" t="str">
        <v>electric_France_SNCF_CC_40100</v>
      </c>
      <c r="B451" t="b" cm="1">
        <f t="array" ref="B451">_xlfn.XLOOKUP(A451,CONTROL[VEHIDCODE],PROPERTIES[EXCLUDE])</f>
        <v>0</v>
      </c>
      <c r="C451">
        <f>FLOOR(_xlfn.XLOOKUP($A451,PROPERTIES[VEHIDCODE],PROPERTIES[INTRODUCTION_YEAR]),20)</f>
        <v>1960</v>
      </c>
      <c r="D451" t="str">
        <f>_xlfn.XLOOKUP($A451,PROPERTIES[VEHIDCODE],PROPERTIES[ROLE])</f>
        <v>Express</v>
      </c>
      <c r="E451" s="35" t="str">
        <f>_xlfn.XLOOKUP($A451,PROPERTIES[VEHIDCODE],PROPERTIES[REGION1])</f>
        <v>WESTERN_EUROPE</v>
      </c>
      <c r="F451" s="35" t="str">
        <f>_xlfn.XLOOKUP($A451,PROPERTIES[VEHIDCODE],PROPERTIES[REGION2])</f>
        <v>NO_REGION</v>
      </c>
      <c r="G451" s="35" t="str">
        <f t="shared" ref="G451:G514" si="46">_xlfn.CONCAT($E451,"_",$F451)</f>
        <v>WESTERN_EUROPE_NO_REGION</v>
      </c>
      <c r="H451" t="b">
        <f t="shared" ref="H451:H514" si="47">OR(ISNUMBER(SEARCH("ALL_REGION",$G451)),
ISNUMBER(SEARCH("AFRICA",$G451)),
ISNUMBER(SEARCH("REGIONTYPE1",$G451)),
ISNUMBER(SEARCH("REGIONTYPE2",$G451)))</f>
        <v>0</v>
      </c>
      <c r="I451" t="b">
        <f t="shared" ref="I451:I514" si="48">OR(ISNUMBER(SEARCH("ALL_REGION",$G451)),
ISNUMBER(SEARCH("ASIA",$G451)),
ISNUMBER(SEARCH("REGIONTYPE1",$G451)),
ISNUMBER(SEARCH("REGIONTYPE2",$G451)),
ISNUMBER(SEARCH("REGIONTYPE3",$G451)))</f>
        <v>0</v>
      </c>
      <c r="J451" t="b">
        <f t="shared" ref="J451:M514" si="49">OR(ISNUMBER(SEARCH("ALL_REGION",$G451)),
ISNUMBER(SEARCH("ALL_EUROPE",$G451)),
ISNUMBER(SEARCH(J$1,$G451)),
ISNUMBER(SEARCH("REGIONTYPE1",$G451)))</f>
        <v>0</v>
      </c>
      <c r="K451" t="b">
        <f t="shared" si="49"/>
        <v>0</v>
      </c>
      <c r="L451" t="b">
        <f t="shared" si="49"/>
        <v>1</v>
      </c>
      <c r="M451" t="b">
        <f t="shared" si="49"/>
        <v>0</v>
      </c>
      <c r="N451" t="b">
        <f t="shared" ref="N451:O514" si="50">OR(ISNUMBER(SEARCH("ALL_REGION",$G451)),
ISNUMBER(SEARCH("ALL_AMERICA",$G451)),
ISNUMBER(SEARCH(N$1,$G451)),
ISNUMBER(SEARCH("REGIONTYPE2",$G451)))</f>
        <v>0</v>
      </c>
      <c r="O451" t="b">
        <f t="shared" si="50"/>
        <v>0</v>
      </c>
      <c r="P451" t="b">
        <f t="shared" ref="P451:P514" si="51">OR(ISNUMBER(SEARCH("ALL_REGION",$G451)),
ISNUMBER(SEARCH(P$1,$G451)),
ISNUMBER(SEARCH("REGIONTYPE3",$G451)))</f>
        <v>0</v>
      </c>
    </row>
    <row r="452" spans="1:16">
      <c r="A452" t="str">
        <v>electric_Belgium_NMBS_SNCB_13_HLE</v>
      </c>
      <c r="B452" t="b" cm="1">
        <f t="array" ref="B452">_xlfn.XLOOKUP(A452,CONTROL[VEHIDCODE],PROPERTIES[EXCLUDE])</f>
        <v>0</v>
      </c>
      <c r="C452">
        <f>FLOOR(_xlfn.XLOOKUP($A452,PROPERTIES[VEHIDCODE],PROPERTIES[INTRODUCTION_YEAR]),20)</f>
        <v>1980</v>
      </c>
      <c r="D452" t="str">
        <f>_xlfn.XLOOKUP($A452,PROPERTIES[VEHIDCODE],PROPERTIES[ROLE])</f>
        <v>Express</v>
      </c>
      <c r="E452" s="35" t="str">
        <f>_xlfn.XLOOKUP($A452,PROPERTIES[VEHIDCODE],PROPERTIES[REGION1])</f>
        <v>WESTERN_EUROPE</v>
      </c>
      <c r="F452" s="35" t="str">
        <f>_xlfn.XLOOKUP($A452,PROPERTIES[VEHIDCODE],PROPERTIES[REGION2])</f>
        <v>NO_REGION</v>
      </c>
      <c r="G452" s="35" t="str">
        <f t="shared" si="46"/>
        <v>WESTERN_EUROPE_NO_REGION</v>
      </c>
      <c r="H452" t="b">
        <f t="shared" si="47"/>
        <v>0</v>
      </c>
      <c r="I452" t="b">
        <f t="shared" si="48"/>
        <v>0</v>
      </c>
      <c r="J452" t="b">
        <f t="shared" si="49"/>
        <v>0</v>
      </c>
      <c r="K452" t="b">
        <f t="shared" si="49"/>
        <v>0</v>
      </c>
      <c r="L452" t="b">
        <f t="shared" si="49"/>
        <v>1</v>
      </c>
      <c r="M452" t="b">
        <f t="shared" si="49"/>
        <v>0</v>
      </c>
      <c r="N452" t="b">
        <f t="shared" si="50"/>
        <v>0</v>
      </c>
      <c r="O452" t="b">
        <f t="shared" si="50"/>
        <v>0</v>
      </c>
      <c r="P452" t="b">
        <f t="shared" si="51"/>
        <v>0</v>
      </c>
    </row>
    <row r="453" spans="1:16">
      <c r="A453" t="str">
        <v>dmu_Germany_DB_VT_040_Flying_Hamburger</v>
      </c>
      <c r="B453" t="b" cm="1">
        <f t="array" ref="B453">_xlfn.XLOOKUP(A453,CONTROL[VEHIDCODE],PROPERTIES[EXCLUDE])</f>
        <v>0</v>
      </c>
      <c r="C453">
        <f>FLOOR(_xlfn.XLOOKUP($A453,PROPERTIES[VEHIDCODE],PROPERTIES[INTRODUCTION_YEAR]),20)</f>
        <v>1920</v>
      </c>
      <c r="D453" t="str">
        <f>_xlfn.XLOOKUP($A453,PROPERTIES[VEHIDCODE],PROPERTIES[ROLE])</f>
        <v>Express Passenger</v>
      </c>
      <c r="E453" s="35" t="str">
        <f>_xlfn.XLOOKUP($A453,PROPERTIES[VEHIDCODE],PROPERTIES[REGION1])</f>
        <v>WESTERN_EUROPE</v>
      </c>
      <c r="F453" s="35" t="str">
        <f>_xlfn.XLOOKUP($A453,PROPERTIES[VEHIDCODE],PROPERTIES[REGION2])</f>
        <v>NO_REGION</v>
      </c>
      <c r="G453" s="35" t="str">
        <f t="shared" si="46"/>
        <v>WESTERN_EUROPE_NO_REGION</v>
      </c>
      <c r="H453" t="b">
        <f t="shared" si="47"/>
        <v>0</v>
      </c>
      <c r="I453" t="b">
        <f t="shared" si="48"/>
        <v>0</v>
      </c>
      <c r="J453" t="b">
        <f t="shared" si="49"/>
        <v>0</v>
      </c>
      <c r="K453" t="b">
        <f t="shared" si="49"/>
        <v>0</v>
      </c>
      <c r="L453" t="b">
        <f t="shared" si="49"/>
        <v>1</v>
      </c>
      <c r="M453" t="b">
        <f t="shared" si="49"/>
        <v>0</v>
      </c>
      <c r="N453" t="b">
        <f t="shared" si="50"/>
        <v>0</v>
      </c>
      <c r="O453" t="b">
        <f t="shared" si="50"/>
        <v>0</v>
      </c>
      <c r="P453" t="b">
        <f t="shared" si="51"/>
        <v>0</v>
      </c>
    </row>
    <row r="454" spans="1:16">
      <c r="A454" t="str">
        <v>dmu_Australia_NSWGR_Silver_City_Comet</v>
      </c>
      <c r="B454" t="b" cm="1">
        <f t="array" ref="B454">_xlfn.XLOOKUP(A454,CONTROL[VEHIDCODE],PROPERTIES[EXCLUDE])</f>
        <v>0</v>
      </c>
      <c r="C454">
        <f>FLOOR(_xlfn.XLOOKUP($A454,PROPERTIES[VEHIDCODE],PROPERTIES[INTRODUCTION_YEAR]),20)</f>
        <v>1920</v>
      </c>
      <c r="D454" t="str">
        <f>_xlfn.XLOOKUP($A454,PROPERTIES[VEHIDCODE],PROPERTIES[ROLE])</f>
        <v>Express</v>
      </c>
      <c r="E454" s="35" t="str">
        <f>_xlfn.XLOOKUP($A454,PROPERTIES[VEHIDCODE],PROPERTIES[REGION1])</f>
        <v>OCEANIA</v>
      </c>
      <c r="F454" s="35" t="str">
        <f>_xlfn.XLOOKUP($A454,PROPERTIES[VEHIDCODE],PROPERTIES[REGION2])</f>
        <v>NO_REGION</v>
      </c>
      <c r="G454" s="35" t="str">
        <f t="shared" si="46"/>
        <v>OCEANIA_NO_REGION</v>
      </c>
      <c r="H454" t="b">
        <f t="shared" si="47"/>
        <v>0</v>
      </c>
      <c r="I454" t="b">
        <f t="shared" si="48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49"/>
        <v>0</v>
      </c>
      <c r="N454" t="b">
        <f t="shared" si="50"/>
        <v>0</v>
      </c>
      <c r="O454" t="b">
        <f t="shared" si="50"/>
        <v>0</v>
      </c>
      <c r="P454" t="b">
        <f t="shared" si="51"/>
        <v>1</v>
      </c>
    </row>
    <row r="455" spans="1:16">
      <c r="A455" t="str">
        <v>dmu_Czech_Republic_CD_M131</v>
      </c>
      <c r="B455" t="b" cm="1">
        <f t="array" ref="B455">_xlfn.XLOOKUP(A455,CONTROL[VEHIDCODE],PROPERTIES[EXCLUDE])</f>
        <v>0</v>
      </c>
      <c r="C455">
        <f>FLOOR(_xlfn.XLOOKUP($A455,PROPERTIES[VEHIDCODE],PROPERTIES[INTRODUCTION_YEAR]),20)</f>
        <v>1940</v>
      </c>
      <c r="D455" t="str">
        <f>_xlfn.XLOOKUP($A455,PROPERTIES[VEHIDCODE],PROPERTIES[ROLE])</f>
        <v>Commuter/Urban</v>
      </c>
      <c r="E455" s="35" t="str">
        <f>_xlfn.XLOOKUP($A455,PROPERTIES[VEHIDCODE],PROPERTIES[REGION1])</f>
        <v>EASTERN_EUROPE</v>
      </c>
      <c r="F455" s="35" t="str">
        <f>_xlfn.XLOOKUP($A455,PROPERTIES[VEHIDCODE],PROPERTIES[REGION2])</f>
        <v>NO_REGION</v>
      </c>
      <c r="G455" s="35" t="str">
        <f t="shared" si="46"/>
        <v>EASTERN_EUROPE_NO_REGION</v>
      </c>
      <c r="H455" t="b">
        <f t="shared" si="47"/>
        <v>0</v>
      </c>
      <c r="I455" t="b">
        <f t="shared" si="48"/>
        <v>0</v>
      </c>
      <c r="J455" t="b">
        <f t="shared" si="49"/>
        <v>0</v>
      </c>
      <c r="K455" t="b">
        <f t="shared" si="49"/>
        <v>1</v>
      </c>
      <c r="L455" t="b">
        <f t="shared" si="49"/>
        <v>0</v>
      </c>
      <c r="M455" t="b">
        <f t="shared" si="49"/>
        <v>0</v>
      </c>
      <c r="N455" t="b">
        <f t="shared" si="50"/>
        <v>0</v>
      </c>
      <c r="O455" t="b">
        <f t="shared" si="50"/>
        <v>0</v>
      </c>
      <c r="P455" t="b">
        <f t="shared" si="51"/>
        <v>0</v>
      </c>
    </row>
    <row r="456" spans="1:16">
      <c r="A456" t="str">
        <v>dmu_Germany_DB_VT_085</v>
      </c>
      <c r="B456" t="b" cm="1">
        <f t="array" ref="B456">_xlfn.XLOOKUP(A456,CONTROL[VEHIDCODE],PROPERTIES[EXCLUDE])</f>
        <v>0</v>
      </c>
      <c r="C456">
        <f>FLOOR(_xlfn.XLOOKUP($A456,PROPERTIES[VEHIDCODE],PROPERTIES[INTRODUCTION_YEAR]),20)</f>
        <v>1940</v>
      </c>
      <c r="D456" t="str">
        <f>_xlfn.XLOOKUP($A456,PROPERTIES[VEHIDCODE],PROPERTIES[ROLE])</f>
        <v>Commuter/Urban</v>
      </c>
      <c r="E456" s="35" t="str">
        <f>_xlfn.XLOOKUP($A456,PROPERTIES[VEHIDCODE],PROPERTIES[REGION1])</f>
        <v>WESTERN_EUROPE</v>
      </c>
      <c r="F456" s="35" t="str">
        <f>_xlfn.XLOOKUP($A456,PROPERTIES[VEHIDCODE],PROPERTIES[REGION2])</f>
        <v>NO_REGION</v>
      </c>
      <c r="G456" s="35" t="str">
        <f t="shared" si="46"/>
        <v>WESTERN_EUROPE_NO_REGION</v>
      </c>
      <c r="H456" t="b">
        <f t="shared" si="47"/>
        <v>0</v>
      </c>
      <c r="I456" t="b">
        <f t="shared" si="48"/>
        <v>0</v>
      </c>
      <c r="J456" t="b">
        <f t="shared" si="49"/>
        <v>0</v>
      </c>
      <c r="K456" t="b">
        <f t="shared" si="49"/>
        <v>0</v>
      </c>
      <c r="L456" t="b">
        <f t="shared" si="49"/>
        <v>1</v>
      </c>
      <c r="M456" t="b">
        <f t="shared" si="49"/>
        <v>0</v>
      </c>
      <c r="N456" t="b">
        <f t="shared" si="50"/>
        <v>0</v>
      </c>
      <c r="O456" t="b">
        <f t="shared" si="50"/>
        <v>0</v>
      </c>
      <c r="P456" t="b">
        <f t="shared" si="51"/>
        <v>0</v>
      </c>
    </row>
    <row r="457" spans="1:16">
      <c r="A457" t="str">
        <v>dmu_Australia_Queensland_Rail_400</v>
      </c>
      <c r="B457" t="b" cm="1">
        <f t="array" ref="B457">_xlfn.XLOOKUP(A457,CONTROL[VEHIDCODE],PROPERTIES[EXCLUDE])</f>
        <v>0</v>
      </c>
      <c r="C457">
        <f>FLOOR(_xlfn.XLOOKUP($A457,PROPERTIES[VEHIDCODE],PROPERTIES[INTRODUCTION_YEAR]),20)</f>
        <v>1940</v>
      </c>
      <c r="D457" t="str">
        <f>_xlfn.XLOOKUP($A457,PROPERTIES[VEHIDCODE],PROPERTIES[ROLE])</f>
        <v>Commuter/Urban</v>
      </c>
      <c r="E457" s="35" t="str">
        <f>_xlfn.XLOOKUP($A457,PROPERTIES[VEHIDCODE],PROPERTIES[REGION1])</f>
        <v>OCEANIA</v>
      </c>
      <c r="F457" s="35" t="str">
        <f>_xlfn.XLOOKUP($A457,PROPERTIES[VEHIDCODE],PROPERTIES[REGION2])</f>
        <v>NO_REGION</v>
      </c>
      <c r="G457" s="35" t="str">
        <f t="shared" si="46"/>
        <v>OCEANIA_NO_REGION</v>
      </c>
      <c r="H457" t="b">
        <f t="shared" si="47"/>
        <v>0</v>
      </c>
      <c r="I457" t="b">
        <f t="shared" si="48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49"/>
        <v>0</v>
      </c>
      <c r="N457" t="b">
        <f t="shared" si="50"/>
        <v>0</v>
      </c>
      <c r="O457" t="b">
        <f t="shared" si="50"/>
        <v>0</v>
      </c>
      <c r="P457" t="b">
        <f t="shared" si="51"/>
        <v>1</v>
      </c>
    </row>
    <row r="458" spans="1:16">
      <c r="A458" t="str">
        <v>dmu_Germany_DB_VT_115</v>
      </c>
      <c r="B458" t="b" cm="1">
        <f t="array" ref="B458">_xlfn.XLOOKUP(A458,CONTROL[VEHIDCODE],PROPERTIES[EXCLUDE])</f>
        <v>0</v>
      </c>
      <c r="C458">
        <f>FLOOR(_xlfn.XLOOKUP($A458,PROPERTIES[VEHIDCODE],PROPERTIES[INTRODUCTION_YEAR]),20)</f>
        <v>1940</v>
      </c>
      <c r="D458" t="str">
        <f>_xlfn.XLOOKUP($A458,PROPERTIES[VEHIDCODE],PROPERTIES[ROLE])</f>
        <v>Express Passenger</v>
      </c>
      <c r="E458" s="35" t="str">
        <f>_xlfn.XLOOKUP($A458,PROPERTIES[VEHIDCODE],PROPERTIES[REGION1])</f>
        <v>WESTERN_EUROPE</v>
      </c>
      <c r="F458" s="35" t="str">
        <f>_xlfn.XLOOKUP($A458,PROPERTIES[VEHIDCODE],PROPERTIES[REGION2])</f>
        <v>NO_REGION</v>
      </c>
      <c r="G458" s="35" t="str">
        <f t="shared" si="46"/>
        <v>WESTERN_EUROPE_NO_REGION</v>
      </c>
      <c r="H458" t="b">
        <f t="shared" si="47"/>
        <v>0</v>
      </c>
      <c r="I458" t="b">
        <f t="shared" si="48"/>
        <v>0</v>
      </c>
      <c r="J458" t="b">
        <f t="shared" si="49"/>
        <v>0</v>
      </c>
      <c r="K458" t="b">
        <f t="shared" si="49"/>
        <v>0</v>
      </c>
      <c r="L458" t="b">
        <f t="shared" si="49"/>
        <v>1</v>
      </c>
      <c r="M458" t="b">
        <f t="shared" si="49"/>
        <v>0</v>
      </c>
      <c r="N458" t="b">
        <f t="shared" si="50"/>
        <v>0</v>
      </c>
      <c r="O458" t="b">
        <f t="shared" si="50"/>
        <v>0</v>
      </c>
      <c r="P458" t="b">
        <f t="shared" si="51"/>
        <v>0</v>
      </c>
    </row>
    <row r="459" spans="1:16">
      <c r="A459" t="str">
        <v>dmu_Netherlands_NS_Plan_U_DE_III</v>
      </c>
      <c r="B459" t="b" cm="1">
        <f t="array" ref="B459">_xlfn.XLOOKUP(A459,CONTROL[VEHIDCODE],PROPERTIES[EXCLUDE])</f>
        <v>0</v>
      </c>
      <c r="C459">
        <f>FLOOR(_xlfn.XLOOKUP($A459,PROPERTIES[VEHIDCODE],PROPERTIES[INTRODUCTION_YEAR]),20)</f>
        <v>1960</v>
      </c>
      <c r="D459" t="str">
        <f>_xlfn.XLOOKUP($A459,PROPERTIES[VEHIDCODE],PROPERTIES[ROLE])</f>
        <v>Commuter/Urban</v>
      </c>
      <c r="E459" s="35" t="str">
        <f>_xlfn.XLOOKUP($A459,PROPERTIES[VEHIDCODE],PROPERTIES[REGION1])</f>
        <v>WESTERN_EUROPE</v>
      </c>
      <c r="F459" s="35" t="str">
        <f>_xlfn.XLOOKUP($A459,PROPERTIES[VEHIDCODE],PROPERTIES[REGION2])</f>
        <v>NO_REGION</v>
      </c>
      <c r="G459" s="35" t="str">
        <f t="shared" si="46"/>
        <v>WESTERN_EUROPE_NO_REGION</v>
      </c>
      <c r="H459" t="b">
        <f t="shared" si="47"/>
        <v>0</v>
      </c>
      <c r="I459" t="b">
        <f t="shared" si="48"/>
        <v>0</v>
      </c>
      <c r="J459" t="b">
        <f t="shared" si="49"/>
        <v>0</v>
      </c>
      <c r="K459" t="b">
        <f t="shared" si="49"/>
        <v>0</v>
      </c>
      <c r="L459" t="b">
        <f t="shared" si="49"/>
        <v>1</v>
      </c>
      <c r="M459" t="b">
        <f t="shared" si="49"/>
        <v>0</v>
      </c>
      <c r="N459" t="b">
        <f t="shared" si="50"/>
        <v>0</v>
      </c>
      <c r="O459" t="b">
        <f t="shared" si="50"/>
        <v>0</v>
      </c>
      <c r="P459" t="b">
        <f t="shared" si="51"/>
        <v>0</v>
      </c>
    </row>
    <row r="460" spans="1:16">
      <c r="A460" t="str">
        <v>dmu_Canada_CNR_Turbo_Train</v>
      </c>
      <c r="B460" t="b" cm="1">
        <f t="array" ref="B460">_xlfn.XLOOKUP(A460,CONTROL[VEHIDCODE],PROPERTIES[EXCLUDE])</f>
        <v>0</v>
      </c>
      <c r="C460">
        <f>FLOOR(_xlfn.XLOOKUP($A460,PROPERTIES[VEHIDCODE],PROPERTIES[INTRODUCTION_YEAR]),20)</f>
        <v>1960</v>
      </c>
      <c r="D460" t="str">
        <f>_xlfn.XLOOKUP($A460,PROPERTIES[VEHIDCODE],PROPERTIES[ROLE])</f>
        <v>Express Passenger</v>
      </c>
      <c r="E460" s="35" t="str">
        <f>_xlfn.XLOOKUP($A460,PROPERTIES[VEHIDCODE],PROPERTIES[REGION1])</f>
        <v>NORTH_AMERICA</v>
      </c>
      <c r="F460" s="35" t="str">
        <f>_xlfn.XLOOKUP($A460,PROPERTIES[VEHIDCODE],PROPERTIES[REGION2])</f>
        <v>NO_REGION</v>
      </c>
      <c r="G460" s="35" t="str">
        <f t="shared" si="46"/>
        <v>NORTH_AMERICA_NO_REGION</v>
      </c>
      <c r="H460" t="b">
        <f t="shared" si="47"/>
        <v>0</v>
      </c>
      <c r="I460" t="b">
        <f t="shared" si="48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49"/>
        <v>0</v>
      </c>
      <c r="N460" t="b">
        <f t="shared" si="50"/>
        <v>1</v>
      </c>
      <c r="O460" t="b">
        <f t="shared" si="50"/>
        <v>0</v>
      </c>
      <c r="P460" t="b">
        <f t="shared" si="51"/>
        <v>0</v>
      </c>
    </row>
    <row r="461" spans="1:16">
      <c r="A461" t="str">
        <v>dmu_Serbia_ZS_811</v>
      </c>
      <c r="B461" t="b" cm="1">
        <f t="array" ref="B461">_xlfn.XLOOKUP(A461,CONTROL[VEHIDCODE],PROPERTIES[EXCLUDE])</f>
        <v>0</v>
      </c>
      <c r="C461">
        <f>FLOOR(_xlfn.XLOOKUP($A461,PROPERTIES[VEHIDCODE],PROPERTIES[INTRODUCTION_YEAR]),20)</f>
        <v>1960</v>
      </c>
      <c r="D461" t="str">
        <f>_xlfn.XLOOKUP($A461,PROPERTIES[VEHIDCODE],PROPERTIES[ROLE])</f>
        <v>Commuter/Urban</v>
      </c>
      <c r="E461" s="35" t="str">
        <f>_xlfn.XLOOKUP($A461,PROPERTIES[VEHIDCODE],PROPERTIES[REGION1])</f>
        <v>EASTERN_EUROPE</v>
      </c>
      <c r="F461" s="35" t="str">
        <f>_xlfn.XLOOKUP($A461,PROPERTIES[VEHIDCODE],PROPERTIES[REGION2])</f>
        <v>NO_REGION</v>
      </c>
      <c r="G461" s="35" t="str">
        <f t="shared" si="46"/>
        <v>EASTERN_EUROPE_NO_REGION</v>
      </c>
      <c r="H461" t="b">
        <f t="shared" si="47"/>
        <v>0</v>
      </c>
      <c r="I461" t="b">
        <f t="shared" si="48"/>
        <v>0</v>
      </c>
      <c r="J461" t="b">
        <f t="shared" si="49"/>
        <v>0</v>
      </c>
      <c r="K461" t="b">
        <f t="shared" si="49"/>
        <v>1</v>
      </c>
      <c r="L461" t="b">
        <f t="shared" si="49"/>
        <v>0</v>
      </c>
      <c r="M461" t="b">
        <f t="shared" si="49"/>
        <v>0</v>
      </c>
      <c r="N461" t="b">
        <f t="shared" si="50"/>
        <v>0</v>
      </c>
      <c r="O461" t="b">
        <f t="shared" si="50"/>
        <v>0</v>
      </c>
      <c r="P461" t="b">
        <f t="shared" si="51"/>
        <v>0</v>
      </c>
    </row>
    <row r="462" spans="1:16">
      <c r="A462" t="str">
        <v>dmu_UK_BR_43_IC125</v>
      </c>
      <c r="B462" t="b" cm="1">
        <f t="array" ref="B462">_xlfn.XLOOKUP(A462,CONTROL[VEHIDCODE],PROPERTIES[EXCLUDE])</f>
        <v>0</v>
      </c>
      <c r="C462">
        <f>FLOOR(_xlfn.XLOOKUP($A462,PROPERTIES[VEHIDCODE],PROPERTIES[INTRODUCTION_YEAR]),20)</f>
        <v>1960</v>
      </c>
      <c r="D462" t="str">
        <f>_xlfn.XLOOKUP($A462,PROPERTIES[VEHIDCODE],PROPERTIES[ROLE])</f>
        <v>Express</v>
      </c>
      <c r="E462" s="35" t="str">
        <f>_xlfn.XLOOKUP($A462,PROPERTIES[VEHIDCODE],PROPERTIES[REGION1])</f>
        <v>NORTHERN_EUROPE</v>
      </c>
      <c r="F462" s="35" t="str">
        <f>_xlfn.XLOOKUP($A462,PROPERTIES[VEHIDCODE],PROPERTIES[REGION2])</f>
        <v>NO_REGION</v>
      </c>
      <c r="G462" s="35" t="str">
        <f t="shared" si="46"/>
        <v>NORTHERN_EUROPE_NO_REGION</v>
      </c>
      <c r="H462" t="b">
        <f t="shared" si="47"/>
        <v>0</v>
      </c>
      <c r="I462" t="b">
        <f t="shared" si="48"/>
        <v>0</v>
      </c>
      <c r="J462" t="b">
        <f t="shared" si="49"/>
        <v>0</v>
      </c>
      <c r="K462" t="b">
        <f t="shared" si="49"/>
        <v>0</v>
      </c>
      <c r="L462" t="b">
        <f t="shared" si="49"/>
        <v>0</v>
      </c>
      <c r="M462" t="b">
        <f t="shared" si="49"/>
        <v>1</v>
      </c>
      <c r="N462" t="b">
        <f t="shared" si="50"/>
        <v>0</v>
      </c>
      <c r="O462" t="b">
        <f t="shared" si="50"/>
        <v>0</v>
      </c>
      <c r="P462" t="b">
        <f t="shared" si="51"/>
        <v>0</v>
      </c>
    </row>
    <row r="463" spans="1:16">
      <c r="A463" t="str">
        <v>dmu_Canada_VIA_Rail_LRC</v>
      </c>
      <c r="B463" t="b" cm="1">
        <f t="array" ref="B463">_xlfn.XLOOKUP(A463,CONTROL[VEHIDCODE],PROPERTIES[EXCLUDE])</f>
        <v>0</v>
      </c>
      <c r="C463">
        <f>FLOOR(_xlfn.XLOOKUP($A463,PROPERTIES[VEHIDCODE],PROPERTIES[INTRODUCTION_YEAR]),20)</f>
        <v>1980</v>
      </c>
      <c r="D463" t="str">
        <f>_xlfn.XLOOKUP($A463,PROPERTIES[VEHIDCODE],PROPERTIES[ROLE])</f>
        <v>Commuter/Urban</v>
      </c>
      <c r="E463" s="35" t="str">
        <f>_xlfn.XLOOKUP($A463,PROPERTIES[VEHIDCODE],PROPERTIES[REGION1])</f>
        <v>NORTH_AMERICA</v>
      </c>
      <c r="F463" s="35" t="str">
        <f>_xlfn.XLOOKUP($A463,PROPERTIES[VEHIDCODE],PROPERTIES[REGION2])</f>
        <v>NO_REGION</v>
      </c>
      <c r="G463" s="35" t="str">
        <f t="shared" si="46"/>
        <v>NORTH_AMERICA_NO_REGION</v>
      </c>
      <c r="H463" t="b">
        <f t="shared" si="47"/>
        <v>0</v>
      </c>
      <c r="I463" t="b">
        <f t="shared" si="48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49"/>
        <v>0</v>
      </c>
      <c r="N463" t="b">
        <f t="shared" si="50"/>
        <v>1</v>
      </c>
      <c r="O463" t="b">
        <f t="shared" si="50"/>
        <v>0</v>
      </c>
      <c r="P463" t="b">
        <f t="shared" si="51"/>
        <v>0</v>
      </c>
    </row>
    <row r="464" spans="1:16">
      <c r="A464" t="str">
        <v>dmu_Sweden_SJ_Y2</v>
      </c>
      <c r="B464" t="b" cm="1">
        <f t="array" ref="B464">_xlfn.XLOOKUP(A464,CONTROL[VEHIDCODE],PROPERTIES[EXCLUDE])</f>
        <v>0</v>
      </c>
      <c r="C464">
        <f>FLOOR(_xlfn.XLOOKUP($A464,PROPERTIES[VEHIDCODE],PROPERTIES[INTRODUCTION_YEAR]),20)</f>
        <v>1980</v>
      </c>
      <c r="D464" t="str">
        <f>_xlfn.XLOOKUP($A464,PROPERTIES[VEHIDCODE],PROPERTIES[ROLE])</f>
        <v>Express Passenger</v>
      </c>
      <c r="E464" s="35" t="str">
        <f>_xlfn.XLOOKUP($A464,PROPERTIES[VEHIDCODE],PROPERTIES[REGION1])</f>
        <v>NORTHERN_EUROPE</v>
      </c>
      <c r="F464" s="35" t="str">
        <f>_xlfn.XLOOKUP($A464,PROPERTIES[VEHIDCODE],PROPERTIES[REGION2])</f>
        <v>NO_REGION</v>
      </c>
      <c r="G464" s="35" t="str">
        <f t="shared" si="46"/>
        <v>NORTHERN_EUROPE_NO_REGION</v>
      </c>
      <c r="H464" t="b">
        <f t="shared" si="47"/>
        <v>0</v>
      </c>
      <c r="I464" t="b">
        <f t="shared" si="48"/>
        <v>0</v>
      </c>
      <c r="J464" t="b">
        <f t="shared" si="49"/>
        <v>0</v>
      </c>
      <c r="K464" t="b">
        <f t="shared" si="49"/>
        <v>0</v>
      </c>
      <c r="L464" t="b">
        <f t="shared" si="49"/>
        <v>0</v>
      </c>
      <c r="M464" t="b">
        <f t="shared" si="49"/>
        <v>1</v>
      </c>
      <c r="N464" t="b">
        <f t="shared" si="50"/>
        <v>0</v>
      </c>
      <c r="O464" t="b">
        <f t="shared" si="50"/>
        <v>0</v>
      </c>
      <c r="P464" t="b">
        <f t="shared" si="51"/>
        <v>0</v>
      </c>
    </row>
    <row r="465" spans="1:16">
      <c r="A465" t="str">
        <v>dmu_Spain_RENFE_594_TRD</v>
      </c>
      <c r="B465" t="b" cm="1">
        <f t="array" ref="B465">_xlfn.XLOOKUP(A465,CONTROL[VEHIDCODE],PROPERTIES[EXCLUDE])</f>
        <v>0</v>
      </c>
      <c r="C465">
        <f>FLOOR(_xlfn.XLOOKUP($A465,PROPERTIES[VEHIDCODE],PROPERTIES[INTRODUCTION_YEAR]),20)</f>
        <v>1980</v>
      </c>
      <c r="D465" t="str">
        <f>_xlfn.XLOOKUP($A465,PROPERTIES[VEHIDCODE],PROPERTIES[ROLE])</f>
        <v>Express Passenger</v>
      </c>
      <c r="E465" s="35" t="str">
        <f>_xlfn.XLOOKUP($A465,PROPERTIES[VEHIDCODE],PROPERTIES[REGION1])</f>
        <v>SOUTHERN_EUROPE</v>
      </c>
      <c r="F465" s="35" t="str">
        <f>_xlfn.XLOOKUP($A465,PROPERTIES[VEHIDCODE],PROPERTIES[REGION2])</f>
        <v>NO_REGION</v>
      </c>
      <c r="G465" s="35" t="str">
        <f t="shared" si="46"/>
        <v>SOUTHERN_EUROPE_NO_REGION</v>
      </c>
      <c r="H465" t="b">
        <f t="shared" si="47"/>
        <v>0</v>
      </c>
      <c r="I465" t="b">
        <f t="shared" si="48"/>
        <v>0</v>
      </c>
      <c r="J465" t="b">
        <f t="shared" si="49"/>
        <v>1</v>
      </c>
      <c r="K465" t="b">
        <f t="shared" si="49"/>
        <v>0</v>
      </c>
      <c r="L465" t="b">
        <f t="shared" si="49"/>
        <v>0</v>
      </c>
      <c r="M465" t="b">
        <f t="shared" si="49"/>
        <v>0</v>
      </c>
      <c r="N465" t="b">
        <f t="shared" si="50"/>
        <v>0</v>
      </c>
      <c r="O465" t="b">
        <f t="shared" si="50"/>
        <v>0</v>
      </c>
      <c r="P465" t="b">
        <f t="shared" si="51"/>
        <v>0</v>
      </c>
    </row>
    <row r="466" spans="1:16">
      <c r="A466" t="str">
        <v>dmu_UK_BR_168</v>
      </c>
      <c r="B466" t="b" cm="1">
        <f t="array" ref="B466">_xlfn.XLOOKUP(A466,CONTROL[VEHIDCODE],PROPERTIES[EXCLUDE])</f>
        <v>0</v>
      </c>
      <c r="C466">
        <f>FLOOR(_xlfn.XLOOKUP($A466,PROPERTIES[VEHIDCODE],PROPERTIES[INTRODUCTION_YEAR]),20)</f>
        <v>1980</v>
      </c>
      <c r="D466" t="str">
        <f>_xlfn.XLOOKUP($A466,PROPERTIES[VEHIDCODE],PROPERTIES[ROLE])</f>
        <v>Express Passenger</v>
      </c>
      <c r="E466" s="35" t="str">
        <f>_xlfn.XLOOKUP($A466,PROPERTIES[VEHIDCODE],PROPERTIES[REGION1])</f>
        <v>NORTHERN_EUROPE</v>
      </c>
      <c r="F466" s="35" t="str">
        <f>_xlfn.XLOOKUP($A466,PROPERTIES[VEHIDCODE],PROPERTIES[REGION2])</f>
        <v>NO_REGION</v>
      </c>
      <c r="G466" s="35" t="str">
        <f t="shared" si="46"/>
        <v>NORTHERN_EUROPE_NO_REGION</v>
      </c>
      <c r="H466" t="b">
        <f t="shared" si="47"/>
        <v>0</v>
      </c>
      <c r="I466" t="b">
        <f t="shared" si="48"/>
        <v>0</v>
      </c>
      <c r="J466" t="b">
        <f t="shared" si="49"/>
        <v>0</v>
      </c>
      <c r="K466" t="b">
        <f t="shared" si="49"/>
        <v>0</v>
      </c>
      <c r="L466" t="b">
        <f t="shared" si="49"/>
        <v>0</v>
      </c>
      <c r="M466" t="b">
        <f t="shared" si="49"/>
        <v>1</v>
      </c>
      <c r="N466" t="b">
        <f t="shared" si="50"/>
        <v>0</v>
      </c>
      <c r="O466" t="b">
        <f t="shared" si="50"/>
        <v>0</v>
      </c>
      <c r="P466" t="b">
        <f t="shared" si="51"/>
        <v>0</v>
      </c>
    </row>
    <row r="467" spans="1:16">
      <c r="A467" t="str">
        <v>dmu_Germany_DB_612_Regio_Swinger</v>
      </c>
      <c r="B467" t="b" cm="1">
        <f t="array" ref="B467">_xlfn.XLOOKUP(A467,CONTROL[VEHIDCODE],PROPERTIES[EXCLUDE])</f>
        <v>0</v>
      </c>
      <c r="C467">
        <f>FLOOR(_xlfn.XLOOKUP($A467,PROPERTIES[VEHIDCODE],PROPERTIES[INTRODUCTION_YEAR]),20)</f>
        <v>1980</v>
      </c>
      <c r="D467" t="str">
        <f>_xlfn.XLOOKUP($A467,PROPERTIES[VEHIDCODE],PROPERTIES[ROLE])</f>
        <v>Express Passenger</v>
      </c>
      <c r="E467" s="35" t="str">
        <f>_xlfn.XLOOKUP($A467,PROPERTIES[VEHIDCODE],PROPERTIES[REGION1])</f>
        <v>WESTERN_EUROPE</v>
      </c>
      <c r="F467" s="35" t="str">
        <f>_xlfn.XLOOKUP($A467,PROPERTIES[VEHIDCODE],PROPERTIES[REGION2])</f>
        <v>NO_REGION</v>
      </c>
      <c r="G467" s="35" t="str">
        <f t="shared" si="46"/>
        <v>WESTERN_EUROPE_NO_REGION</v>
      </c>
      <c r="H467" t="b">
        <f t="shared" si="47"/>
        <v>0</v>
      </c>
      <c r="I467" t="b">
        <f t="shared" si="48"/>
        <v>0</v>
      </c>
      <c r="J467" t="b">
        <f t="shared" si="49"/>
        <v>0</v>
      </c>
      <c r="K467" t="b">
        <f t="shared" si="49"/>
        <v>0</v>
      </c>
      <c r="L467" t="b">
        <f t="shared" si="49"/>
        <v>1</v>
      </c>
      <c r="M467" t="b">
        <f t="shared" si="49"/>
        <v>0</v>
      </c>
      <c r="N467" t="b">
        <f t="shared" si="50"/>
        <v>0</v>
      </c>
      <c r="O467" t="b">
        <f t="shared" si="50"/>
        <v>0</v>
      </c>
      <c r="P467" t="b">
        <f t="shared" si="51"/>
        <v>0</v>
      </c>
    </row>
    <row r="468" spans="1:16">
      <c r="A468" t="str">
        <v>dmu_Germany_DB_642_Desiro</v>
      </c>
      <c r="B468" t="b" cm="1">
        <f t="array" ref="B468">_xlfn.XLOOKUP(A468,CONTROL[VEHIDCODE],PROPERTIES[EXCLUDE])</f>
        <v>0</v>
      </c>
      <c r="C468">
        <f>FLOOR(_xlfn.XLOOKUP($A468,PROPERTIES[VEHIDCODE],PROPERTIES[INTRODUCTION_YEAR]),20)</f>
        <v>2000</v>
      </c>
      <c r="D468" t="str">
        <f>_xlfn.XLOOKUP($A468,PROPERTIES[VEHIDCODE],PROPERTIES[ROLE])</f>
        <v>Commuter/Urban</v>
      </c>
      <c r="E468" s="35" t="str">
        <f>_xlfn.XLOOKUP($A468,PROPERTIES[VEHIDCODE],PROPERTIES[REGION1])</f>
        <v>WESTERN_EUROPE</v>
      </c>
      <c r="F468" s="35" t="str">
        <f>_xlfn.XLOOKUP($A468,PROPERTIES[VEHIDCODE],PROPERTIES[REGION2])</f>
        <v>NO_REGION</v>
      </c>
      <c r="G468" s="35" t="str">
        <f t="shared" si="46"/>
        <v>WESTERN_EUROPE_NO_REGION</v>
      </c>
      <c r="H468" t="b">
        <f t="shared" si="47"/>
        <v>0</v>
      </c>
      <c r="I468" t="b">
        <f t="shared" si="48"/>
        <v>0</v>
      </c>
      <c r="J468" t="b">
        <f t="shared" si="49"/>
        <v>0</v>
      </c>
      <c r="K468" t="b">
        <f t="shared" si="49"/>
        <v>0</v>
      </c>
      <c r="L468" t="b">
        <f t="shared" si="49"/>
        <v>1</v>
      </c>
      <c r="M468" t="b">
        <f t="shared" si="49"/>
        <v>0</v>
      </c>
      <c r="N468" t="b">
        <f t="shared" si="50"/>
        <v>0</v>
      </c>
      <c r="O468" t="b">
        <f t="shared" si="50"/>
        <v>0</v>
      </c>
      <c r="P468" t="b">
        <f t="shared" si="51"/>
        <v>0</v>
      </c>
    </row>
    <row r="469" spans="1:16">
      <c r="A469" t="str">
        <v>dmu_Denmark_Arriva_Lint_41</v>
      </c>
      <c r="B469" t="b" cm="1">
        <f t="array" ref="B469">_xlfn.XLOOKUP(A469,CONTROL[VEHIDCODE],PROPERTIES[EXCLUDE])</f>
        <v>0</v>
      </c>
      <c r="C469">
        <f>FLOOR(_xlfn.XLOOKUP($A469,PROPERTIES[VEHIDCODE],PROPERTIES[INTRODUCTION_YEAR]),20)</f>
        <v>2000</v>
      </c>
      <c r="D469" t="str">
        <f>_xlfn.XLOOKUP($A469,PROPERTIES[VEHIDCODE],PROPERTIES[ROLE])</f>
        <v>Commuter/Urban</v>
      </c>
      <c r="E469" s="35" t="str">
        <f>_xlfn.XLOOKUP($A469,PROPERTIES[VEHIDCODE],PROPERTIES[REGION1])</f>
        <v>NORTHERN_EUROPE</v>
      </c>
      <c r="F469" s="35" t="str">
        <f>_xlfn.XLOOKUP($A469,PROPERTIES[VEHIDCODE],PROPERTIES[REGION2])</f>
        <v>NO_REGION</v>
      </c>
      <c r="G469" s="35" t="str">
        <f t="shared" si="46"/>
        <v>NORTHERN_EUROPE_NO_REGION</v>
      </c>
      <c r="H469" t="b">
        <f t="shared" si="47"/>
        <v>0</v>
      </c>
      <c r="I469" t="b">
        <f t="shared" si="48"/>
        <v>0</v>
      </c>
      <c r="J469" t="b">
        <f t="shared" si="49"/>
        <v>0</v>
      </c>
      <c r="K469" t="b">
        <f t="shared" si="49"/>
        <v>0</v>
      </c>
      <c r="L469" t="b">
        <f t="shared" si="49"/>
        <v>0</v>
      </c>
      <c r="M469" t="b">
        <f t="shared" si="49"/>
        <v>1</v>
      </c>
      <c r="N469" t="b">
        <f t="shared" si="50"/>
        <v>0</v>
      </c>
      <c r="O469" t="b">
        <f t="shared" si="50"/>
        <v>0</v>
      </c>
      <c r="P469" t="b">
        <f t="shared" si="51"/>
        <v>0</v>
      </c>
    </row>
    <row r="470" spans="1:16">
      <c r="A470" t="str">
        <v>dmu_Norway_NSB_BM_93_Talent</v>
      </c>
      <c r="B470" t="b" cm="1">
        <f t="array" ref="B470">_xlfn.XLOOKUP(A470,CONTROL[VEHIDCODE],PROPERTIES[EXCLUDE])</f>
        <v>0</v>
      </c>
      <c r="C470">
        <f>FLOOR(_xlfn.XLOOKUP($A470,PROPERTIES[VEHIDCODE],PROPERTIES[INTRODUCTION_YEAR]),20)</f>
        <v>2000</v>
      </c>
      <c r="D470" t="str">
        <f>_xlfn.XLOOKUP($A470,PROPERTIES[VEHIDCODE],PROPERTIES[ROLE])</f>
        <v>Commuter/Urban</v>
      </c>
      <c r="E470" s="35" t="str">
        <f>_xlfn.XLOOKUP($A470,PROPERTIES[VEHIDCODE],PROPERTIES[REGION1])</f>
        <v>NORTHERN_EUROPE</v>
      </c>
      <c r="F470" s="35" t="str">
        <f>_xlfn.XLOOKUP($A470,PROPERTIES[VEHIDCODE],PROPERTIES[REGION2])</f>
        <v>NO_REGION</v>
      </c>
      <c r="G470" s="35" t="str">
        <f t="shared" si="46"/>
        <v>NORTHERN_EUROPE_NO_REGION</v>
      </c>
      <c r="H470" t="b">
        <f t="shared" si="47"/>
        <v>0</v>
      </c>
      <c r="I470" t="b">
        <f t="shared" si="48"/>
        <v>0</v>
      </c>
      <c r="J470" t="b">
        <f t="shared" si="49"/>
        <v>0</v>
      </c>
      <c r="K470" t="b">
        <f t="shared" si="49"/>
        <v>0</v>
      </c>
      <c r="L470" t="b">
        <f t="shared" si="49"/>
        <v>0</v>
      </c>
      <c r="M470" t="b">
        <f t="shared" si="49"/>
        <v>1</v>
      </c>
      <c r="N470" t="b">
        <f t="shared" si="50"/>
        <v>0</v>
      </c>
      <c r="O470" t="b">
        <f t="shared" si="50"/>
        <v>0</v>
      </c>
      <c r="P470" t="b">
        <f t="shared" si="51"/>
        <v>0</v>
      </c>
    </row>
    <row r="471" spans="1:16">
      <c r="A471" t="str">
        <v>dmu_Australia_Transwa_Prospector</v>
      </c>
      <c r="B471" t="b" cm="1">
        <f t="array" ref="B471">_xlfn.XLOOKUP(A471,CONTROL[VEHIDCODE],PROPERTIES[EXCLUDE])</f>
        <v>0</v>
      </c>
      <c r="C471">
        <f>FLOOR(_xlfn.XLOOKUP($A471,PROPERTIES[VEHIDCODE],PROPERTIES[INTRODUCTION_YEAR]),20)</f>
        <v>2000</v>
      </c>
      <c r="D471" t="str">
        <f>_xlfn.XLOOKUP($A471,PROPERTIES[VEHIDCODE],PROPERTIES[ROLE])</f>
        <v>Express Passenger</v>
      </c>
      <c r="E471" s="35" t="str">
        <f>_xlfn.XLOOKUP($A471,PROPERTIES[VEHIDCODE],PROPERTIES[REGION1])</f>
        <v>OCEANIA</v>
      </c>
      <c r="F471" s="35" t="str">
        <f>_xlfn.XLOOKUP($A471,PROPERTIES[VEHIDCODE],PROPERTIES[REGION2])</f>
        <v>NO_REGION</v>
      </c>
      <c r="G471" s="35" t="str">
        <f t="shared" si="46"/>
        <v>OCEANIA_NO_REGION</v>
      </c>
      <c r="H471" t="b">
        <f t="shared" si="47"/>
        <v>0</v>
      </c>
      <c r="I471" t="b">
        <f t="shared" si="48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49"/>
        <v>0</v>
      </c>
      <c r="N471" t="b">
        <f t="shared" si="50"/>
        <v>0</v>
      </c>
      <c r="O471" t="b">
        <f t="shared" si="50"/>
        <v>0</v>
      </c>
      <c r="P471" t="b">
        <f t="shared" si="51"/>
        <v>1</v>
      </c>
    </row>
    <row r="472" spans="1:16">
      <c r="A472" t="str">
        <v>dmu_Australia_CityRail_Hunter_Railcar</v>
      </c>
      <c r="B472" t="b" cm="1">
        <f t="array" ref="B472">_xlfn.XLOOKUP(A472,CONTROL[VEHIDCODE],PROPERTIES[EXCLUDE])</f>
        <v>0</v>
      </c>
      <c r="C472">
        <f>FLOOR(_xlfn.XLOOKUP($A472,PROPERTIES[VEHIDCODE],PROPERTIES[INTRODUCTION_YEAR]),20)</f>
        <v>2000</v>
      </c>
      <c r="D472" t="str">
        <f>_xlfn.XLOOKUP($A472,PROPERTIES[VEHIDCODE],PROPERTIES[ROLE])</f>
        <v>Express Passenger</v>
      </c>
      <c r="E472" s="35" t="str">
        <f>_xlfn.XLOOKUP($A472,PROPERTIES[VEHIDCODE],PROPERTIES[REGION1])</f>
        <v>OCEANIA</v>
      </c>
      <c r="F472" s="35" t="str">
        <f>_xlfn.XLOOKUP($A472,PROPERTIES[VEHIDCODE],PROPERTIES[REGION2])</f>
        <v>NO_REGION</v>
      </c>
      <c r="G472" s="35" t="str">
        <f t="shared" si="46"/>
        <v>OCEANIA_NO_REGION</v>
      </c>
      <c r="H472" t="b">
        <f t="shared" si="47"/>
        <v>0</v>
      </c>
      <c r="I472" t="b">
        <f t="shared" si="48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49"/>
        <v>0</v>
      </c>
      <c r="N472" t="b">
        <f t="shared" si="50"/>
        <v>0</v>
      </c>
      <c r="O472" t="b">
        <f t="shared" si="50"/>
        <v>0</v>
      </c>
      <c r="P472" t="b">
        <f t="shared" si="51"/>
        <v>1</v>
      </c>
    </row>
    <row r="473" spans="1:16">
      <c r="A473" t="str">
        <v>dmu_Russia_RZD_RA2</v>
      </c>
      <c r="B473" t="b" cm="1">
        <f t="array" ref="B473">_xlfn.XLOOKUP(A473,CONTROL[VEHIDCODE],PROPERTIES[EXCLUDE])</f>
        <v>0</v>
      </c>
      <c r="C473">
        <f>FLOOR(_xlfn.XLOOKUP($A473,PROPERTIES[VEHIDCODE],PROPERTIES[INTRODUCTION_YEAR]),20)</f>
        <v>2000</v>
      </c>
      <c r="D473" t="str">
        <f>_xlfn.XLOOKUP($A473,PROPERTIES[VEHIDCODE],PROPERTIES[ROLE])</f>
        <v>Commuter/Urban</v>
      </c>
      <c r="E473" s="35" t="str">
        <f>_xlfn.XLOOKUP($A473,PROPERTIES[VEHIDCODE],PROPERTIES[REGION1])</f>
        <v>ASIA</v>
      </c>
      <c r="F473" s="35" t="str">
        <f>_xlfn.XLOOKUP($A473,PROPERTIES[VEHIDCODE],PROPERTIES[REGION2])</f>
        <v>NO_REGION</v>
      </c>
      <c r="G473" s="35" t="str">
        <f t="shared" si="46"/>
        <v>ASIA_NO_REGION</v>
      </c>
      <c r="H473" t="b">
        <f t="shared" si="47"/>
        <v>0</v>
      </c>
      <c r="I473" t="b">
        <f t="shared" si="48"/>
        <v>1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49"/>
        <v>0</v>
      </c>
      <c r="N473" t="b">
        <f t="shared" si="50"/>
        <v>0</v>
      </c>
      <c r="O473" t="b">
        <f t="shared" si="50"/>
        <v>0</v>
      </c>
      <c r="P473" t="b">
        <f t="shared" si="51"/>
        <v>0</v>
      </c>
    </row>
    <row r="474" spans="1:16">
      <c r="A474" t="str">
        <v>dmu_Denmark_DSB_IC4</v>
      </c>
      <c r="B474" t="b" cm="1">
        <f t="array" ref="B474">_xlfn.XLOOKUP(A474,CONTROL[VEHIDCODE],PROPERTIES[EXCLUDE])</f>
        <v>0</v>
      </c>
      <c r="C474">
        <f>FLOOR(_xlfn.XLOOKUP($A474,PROPERTIES[VEHIDCODE],PROPERTIES[INTRODUCTION_YEAR]),20)</f>
        <v>2000</v>
      </c>
      <c r="D474" t="str">
        <f>_xlfn.XLOOKUP($A474,PROPERTIES[VEHIDCODE],PROPERTIES[ROLE])</f>
        <v>Express Passenger</v>
      </c>
      <c r="E474" s="35" t="str">
        <f>_xlfn.XLOOKUP($A474,PROPERTIES[VEHIDCODE],PROPERTIES[REGION1])</f>
        <v>NORTHERN_EUROPE</v>
      </c>
      <c r="F474" s="35" t="str">
        <f>_xlfn.XLOOKUP($A474,PROPERTIES[VEHIDCODE],PROPERTIES[REGION2])</f>
        <v>NO_REGION</v>
      </c>
      <c r="G474" s="35" t="str">
        <f t="shared" si="46"/>
        <v>NORTHERN_EUROPE_NO_REGION</v>
      </c>
      <c r="H474" t="b">
        <f t="shared" si="47"/>
        <v>0</v>
      </c>
      <c r="I474" t="b">
        <f t="shared" si="48"/>
        <v>0</v>
      </c>
      <c r="J474" t="b">
        <f t="shared" si="49"/>
        <v>0</v>
      </c>
      <c r="K474" t="b">
        <f t="shared" si="49"/>
        <v>0</v>
      </c>
      <c r="L474" t="b">
        <f t="shared" si="49"/>
        <v>0</v>
      </c>
      <c r="M474" t="b">
        <f t="shared" si="49"/>
        <v>1</v>
      </c>
      <c r="N474" t="b">
        <f t="shared" si="50"/>
        <v>0</v>
      </c>
      <c r="O474" t="b">
        <f t="shared" si="50"/>
        <v>0</v>
      </c>
      <c r="P474" t="b">
        <f t="shared" si="51"/>
        <v>0</v>
      </c>
    </row>
    <row r="475" spans="1:16">
      <c r="A475" t="str">
        <v>dmu_Croatia_HZ_7022</v>
      </c>
      <c r="B475" t="b" cm="1">
        <f t="array" ref="B475">_xlfn.XLOOKUP(A475,CONTROL[VEHIDCODE],PROPERTIES[EXCLUDE])</f>
        <v>0</v>
      </c>
      <c r="C475">
        <f>FLOOR(_xlfn.XLOOKUP($A475,PROPERTIES[VEHIDCODE],PROPERTIES[INTRODUCTION_YEAR]),20)</f>
        <v>2000</v>
      </c>
      <c r="D475" t="str">
        <f>_xlfn.XLOOKUP($A475,PROPERTIES[VEHIDCODE],PROPERTIES[ROLE])</f>
        <v>Express Passenger</v>
      </c>
      <c r="E475" s="35" t="str">
        <f>_xlfn.XLOOKUP($A475,PROPERTIES[VEHIDCODE],PROPERTIES[REGION1])</f>
        <v>EASTERN_EUROPE</v>
      </c>
      <c r="F475" s="35" t="str">
        <f>_xlfn.XLOOKUP($A475,PROPERTIES[VEHIDCODE],PROPERTIES[REGION2])</f>
        <v>NO_REGION</v>
      </c>
      <c r="G475" s="35" t="str">
        <f t="shared" si="46"/>
        <v>EASTERN_EUROPE_NO_REGION</v>
      </c>
      <c r="H475" t="b">
        <f t="shared" si="47"/>
        <v>0</v>
      </c>
      <c r="I475" t="b">
        <f t="shared" si="48"/>
        <v>0</v>
      </c>
      <c r="J475" t="b">
        <f t="shared" si="49"/>
        <v>0</v>
      </c>
      <c r="K475" t="b">
        <f t="shared" si="49"/>
        <v>1</v>
      </c>
      <c r="L475" t="b">
        <f t="shared" si="49"/>
        <v>0</v>
      </c>
      <c r="M475" t="b">
        <f t="shared" si="49"/>
        <v>0</v>
      </c>
      <c r="N475" t="b">
        <f t="shared" si="50"/>
        <v>0</v>
      </c>
      <c r="O475" t="b">
        <f t="shared" si="50"/>
        <v>0</v>
      </c>
      <c r="P475" t="b">
        <f t="shared" si="51"/>
        <v>0</v>
      </c>
    </row>
    <row r="476" spans="1:16">
      <c r="A476" t="str">
        <v>dmu_Turkey_TCDD_MT_5500</v>
      </c>
      <c r="B476" t="b" cm="1">
        <f t="array" ref="B476">_xlfn.XLOOKUP(A476,CONTROL[VEHIDCODE],PROPERTIES[EXCLUDE])</f>
        <v>0</v>
      </c>
      <c r="C476">
        <f>FLOOR(_xlfn.XLOOKUP($A476,PROPERTIES[VEHIDCODE],PROPERTIES[INTRODUCTION_YEAR]),20)</f>
        <v>1960</v>
      </c>
      <c r="D476" t="str">
        <f>_xlfn.XLOOKUP($A476,PROPERTIES[VEHIDCODE],PROPERTIES[ROLE])</f>
        <v>Commuter/Urban</v>
      </c>
      <c r="E476" s="35" t="str">
        <f>_xlfn.XLOOKUP($A476,PROPERTIES[VEHIDCODE],PROPERTIES[REGION1])</f>
        <v>ASIA</v>
      </c>
      <c r="F476" s="35" t="str">
        <f>_xlfn.XLOOKUP($A476,PROPERTIES[VEHIDCODE],PROPERTIES[REGION2])</f>
        <v>NO_REGION</v>
      </c>
      <c r="G476" s="35" t="str">
        <f t="shared" si="46"/>
        <v>ASIA_NO_REGION</v>
      </c>
      <c r="H476" t="b">
        <f t="shared" si="47"/>
        <v>0</v>
      </c>
      <c r="I476" t="b">
        <f t="shared" si="48"/>
        <v>1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49"/>
        <v>0</v>
      </c>
      <c r="N476" t="b">
        <f t="shared" si="50"/>
        <v>0</v>
      </c>
      <c r="O476" t="b">
        <f t="shared" si="50"/>
        <v>0</v>
      </c>
      <c r="P476" t="b">
        <f t="shared" si="51"/>
        <v>0</v>
      </c>
    </row>
    <row r="477" spans="1:16">
      <c r="A477" t="str">
        <v>dmu_Japan_JNR_KiHa_181</v>
      </c>
      <c r="B477" t="b" cm="1">
        <f t="array" ref="B477">_xlfn.XLOOKUP(A477,CONTROL[VEHIDCODE],PROPERTIES[EXCLUDE])</f>
        <v>0</v>
      </c>
      <c r="C477">
        <f>FLOOR(_xlfn.XLOOKUP($A477,PROPERTIES[VEHIDCODE],PROPERTIES[INTRODUCTION_YEAR]),20)</f>
        <v>1960</v>
      </c>
      <c r="D477" t="str">
        <f>_xlfn.XLOOKUP($A477,PROPERTIES[VEHIDCODE],PROPERTIES[ROLE])</f>
        <v>Express Passenger</v>
      </c>
      <c r="E477" s="35" t="str">
        <f>_xlfn.XLOOKUP($A477,PROPERTIES[VEHIDCODE],PROPERTIES[REGION1])</f>
        <v>ASIA</v>
      </c>
      <c r="F477" s="35" t="str">
        <f>_xlfn.XLOOKUP($A477,PROPERTIES[VEHIDCODE],PROPERTIES[REGION2])</f>
        <v>NO_REGION</v>
      </c>
      <c r="G477" s="35" t="str">
        <f t="shared" si="46"/>
        <v>ASIA_NO_REGION</v>
      </c>
      <c r="H477" t="b">
        <f t="shared" si="47"/>
        <v>0</v>
      </c>
      <c r="I477" t="b">
        <f t="shared" si="48"/>
        <v>1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49"/>
        <v>0</v>
      </c>
      <c r="N477" t="b">
        <f t="shared" si="50"/>
        <v>0</v>
      </c>
      <c r="O477" t="b">
        <f t="shared" si="50"/>
        <v>0</v>
      </c>
      <c r="P477" t="b">
        <f t="shared" si="51"/>
        <v>0</v>
      </c>
    </row>
    <row r="478" spans="1:16">
      <c r="A478" t="str">
        <v>dmu_Czech_Republic_CD_814</v>
      </c>
      <c r="B478" t="b" cm="1">
        <f t="array" ref="B478">_xlfn.XLOOKUP(A478,CONTROL[VEHIDCODE],PROPERTIES[EXCLUDE])</f>
        <v>0</v>
      </c>
      <c r="C478">
        <f>FLOOR(_xlfn.XLOOKUP($A478,PROPERTIES[VEHIDCODE],PROPERTIES[INTRODUCTION_YEAR]),20)</f>
        <v>1960</v>
      </c>
      <c r="D478" t="str">
        <f>_xlfn.XLOOKUP($A478,PROPERTIES[VEHIDCODE],PROPERTIES[ROLE])</f>
        <v>Commuter/Urban</v>
      </c>
      <c r="E478" s="35" t="str">
        <f>_xlfn.XLOOKUP($A478,PROPERTIES[VEHIDCODE],PROPERTIES[REGION1])</f>
        <v>EASTERN_EUROPE</v>
      </c>
      <c r="F478" s="35" t="str">
        <f>_xlfn.XLOOKUP($A478,PROPERTIES[VEHIDCODE],PROPERTIES[REGION2])</f>
        <v>NO_REGION</v>
      </c>
      <c r="G478" s="35" t="str">
        <f t="shared" si="46"/>
        <v>EASTERN_EUROPE_NO_REGION</v>
      </c>
      <c r="H478" t="b">
        <f t="shared" si="47"/>
        <v>0</v>
      </c>
      <c r="I478" t="b">
        <f t="shared" si="48"/>
        <v>0</v>
      </c>
      <c r="J478" t="b">
        <f t="shared" si="49"/>
        <v>0</v>
      </c>
      <c r="K478" t="b">
        <f t="shared" si="49"/>
        <v>1</v>
      </c>
      <c r="L478" t="b">
        <f t="shared" si="49"/>
        <v>0</v>
      </c>
      <c r="M478" t="b">
        <f t="shared" si="49"/>
        <v>0</v>
      </c>
      <c r="N478" t="b">
        <f t="shared" si="50"/>
        <v>0</v>
      </c>
      <c r="O478" t="b">
        <f t="shared" si="50"/>
        <v>0</v>
      </c>
      <c r="P478" t="b">
        <f t="shared" si="51"/>
        <v>0</v>
      </c>
    </row>
    <row r="479" spans="1:16">
      <c r="A479" t="str">
        <v>dmu_UK_BR_150_0_Sprinter</v>
      </c>
      <c r="B479" t="b" cm="1">
        <f t="array" ref="B479">_xlfn.XLOOKUP(A479,CONTROL[VEHIDCODE],PROPERTIES[EXCLUDE])</f>
        <v>0</v>
      </c>
      <c r="C479">
        <f>FLOOR(_xlfn.XLOOKUP($A479,PROPERTIES[VEHIDCODE],PROPERTIES[INTRODUCTION_YEAR]),20)</f>
        <v>1980</v>
      </c>
      <c r="D479" t="str">
        <f>_xlfn.XLOOKUP($A479,PROPERTIES[VEHIDCODE],PROPERTIES[ROLE])</f>
        <v>Commuter/Urban</v>
      </c>
      <c r="E479" s="35" t="str">
        <f>_xlfn.XLOOKUP($A479,PROPERTIES[VEHIDCODE],PROPERTIES[REGION1])</f>
        <v>NORTHERN_EUROPE</v>
      </c>
      <c r="F479" s="35" t="str">
        <f>_xlfn.XLOOKUP($A479,PROPERTIES[VEHIDCODE],PROPERTIES[REGION2])</f>
        <v>NO_REGION</v>
      </c>
      <c r="G479" s="35" t="str">
        <f t="shared" si="46"/>
        <v>NORTHERN_EUROPE_NO_REGION</v>
      </c>
      <c r="H479" t="b">
        <f t="shared" si="47"/>
        <v>0</v>
      </c>
      <c r="I479" t="b">
        <f t="shared" si="48"/>
        <v>0</v>
      </c>
      <c r="J479" t="b">
        <f t="shared" si="49"/>
        <v>0</v>
      </c>
      <c r="K479" t="b">
        <f t="shared" si="49"/>
        <v>0</v>
      </c>
      <c r="L479" t="b">
        <f t="shared" si="49"/>
        <v>0</v>
      </c>
      <c r="M479" t="b">
        <f t="shared" si="49"/>
        <v>1</v>
      </c>
      <c r="N479" t="b">
        <f t="shared" si="50"/>
        <v>0</v>
      </c>
      <c r="O479" t="b">
        <f t="shared" si="50"/>
        <v>0</v>
      </c>
      <c r="P479" t="b">
        <f t="shared" si="51"/>
        <v>0</v>
      </c>
    </row>
    <row r="480" spans="1:16">
      <c r="A480" t="str">
        <v>dmu_Iran_RAI_141_Pacer</v>
      </c>
      <c r="B480" t="b" cm="1">
        <f t="array" ref="B480">_xlfn.XLOOKUP(A480,CONTROL[VEHIDCODE],PROPERTIES[EXCLUDE])</f>
        <v>0</v>
      </c>
      <c r="C480">
        <f>FLOOR(_xlfn.XLOOKUP($A480,PROPERTIES[VEHIDCODE],PROPERTIES[INTRODUCTION_YEAR]),20)</f>
        <v>1980</v>
      </c>
      <c r="D480" t="str">
        <f>_xlfn.XLOOKUP($A480,PROPERTIES[VEHIDCODE],PROPERTIES[ROLE])</f>
        <v>Commuter/Urban</v>
      </c>
      <c r="E480" s="35" t="str">
        <f>_xlfn.XLOOKUP($A480,PROPERTIES[VEHIDCODE],PROPERTIES[REGION1])</f>
        <v>ASIA</v>
      </c>
      <c r="F480" s="35" t="str">
        <f>_xlfn.XLOOKUP($A480,PROPERTIES[VEHIDCODE],PROPERTIES[REGION2])</f>
        <v>NO_REGION</v>
      </c>
      <c r="G480" s="35" t="str">
        <f t="shared" si="46"/>
        <v>ASIA_NO_REGION</v>
      </c>
      <c r="H480" t="b">
        <f t="shared" si="47"/>
        <v>0</v>
      </c>
      <c r="I480" t="b">
        <f t="shared" si="48"/>
        <v>1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49"/>
        <v>0</v>
      </c>
      <c r="N480" t="b">
        <f t="shared" si="50"/>
        <v>0</v>
      </c>
      <c r="O480" t="b">
        <f t="shared" si="50"/>
        <v>0</v>
      </c>
      <c r="P480" t="b">
        <f t="shared" si="51"/>
        <v>0</v>
      </c>
    </row>
    <row r="481" spans="1:16">
      <c r="A481" t="str">
        <v>dmu_Israel_Israel_Railways_IC3</v>
      </c>
      <c r="B481" t="b" cm="1">
        <f t="array" ref="B481">_xlfn.XLOOKUP(A481,CONTROL[VEHIDCODE],PROPERTIES[EXCLUDE])</f>
        <v>0</v>
      </c>
      <c r="C481">
        <f>FLOOR(_xlfn.XLOOKUP($A481,PROPERTIES[VEHIDCODE],PROPERTIES[INTRODUCTION_YEAR]),20)</f>
        <v>1980</v>
      </c>
      <c r="D481" t="str">
        <f>_xlfn.XLOOKUP($A481,PROPERTIES[VEHIDCODE],PROPERTIES[ROLE])</f>
        <v>Express Passenger</v>
      </c>
      <c r="E481" s="35" t="str">
        <f>_xlfn.XLOOKUP($A481,PROPERTIES[VEHIDCODE],PROPERTIES[REGION1])</f>
        <v>ASIA</v>
      </c>
      <c r="F481" s="35" t="str">
        <f>_xlfn.XLOOKUP($A481,PROPERTIES[VEHIDCODE],PROPERTIES[REGION2])</f>
        <v>NO_REGION</v>
      </c>
      <c r="G481" s="35" t="str">
        <f t="shared" si="46"/>
        <v>ASIA_NO_REGION</v>
      </c>
      <c r="H481" t="b">
        <f t="shared" si="47"/>
        <v>0</v>
      </c>
      <c r="I481" t="b">
        <f t="shared" si="48"/>
        <v>1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49"/>
        <v>0</v>
      </c>
      <c r="N481" t="b">
        <f t="shared" si="50"/>
        <v>0</v>
      </c>
      <c r="O481" t="b">
        <f t="shared" si="50"/>
        <v>0</v>
      </c>
      <c r="P481" t="b">
        <f t="shared" si="51"/>
        <v>0</v>
      </c>
    </row>
    <row r="482" spans="1:16">
      <c r="A482" t="str">
        <v>dmu_Australia_TransAdelaide_3100</v>
      </c>
      <c r="B482" t="b" cm="1">
        <f t="array" ref="B482">_xlfn.XLOOKUP(A482,CONTROL[VEHIDCODE],PROPERTIES[EXCLUDE])</f>
        <v>0</v>
      </c>
      <c r="C482">
        <f>FLOOR(_xlfn.XLOOKUP($A482,PROPERTIES[VEHIDCODE],PROPERTIES[INTRODUCTION_YEAR]),20)</f>
        <v>1980</v>
      </c>
      <c r="D482" t="str">
        <f>_xlfn.XLOOKUP($A482,PROPERTIES[VEHIDCODE],PROPERTIES[ROLE])</f>
        <v>Commuter/Urban</v>
      </c>
      <c r="E482" s="35" t="str">
        <f>_xlfn.XLOOKUP($A482,PROPERTIES[VEHIDCODE],PROPERTIES[REGION1])</f>
        <v>OCEANIA</v>
      </c>
      <c r="F482" s="35" t="str">
        <f>_xlfn.XLOOKUP($A482,PROPERTIES[VEHIDCODE],PROPERTIES[REGION2])</f>
        <v>NO_REGION</v>
      </c>
      <c r="G482" s="35" t="str">
        <f t="shared" si="46"/>
        <v>OCEANIA_NO_REGION</v>
      </c>
      <c r="H482" t="b">
        <f t="shared" si="47"/>
        <v>0</v>
      </c>
      <c r="I482" t="b">
        <f t="shared" si="48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49"/>
        <v>0</v>
      </c>
      <c r="N482" t="b">
        <f t="shared" si="50"/>
        <v>0</v>
      </c>
      <c r="O482" t="b">
        <f t="shared" si="50"/>
        <v>0</v>
      </c>
      <c r="P482" t="b">
        <f t="shared" si="51"/>
        <v>1</v>
      </c>
    </row>
    <row r="483" spans="1:16">
      <c r="A483" t="str">
        <v>dmu_Australia_NSWGR_Xplorer</v>
      </c>
      <c r="B483" t="b" cm="1">
        <f t="array" ref="B483">_xlfn.XLOOKUP(A483,CONTROL[VEHIDCODE],PROPERTIES[EXCLUDE])</f>
        <v>0</v>
      </c>
      <c r="C483">
        <f>FLOOR(_xlfn.XLOOKUP($A483,PROPERTIES[VEHIDCODE],PROPERTIES[INTRODUCTION_YEAR]),20)</f>
        <v>1980</v>
      </c>
      <c r="D483" t="str">
        <f>_xlfn.XLOOKUP($A483,PROPERTIES[VEHIDCODE],PROPERTIES[ROLE])</f>
        <v>Commuter/Urban</v>
      </c>
      <c r="E483" s="35" t="str">
        <f>_xlfn.XLOOKUP($A483,PROPERTIES[VEHIDCODE],PROPERTIES[REGION1])</f>
        <v>OCEANIA</v>
      </c>
      <c r="F483" s="35" t="str">
        <f>_xlfn.XLOOKUP($A483,PROPERTIES[VEHIDCODE],PROPERTIES[REGION2])</f>
        <v>NO_REGION</v>
      </c>
      <c r="G483" s="35" t="str">
        <f t="shared" si="46"/>
        <v>OCEANIA_NO_REGION</v>
      </c>
      <c r="H483" t="b">
        <f t="shared" si="47"/>
        <v>0</v>
      </c>
      <c r="I483" t="b">
        <f t="shared" si="48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49"/>
        <v>0</v>
      </c>
      <c r="N483" t="b">
        <f t="shared" si="50"/>
        <v>0</v>
      </c>
      <c r="O483" t="b">
        <f t="shared" si="50"/>
        <v>0</v>
      </c>
      <c r="P483" t="b">
        <f t="shared" si="51"/>
        <v>1</v>
      </c>
    </row>
    <row r="484" spans="1:16">
      <c r="A484" t="str">
        <v>dmu_Japan_JR_KiHa_189</v>
      </c>
      <c r="B484" t="b" cm="1">
        <f t="array" ref="B484">_xlfn.XLOOKUP(A484,CONTROL[VEHIDCODE],PROPERTIES[EXCLUDE])</f>
        <v>0</v>
      </c>
      <c r="C484">
        <f>FLOOR(_xlfn.XLOOKUP($A484,PROPERTIES[VEHIDCODE],PROPERTIES[INTRODUCTION_YEAR]),20)</f>
        <v>2000</v>
      </c>
      <c r="D484" t="str">
        <f>_xlfn.XLOOKUP($A484,PROPERTIES[VEHIDCODE],PROPERTIES[ROLE])</f>
        <v>Express Passenger</v>
      </c>
      <c r="E484" s="35" t="str">
        <f>_xlfn.XLOOKUP($A484,PROPERTIES[VEHIDCODE],PROPERTIES[REGION1])</f>
        <v>ASIA</v>
      </c>
      <c r="F484" s="35" t="str">
        <f>_xlfn.XLOOKUP($A484,PROPERTIES[VEHIDCODE],PROPERTIES[REGION2])</f>
        <v>NO_REGION</v>
      </c>
      <c r="G484" s="35" t="str">
        <f t="shared" si="46"/>
        <v>ASIA_NO_REGION</v>
      </c>
      <c r="H484" t="b">
        <f t="shared" si="47"/>
        <v>0</v>
      </c>
      <c r="I484" t="b">
        <f t="shared" si="48"/>
        <v>1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49"/>
        <v>0</v>
      </c>
      <c r="N484" t="b">
        <f t="shared" si="50"/>
        <v>0</v>
      </c>
      <c r="O484" t="b">
        <f t="shared" si="50"/>
        <v>0</v>
      </c>
      <c r="P484" t="b">
        <f t="shared" si="51"/>
        <v>0</v>
      </c>
    </row>
    <row r="485" spans="1:16">
      <c r="A485" t="str">
        <v>dmu_Sri_Lanka_Sri_Lanka_Railways_S11</v>
      </c>
      <c r="B485" t="b" cm="1">
        <f t="array" ref="B485">_xlfn.XLOOKUP(A485,CONTROL[VEHIDCODE],PROPERTIES[EXCLUDE])</f>
        <v>0</v>
      </c>
      <c r="C485">
        <f>FLOOR(_xlfn.XLOOKUP($A485,PROPERTIES[VEHIDCODE],PROPERTIES[INTRODUCTION_YEAR]),20)</f>
        <v>2000</v>
      </c>
      <c r="D485" t="str">
        <f>_xlfn.XLOOKUP($A485,PROPERTIES[VEHIDCODE],PROPERTIES[ROLE])</f>
        <v>Commuter/Urban</v>
      </c>
      <c r="E485" s="35" t="str">
        <f>_xlfn.XLOOKUP($A485,PROPERTIES[VEHIDCODE],PROPERTIES[REGION1])</f>
        <v>ASIA</v>
      </c>
      <c r="F485" s="35" t="str">
        <f>_xlfn.XLOOKUP($A485,PROPERTIES[VEHIDCODE],PROPERTIES[REGION2])</f>
        <v>NO_REGION</v>
      </c>
      <c r="G485" s="35" t="str">
        <f t="shared" si="46"/>
        <v>ASIA_NO_REGION</v>
      </c>
      <c r="H485" t="b">
        <f t="shared" si="47"/>
        <v>0</v>
      </c>
      <c r="I485" t="b">
        <f t="shared" si="48"/>
        <v>1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49"/>
        <v>0</v>
      </c>
      <c r="N485" t="b">
        <f t="shared" si="50"/>
        <v>0</v>
      </c>
      <c r="O485" t="b">
        <f t="shared" si="50"/>
        <v>0</v>
      </c>
      <c r="P485" t="b">
        <f t="shared" si="51"/>
        <v>0</v>
      </c>
    </row>
    <row r="486" spans="1:16">
      <c r="A486" t="str">
        <v>dmu_Slovakia_ZSSK_861</v>
      </c>
      <c r="B486" t="b" cm="1">
        <f t="array" ref="B486">_xlfn.XLOOKUP(A486,CONTROL[VEHIDCODE],PROPERTIES[EXCLUDE])</f>
        <v>0</v>
      </c>
      <c r="C486">
        <f>FLOOR(_xlfn.XLOOKUP($A486,PROPERTIES[VEHIDCODE],PROPERTIES[INTRODUCTION_YEAR]),20)</f>
        <v>2000</v>
      </c>
      <c r="D486" t="str">
        <f>_xlfn.XLOOKUP($A486,PROPERTIES[VEHIDCODE],PROPERTIES[ROLE])</f>
        <v>Commuter/Urban</v>
      </c>
      <c r="E486" s="35" t="str">
        <f>_xlfn.XLOOKUP($A486,PROPERTIES[VEHIDCODE],PROPERTIES[REGION1])</f>
        <v>EASTERN_EUROPE</v>
      </c>
      <c r="F486" s="35" t="str">
        <f>_xlfn.XLOOKUP($A486,PROPERTIES[VEHIDCODE],PROPERTIES[REGION2])</f>
        <v>NO_REGION</v>
      </c>
      <c r="G486" s="35" t="str">
        <f t="shared" si="46"/>
        <v>EASTERN_EUROPE_NO_REGION</v>
      </c>
      <c r="H486" t="b">
        <f t="shared" si="47"/>
        <v>0</v>
      </c>
      <c r="I486" t="b">
        <f t="shared" si="48"/>
        <v>0</v>
      </c>
      <c r="J486" t="b">
        <f t="shared" si="49"/>
        <v>0</v>
      </c>
      <c r="K486" t="b">
        <f t="shared" si="49"/>
        <v>1</v>
      </c>
      <c r="L486" t="b">
        <f t="shared" si="49"/>
        <v>0</v>
      </c>
      <c r="M486" t="b">
        <f t="shared" si="49"/>
        <v>0</v>
      </c>
      <c r="N486" t="b">
        <f t="shared" si="50"/>
        <v>0</v>
      </c>
      <c r="O486" t="b">
        <f t="shared" si="50"/>
        <v>0</v>
      </c>
      <c r="P486" t="b">
        <f t="shared" si="51"/>
        <v>0</v>
      </c>
    </row>
    <row r="487" spans="1:16">
      <c r="A487" t="str">
        <v>dmu_Chile_EFE_TLD_500</v>
      </c>
      <c r="B487" t="b" cm="1">
        <f t="array" ref="B487">_xlfn.XLOOKUP(A487,CONTROL[VEHIDCODE],PROPERTIES[EXCLUDE])</f>
        <v>0</v>
      </c>
      <c r="C487">
        <f>FLOOR(_xlfn.XLOOKUP($A487,PROPERTIES[VEHIDCODE],PROPERTIES[INTRODUCTION_YEAR]),20)</f>
        <v>1980</v>
      </c>
      <c r="D487" t="str">
        <f>_xlfn.XLOOKUP($A487,PROPERTIES[VEHIDCODE],PROPERTIES[ROLE])</f>
        <v>Commuter/Urban</v>
      </c>
      <c r="E487" s="35" t="str">
        <f>_xlfn.XLOOKUP($A487,PROPERTIES[VEHIDCODE],PROPERTIES[REGION1])</f>
        <v>SOUTH_AMERICA</v>
      </c>
      <c r="F487" s="35" t="str">
        <f>_xlfn.XLOOKUP($A487,PROPERTIES[VEHIDCODE],PROPERTIES[REGION2])</f>
        <v>NO_REGION</v>
      </c>
      <c r="G487" s="35" t="str">
        <f t="shared" si="46"/>
        <v>SOUTH_AMERICA_NO_REGION</v>
      </c>
      <c r="H487" t="b">
        <f t="shared" si="47"/>
        <v>0</v>
      </c>
      <c r="I487" t="b">
        <f t="shared" si="48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49"/>
        <v>0</v>
      </c>
      <c r="N487" t="b">
        <f t="shared" si="50"/>
        <v>0</v>
      </c>
      <c r="O487" t="b">
        <f t="shared" si="50"/>
        <v>1</v>
      </c>
      <c r="P487" t="b">
        <f t="shared" si="51"/>
        <v>0</v>
      </c>
    </row>
    <row r="488" spans="1:16">
      <c r="A488" t="str">
        <v>dmu_Cameroon_Camrail_ZE_500</v>
      </c>
      <c r="B488" t="b" cm="1">
        <f t="array" ref="B488">_xlfn.XLOOKUP(A488,CONTROL[VEHIDCODE],PROPERTIES[EXCLUDE])</f>
        <v>0</v>
      </c>
      <c r="C488">
        <f>FLOOR(_xlfn.XLOOKUP($A488,PROPERTIES[VEHIDCODE],PROPERTIES[INTRODUCTION_YEAR]),20)</f>
        <v>1960</v>
      </c>
      <c r="D488" t="str">
        <f>_xlfn.XLOOKUP($A488,PROPERTIES[VEHIDCODE],PROPERTIES[ROLE])</f>
        <v>Commuter/Urban</v>
      </c>
      <c r="E488" s="35" t="str">
        <f>_xlfn.XLOOKUP($A488,PROPERTIES[VEHIDCODE],PROPERTIES[REGION1])</f>
        <v>AFRICA</v>
      </c>
      <c r="F488" s="35" t="str">
        <f>_xlfn.XLOOKUP($A488,PROPERTIES[VEHIDCODE],PROPERTIES[REGION2])</f>
        <v>NO_REGION</v>
      </c>
      <c r="G488" s="35" t="str">
        <f t="shared" si="46"/>
        <v>AFRICA_NO_REGION</v>
      </c>
      <c r="H488" t="b">
        <f t="shared" si="47"/>
        <v>1</v>
      </c>
      <c r="I488" t="b">
        <f t="shared" si="48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49"/>
        <v>0</v>
      </c>
      <c r="N488" t="b">
        <f t="shared" si="50"/>
        <v>0</v>
      </c>
      <c r="O488" t="b">
        <f t="shared" si="50"/>
        <v>0</v>
      </c>
      <c r="P488" t="b">
        <f t="shared" si="51"/>
        <v>0</v>
      </c>
    </row>
    <row r="489" spans="1:16">
      <c r="A489" t="str">
        <v>dmu_UK_BR_251_Blue_Pullman</v>
      </c>
      <c r="B489" t="b" cm="1">
        <f t="array" ref="B489">_xlfn.XLOOKUP(A489,CONTROL[VEHIDCODE],PROPERTIES[EXCLUDE])</f>
        <v>0</v>
      </c>
      <c r="C489">
        <f>FLOOR(_xlfn.XLOOKUP($A489,PROPERTIES[VEHIDCODE],PROPERTIES[INTRODUCTION_YEAR]),20)</f>
        <v>1960</v>
      </c>
      <c r="D489" t="str">
        <f>_xlfn.XLOOKUP($A489,PROPERTIES[VEHIDCODE],PROPERTIES[ROLE])</f>
        <v>Commuter/Urban</v>
      </c>
      <c r="E489" s="35" t="str">
        <f>_xlfn.XLOOKUP($A489,PROPERTIES[VEHIDCODE],PROPERTIES[REGION1])</f>
        <v>NORTHERN_EUROPE</v>
      </c>
      <c r="F489" s="35" t="str">
        <f>_xlfn.XLOOKUP($A489,PROPERTIES[VEHIDCODE],PROPERTIES[REGION2])</f>
        <v>NO_REGION</v>
      </c>
      <c r="G489" s="35" t="str">
        <f t="shared" si="46"/>
        <v>NORTHERN_EUROPE_NO_REGION</v>
      </c>
      <c r="H489" t="b">
        <f t="shared" si="47"/>
        <v>0</v>
      </c>
      <c r="I489" t="b">
        <f t="shared" si="48"/>
        <v>0</v>
      </c>
      <c r="J489" t="b">
        <f t="shared" si="49"/>
        <v>0</v>
      </c>
      <c r="K489" t="b">
        <f t="shared" si="49"/>
        <v>0</v>
      </c>
      <c r="L489" t="b">
        <f t="shared" si="49"/>
        <v>0</v>
      </c>
      <c r="M489" t="b">
        <f t="shared" si="49"/>
        <v>1</v>
      </c>
      <c r="N489" t="b">
        <f t="shared" si="50"/>
        <v>0</v>
      </c>
      <c r="O489" t="b">
        <f t="shared" si="50"/>
        <v>0</v>
      </c>
      <c r="P489" t="b">
        <f t="shared" si="51"/>
        <v>0</v>
      </c>
    </row>
    <row r="490" spans="1:16">
      <c r="A490" t="str">
        <v>dmu_Australia_WAGR_ADK_ADB</v>
      </c>
      <c r="B490" t="b" cm="1">
        <f t="array" ref="B490">_xlfn.XLOOKUP(A490,CONTROL[VEHIDCODE],PROPERTIES[EXCLUDE])</f>
        <v>0</v>
      </c>
      <c r="C490">
        <f>FLOOR(_xlfn.XLOOKUP($A490,PROPERTIES[VEHIDCODE],PROPERTIES[INTRODUCTION_YEAR]),20)</f>
        <v>1960</v>
      </c>
      <c r="D490" t="str">
        <f>_xlfn.XLOOKUP($A490,PROPERTIES[VEHIDCODE],PROPERTIES[ROLE])</f>
        <v>Commuter/Urban</v>
      </c>
      <c r="E490" s="35" t="str">
        <f>_xlfn.XLOOKUP($A490,PROPERTIES[VEHIDCODE],PROPERTIES[REGION1])</f>
        <v>OCEANIA</v>
      </c>
      <c r="F490" s="35" t="str">
        <f>_xlfn.XLOOKUP($A490,PROPERTIES[VEHIDCODE],PROPERTIES[REGION2])</f>
        <v>NO_REGION</v>
      </c>
      <c r="G490" s="35" t="str">
        <f t="shared" si="46"/>
        <v>OCEANIA_NO_REGION</v>
      </c>
      <c r="H490" t="b">
        <f t="shared" si="47"/>
        <v>0</v>
      </c>
      <c r="I490" t="b">
        <f t="shared" si="48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49"/>
        <v>0</v>
      </c>
      <c r="N490" t="b">
        <f t="shared" si="50"/>
        <v>0</v>
      </c>
      <c r="O490" t="b">
        <f t="shared" si="50"/>
        <v>0</v>
      </c>
      <c r="P490" t="b">
        <f t="shared" si="51"/>
        <v>1</v>
      </c>
    </row>
    <row r="491" spans="1:16">
      <c r="A491" t="str">
        <v>dmu_France_SNCF_X_4630</v>
      </c>
      <c r="B491" t="b" cm="1">
        <f t="array" ref="B491">_xlfn.XLOOKUP(A491,CONTROL[VEHIDCODE],PROPERTIES[EXCLUDE])</f>
        <v>0</v>
      </c>
      <c r="C491">
        <f>FLOOR(_xlfn.XLOOKUP($A491,PROPERTIES[VEHIDCODE],PROPERTIES[INTRODUCTION_YEAR]),20)</f>
        <v>1960</v>
      </c>
      <c r="D491" t="str">
        <f>_xlfn.XLOOKUP($A491,PROPERTIES[VEHIDCODE],PROPERTIES[ROLE])</f>
        <v>Commuter/Urban</v>
      </c>
      <c r="E491" s="35" t="str">
        <f>_xlfn.XLOOKUP($A491,PROPERTIES[VEHIDCODE],PROPERTIES[REGION1])</f>
        <v>WESTERN_EUROPE</v>
      </c>
      <c r="F491" s="35" t="str">
        <f>_xlfn.XLOOKUP($A491,PROPERTIES[VEHIDCODE],PROPERTIES[REGION2])</f>
        <v>NO_REGION</v>
      </c>
      <c r="G491" s="35" t="str">
        <f t="shared" si="46"/>
        <v>WESTERN_EUROPE_NO_REGION</v>
      </c>
      <c r="H491" t="b">
        <f t="shared" si="47"/>
        <v>0</v>
      </c>
      <c r="I491" t="b">
        <f t="shared" si="48"/>
        <v>0</v>
      </c>
      <c r="J491" t="b">
        <f t="shared" si="49"/>
        <v>0</v>
      </c>
      <c r="K491" t="b">
        <f t="shared" si="49"/>
        <v>0</v>
      </c>
      <c r="L491" t="b">
        <f t="shared" si="49"/>
        <v>1</v>
      </c>
      <c r="M491" t="b">
        <f t="shared" si="49"/>
        <v>0</v>
      </c>
      <c r="N491" t="b">
        <f t="shared" si="50"/>
        <v>0</v>
      </c>
      <c r="O491" t="b">
        <f t="shared" si="50"/>
        <v>0</v>
      </c>
      <c r="P491" t="b">
        <f t="shared" si="51"/>
        <v>0</v>
      </c>
    </row>
    <row r="492" spans="1:16">
      <c r="A492" t="str">
        <v>dmu_France_SNCF_T_2000</v>
      </c>
      <c r="B492" t="b" cm="1">
        <f t="array" ref="B492">_xlfn.XLOOKUP(A492,CONTROL[VEHIDCODE],PROPERTIES[EXCLUDE])</f>
        <v>0</v>
      </c>
      <c r="C492">
        <f>FLOOR(_xlfn.XLOOKUP($A492,PROPERTIES[VEHIDCODE],PROPERTIES[INTRODUCTION_YEAR]),20)</f>
        <v>1960</v>
      </c>
      <c r="D492" t="str">
        <f>_xlfn.XLOOKUP($A492,PROPERTIES[VEHIDCODE],PROPERTIES[ROLE])</f>
        <v>Express Passenger</v>
      </c>
      <c r="E492" s="35" t="str">
        <f>_xlfn.XLOOKUP($A492,PROPERTIES[VEHIDCODE],PROPERTIES[REGION1])</f>
        <v>WESTERN_EUROPE</v>
      </c>
      <c r="F492" s="35" t="str">
        <f>_xlfn.XLOOKUP($A492,PROPERTIES[VEHIDCODE],PROPERTIES[REGION2])</f>
        <v>NO_REGION</v>
      </c>
      <c r="G492" s="35" t="str">
        <f t="shared" si="46"/>
        <v>WESTERN_EUROPE_NO_REGION</v>
      </c>
      <c r="H492" t="b">
        <f t="shared" si="47"/>
        <v>0</v>
      </c>
      <c r="I492" t="b">
        <f t="shared" si="48"/>
        <v>0</v>
      </c>
      <c r="J492" t="b">
        <f t="shared" si="49"/>
        <v>0</v>
      </c>
      <c r="K492" t="b">
        <f t="shared" si="49"/>
        <v>0</v>
      </c>
      <c r="L492" t="b">
        <f t="shared" si="49"/>
        <v>1</v>
      </c>
      <c r="M492" t="b">
        <f t="shared" si="49"/>
        <v>0</v>
      </c>
      <c r="N492" t="b">
        <f t="shared" si="50"/>
        <v>0</v>
      </c>
      <c r="O492" t="b">
        <f t="shared" si="50"/>
        <v>0</v>
      </c>
      <c r="P492" t="b">
        <f t="shared" si="51"/>
        <v>0</v>
      </c>
    </row>
    <row r="493" spans="1:16">
      <c r="A493" t="str">
        <v>dmu_Netherlands_NS_DH2</v>
      </c>
      <c r="B493" t="b" cm="1">
        <f t="array" ref="B493">_xlfn.XLOOKUP(A493,CONTROL[VEHIDCODE],PROPERTIES[EXCLUDE])</f>
        <v>0</v>
      </c>
      <c r="C493">
        <f>FLOOR(_xlfn.XLOOKUP($A493,PROPERTIES[VEHIDCODE],PROPERTIES[INTRODUCTION_YEAR]),20)</f>
        <v>1980</v>
      </c>
      <c r="D493" t="str">
        <f>_xlfn.XLOOKUP($A493,PROPERTIES[VEHIDCODE],PROPERTIES[ROLE])</f>
        <v>Commuter/Urban</v>
      </c>
      <c r="E493" s="35" t="str">
        <f>_xlfn.XLOOKUP($A493,PROPERTIES[VEHIDCODE],PROPERTIES[REGION1])</f>
        <v>WESTERN_EUROPE</v>
      </c>
      <c r="F493" s="35" t="str">
        <f>_xlfn.XLOOKUP($A493,PROPERTIES[VEHIDCODE],PROPERTIES[REGION2])</f>
        <v>NO_REGION</v>
      </c>
      <c r="G493" s="35" t="str">
        <f t="shared" si="46"/>
        <v>WESTERN_EUROPE_NO_REGION</v>
      </c>
      <c r="H493" t="b">
        <f t="shared" si="47"/>
        <v>0</v>
      </c>
      <c r="I493" t="b">
        <f t="shared" si="48"/>
        <v>0</v>
      </c>
      <c r="J493" t="b">
        <f t="shared" si="49"/>
        <v>0</v>
      </c>
      <c r="K493" t="b">
        <f t="shared" si="49"/>
        <v>0</v>
      </c>
      <c r="L493" t="b">
        <f t="shared" si="49"/>
        <v>1</v>
      </c>
      <c r="M493" t="b">
        <f t="shared" si="49"/>
        <v>0</v>
      </c>
      <c r="N493" t="b">
        <f t="shared" si="50"/>
        <v>0</v>
      </c>
      <c r="O493" t="b">
        <f t="shared" si="50"/>
        <v>0</v>
      </c>
      <c r="P493" t="b">
        <f t="shared" si="51"/>
        <v>0</v>
      </c>
    </row>
    <row r="494" spans="1:16">
      <c r="A494" t="str">
        <v>dmu_Germany_DB_6282</v>
      </c>
      <c r="B494" t="b" cm="1">
        <f t="array" ref="B494">_xlfn.XLOOKUP(A494,CONTROL[VEHIDCODE],PROPERTIES[EXCLUDE])</f>
        <v>0</v>
      </c>
      <c r="C494">
        <f>FLOOR(_xlfn.XLOOKUP($A494,PROPERTIES[VEHIDCODE],PROPERTIES[INTRODUCTION_YEAR]),20)</f>
        <v>1980</v>
      </c>
      <c r="D494" t="str">
        <f>_xlfn.XLOOKUP($A494,PROPERTIES[VEHIDCODE],PROPERTIES[ROLE])</f>
        <v>Commuter/Urban</v>
      </c>
      <c r="E494" s="35" t="str">
        <f>_xlfn.XLOOKUP($A494,PROPERTIES[VEHIDCODE],PROPERTIES[REGION1])</f>
        <v>WESTERN_EUROPE</v>
      </c>
      <c r="F494" s="35" t="str">
        <f>_xlfn.XLOOKUP($A494,PROPERTIES[VEHIDCODE],PROPERTIES[REGION2])</f>
        <v>NO_REGION</v>
      </c>
      <c r="G494" s="35" t="str">
        <f t="shared" si="46"/>
        <v>WESTERN_EUROPE_NO_REGION</v>
      </c>
      <c r="H494" t="b">
        <f t="shared" si="47"/>
        <v>0</v>
      </c>
      <c r="I494" t="b">
        <f t="shared" si="48"/>
        <v>0</v>
      </c>
      <c r="J494" t="b">
        <f t="shared" si="49"/>
        <v>0</v>
      </c>
      <c r="K494" t="b">
        <f t="shared" si="49"/>
        <v>0</v>
      </c>
      <c r="L494" t="b">
        <f t="shared" si="49"/>
        <v>1</v>
      </c>
      <c r="M494" t="b">
        <f t="shared" si="49"/>
        <v>0</v>
      </c>
      <c r="N494" t="b">
        <f t="shared" si="50"/>
        <v>0</v>
      </c>
      <c r="O494" t="b">
        <f t="shared" si="50"/>
        <v>0</v>
      </c>
      <c r="P494" t="b">
        <f t="shared" si="51"/>
        <v>0</v>
      </c>
    </row>
    <row r="495" spans="1:16">
      <c r="A495" t="str">
        <v>dmu_Algeria_SNTF_ZZ_2200_Autorail</v>
      </c>
      <c r="B495" t="b" cm="1">
        <f t="array" ref="B495">_xlfn.XLOOKUP(A495,CONTROL[VEHIDCODE],PROPERTIES[EXCLUDE])</f>
        <v>0</v>
      </c>
      <c r="C495">
        <f>FLOOR(_xlfn.XLOOKUP($A495,PROPERTIES[VEHIDCODE],PROPERTIES[INTRODUCTION_YEAR]),20)</f>
        <v>2000</v>
      </c>
      <c r="D495" t="str">
        <f>_xlfn.XLOOKUP($A495,PROPERTIES[VEHIDCODE],PROPERTIES[ROLE])</f>
        <v>Express Passenger</v>
      </c>
      <c r="E495" s="35" t="str">
        <f>_xlfn.XLOOKUP($A495,PROPERTIES[VEHIDCODE],PROPERTIES[REGION1])</f>
        <v>AFRICA</v>
      </c>
      <c r="F495" s="35" t="str">
        <f>_xlfn.XLOOKUP($A495,PROPERTIES[VEHIDCODE],PROPERTIES[REGION2])</f>
        <v>NO_REGION</v>
      </c>
      <c r="G495" s="35" t="str">
        <f t="shared" si="46"/>
        <v>AFRICA_NO_REGION</v>
      </c>
      <c r="H495" t="b">
        <f t="shared" si="47"/>
        <v>1</v>
      </c>
      <c r="I495" t="b">
        <f t="shared" si="48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49"/>
        <v>0</v>
      </c>
      <c r="N495" t="b">
        <f t="shared" si="50"/>
        <v>0</v>
      </c>
      <c r="O495" t="b">
        <f t="shared" si="50"/>
        <v>0</v>
      </c>
      <c r="P495" t="b">
        <f t="shared" si="51"/>
        <v>0</v>
      </c>
    </row>
    <row r="496" spans="1:16">
      <c r="A496" t="str">
        <v>dmu_Tunisia_SNCFT_AMT_800</v>
      </c>
      <c r="B496" t="b" cm="1">
        <f t="array" ref="B496">_xlfn.XLOOKUP(A496,CONTROL[VEHIDCODE],PROPERTIES[EXCLUDE])</f>
        <v>0</v>
      </c>
      <c r="C496">
        <f>FLOOR(_xlfn.XLOOKUP($A496,PROPERTIES[VEHIDCODE],PROPERTIES[INTRODUCTION_YEAR]),20)</f>
        <v>2000</v>
      </c>
      <c r="D496" t="str">
        <f>_xlfn.XLOOKUP($A496,PROPERTIES[VEHIDCODE],PROPERTIES[ROLE])</f>
        <v>Express Passenger</v>
      </c>
      <c r="E496" s="35" t="str">
        <f>_xlfn.XLOOKUP($A496,PROPERTIES[VEHIDCODE],PROPERTIES[REGION1])</f>
        <v>AFRICA</v>
      </c>
      <c r="F496" s="35" t="str">
        <f>_xlfn.XLOOKUP($A496,PROPERTIES[VEHIDCODE],PROPERTIES[REGION2])</f>
        <v>NO_REGION</v>
      </c>
      <c r="G496" s="35" t="str">
        <f t="shared" si="46"/>
        <v>AFRICA_NO_REGION</v>
      </c>
      <c r="H496" t="b">
        <f t="shared" si="47"/>
        <v>1</v>
      </c>
      <c r="I496" t="b">
        <f t="shared" si="48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49"/>
        <v>0</v>
      </c>
      <c r="N496" t="b">
        <f t="shared" si="50"/>
        <v>0</v>
      </c>
      <c r="O496" t="b">
        <f t="shared" si="50"/>
        <v>0</v>
      </c>
      <c r="P496" t="b">
        <f t="shared" si="51"/>
        <v>0</v>
      </c>
    </row>
    <row r="497" spans="1:16">
      <c r="A497" t="str">
        <v>dmu_Ghana_Ghana_Railways_DEMU</v>
      </c>
      <c r="B497" t="b" cm="1">
        <f t="array" ref="B497">_xlfn.XLOOKUP(A497,CONTROL[VEHIDCODE],PROPERTIES[EXCLUDE])</f>
        <v>0</v>
      </c>
      <c r="C497">
        <f>FLOOR(_xlfn.XLOOKUP($A497,PROPERTIES[VEHIDCODE],PROPERTIES[INTRODUCTION_YEAR]),20)</f>
        <v>2000</v>
      </c>
      <c r="D497" t="str">
        <f>_xlfn.XLOOKUP($A497,PROPERTIES[VEHIDCODE],PROPERTIES[ROLE])</f>
        <v>Commuter/Urban</v>
      </c>
      <c r="E497" s="35" t="str">
        <f>_xlfn.XLOOKUP($A497,PROPERTIES[VEHIDCODE],PROPERTIES[REGION1])</f>
        <v>AFRICA</v>
      </c>
      <c r="F497" s="35" t="str">
        <f>_xlfn.XLOOKUP($A497,PROPERTIES[VEHIDCODE],PROPERTIES[REGION2])</f>
        <v>NO_REGION</v>
      </c>
      <c r="G497" s="35" t="str">
        <f t="shared" si="46"/>
        <v>AFRICA_NO_REGION</v>
      </c>
      <c r="H497" t="b">
        <f t="shared" si="47"/>
        <v>1</v>
      </c>
      <c r="I497" t="b">
        <f t="shared" si="48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49"/>
        <v>0</v>
      </c>
      <c r="N497" t="b">
        <f t="shared" si="50"/>
        <v>0</v>
      </c>
      <c r="O497" t="b">
        <f t="shared" si="50"/>
        <v>0</v>
      </c>
      <c r="P497" t="b">
        <f t="shared" si="51"/>
        <v>0</v>
      </c>
    </row>
    <row r="498" spans="1:16">
      <c r="A498" t="str">
        <v>dmu_Australia_Queensland_Rail_Diesel_Tilt_Train</v>
      </c>
      <c r="B498" t="b" cm="1">
        <f t="array" ref="B498">_xlfn.XLOOKUP(A498,CONTROL[VEHIDCODE],PROPERTIES[EXCLUDE])</f>
        <v>0</v>
      </c>
      <c r="C498">
        <f>FLOOR(_xlfn.XLOOKUP($A498,PROPERTIES[VEHIDCODE],PROPERTIES[INTRODUCTION_YEAR]),20)</f>
        <v>2000</v>
      </c>
      <c r="D498" t="str">
        <f>_xlfn.XLOOKUP($A498,PROPERTIES[VEHIDCODE],PROPERTIES[ROLE])</f>
        <v>Ultra-High-Speed (Universal)</v>
      </c>
      <c r="E498" s="35" t="str">
        <f>_xlfn.XLOOKUP($A498,PROPERTIES[VEHIDCODE],PROPERTIES[REGION1])</f>
        <v>OCEANIA</v>
      </c>
      <c r="F498" s="35" t="str">
        <f>_xlfn.XLOOKUP($A498,PROPERTIES[VEHIDCODE],PROPERTIES[REGION2])</f>
        <v>NO_REGION</v>
      </c>
      <c r="G498" s="35" t="str">
        <f t="shared" si="46"/>
        <v>OCEANIA_NO_REGION</v>
      </c>
      <c r="H498" t="b">
        <f t="shared" si="47"/>
        <v>0</v>
      </c>
      <c r="I498" t="b">
        <f t="shared" si="48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49"/>
        <v>0</v>
      </c>
      <c r="N498" t="b">
        <f t="shared" si="50"/>
        <v>0</v>
      </c>
      <c r="O498" t="b">
        <f t="shared" si="50"/>
        <v>0</v>
      </c>
      <c r="P498" t="b">
        <f t="shared" si="51"/>
        <v>1</v>
      </c>
    </row>
    <row r="499" spans="1:16">
      <c r="A499" t="str">
        <v>dmu_Canada_UP_Express_Nippon_Sharyo_DMU</v>
      </c>
      <c r="B499" t="b" cm="1">
        <f t="array" ref="B499">_xlfn.XLOOKUP(A499,CONTROL[VEHIDCODE],PROPERTIES[EXCLUDE])</f>
        <v>0</v>
      </c>
      <c r="C499">
        <f>FLOOR(_xlfn.XLOOKUP($A499,PROPERTIES[VEHIDCODE],PROPERTIES[INTRODUCTION_YEAR]),20)</f>
        <v>2000</v>
      </c>
      <c r="D499" t="str">
        <f>_xlfn.XLOOKUP($A499,PROPERTIES[VEHIDCODE],PROPERTIES[ROLE])</f>
        <v>Commuter/Urban</v>
      </c>
      <c r="E499" s="35" t="str">
        <f>_xlfn.XLOOKUP($A499,PROPERTIES[VEHIDCODE],PROPERTIES[REGION1])</f>
        <v>NORTH_AMERICA</v>
      </c>
      <c r="F499" s="35" t="str">
        <f>_xlfn.XLOOKUP($A499,PROPERTIES[VEHIDCODE],PROPERTIES[REGION2])</f>
        <v>NO_REGION</v>
      </c>
      <c r="G499" s="35" t="str">
        <f t="shared" si="46"/>
        <v>NORTH_AMERICA_NO_REGION</v>
      </c>
      <c r="H499" t="b">
        <f t="shared" si="47"/>
        <v>0</v>
      </c>
      <c r="I499" t="b">
        <f t="shared" si="48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49"/>
        <v>0</v>
      </c>
      <c r="N499" t="b">
        <f t="shared" si="50"/>
        <v>1</v>
      </c>
      <c r="O499" t="b">
        <f t="shared" si="50"/>
        <v>0</v>
      </c>
      <c r="P499" t="b">
        <f t="shared" si="51"/>
        <v>0</v>
      </c>
    </row>
    <row r="500" spans="1:16">
      <c r="A500" t="str">
        <v>dmu_Argentina_FCGU_CMM_400_2</v>
      </c>
      <c r="B500" t="b" cm="1">
        <f t="array" ref="B500">_xlfn.XLOOKUP(A500,CONTROL[VEHIDCODE],PROPERTIES[EXCLUDE])</f>
        <v>0</v>
      </c>
      <c r="C500">
        <f>FLOOR(_xlfn.XLOOKUP($A500,PROPERTIES[VEHIDCODE],PROPERTIES[INTRODUCTION_YEAR]),20)</f>
        <v>2000</v>
      </c>
      <c r="D500" t="str">
        <f>_xlfn.XLOOKUP($A500,PROPERTIES[VEHIDCODE],PROPERTIES[ROLE])</f>
        <v>Commuter/Urban</v>
      </c>
      <c r="E500" s="35" t="str">
        <f>_xlfn.XLOOKUP($A500,PROPERTIES[VEHIDCODE],PROPERTIES[REGION1])</f>
        <v>SOUTH_AMERICA</v>
      </c>
      <c r="F500" s="35" t="str">
        <f>_xlfn.XLOOKUP($A500,PROPERTIES[VEHIDCODE],PROPERTIES[REGION2])</f>
        <v>NO_REGION</v>
      </c>
      <c r="G500" s="35" t="str">
        <f t="shared" si="46"/>
        <v>SOUTH_AMERICA_NO_REGION</v>
      </c>
      <c r="H500" t="b">
        <f t="shared" si="47"/>
        <v>0</v>
      </c>
      <c r="I500" t="b">
        <f t="shared" si="48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49"/>
        <v>0</v>
      </c>
      <c r="N500" t="b">
        <f t="shared" si="50"/>
        <v>0</v>
      </c>
      <c r="O500" t="b">
        <f t="shared" si="50"/>
        <v>1</v>
      </c>
      <c r="P500" t="b">
        <f t="shared" si="51"/>
        <v>0</v>
      </c>
    </row>
    <row r="501" spans="1:16">
      <c r="A501" t="str">
        <v>dmu_Italy_FS_ALn_442_448</v>
      </c>
      <c r="B501" t="b" cm="1">
        <f t="array" ref="B501">_xlfn.XLOOKUP(A501,CONTROL[VEHIDCODE],PROPERTIES[EXCLUDE])</f>
        <v>0</v>
      </c>
      <c r="C501">
        <f>FLOOR(_xlfn.XLOOKUP($A501,PROPERTIES[VEHIDCODE],PROPERTIES[INTRODUCTION_YEAR]),20)</f>
        <v>1940</v>
      </c>
      <c r="D501" t="str">
        <f>_xlfn.XLOOKUP($A501,PROPERTIES[VEHIDCODE],PROPERTIES[ROLE])</f>
        <v>Commuter/Urban</v>
      </c>
      <c r="E501" s="35" t="str">
        <f>_xlfn.XLOOKUP($A501,PROPERTIES[VEHIDCODE],PROPERTIES[REGION1])</f>
        <v>SOUTHERN_EUROPE</v>
      </c>
      <c r="F501" s="35" t="str">
        <f>_xlfn.XLOOKUP($A501,PROPERTIES[VEHIDCODE],PROPERTIES[REGION2])</f>
        <v>NO_REGION</v>
      </c>
      <c r="G501" s="35" t="str">
        <f t="shared" si="46"/>
        <v>SOUTHERN_EUROPE_NO_REGION</v>
      </c>
      <c r="H501" t="b">
        <f t="shared" si="47"/>
        <v>0</v>
      </c>
      <c r="I501" t="b">
        <f t="shared" si="48"/>
        <v>0</v>
      </c>
      <c r="J501" t="b">
        <f t="shared" si="49"/>
        <v>1</v>
      </c>
      <c r="K501" t="b">
        <f t="shared" si="49"/>
        <v>0</v>
      </c>
      <c r="L501" t="b">
        <f t="shared" si="49"/>
        <v>0</v>
      </c>
      <c r="M501" t="b">
        <f t="shared" si="49"/>
        <v>0</v>
      </c>
      <c r="N501" t="b">
        <f t="shared" si="50"/>
        <v>0</v>
      </c>
      <c r="O501" t="b">
        <f t="shared" si="50"/>
        <v>0</v>
      </c>
      <c r="P501" t="b">
        <f t="shared" si="51"/>
        <v>0</v>
      </c>
    </row>
    <row r="502" spans="1:16">
      <c r="A502" t="str">
        <v>dmu_Portugal_CP_0400</v>
      </c>
      <c r="B502" t="b" cm="1">
        <f t="array" ref="B502">_xlfn.XLOOKUP(A502,CONTROL[VEHIDCODE],PROPERTIES[EXCLUDE])</f>
        <v>0</v>
      </c>
      <c r="C502">
        <f>FLOOR(_xlfn.XLOOKUP($A502,PROPERTIES[VEHIDCODE],PROPERTIES[INTRODUCTION_YEAR]),20)</f>
        <v>1960</v>
      </c>
      <c r="D502" t="str">
        <f>_xlfn.XLOOKUP($A502,PROPERTIES[VEHIDCODE],PROPERTIES[ROLE])</f>
        <v>Commuter/Urban</v>
      </c>
      <c r="E502" s="35" t="str">
        <f>_xlfn.XLOOKUP($A502,PROPERTIES[VEHIDCODE],PROPERTIES[REGION1])</f>
        <v>SOUTHERN_EUROPE</v>
      </c>
      <c r="F502" s="35" t="str">
        <f>_xlfn.XLOOKUP($A502,PROPERTIES[VEHIDCODE],PROPERTIES[REGION2])</f>
        <v>NO_REGION</v>
      </c>
      <c r="G502" s="35" t="str">
        <f t="shared" si="46"/>
        <v>SOUTHERN_EUROPE_NO_REGION</v>
      </c>
      <c r="H502" t="b">
        <f t="shared" si="47"/>
        <v>0</v>
      </c>
      <c r="I502" t="b">
        <f t="shared" si="48"/>
        <v>0</v>
      </c>
      <c r="J502" t="b">
        <f t="shared" si="49"/>
        <v>1</v>
      </c>
      <c r="K502" t="b">
        <f t="shared" si="49"/>
        <v>0</v>
      </c>
      <c r="L502" t="b">
        <f t="shared" si="49"/>
        <v>0</v>
      </c>
      <c r="M502" t="b">
        <f t="shared" si="49"/>
        <v>0</v>
      </c>
      <c r="N502" t="b">
        <f t="shared" si="50"/>
        <v>0</v>
      </c>
      <c r="O502" t="b">
        <f t="shared" si="50"/>
        <v>0</v>
      </c>
      <c r="P502" t="b">
        <f t="shared" si="51"/>
        <v>0</v>
      </c>
    </row>
    <row r="503" spans="1:16">
      <c r="A503" t="str">
        <v>dmu_Portugal_CP_0600</v>
      </c>
      <c r="B503" t="b" cm="1">
        <f t="array" ref="B503">_xlfn.XLOOKUP(A503,CONTROL[VEHIDCODE],PROPERTIES[EXCLUDE])</f>
        <v>0</v>
      </c>
      <c r="C503">
        <f>FLOOR(_xlfn.XLOOKUP($A503,PROPERTIES[VEHIDCODE],PROPERTIES[INTRODUCTION_YEAR]),20)</f>
        <v>1960</v>
      </c>
      <c r="D503" t="str">
        <f>_xlfn.XLOOKUP($A503,PROPERTIES[VEHIDCODE],PROPERTIES[ROLE])</f>
        <v>Commuter/Urban</v>
      </c>
      <c r="E503" s="35" t="str">
        <f>_xlfn.XLOOKUP($A503,PROPERTIES[VEHIDCODE],PROPERTIES[REGION1])</f>
        <v>SOUTHERN_EUROPE</v>
      </c>
      <c r="F503" s="35" t="str">
        <f>_xlfn.XLOOKUP($A503,PROPERTIES[VEHIDCODE],PROPERTIES[REGION2])</f>
        <v>NO_REGION</v>
      </c>
      <c r="G503" s="35" t="str">
        <f t="shared" si="46"/>
        <v>SOUTHERN_EUROPE_NO_REGION</v>
      </c>
      <c r="H503" t="b">
        <f t="shared" si="47"/>
        <v>0</v>
      </c>
      <c r="I503" t="b">
        <f t="shared" si="48"/>
        <v>0</v>
      </c>
      <c r="J503" t="b">
        <f t="shared" si="49"/>
        <v>1</v>
      </c>
      <c r="K503" t="b">
        <f t="shared" si="49"/>
        <v>0</v>
      </c>
      <c r="L503" t="b">
        <f t="shared" si="49"/>
        <v>0</v>
      </c>
      <c r="M503" t="b">
        <f t="shared" si="49"/>
        <v>0</v>
      </c>
      <c r="N503" t="b">
        <f t="shared" si="50"/>
        <v>0</v>
      </c>
      <c r="O503" t="b">
        <f t="shared" si="50"/>
        <v>0</v>
      </c>
      <c r="P503" t="b">
        <f t="shared" si="51"/>
        <v>0</v>
      </c>
    </row>
    <row r="504" spans="1:16">
      <c r="A504" t="str">
        <v>dmu_Spain_FEVE_2400_Apollos</v>
      </c>
      <c r="B504" t="b" cm="1">
        <f t="array" ref="B504">_xlfn.XLOOKUP(A504,CONTROL[VEHIDCODE],PROPERTIES[EXCLUDE])</f>
        <v>0</v>
      </c>
      <c r="C504">
        <f>FLOOR(_xlfn.XLOOKUP($A504,PROPERTIES[VEHIDCODE],PROPERTIES[INTRODUCTION_YEAR]),20)</f>
        <v>1980</v>
      </c>
      <c r="D504" t="str">
        <f>_xlfn.XLOOKUP($A504,PROPERTIES[VEHIDCODE],PROPERTIES[ROLE])</f>
        <v>Commuter/Urban</v>
      </c>
      <c r="E504" s="35" t="str">
        <f>_xlfn.XLOOKUP($A504,PROPERTIES[VEHIDCODE],PROPERTIES[REGION1])</f>
        <v>SOUTHERN_EUROPE</v>
      </c>
      <c r="F504" s="35" t="str">
        <f>_xlfn.XLOOKUP($A504,PROPERTIES[VEHIDCODE],PROPERTIES[REGION2])</f>
        <v>NO_REGION</v>
      </c>
      <c r="G504" s="35" t="str">
        <f t="shared" si="46"/>
        <v>SOUTHERN_EUROPE_NO_REGION</v>
      </c>
      <c r="H504" t="b">
        <f t="shared" si="47"/>
        <v>0</v>
      </c>
      <c r="I504" t="b">
        <f t="shared" si="48"/>
        <v>0</v>
      </c>
      <c r="J504" t="b">
        <f t="shared" si="49"/>
        <v>1</v>
      </c>
      <c r="K504" t="b">
        <f t="shared" si="49"/>
        <v>0</v>
      </c>
      <c r="L504" t="b">
        <f t="shared" si="49"/>
        <v>0</v>
      </c>
      <c r="M504" t="b">
        <f t="shared" si="49"/>
        <v>0</v>
      </c>
      <c r="N504" t="b">
        <f t="shared" si="50"/>
        <v>0</v>
      </c>
      <c r="O504" t="b">
        <f t="shared" si="50"/>
        <v>0</v>
      </c>
      <c r="P504" t="b">
        <f t="shared" si="51"/>
        <v>0</v>
      </c>
    </row>
    <row r="505" spans="1:16">
      <c r="A505" t="str">
        <v>cargodmu_Germany_DB_691_CargoSprinter</v>
      </c>
      <c r="B505" t="b" cm="1">
        <f t="array" ref="B505">_xlfn.XLOOKUP(A505,CONTROL[VEHIDCODE],PROPERTIES[EXCLUDE])</f>
        <v>0</v>
      </c>
      <c r="C505">
        <f>FLOOR(_xlfn.XLOOKUP($A505,PROPERTIES[VEHIDCODE],PROPERTIES[INTRODUCTION_YEAR]),20)</f>
        <v>1980</v>
      </c>
      <c r="D505" t="str">
        <f>_xlfn.XLOOKUP($A505,PROPERTIES[VEHIDCODE],PROPERTIES[ROLE])</f>
        <v>Freight</v>
      </c>
      <c r="E505" s="35" t="str">
        <f>_xlfn.XLOOKUP($A505,PROPERTIES[VEHIDCODE],PROPERTIES[REGION1])</f>
        <v>WESTERN_EUROPE</v>
      </c>
      <c r="F505" s="35" t="str">
        <f>_xlfn.XLOOKUP($A505,PROPERTIES[VEHIDCODE],PROPERTIES[REGION2])</f>
        <v>NO_REGION</v>
      </c>
      <c r="G505" s="35" t="str">
        <f t="shared" si="46"/>
        <v>WESTERN_EUROPE_NO_REGION</v>
      </c>
      <c r="H505" t="b">
        <f t="shared" si="47"/>
        <v>0</v>
      </c>
      <c r="I505" t="b">
        <f t="shared" si="48"/>
        <v>0</v>
      </c>
      <c r="J505" t="b">
        <f t="shared" si="49"/>
        <v>0</v>
      </c>
      <c r="K505" t="b">
        <f t="shared" si="49"/>
        <v>0</v>
      </c>
      <c r="L505" t="b">
        <f t="shared" si="49"/>
        <v>1</v>
      </c>
      <c r="M505" t="b">
        <f t="shared" si="49"/>
        <v>0</v>
      </c>
      <c r="N505" t="b">
        <f t="shared" si="50"/>
        <v>0</v>
      </c>
      <c r="O505" t="b">
        <f t="shared" si="50"/>
        <v>0</v>
      </c>
      <c r="P505" t="b">
        <f t="shared" si="51"/>
        <v>0</v>
      </c>
    </row>
    <row r="506" spans="1:16">
      <c r="A506" t="str">
        <v>emu_Australia_Sydney_Trains_A_Set_Waratah</v>
      </c>
      <c r="B506" t="b" cm="1">
        <f t="array" ref="B506">_xlfn.XLOOKUP(A506,CONTROL[VEHIDCODE],PROPERTIES[EXCLUDE])</f>
        <v>0</v>
      </c>
      <c r="C506">
        <f>FLOOR(_xlfn.XLOOKUP($A506,PROPERTIES[VEHIDCODE],PROPERTIES[INTRODUCTION_YEAR]),20)</f>
        <v>2000</v>
      </c>
      <c r="D506" t="str">
        <f>_xlfn.XLOOKUP($A506,PROPERTIES[VEHIDCODE],PROPERTIES[ROLE])</f>
        <v>Commuter/Urban</v>
      </c>
      <c r="E506" s="35" t="str">
        <f>_xlfn.XLOOKUP($A506,PROPERTIES[VEHIDCODE],PROPERTIES[REGION1])</f>
        <v>OCEANIA</v>
      </c>
      <c r="F506" s="35" t="str">
        <f>_xlfn.XLOOKUP($A506,PROPERTIES[VEHIDCODE],PROPERTIES[REGION2])</f>
        <v>NO_REGION</v>
      </c>
      <c r="G506" s="35" t="str">
        <f t="shared" si="46"/>
        <v>OCEANIA_NO_REGION</v>
      </c>
      <c r="H506" t="b">
        <f t="shared" si="47"/>
        <v>0</v>
      </c>
      <c r="I506" t="b">
        <f t="shared" si="48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49"/>
        <v>0</v>
      </c>
      <c r="N506" t="b">
        <f t="shared" si="50"/>
        <v>0</v>
      </c>
      <c r="O506" t="b">
        <f t="shared" si="50"/>
        <v>0</v>
      </c>
      <c r="P506" t="b">
        <f t="shared" si="51"/>
        <v>1</v>
      </c>
    </row>
    <row r="507" spans="1:16">
      <c r="A507" t="str">
        <v>emu_Denmark_DSB_S_Tog_II</v>
      </c>
      <c r="B507" t="b" cm="1">
        <f t="array" ref="B507">_xlfn.XLOOKUP(A507,CONTROL[VEHIDCODE],PROPERTIES[EXCLUDE])</f>
        <v>0</v>
      </c>
      <c r="C507">
        <f>FLOOR(_xlfn.XLOOKUP($A507,PROPERTIES[VEHIDCODE],PROPERTIES[INTRODUCTION_YEAR]),20)</f>
        <v>1960</v>
      </c>
      <c r="D507" t="str">
        <f>_xlfn.XLOOKUP($A507,PROPERTIES[VEHIDCODE],PROPERTIES[ROLE])</f>
        <v>Commuter/Urban</v>
      </c>
      <c r="E507" s="35" t="str">
        <f>_xlfn.XLOOKUP($A507,PROPERTIES[VEHIDCODE],PROPERTIES[REGION1])</f>
        <v>NORTHERN_EUROPE</v>
      </c>
      <c r="F507" s="35" t="str">
        <f>_xlfn.XLOOKUP($A507,PROPERTIES[VEHIDCODE],PROPERTIES[REGION2])</f>
        <v>NO_REGION</v>
      </c>
      <c r="G507" s="35" t="str">
        <f t="shared" si="46"/>
        <v>NORTHERN_EUROPE_NO_REGION</v>
      </c>
      <c r="H507" t="b">
        <f t="shared" si="47"/>
        <v>0</v>
      </c>
      <c r="I507" t="b">
        <f t="shared" si="48"/>
        <v>0</v>
      </c>
      <c r="J507" t="b">
        <f t="shared" si="49"/>
        <v>0</v>
      </c>
      <c r="K507" t="b">
        <f t="shared" si="49"/>
        <v>0</v>
      </c>
      <c r="L507" t="b">
        <f t="shared" si="49"/>
        <v>0</v>
      </c>
      <c r="M507" t="b">
        <f t="shared" si="49"/>
        <v>1</v>
      </c>
      <c r="N507" t="b">
        <f t="shared" si="50"/>
        <v>0</v>
      </c>
      <c r="O507" t="b">
        <f t="shared" si="50"/>
        <v>0</v>
      </c>
      <c r="P507" t="b">
        <f t="shared" si="51"/>
        <v>0</v>
      </c>
    </row>
    <row r="508" spans="1:16">
      <c r="A508" t="str">
        <v>emu_Denmark_DSB_S_Tog_IV</v>
      </c>
      <c r="B508" t="b" cm="1">
        <f t="array" ref="B508">_xlfn.XLOOKUP(A508,CONTROL[VEHIDCODE],PROPERTIES[EXCLUDE])</f>
        <v>0</v>
      </c>
      <c r="C508">
        <f>FLOOR(_xlfn.XLOOKUP($A508,PROPERTIES[VEHIDCODE],PROPERTIES[INTRODUCTION_YEAR]),20)</f>
        <v>1980</v>
      </c>
      <c r="D508" t="str">
        <f>_xlfn.XLOOKUP($A508,PROPERTIES[VEHIDCODE],PROPERTIES[ROLE])</f>
        <v>Commuter/Urban</v>
      </c>
      <c r="E508" s="35" t="str">
        <f>_xlfn.XLOOKUP($A508,PROPERTIES[VEHIDCODE],PROPERTIES[REGION1])</f>
        <v>NORTHERN_EUROPE</v>
      </c>
      <c r="F508" s="35" t="str">
        <f>_xlfn.XLOOKUP($A508,PROPERTIES[VEHIDCODE],PROPERTIES[REGION2])</f>
        <v>NO_REGION</v>
      </c>
      <c r="G508" s="35" t="str">
        <f t="shared" si="46"/>
        <v>NORTHERN_EUROPE_NO_REGION</v>
      </c>
      <c r="H508" t="b">
        <f t="shared" si="47"/>
        <v>0</v>
      </c>
      <c r="I508" t="b">
        <f t="shared" si="48"/>
        <v>0</v>
      </c>
      <c r="J508" t="b">
        <f t="shared" si="49"/>
        <v>0</v>
      </c>
      <c r="K508" t="b">
        <f t="shared" si="49"/>
        <v>0</v>
      </c>
      <c r="L508" t="b">
        <f t="shared" si="49"/>
        <v>0</v>
      </c>
      <c r="M508" t="b">
        <f t="shared" si="49"/>
        <v>1</v>
      </c>
      <c r="N508" t="b">
        <f t="shared" si="50"/>
        <v>0</v>
      </c>
      <c r="O508" t="b">
        <f t="shared" si="50"/>
        <v>0</v>
      </c>
      <c r="P508" t="b">
        <f t="shared" si="51"/>
        <v>0</v>
      </c>
    </row>
    <row r="509" spans="1:16">
      <c r="A509" t="str">
        <v>emu_Italy_ATAC_ECD_21_30</v>
      </c>
      <c r="B509" t="b" cm="1">
        <f t="array" ref="B509">_xlfn.XLOOKUP(A509,CONTROL[VEHIDCODE],PROPERTIES[EXCLUDE])</f>
        <v>0</v>
      </c>
      <c r="C509">
        <f>FLOOR(_xlfn.XLOOKUP($A509,PROPERTIES[VEHIDCODE],PROPERTIES[INTRODUCTION_YEAR]),20)</f>
        <v>1920</v>
      </c>
      <c r="D509" t="str">
        <f>_xlfn.XLOOKUP($A509,PROPERTIES[VEHIDCODE],PROPERTIES[ROLE])</f>
        <v>Commuter/Urban</v>
      </c>
      <c r="E509" s="35" t="str">
        <f>_xlfn.XLOOKUP($A509,PROPERTIES[VEHIDCODE],PROPERTIES[REGION1])</f>
        <v>SOUTHERN_EUROPE</v>
      </c>
      <c r="F509" s="35" t="str">
        <f>_xlfn.XLOOKUP($A509,PROPERTIES[VEHIDCODE],PROPERTIES[REGION2])</f>
        <v>NO_REGION</v>
      </c>
      <c r="G509" s="35" t="str">
        <f t="shared" si="46"/>
        <v>SOUTHERN_EUROPE_NO_REGION</v>
      </c>
      <c r="H509" t="b">
        <f t="shared" si="47"/>
        <v>0</v>
      </c>
      <c r="I509" t="b">
        <f t="shared" si="48"/>
        <v>0</v>
      </c>
      <c r="J509" t="b">
        <f t="shared" si="49"/>
        <v>1</v>
      </c>
      <c r="K509" t="b">
        <f t="shared" si="49"/>
        <v>0</v>
      </c>
      <c r="L509" t="b">
        <f t="shared" si="49"/>
        <v>0</v>
      </c>
      <c r="M509" t="b">
        <f t="shared" si="49"/>
        <v>0</v>
      </c>
      <c r="N509" t="b">
        <f t="shared" si="50"/>
        <v>0</v>
      </c>
      <c r="O509" t="b">
        <f t="shared" si="50"/>
        <v>0</v>
      </c>
      <c r="P509" t="b">
        <f t="shared" si="51"/>
        <v>0</v>
      </c>
    </row>
    <row r="510" spans="1:16">
      <c r="A510" t="str">
        <v>emu_Netherlands_NS_Mat24</v>
      </c>
      <c r="B510" t="b" cm="1">
        <f t="array" ref="B510">_xlfn.XLOOKUP(A510,CONTROL[VEHIDCODE],PROPERTIES[EXCLUDE])</f>
        <v>0</v>
      </c>
      <c r="C510">
        <f>FLOOR(_xlfn.XLOOKUP($A510,PROPERTIES[VEHIDCODE],PROPERTIES[INTRODUCTION_YEAR]),20)</f>
        <v>1920</v>
      </c>
      <c r="D510" t="str">
        <f>_xlfn.XLOOKUP($A510,PROPERTIES[VEHIDCODE],PROPERTIES[ROLE])</f>
        <v>Commuter/Urban</v>
      </c>
      <c r="E510" s="35" t="str">
        <f>_xlfn.XLOOKUP($A510,PROPERTIES[VEHIDCODE],PROPERTIES[REGION1])</f>
        <v>WESTERN_EUROPE</v>
      </c>
      <c r="F510" s="35" t="str">
        <f>_xlfn.XLOOKUP($A510,PROPERTIES[VEHIDCODE],PROPERTIES[REGION2])</f>
        <v>NO_REGION</v>
      </c>
      <c r="G510" s="35" t="str">
        <f t="shared" si="46"/>
        <v>WESTERN_EUROPE_NO_REGION</v>
      </c>
      <c r="H510" t="b">
        <f t="shared" si="47"/>
        <v>0</v>
      </c>
      <c r="I510" t="b">
        <f t="shared" si="48"/>
        <v>0</v>
      </c>
      <c r="J510" t="b">
        <f t="shared" si="49"/>
        <v>0</v>
      </c>
      <c r="K510" t="b">
        <f t="shared" si="49"/>
        <v>0</v>
      </c>
      <c r="L510" t="b">
        <f t="shared" si="49"/>
        <v>1</v>
      </c>
      <c r="M510" t="b">
        <f t="shared" si="49"/>
        <v>0</v>
      </c>
      <c r="N510" t="b">
        <f t="shared" si="50"/>
        <v>0</v>
      </c>
      <c r="O510" t="b">
        <f t="shared" si="50"/>
        <v>0</v>
      </c>
      <c r="P510" t="b">
        <f t="shared" si="51"/>
        <v>0</v>
      </c>
    </row>
    <row r="511" spans="1:16">
      <c r="A511" t="str">
        <v>emu_Netherlands_NS_Mat36</v>
      </c>
      <c r="B511" t="b" cm="1">
        <f t="array" ref="B511">_xlfn.XLOOKUP(A511,CONTROL[VEHIDCODE],PROPERTIES[EXCLUDE])</f>
        <v>0</v>
      </c>
      <c r="C511">
        <f>FLOOR(_xlfn.XLOOKUP($A511,PROPERTIES[VEHIDCODE],PROPERTIES[INTRODUCTION_YEAR]),20)</f>
        <v>1920</v>
      </c>
      <c r="D511" t="str">
        <f>_xlfn.XLOOKUP($A511,PROPERTIES[VEHIDCODE],PROPERTIES[ROLE])</f>
        <v>Commuter/Urban</v>
      </c>
      <c r="E511" s="35" t="str">
        <f>_xlfn.XLOOKUP($A511,PROPERTIES[VEHIDCODE],PROPERTIES[REGION1])</f>
        <v>WESTERN_EUROPE</v>
      </c>
      <c r="F511" s="35" t="str">
        <f>_xlfn.XLOOKUP($A511,PROPERTIES[VEHIDCODE],PROPERTIES[REGION2])</f>
        <v>NO_REGION</v>
      </c>
      <c r="G511" s="35" t="str">
        <f t="shared" si="46"/>
        <v>WESTERN_EUROPE_NO_REGION</v>
      </c>
      <c r="H511" t="b">
        <f t="shared" si="47"/>
        <v>0</v>
      </c>
      <c r="I511" t="b">
        <f t="shared" si="48"/>
        <v>0</v>
      </c>
      <c r="J511" t="b">
        <f t="shared" si="49"/>
        <v>0</v>
      </c>
      <c r="K511" t="b">
        <f t="shared" si="49"/>
        <v>0</v>
      </c>
      <c r="L511" t="b">
        <f t="shared" si="49"/>
        <v>1</v>
      </c>
      <c r="M511" t="b">
        <f t="shared" si="49"/>
        <v>0</v>
      </c>
      <c r="N511" t="b">
        <f t="shared" si="50"/>
        <v>0</v>
      </c>
      <c r="O511" t="b">
        <f t="shared" si="50"/>
        <v>0</v>
      </c>
      <c r="P511" t="b">
        <f t="shared" si="51"/>
        <v>0</v>
      </c>
    </row>
    <row r="512" spans="1:16">
      <c r="A512" t="str">
        <v>emu_Netherlands_NS_Mat54</v>
      </c>
      <c r="B512" t="b" cm="1">
        <f t="array" ref="B512">_xlfn.XLOOKUP(A512,CONTROL[VEHIDCODE],PROPERTIES[EXCLUDE])</f>
        <v>0</v>
      </c>
      <c r="C512">
        <f>FLOOR(_xlfn.XLOOKUP($A512,PROPERTIES[VEHIDCODE],PROPERTIES[INTRODUCTION_YEAR]),20)</f>
        <v>1940</v>
      </c>
      <c r="D512" t="str">
        <f>_xlfn.XLOOKUP($A512,PROPERTIES[VEHIDCODE],PROPERTIES[ROLE])</f>
        <v>Commuter/Urban</v>
      </c>
      <c r="E512" s="35" t="str">
        <f>_xlfn.XLOOKUP($A512,PROPERTIES[VEHIDCODE],PROPERTIES[REGION1])</f>
        <v>WESTERN_EUROPE</v>
      </c>
      <c r="F512" s="35" t="str">
        <f>_xlfn.XLOOKUP($A512,PROPERTIES[VEHIDCODE],PROPERTIES[REGION2])</f>
        <v>NO_REGION</v>
      </c>
      <c r="G512" s="35" t="str">
        <f t="shared" si="46"/>
        <v>WESTERN_EUROPE_NO_REGION</v>
      </c>
      <c r="H512" t="b">
        <f t="shared" si="47"/>
        <v>0</v>
      </c>
      <c r="I512" t="b">
        <f t="shared" si="48"/>
        <v>0</v>
      </c>
      <c r="J512" t="b">
        <f t="shared" si="49"/>
        <v>0</v>
      </c>
      <c r="K512" t="b">
        <f t="shared" si="49"/>
        <v>0</v>
      </c>
      <c r="L512" t="b">
        <f t="shared" si="49"/>
        <v>1</v>
      </c>
      <c r="M512" t="b">
        <f t="shared" si="49"/>
        <v>0</v>
      </c>
      <c r="N512" t="b">
        <f t="shared" si="50"/>
        <v>0</v>
      </c>
      <c r="O512" t="b">
        <f t="shared" si="50"/>
        <v>0</v>
      </c>
      <c r="P512" t="b">
        <f t="shared" si="51"/>
        <v>0</v>
      </c>
    </row>
    <row r="513" spans="1:16">
      <c r="A513" t="str">
        <v>emu_Netherlands_NS_Plan_Y</v>
      </c>
      <c r="B513" t="b" cm="1">
        <f t="array" ref="B513">_xlfn.XLOOKUP(A513,CONTROL[VEHIDCODE],PROPERTIES[EXCLUDE])</f>
        <v>0</v>
      </c>
      <c r="C513">
        <f>FLOOR(_xlfn.XLOOKUP($A513,PROPERTIES[VEHIDCODE],PROPERTIES[INTRODUCTION_YEAR]),20)</f>
        <v>1960</v>
      </c>
      <c r="D513" t="str">
        <f>_xlfn.XLOOKUP($A513,PROPERTIES[VEHIDCODE],PROPERTIES[ROLE])</f>
        <v>Commuter/Urban</v>
      </c>
      <c r="E513" s="35" t="str">
        <f>_xlfn.XLOOKUP($A513,PROPERTIES[VEHIDCODE],PROPERTIES[REGION1])</f>
        <v>WESTERN_EUROPE</v>
      </c>
      <c r="F513" s="35" t="str">
        <f>_xlfn.XLOOKUP($A513,PROPERTIES[VEHIDCODE],PROPERTIES[REGION2])</f>
        <v>NO_REGION</v>
      </c>
      <c r="G513" s="35" t="str">
        <f t="shared" si="46"/>
        <v>WESTERN_EUROPE_NO_REGION</v>
      </c>
      <c r="H513" t="b">
        <f t="shared" si="47"/>
        <v>0</v>
      </c>
      <c r="I513" t="b">
        <f t="shared" si="48"/>
        <v>0</v>
      </c>
      <c r="J513" t="b">
        <f t="shared" si="49"/>
        <v>0</v>
      </c>
      <c r="K513" t="b">
        <f t="shared" si="49"/>
        <v>0</v>
      </c>
      <c r="L513" t="b">
        <f t="shared" si="49"/>
        <v>1</v>
      </c>
      <c r="M513" t="b">
        <f t="shared" si="49"/>
        <v>0</v>
      </c>
      <c r="N513" t="b">
        <f t="shared" si="50"/>
        <v>0</v>
      </c>
      <c r="O513" t="b">
        <f t="shared" si="50"/>
        <v>0</v>
      </c>
      <c r="P513" t="b">
        <f t="shared" si="51"/>
        <v>0</v>
      </c>
    </row>
    <row r="514" spans="1:16">
      <c r="A514" t="str">
        <v>emu_Netherlands_NS_ICM_4000</v>
      </c>
      <c r="B514" t="b" cm="1">
        <f t="array" ref="B514">_xlfn.XLOOKUP(A514,CONTROL[VEHIDCODE],PROPERTIES[EXCLUDE])</f>
        <v>0</v>
      </c>
      <c r="C514">
        <f>FLOOR(_xlfn.XLOOKUP($A514,PROPERTIES[VEHIDCODE],PROPERTIES[INTRODUCTION_YEAR]),20)</f>
        <v>1960</v>
      </c>
      <c r="D514" t="str">
        <f>_xlfn.XLOOKUP($A514,PROPERTIES[VEHIDCODE],PROPERTIES[ROLE])</f>
        <v>Commuter/Urban</v>
      </c>
      <c r="E514" s="35" t="str">
        <f>_xlfn.XLOOKUP($A514,PROPERTIES[VEHIDCODE],PROPERTIES[REGION1])</f>
        <v>WESTERN_EUROPE</v>
      </c>
      <c r="F514" s="35" t="str">
        <f>_xlfn.XLOOKUP($A514,PROPERTIES[VEHIDCODE],PROPERTIES[REGION2])</f>
        <v>NO_REGION</v>
      </c>
      <c r="G514" s="35" t="str">
        <f t="shared" si="46"/>
        <v>WESTERN_EUROPE_NO_REGION</v>
      </c>
      <c r="H514" t="b">
        <f t="shared" si="47"/>
        <v>0</v>
      </c>
      <c r="I514" t="b">
        <f t="shared" si="48"/>
        <v>0</v>
      </c>
      <c r="J514" t="b">
        <f t="shared" si="49"/>
        <v>0</v>
      </c>
      <c r="K514" t="b">
        <f t="shared" si="49"/>
        <v>0</v>
      </c>
      <c r="L514" t="b">
        <f t="shared" si="49"/>
        <v>1</v>
      </c>
      <c r="M514" t="b">
        <f t="shared" ref="K514:M577" si="52">OR(ISNUMBER(SEARCH("ALL_REGION",$G514)),
ISNUMBER(SEARCH("ALL_EUROPE",$G514)),
ISNUMBER(SEARCH(M$1,$G514)),
ISNUMBER(SEARCH("REGIONTYPE1",$G514)))</f>
        <v>0</v>
      </c>
      <c r="N514" t="b">
        <f t="shared" si="50"/>
        <v>0</v>
      </c>
      <c r="O514" t="b">
        <f t="shared" si="50"/>
        <v>0</v>
      </c>
      <c r="P514" t="b">
        <f t="shared" si="51"/>
        <v>0</v>
      </c>
    </row>
    <row r="515" spans="1:16">
      <c r="A515" t="str">
        <v>emu_Netherlands_NS_DD_IRM_VIRM</v>
      </c>
      <c r="B515" t="b" cm="1">
        <f t="array" ref="B515">_xlfn.XLOOKUP(A515,CONTROL[VEHIDCODE],PROPERTIES[EXCLUDE])</f>
        <v>0</v>
      </c>
      <c r="C515">
        <f>FLOOR(_xlfn.XLOOKUP($A515,PROPERTIES[VEHIDCODE],PROPERTIES[INTRODUCTION_YEAR]),20)</f>
        <v>1980</v>
      </c>
      <c r="D515" t="str">
        <f>_xlfn.XLOOKUP($A515,PROPERTIES[VEHIDCODE],PROPERTIES[ROLE])</f>
        <v>Commuter/Urban</v>
      </c>
      <c r="E515" s="35" t="str">
        <f>_xlfn.XLOOKUP($A515,PROPERTIES[VEHIDCODE],PROPERTIES[REGION1])</f>
        <v>WESTERN_EUROPE</v>
      </c>
      <c r="F515" s="35" t="str">
        <f>_xlfn.XLOOKUP($A515,PROPERTIES[VEHIDCODE],PROPERTIES[REGION2])</f>
        <v>NO_REGION</v>
      </c>
      <c r="G515" s="35" t="str">
        <f t="shared" ref="G515:G578" si="53">_xlfn.CONCAT($E515,"_",$F515)</f>
        <v>WESTERN_EUROPE_NO_REGION</v>
      </c>
      <c r="H515" t="b">
        <f t="shared" ref="H515:H578" si="54">OR(ISNUMBER(SEARCH("ALL_REGION",$G515)),
ISNUMBER(SEARCH("AFRICA",$G515)),
ISNUMBER(SEARCH("REGIONTYPE1",$G515)),
ISNUMBER(SEARCH("REGIONTYPE2",$G515)))</f>
        <v>0</v>
      </c>
      <c r="I515" t="b">
        <f t="shared" ref="I515:I578" si="55">OR(ISNUMBER(SEARCH("ALL_REGION",$G515)),
ISNUMBER(SEARCH("ASIA",$G515)),
ISNUMBER(SEARCH("REGIONTYPE1",$G515)),
ISNUMBER(SEARCH("REGIONTYPE2",$G515)),
ISNUMBER(SEARCH("REGIONTYPE3",$G515)))</f>
        <v>0</v>
      </c>
      <c r="J515" t="b">
        <f t="shared" ref="J515:M578" si="56">OR(ISNUMBER(SEARCH("ALL_REGION",$G515)),
ISNUMBER(SEARCH("ALL_EUROPE",$G515)),
ISNUMBER(SEARCH(J$1,$G515)),
ISNUMBER(SEARCH("REGIONTYPE1",$G515)))</f>
        <v>0</v>
      </c>
      <c r="K515" t="b">
        <f t="shared" si="52"/>
        <v>0</v>
      </c>
      <c r="L515" t="b">
        <f t="shared" si="52"/>
        <v>1</v>
      </c>
      <c r="M515" t="b">
        <f t="shared" si="52"/>
        <v>0</v>
      </c>
      <c r="N515" t="b">
        <f t="shared" ref="N515:O578" si="57">OR(ISNUMBER(SEARCH("ALL_REGION",$G515)),
ISNUMBER(SEARCH("ALL_AMERICA",$G515)),
ISNUMBER(SEARCH(N$1,$G515)),
ISNUMBER(SEARCH("REGIONTYPE2",$G515)))</f>
        <v>0</v>
      </c>
      <c r="O515" t="b">
        <f t="shared" si="57"/>
        <v>0</v>
      </c>
      <c r="P515" t="b">
        <f t="shared" ref="P515:P578" si="58">OR(ISNUMBER(SEARCH("ALL_REGION",$G515)),
ISNUMBER(SEARCH(P$1,$G515)),
ISNUMBER(SEARCH("REGIONTYPE3",$G515)))</f>
        <v>0</v>
      </c>
    </row>
    <row r="516" spans="1:16">
      <c r="A516" t="str">
        <v>emu_Netherlands_NS_mDDm_390</v>
      </c>
      <c r="B516" t="b" cm="1">
        <f t="array" ref="B516">_xlfn.XLOOKUP(A516,CONTROL[VEHIDCODE],PROPERTIES[EXCLUDE])</f>
        <v>0</v>
      </c>
      <c r="C516">
        <f>FLOOR(_xlfn.XLOOKUP($A516,PROPERTIES[VEHIDCODE],PROPERTIES[INTRODUCTION_YEAR]),20)</f>
        <v>1980</v>
      </c>
      <c r="D516" t="str">
        <f>_xlfn.XLOOKUP($A516,PROPERTIES[VEHIDCODE],PROPERTIES[ROLE])</f>
        <v>Express Passenger</v>
      </c>
      <c r="E516" s="35" t="str">
        <f>_xlfn.XLOOKUP($A516,PROPERTIES[VEHIDCODE],PROPERTIES[REGION1])</f>
        <v>WESTERN_EUROPE</v>
      </c>
      <c r="F516" s="35" t="str">
        <f>_xlfn.XLOOKUP($A516,PROPERTIES[VEHIDCODE],PROPERTIES[REGION2])</f>
        <v>NO_REGION</v>
      </c>
      <c r="G516" s="35" t="str">
        <f t="shared" si="53"/>
        <v>WESTERN_EUROPE_NO_REGION</v>
      </c>
      <c r="H516" t="b">
        <f t="shared" si="54"/>
        <v>0</v>
      </c>
      <c r="I516" t="b">
        <f t="shared" si="55"/>
        <v>0</v>
      </c>
      <c r="J516" t="b">
        <f t="shared" si="56"/>
        <v>0</v>
      </c>
      <c r="K516" t="b">
        <f t="shared" si="52"/>
        <v>0</v>
      </c>
      <c r="L516" t="b">
        <f t="shared" si="52"/>
        <v>1</v>
      </c>
      <c r="M516" t="b">
        <f t="shared" si="52"/>
        <v>0</v>
      </c>
      <c r="N516" t="b">
        <f t="shared" si="57"/>
        <v>0</v>
      </c>
      <c r="O516" t="b">
        <f t="shared" si="57"/>
        <v>0</v>
      </c>
      <c r="P516" t="b">
        <f t="shared" si="58"/>
        <v>0</v>
      </c>
    </row>
    <row r="517" spans="1:16">
      <c r="A517" t="str">
        <v>emu_Poland_PKP_EW90</v>
      </c>
      <c r="B517" t="b" cm="1">
        <f t="array" ref="B517">_xlfn.XLOOKUP(A517,CONTROL[VEHIDCODE],PROPERTIES[EXCLUDE])</f>
        <v>0</v>
      </c>
      <c r="C517">
        <f>FLOOR(_xlfn.XLOOKUP($A517,PROPERTIES[VEHIDCODE],PROPERTIES[INTRODUCTION_YEAR]),20)</f>
        <v>1920</v>
      </c>
      <c r="D517" t="str">
        <f>_xlfn.XLOOKUP($A517,PROPERTIES[VEHIDCODE],PROPERTIES[ROLE])</f>
        <v>Commuter/Urban</v>
      </c>
      <c r="E517" s="35" t="str">
        <f>_xlfn.XLOOKUP($A517,PROPERTIES[VEHIDCODE],PROPERTIES[REGION1])</f>
        <v>EASTERN_EUROPE</v>
      </c>
      <c r="F517" s="35" t="str">
        <f>_xlfn.XLOOKUP($A517,PROPERTIES[VEHIDCODE],PROPERTIES[REGION2])</f>
        <v>NO_REGION</v>
      </c>
      <c r="G517" s="35" t="str">
        <f t="shared" si="53"/>
        <v>EASTERN_EUROPE_NO_REGION</v>
      </c>
      <c r="H517" t="b">
        <f t="shared" si="54"/>
        <v>0</v>
      </c>
      <c r="I517" t="b">
        <f t="shared" si="55"/>
        <v>0</v>
      </c>
      <c r="J517" t="b">
        <f t="shared" si="56"/>
        <v>0</v>
      </c>
      <c r="K517" t="b">
        <f t="shared" si="52"/>
        <v>1</v>
      </c>
      <c r="L517" t="b">
        <f t="shared" si="52"/>
        <v>0</v>
      </c>
      <c r="M517" t="b">
        <f t="shared" si="52"/>
        <v>0</v>
      </c>
      <c r="N517" t="b">
        <f t="shared" si="57"/>
        <v>0</v>
      </c>
      <c r="O517" t="b">
        <f t="shared" si="57"/>
        <v>0</v>
      </c>
      <c r="P517" t="b">
        <f t="shared" si="58"/>
        <v>0</v>
      </c>
    </row>
    <row r="518" spans="1:16">
      <c r="A518" t="str">
        <v>emu_Italy_FS_ETR200</v>
      </c>
      <c r="B518" t="b" cm="1">
        <f t="array" ref="B518">_xlfn.XLOOKUP(A518,CONTROL[VEHIDCODE],PROPERTIES[EXCLUDE])</f>
        <v>0</v>
      </c>
      <c r="C518">
        <f>FLOOR(_xlfn.XLOOKUP($A518,PROPERTIES[VEHIDCODE],PROPERTIES[INTRODUCTION_YEAR]),20)</f>
        <v>1920</v>
      </c>
      <c r="D518" t="str">
        <f>_xlfn.XLOOKUP($A518,PROPERTIES[VEHIDCODE],PROPERTIES[ROLE])</f>
        <v>Express Passenger</v>
      </c>
      <c r="E518" s="35" t="str">
        <f>_xlfn.XLOOKUP($A518,PROPERTIES[VEHIDCODE],PROPERTIES[REGION1])</f>
        <v>SOUTHERN_EUROPE</v>
      </c>
      <c r="F518" s="35" t="str">
        <f>_xlfn.XLOOKUP($A518,PROPERTIES[VEHIDCODE],PROPERTIES[REGION2])</f>
        <v>NO_REGION</v>
      </c>
      <c r="G518" s="35" t="str">
        <f t="shared" si="53"/>
        <v>SOUTHERN_EUROPE_NO_REGION</v>
      </c>
      <c r="H518" t="b">
        <f t="shared" si="54"/>
        <v>0</v>
      </c>
      <c r="I518" t="b">
        <f t="shared" si="55"/>
        <v>0</v>
      </c>
      <c r="J518" t="b">
        <f t="shared" si="56"/>
        <v>1</v>
      </c>
      <c r="K518" t="b">
        <f t="shared" si="52"/>
        <v>0</v>
      </c>
      <c r="L518" t="b">
        <f t="shared" si="52"/>
        <v>0</v>
      </c>
      <c r="M518" t="b">
        <f t="shared" si="52"/>
        <v>0</v>
      </c>
      <c r="N518" t="b">
        <f t="shared" si="57"/>
        <v>0</v>
      </c>
      <c r="O518" t="b">
        <f t="shared" si="57"/>
        <v>0</v>
      </c>
      <c r="P518" t="b">
        <f t="shared" si="58"/>
        <v>0</v>
      </c>
    </row>
    <row r="519" spans="1:16">
      <c r="A519" t="str">
        <v>emu_Italy_FS_ETR300_Settebello</v>
      </c>
      <c r="B519" t="b" cm="1">
        <f t="array" ref="B519">_xlfn.XLOOKUP(A519,CONTROL[VEHIDCODE],PROPERTIES[EXCLUDE])</f>
        <v>0</v>
      </c>
      <c r="C519">
        <f>FLOOR(_xlfn.XLOOKUP($A519,PROPERTIES[VEHIDCODE],PROPERTIES[INTRODUCTION_YEAR]),20)</f>
        <v>1940</v>
      </c>
      <c r="D519" t="str">
        <f>_xlfn.XLOOKUP($A519,PROPERTIES[VEHIDCODE],PROPERTIES[ROLE])</f>
        <v>Express Passenger</v>
      </c>
      <c r="E519" s="35" t="str">
        <f>_xlfn.XLOOKUP($A519,PROPERTIES[VEHIDCODE],PROPERTIES[REGION1])</f>
        <v>SOUTHERN_EUROPE</v>
      </c>
      <c r="F519" s="35" t="str">
        <f>_xlfn.XLOOKUP($A519,PROPERTIES[VEHIDCODE],PROPERTIES[REGION2])</f>
        <v>NO_REGION</v>
      </c>
      <c r="G519" s="35" t="str">
        <f t="shared" si="53"/>
        <v>SOUTHERN_EUROPE_NO_REGION</v>
      </c>
      <c r="H519" t="b">
        <f t="shared" si="54"/>
        <v>0</v>
      </c>
      <c r="I519" t="b">
        <f t="shared" si="55"/>
        <v>0</v>
      </c>
      <c r="J519" t="b">
        <f t="shared" si="56"/>
        <v>1</v>
      </c>
      <c r="K519" t="b">
        <f t="shared" si="52"/>
        <v>0</v>
      </c>
      <c r="L519" t="b">
        <f t="shared" si="52"/>
        <v>0</v>
      </c>
      <c r="M519" t="b">
        <f t="shared" si="52"/>
        <v>0</v>
      </c>
      <c r="N519" t="b">
        <f t="shared" si="57"/>
        <v>0</v>
      </c>
      <c r="O519" t="b">
        <f t="shared" si="57"/>
        <v>0</v>
      </c>
      <c r="P519" t="b">
        <f t="shared" si="58"/>
        <v>0</v>
      </c>
    </row>
    <row r="520" spans="1:16">
      <c r="A520" t="str">
        <v>emu_Italy_FS_ETR500</v>
      </c>
      <c r="B520" t="b" cm="1">
        <f t="array" ref="B520">_xlfn.XLOOKUP(A520,CONTROL[VEHIDCODE],PROPERTIES[EXCLUDE])</f>
        <v>0</v>
      </c>
      <c r="C520">
        <f>FLOOR(_xlfn.XLOOKUP($A520,PROPERTIES[VEHIDCODE],PROPERTIES[INTRODUCTION_YEAR]),20)</f>
        <v>1980</v>
      </c>
      <c r="D520" t="str">
        <f>_xlfn.XLOOKUP($A520,PROPERTIES[VEHIDCODE],PROPERTIES[ROLE])</f>
        <v>Express</v>
      </c>
      <c r="E520" s="35" t="str">
        <f>_xlfn.XLOOKUP($A520,PROPERTIES[VEHIDCODE],PROPERTIES[REGION1])</f>
        <v>SOUTHERN_EUROPE</v>
      </c>
      <c r="F520" s="35" t="str">
        <f>_xlfn.XLOOKUP($A520,PROPERTIES[VEHIDCODE],PROPERTIES[REGION2])</f>
        <v>NO_REGION</v>
      </c>
      <c r="G520" s="35" t="str">
        <f t="shared" si="53"/>
        <v>SOUTHERN_EUROPE_NO_REGION</v>
      </c>
      <c r="H520" t="b">
        <f t="shared" si="54"/>
        <v>0</v>
      </c>
      <c r="I520" t="b">
        <f t="shared" si="55"/>
        <v>0</v>
      </c>
      <c r="J520" t="b">
        <f t="shared" si="56"/>
        <v>1</v>
      </c>
      <c r="K520" t="b">
        <f t="shared" si="52"/>
        <v>0</v>
      </c>
      <c r="L520" t="b">
        <f t="shared" si="52"/>
        <v>0</v>
      </c>
      <c r="M520" t="b">
        <f t="shared" si="52"/>
        <v>0</v>
      </c>
      <c r="N520" t="b">
        <f t="shared" si="57"/>
        <v>0</v>
      </c>
      <c r="O520" t="b">
        <f t="shared" si="57"/>
        <v>0</v>
      </c>
      <c r="P520" t="b">
        <f t="shared" si="58"/>
        <v>0</v>
      </c>
    </row>
    <row r="521" spans="1:16">
      <c r="A521" t="str">
        <v>emu_Italy_FS_ALe426</v>
      </c>
      <c r="B521" t="b" cm="1">
        <f t="array" ref="B521">_xlfn.XLOOKUP(A521,CONTROL[VEHIDCODE],PROPERTIES[EXCLUDE])</f>
        <v>0</v>
      </c>
      <c r="C521">
        <f>FLOOR(_xlfn.XLOOKUP($A521,PROPERTIES[VEHIDCODE],PROPERTIES[INTRODUCTION_YEAR]),20)</f>
        <v>1980</v>
      </c>
      <c r="D521" t="str">
        <f>_xlfn.XLOOKUP($A521,PROPERTIES[VEHIDCODE],PROPERTIES[ROLE])</f>
        <v>Commuter/Urban</v>
      </c>
      <c r="E521" s="35" t="str">
        <f>_xlfn.XLOOKUP($A521,PROPERTIES[VEHIDCODE],PROPERTIES[REGION1])</f>
        <v>SOUTHERN_EUROPE</v>
      </c>
      <c r="F521" s="35" t="str">
        <f>_xlfn.XLOOKUP($A521,PROPERTIES[VEHIDCODE],PROPERTIES[REGION2])</f>
        <v>NO_REGION</v>
      </c>
      <c r="G521" s="35" t="str">
        <f t="shared" si="53"/>
        <v>SOUTHERN_EUROPE_NO_REGION</v>
      </c>
      <c r="H521" t="b">
        <f t="shared" si="54"/>
        <v>0</v>
      </c>
      <c r="I521" t="b">
        <f t="shared" si="55"/>
        <v>0</v>
      </c>
      <c r="J521" t="b">
        <f t="shared" si="56"/>
        <v>1</v>
      </c>
      <c r="K521" t="b">
        <f t="shared" si="52"/>
        <v>0</v>
      </c>
      <c r="L521" t="b">
        <f t="shared" si="52"/>
        <v>0</v>
      </c>
      <c r="M521" t="b">
        <f t="shared" si="52"/>
        <v>0</v>
      </c>
      <c r="N521" t="b">
        <f t="shared" si="57"/>
        <v>0</v>
      </c>
      <c r="O521" t="b">
        <f t="shared" si="57"/>
        <v>0</v>
      </c>
      <c r="P521" t="b">
        <f t="shared" si="58"/>
        <v>0</v>
      </c>
    </row>
    <row r="522" spans="1:16">
      <c r="A522" t="str">
        <v>emu_Morocco_ONCF_ZMC</v>
      </c>
      <c r="B522" t="b" cm="1">
        <f t="array" ref="B522">_xlfn.XLOOKUP(A522,CONTROL[VEHIDCODE],PROPERTIES[EXCLUDE])</f>
        <v>0</v>
      </c>
      <c r="C522">
        <f>FLOOR(_xlfn.XLOOKUP($A522,PROPERTIES[VEHIDCODE],PROPERTIES[INTRODUCTION_YEAR]),20)</f>
        <v>1980</v>
      </c>
      <c r="D522" t="str">
        <f>_xlfn.XLOOKUP($A522,PROPERTIES[VEHIDCODE],PROPERTIES[ROLE])</f>
        <v>Express Passenger</v>
      </c>
      <c r="E522" s="35" t="str">
        <f>_xlfn.XLOOKUP($A522,PROPERTIES[VEHIDCODE],PROPERTIES[REGION1])</f>
        <v>AFRICA</v>
      </c>
      <c r="F522" s="35" t="str">
        <f>_xlfn.XLOOKUP($A522,PROPERTIES[VEHIDCODE],PROPERTIES[REGION2])</f>
        <v>NO_REGION</v>
      </c>
      <c r="G522" s="35" t="str">
        <f t="shared" si="53"/>
        <v>AFRICA_NO_REGION</v>
      </c>
      <c r="H522" t="b">
        <f t="shared" si="54"/>
        <v>1</v>
      </c>
      <c r="I522" t="b">
        <f t="shared" si="55"/>
        <v>0</v>
      </c>
      <c r="J522" t="b">
        <f t="shared" si="56"/>
        <v>0</v>
      </c>
      <c r="K522" t="b">
        <f t="shared" si="52"/>
        <v>0</v>
      </c>
      <c r="L522" t="b">
        <f t="shared" si="52"/>
        <v>0</v>
      </c>
      <c r="M522" t="b">
        <f t="shared" si="52"/>
        <v>0</v>
      </c>
      <c r="N522" t="b">
        <f t="shared" si="57"/>
        <v>0</v>
      </c>
      <c r="O522" t="b">
        <f t="shared" si="57"/>
        <v>0</v>
      </c>
      <c r="P522" t="b">
        <f t="shared" si="58"/>
        <v>0</v>
      </c>
    </row>
    <row r="523" spans="1:16">
      <c r="A523" t="str">
        <v>emu_Poland_PKP_EW54</v>
      </c>
      <c r="B523" t="b" cm="1">
        <f t="array" ref="B523">_xlfn.XLOOKUP(A523,CONTROL[VEHIDCODE],PROPERTIES[EXCLUDE])</f>
        <v>0</v>
      </c>
      <c r="C523">
        <f>FLOOR(_xlfn.XLOOKUP($A523,PROPERTIES[VEHIDCODE],PROPERTIES[INTRODUCTION_YEAR]),20)</f>
        <v>1940</v>
      </c>
      <c r="D523" t="str">
        <f>_xlfn.XLOOKUP($A523,PROPERTIES[VEHIDCODE],PROPERTIES[ROLE])</f>
        <v>Commuter/Urban</v>
      </c>
      <c r="E523" s="35" t="str">
        <f>_xlfn.XLOOKUP($A523,PROPERTIES[VEHIDCODE],PROPERTIES[REGION1])</f>
        <v>EASTERN_EUROPE</v>
      </c>
      <c r="F523" s="35" t="str">
        <f>_xlfn.XLOOKUP($A523,PROPERTIES[VEHIDCODE],PROPERTIES[REGION2])</f>
        <v>NO_REGION</v>
      </c>
      <c r="G523" s="35" t="str">
        <f t="shared" si="53"/>
        <v>EASTERN_EUROPE_NO_REGION</v>
      </c>
      <c r="H523" t="b">
        <f t="shared" si="54"/>
        <v>0</v>
      </c>
      <c r="I523" t="b">
        <f t="shared" si="55"/>
        <v>0</v>
      </c>
      <c r="J523" t="b">
        <f t="shared" si="56"/>
        <v>0</v>
      </c>
      <c r="K523" t="b">
        <f t="shared" si="52"/>
        <v>1</v>
      </c>
      <c r="L523" t="b">
        <f t="shared" si="52"/>
        <v>0</v>
      </c>
      <c r="M523" t="b">
        <f t="shared" si="52"/>
        <v>0</v>
      </c>
      <c r="N523" t="b">
        <f t="shared" si="57"/>
        <v>0</v>
      </c>
      <c r="O523" t="b">
        <f t="shared" si="57"/>
        <v>0</v>
      </c>
      <c r="P523" t="b">
        <f t="shared" si="58"/>
        <v>0</v>
      </c>
    </row>
    <row r="524" spans="1:16">
      <c r="A524" t="str">
        <v>emu_Italy_FS_ALe_801</v>
      </c>
      <c r="B524" t="b" cm="1">
        <f t="array" ref="B524">_xlfn.XLOOKUP(A524,CONTROL[VEHIDCODE],PROPERTIES[EXCLUDE])</f>
        <v>0</v>
      </c>
      <c r="C524">
        <f>FLOOR(_xlfn.XLOOKUP($A524,PROPERTIES[VEHIDCODE],PROPERTIES[INTRODUCTION_YEAR]),20)</f>
        <v>1960</v>
      </c>
      <c r="D524" t="str">
        <f>_xlfn.XLOOKUP($A524,PROPERTIES[VEHIDCODE],PROPERTIES[ROLE])</f>
        <v>Commuter/Urban</v>
      </c>
      <c r="E524" s="35" t="str">
        <f>_xlfn.XLOOKUP($A524,PROPERTIES[VEHIDCODE],PROPERTIES[REGION1])</f>
        <v>SOUTHERN_EUROPE</v>
      </c>
      <c r="F524" s="35" t="str">
        <f>_xlfn.XLOOKUP($A524,PROPERTIES[VEHIDCODE],PROPERTIES[REGION2])</f>
        <v>NO_REGION</v>
      </c>
      <c r="G524" s="35" t="str">
        <f t="shared" si="53"/>
        <v>SOUTHERN_EUROPE_NO_REGION</v>
      </c>
      <c r="H524" t="b">
        <f t="shared" si="54"/>
        <v>0</v>
      </c>
      <c r="I524" t="b">
        <f t="shared" si="55"/>
        <v>0</v>
      </c>
      <c r="J524" t="b">
        <f t="shared" si="56"/>
        <v>1</v>
      </c>
      <c r="K524" t="b">
        <f t="shared" si="52"/>
        <v>0</v>
      </c>
      <c r="L524" t="b">
        <f t="shared" si="52"/>
        <v>0</v>
      </c>
      <c r="M524" t="b">
        <f t="shared" si="52"/>
        <v>0</v>
      </c>
      <c r="N524" t="b">
        <f t="shared" si="57"/>
        <v>0</v>
      </c>
      <c r="O524" t="b">
        <f t="shared" si="57"/>
        <v>0</v>
      </c>
      <c r="P524" t="b">
        <f t="shared" si="58"/>
        <v>0</v>
      </c>
    </row>
    <row r="525" spans="1:16">
      <c r="A525" t="str">
        <v>emu_Austria_OBB_4030</v>
      </c>
      <c r="B525" t="b" cm="1">
        <f t="array" ref="B525">_xlfn.XLOOKUP(A525,CONTROL[VEHIDCODE],PROPERTIES[EXCLUDE])</f>
        <v>0</v>
      </c>
      <c r="C525">
        <f>FLOOR(_xlfn.XLOOKUP($A525,PROPERTIES[VEHIDCODE],PROPERTIES[INTRODUCTION_YEAR]),20)</f>
        <v>1940</v>
      </c>
      <c r="D525" t="str">
        <f>_xlfn.XLOOKUP($A525,PROPERTIES[VEHIDCODE],PROPERTIES[ROLE])</f>
        <v>Commuter/Urban</v>
      </c>
      <c r="E525" s="35" t="str">
        <f>_xlfn.XLOOKUP($A525,PROPERTIES[VEHIDCODE],PROPERTIES[REGION1])</f>
        <v>WESTERN_EUROPE</v>
      </c>
      <c r="F525" s="35" t="str">
        <f>_xlfn.XLOOKUP($A525,PROPERTIES[VEHIDCODE],PROPERTIES[REGION2])</f>
        <v>NO_REGION</v>
      </c>
      <c r="G525" s="35" t="str">
        <f t="shared" si="53"/>
        <v>WESTERN_EUROPE_NO_REGION</v>
      </c>
      <c r="H525" t="b">
        <f t="shared" si="54"/>
        <v>0</v>
      </c>
      <c r="I525" t="b">
        <f t="shared" si="55"/>
        <v>0</v>
      </c>
      <c r="J525" t="b">
        <f t="shared" si="56"/>
        <v>0</v>
      </c>
      <c r="K525" t="b">
        <f t="shared" si="52"/>
        <v>0</v>
      </c>
      <c r="L525" t="b">
        <f t="shared" si="52"/>
        <v>1</v>
      </c>
      <c r="M525" t="b">
        <f t="shared" si="52"/>
        <v>0</v>
      </c>
      <c r="N525" t="b">
        <f t="shared" si="57"/>
        <v>0</v>
      </c>
      <c r="O525" t="b">
        <f t="shared" si="57"/>
        <v>0</v>
      </c>
      <c r="P525" t="b">
        <f t="shared" si="58"/>
        <v>0</v>
      </c>
    </row>
    <row r="526" spans="1:16">
      <c r="A526" t="str">
        <v>emu_Austria_OBB_4041</v>
      </c>
      <c r="B526" t="b" cm="1">
        <f t="array" ref="B526">_xlfn.XLOOKUP(A526,CONTROL[VEHIDCODE],PROPERTIES[EXCLUDE])</f>
        <v>0</v>
      </c>
      <c r="C526">
        <f>FLOOR(_xlfn.XLOOKUP($A526,PROPERTIES[VEHIDCODE],PROPERTIES[INTRODUCTION_YEAR]),20)</f>
        <v>1920</v>
      </c>
      <c r="D526" t="str">
        <f>_xlfn.XLOOKUP($A526,PROPERTIES[VEHIDCODE],PROPERTIES[ROLE])</f>
        <v>Commuter/Urban</v>
      </c>
      <c r="E526" s="35" t="str">
        <f>_xlfn.XLOOKUP($A526,PROPERTIES[VEHIDCODE],PROPERTIES[REGION1])</f>
        <v>WESTERN_EUROPE</v>
      </c>
      <c r="F526" s="35" t="str">
        <f>_xlfn.XLOOKUP($A526,PROPERTIES[VEHIDCODE],PROPERTIES[REGION2])</f>
        <v>NO_REGION</v>
      </c>
      <c r="G526" s="35" t="str">
        <f t="shared" si="53"/>
        <v>WESTERN_EUROPE_NO_REGION</v>
      </c>
      <c r="H526" t="b">
        <f t="shared" si="54"/>
        <v>0</v>
      </c>
      <c r="I526" t="b">
        <f t="shared" si="55"/>
        <v>0</v>
      </c>
      <c r="J526" t="b">
        <f t="shared" si="56"/>
        <v>0</v>
      </c>
      <c r="K526" t="b">
        <f t="shared" si="52"/>
        <v>0</v>
      </c>
      <c r="L526" t="b">
        <f t="shared" si="52"/>
        <v>1</v>
      </c>
      <c r="M526" t="b">
        <f t="shared" si="52"/>
        <v>0</v>
      </c>
      <c r="N526" t="b">
        <f t="shared" si="57"/>
        <v>0</v>
      </c>
      <c r="O526" t="b">
        <f t="shared" si="57"/>
        <v>0</v>
      </c>
      <c r="P526" t="b">
        <f t="shared" si="58"/>
        <v>0</v>
      </c>
    </row>
    <row r="527" spans="1:16">
      <c r="A527" t="str">
        <v>emu_Austria_WESTbahn_4010_KISS</v>
      </c>
      <c r="B527" t="b" cm="1">
        <f t="array" ref="B527">_xlfn.XLOOKUP(A527,CONTROL[VEHIDCODE],PROPERTIES[EXCLUDE])</f>
        <v>0</v>
      </c>
      <c r="C527">
        <f>FLOOR(_xlfn.XLOOKUP($A527,PROPERTIES[VEHIDCODE],PROPERTIES[INTRODUCTION_YEAR]),20)</f>
        <v>2000</v>
      </c>
      <c r="D527" t="str">
        <f>_xlfn.XLOOKUP($A527,PROPERTIES[VEHIDCODE],PROPERTIES[ROLE])</f>
        <v>Express Passenger</v>
      </c>
      <c r="E527" s="35" t="str">
        <f>_xlfn.XLOOKUP($A527,PROPERTIES[VEHIDCODE],PROPERTIES[REGION1])</f>
        <v>WESTERN_EUROPE</v>
      </c>
      <c r="F527" s="35" t="str">
        <f>_xlfn.XLOOKUP($A527,PROPERTIES[VEHIDCODE],PROPERTIES[REGION2])</f>
        <v>NO_REGION</v>
      </c>
      <c r="G527" s="35" t="str">
        <f t="shared" si="53"/>
        <v>WESTERN_EUROPE_NO_REGION</v>
      </c>
      <c r="H527" t="b">
        <f t="shared" si="54"/>
        <v>0</v>
      </c>
      <c r="I527" t="b">
        <f t="shared" si="55"/>
        <v>0</v>
      </c>
      <c r="J527" t="b">
        <f t="shared" si="56"/>
        <v>0</v>
      </c>
      <c r="K527" t="b">
        <f t="shared" si="52"/>
        <v>0</v>
      </c>
      <c r="L527" t="b">
        <f t="shared" si="52"/>
        <v>1</v>
      </c>
      <c r="M527" t="b">
        <f t="shared" si="52"/>
        <v>0</v>
      </c>
      <c r="N527" t="b">
        <f t="shared" si="57"/>
        <v>0</v>
      </c>
      <c r="O527" t="b">
        <f t="shared" si="57"/>
        <v>0</v>
      </c>
      <c r="P527" t="b">
        <f t="shared" si="58"/>
        <v>0</v>
      </c>
    </row>
    <row r="528" spans="1:16">
      <c r="A528" t="str">
        <v>emu_Germany_DB_ET420</v>
      </c>
      <c r="B528" t="b" cm="1">
        <f t="array" ref="B528">_xlfn.XLOOKUP(A528,CONTROL[VEHIDCODE],PROPERTIES[EXCLUDE])</f>
        <v>0</v>
      </c>
      <c r="C528">
        <f>FLOOR(_xlfn.XLOOKUP($A528,PROPERTIES[VEHIDCODE],PROPERTIES[INTRODUCTION_YEAR]),20)</f>
        <v>1960</v>
      </c>
      <c r="D528" t="str">
        <f>_xlfn.XLOOKUP($A528,PROPERTIES[VEHIDCODE],PROPERTIES[ROLE])</f>
        <v>Commuter/Urban</v>
      </c>
      <c r="E528" s="35" t="str">
        <f>_xlfn.XLOOKUP($A528,PROPERTIES[VEHIDCODE],PROPERTIES[REGION1])</f>
        <v>WESTERN_EUROPE</v>
      </c>
      <c r="F528" s="35" t="str">
        <f>_xlfn.XLOOKUP($A528,PROPERTIES[VEHIDCODE],PROPERTIES[REGION2])</f>
        <v>NO_REGION</v>
      </c>
      <c r="G528" s="35" t="str">
        <f t="shared" si="53"/>
        <v>WESTERN_EUROPE_NO_REGION</v>
      </c>
      <c r="H528" t="b">
        <f t="shared" si="54"/>
        <v>0</v>
      </c>
      <c r="I528" t="b">
        <f t="shared" si="55"/>
        <v>0</v>
      </c>
      <c r="J528" t="b">
        <f t="shared" si="56"/>
        <v>0</v>
      </c>
      <c r="K528" t="b">
        <f t="shared" si="52"/>
        <v>0</v>
      </c>
      <c r="L528" t="b">
        <f t="shared" si="52"/>
        <v>1</v>
      </c>
      <c r="M528" t="b">
        <f t="shared" si="52"/>
        <v>0</v>
      </c>
      <c r="N528" t="b">
        <f t="shared" si="57"/>
        <v>0</v>
      </c>
      <c r="O528" t="b">
        <f t="shared" si="57"/>
        <v>0</v>
      </c>
      <c r="P528" t="b">
        <f t="shared" si="58"/>
        <v>0</v>
      </c>
    </row>
    <row r="529" spans="1:16">
      <c r="A529" t="str">
        <v>emu_Norway_NSB_BM73</v>
      </c>
      <c r="B529" t="b" cm="1">
        <f t="array" ref="B529">_xlfn.XLOOKUP(A529,CONTROL[VEHIDCODE],PROPERTIES[EXCLUDE])</f>
        <v>0</v>
      </c>
      <c r="C529">
        <f>FLOOR(_xlfn.XLOOKUP($A529,PROPERTIES[VEHIDCODE],PROPERTIES[INTRODUCTION_YEAR]),20)</f>
        <v>1980</v>
      </c>
      <c r="D529" t="str">
        <f>_xlfn.XLOOKUP($A529,PROPERTIES[VEHIDCODE],PROPERTIES[ROLE])</f>
        <v>Express Passenger</v>
      </c>
      <c r="E529" s="35" t="str">
        <f>_xlfn.XLOOKUP($A529,PROPERTIES[VEHIDCODE],PROPERTIES[REGION1])</f>
        <v>NORTHERN_EUROPE</v>
      </c>
      <c r="F529" s="35" t="str">
        <f>_xlfn.XLOOKUP($A529,PROPERTIES[VEHIDCODE],PROPERTIES[REGION2])</f>
        <v>NO_REGION</v>
      </c>
      <c r="G529" s="35" t="str">
        <f t="shared" si="53"/>
        <v>NORTHERN_EUROPE_NO_REGION</v>
      </c>
      <c r="H529" t="b">
        <f t="shared" si="54"/>
        <v>0</v>
      </c>
      <c r="I529" t="b">
        <f t="shared" si="55"/>
        <v>0</v>
      </c>
      <c r="J529" t="b">
        <f t="shared" si="56"/>
        <v>0</v>
      </c>
      <c r="K529" t="b">
        <f t="shared" si="52"/>
        <v>0</v>
      </c>
      <c r="L529" t="b">
        <f t="shared" si="52"/>
        <v>0</v>
      </c>
      <c r="M529" t="b">
        <f t="shared" si="52"/>
        <v>1</v>
      </c>
      <c r="N529" t="b">
        <f t="shared" si="57"/>
        <v>0</v>
      </c>
      <c r="O529" t="b">
        <f t="shared" si="57"/>
        <v>0</v>
      </c>
      <c r="P529" t="b">
        <f t="shared" si="58"/>
        <v>0</v>
      </c>
    </row>
    <row r="530" spans="1:16">
      <c r="A530" t="str">
        <v>emu_Norway_NSB_BM65</v>
      </c>
      <c r="B530" t="b" cm="1">
        <f t="array" ref="B530">_xlfn.XLOOKUP(A530,CONTROL[VEHIDCODE],PROPERTIES[EXCLUDE])</f>
        <v>0</v>
      </c>
      <c r="C530">
        <f>FLOOR(_xlfn.XLOOKUP($A530,PROPERTIES[VEHIDCODE],PROPERTIES[INTRODUCTION_YEAR]),20)</f>
        <v>1940</v>
      </c>
      <c r="D530" t="str">
        <f>_xlfn.XLOOKUP($A530,PROPERTIES[VEHIDCODE],PROPERTIES[ROLE])</f>
        <v>Commuter/Urban</v>
      </c>
      <c r="E530" s="35" t="str">
        <f>_xlfn.XLOOKUP($A530,PROPERTIES[VEHIDCODE],PROPERTIES[REGION1])</f>
        <v>NORTHERN_EUROPE</v>
      </c>
      <c r="F530" s="35" t="str">
        <f>_xlfn.XLOOKUP($A530,PROPERTIES[VEHIDCODE],PROPERTIES[REGION2])</f>
        <v>NO_REGION</v>
      </c>
      <c r="G530" s="35" t="str">
        <f t="shared" si="53"/>
        <v>NORTHERN_EUROPE_NO_REGION</v>
      </c>
      <c r="H530" t="b">
        <f t="shared" si="54"/>
        <v>0</v>
      </c>
      <c r="I530" t="b">
        <f t="shared" si="55"/>
        <v>0</v>
      </c>
      <c r="J530" t="b">
        <f t="shared" si="56"/>
        <v>0</v>
      </c>
      <c r="K530" t="b">
        <f t="shared" si="52"/>
        <v>0</v>
      </c>
      <c r="L530" t="b">
        <f t="shared" si="52"/>
        <v>0</v>
      </c>
      <c r="M530" t="b">
        <f t="shared" si="52"/>
        <v>1</v>
      </c>
      <c r="N530" t="b">
        <f t="shared" si="57"/>
        <v>0</v>
      </c>
      <c r="O530" t="b">
        <f t="shared" si="57"/>
        <v>0</v>
      </c>
      <c r="P530" t="b">
        <f t="shared" si="58"/>
        <v>0</v>
      </c>
    </row>
    <row r="531" spans="1:16">
      <c r="A531" t="str">
        <v>emu_Sweden_SJ_X2000</v>
      </c>
      <c r="B531" t="b" cm="1">
        <f t="array" ref="B531">_xlfn.XLOOKUP(A531,CONTROL[VEHIDCODE],PROPERTIES[EXCLUDE])</f>
        <v>0</v>
      </c>
      <c r="C531">
        <f>FLOOR(_xlfn.XLOOKUP($A531,PROPERTIES[VEHIDCODE],PROPERTIES[INTRODUCTION_YEAR]),20)</f>
        <v>1980</v>
      </c>
      <c r="D531" t="str">
        <f>_xlfn.XLOOKUP($A531,PROPERTIES[VEHIDCODE],PROPERTIES[ROLE])</f>
        <v>Express</v>
      </c>
      <c r="E531" s="35" t="str">
        <f>_xlfn.XLOOKUP($A531,PROPERTIES[VEHIDCODE],PROPERTIES[REGION1])</f>
        <v>NORTHERN_EUROPE</v>
      </c>
      <c r="F531" s="35" t="str">
        <f>_xlfn.XLOOKUP($A531,PROPERTIES[VEHIDCODE],PROPERTIES[REGION2])</f>
        <v>OCEANIA</v>
      </c>
      <c r="G531" s="35" t="str">
        <f t="shared" si="53"/>
        <v>NORTHERN_EUROPE_OCEANIA</v>
      </c>
      <c r="H531" t="b">
        <f t="shared" si="54"/>
        <v>0</v>
      </c>
      <c r="I531" t="b">
        <f t="shared" si="55"/>
        <v>0</v>
      </c>
      <c r="J531" t="b">
        <f t="shared" si="56"/>
        <v>0</v>
      </c>
      <c r="K531" t="b">
        <f t="shared" si="52"/>
        <v>0</v>
      </c>
      <c r="L531" t="b">
        <f t="shared" si="52"/>
        <v>0</v>
      </c>
      <c r="M531" t="b">
        <f t="shared" si="52"/>
        <v>1</v>
      </c>
      <c r="N531" t="b">
        <f t="shared" si="57"/>
        <v>0</v>
      </c>
      <c r="O531" t="b">
        <f t="shared" si="57"/>
        <v>0</v>
      </c>
      <c r="P531" t="b">
        <f t="shared" si="58"/>
        <v>1</v>
      </c>
    </row>
    <row r="532" spans="1:16">
      <c r="A532" t="str">
        <v>emu_Switzerland_SBB_RABDe_510</v>
      </c>
      <c r="B532" t="b" cm="1">
        <f t="array" ref="B532">_xlfn.XLOOKUP(A532,CONTROL[VEHIDCODE],PROPERTIES[EXCLUDE])</f>
        <v>0</v>
      </c>
      <c r="C532">
        <f>FLOOR(_xlfn.XLOOKUP($A532,PROPERTIES[VEHIDCODE],PROPERTIES[INTRODUCTION_YEAR]),20)</f>
        <v>1960</v>
      </c>
      <c r="D532" t="str">
        <f>_xlfn.XLOOKUP($A532,PROPERTIES[VEHIDCODE],PROPERTIES[ROLE])</f>
        <v>Commuter/Urban</v>
      </c>
      <c r="E532" s="35" t="str">
        <f>_xlfn.XLOOKUP($A532,PROPERTIES[VEHIDCODE],PROPERTIES[REGION1])</f>
        <v>WESTERN_EUROPE</v>
      </c>
      <c r="F532" s="35" t="str">
        <f>_xlfn.XLOOKUP($A532,PROPERTIES[VEHIDCODE],PROPERTIES[REGION2])</f>
        <v>NO_REGION</v>
      </c>
      <c r="G532" s="35" t="str">
        <f t="shared" si="53"/>
        <v>WESTERN_EUROPE_NO_REGION</v>
      </c>
      <c r="H532" t="b">
        <f t="shared" si="54"/>
        <v>0</v>
      </c>
      <c r="I532" t="b">
        <f t="shared" si="55"/>
        <v>0</v>
      </c>
      <c r="J532" t="b">
        <f t="shared" si="56"/>
        <v>0</v>
      </c>
      <c r="K532" t="b">
        <f t="shared" si="52"/>
        <v>0</v>
      </c>
      <c r="L532" t="b">
        <f t="shared" si="52"/>
        <v>1</v>
      </c>
      <c r="M532" t="b">
        <f t="shared" si="52"/>
        <v>0</v>
      </c>
      <c r="N532" t="b">
        <f t="shared" si="57"/>
        <v>0</v>
      </c>
      <c r="O532" t="b">
        <f t="shared" si="57"/>
        <v>0</v>
      </c>
      <c r="P532" t="b">
        <f t="shared" si="58"/>
        <v>0</v>
      </c>
    </row>
    <row r="533" spans="1:16">
      <c r="A533" t="str">
        <v>emu_Switzerland_SBB_RBDe_560</v>
      </c>
      <c r="B533" t="b" cm="1">
        <f t="array" ref="B533">_xlfn.XLOOKUP(A533,CONTROL[VEHIDCODE],PROPERTIES[EXCLUDE])</f>
        <v>0</v>
      </c>
      <c r="C533">
        <f>FLOOR(_xlfn.XLOOKUP($A533,PROPERTIES[VEHIDCODE],PROPERTIES[INTRODUCTION_YEAR]),20)</f>
        <v>1980</v>
      </c>
      <c r="D533" t="str">
        <f>_xlfn.XLOOKUP($A533,PROPERTIES[VEHIDCODE],PROPERTIES[ROLE])</f>
        <v>Commuter/Urban</v>
      </c>
      <c r="E533" s="35" t="str">
        <f>_xlfn.XLOOKUP($A533,PROPERTIES[VEHIDCODE],PROPERTIES[REGION1])</f>
        <v>WESTERN_EUROPE</v>
      </c>
      <c r="F533" s="35" t="str">
        <f>_xlfn.XLOOKUP($A533,PROPERTIES[VEHIDCODE],PROPERTIES[REGION2])</f>
        <v>NO_REGION</v>
      </c>
      <c r="G533" s="35" t="str">
        <f t="shared" si="53"/>
        <v>WESTERN_EUROPE_NO_REGION</v>
      </c>
      <c r="H533" t="b">
        <f t="shared" si="54"/>
        <v>0</v>
      </c>
      <c r="I533" t="b">
        <f t="shared" si="55"/>
        <v>0</v>
      </c>
      <c r="J533" t="b">
        <f t="shared" si="56"/>
        <v>0</v>
      </c>
      <c r="K533" t="b">
        <f t="shared" si="52"/>
        <v>0</v>
      </c>
      <c r="L533" t="b">
        <f t="shared" si="52"/>
        <v>1</v>
      </c>
      <c r="M533" t="b">
        <f t="shared" si="52"/>
        <v>0</v>
      </c>
      <c r="N533" t="b">
        <f t="shared" si="57"/>
        <v>0</v>
      </c>
      <c r="O533" t="b">
        <f t="shared" si="57"/>
        <v>0</v>
      </c>
      <c r="P533" t="b">
        <f t="shared" si="58"/>
        <v>0</v>
      </c>
    </row>
    <row r="534" spans="1:16">
      <c r="A534" t="str">
        <v>emu_Switzerland_SBB_RABe_523_Flirt</v>
      </c>
      <c r="B534" t="b" cm="1">
        <f t="array" ref="B534">_xlfn.XLOOKUP(A534,CONTROL[VEHIDCODE],PROPERTIES[EXCLUDE])</f>
        <v>0</v>
      </c>
      <c r="C534">
        <f>FLOOR(_xlfn.XLOOKUP($A534,PROPERTIES[VEHIDCODE],PROPERTIES[INTRODUCTION_YEAR]),20)</f>
        <v>2000</v>
      </c>
      <c r="D534" t="str">
        <f>_xlfn.XLOOKUP($A534,PROPERTIES[VEHIDCODE],PROPERTIES[ROLE])</f>
        <v>Express Passenger</v>
      </c>
      <c r="E534" s="35" t="str">
        <f>_xlfn.XLOOKUP($A534,PROPERTIES[VEHIDCODE],PROPERTIES[REGION1])</f>
        <v>WESTERN_EUROPE</v>
      </c>
      <c r="F534" s="35" t="str">
        <f>_xlfn.XLOOKUP($A534,PROPERTIES[VEHIDCODE],PROPERTIES[REGION2])</f>
        <v>NO_REGION</v>
      </c>
      <c r="G534" s="35" t="str">
        <f t="shared" si="53"/>
        <v>WESTERN_EUROPE_NO_REGION</v>
      </c>
      <c r="H534" t="b">
        <f t="shared" si="54"/>
        <v>0</v>
      </c>
      <c r="I534" t="b">
        <f t="shared" si="55"/>
        <v>0</v>
      </c>
      <c r="J534" t="b">
        <f t="shared" si="56"/>
        <v>0</v>
      </c>
      <c r="K534" t="b">
        <f t="shared" si="52"/>
        <v>0</v>
      </c>
      <c r="L534" t="b">
        <f t="shared" si="52"/>
        <v>1</v>
      </c>
      <c r="M534" t="b">
        <f t="shared" si="52"/>
        <v>0</v>
      </c>
      <c r="N534" t="b">
        <f t="shared" si="57"/>
        <v>0</v>
      </c>
      <c r="O534" t="b">
        <f t="shared" si="57"/>
        <v>0</v>
      </c>
      <c r="P534" t="b">
        <f t="shared" si="58"/>
        <v>0</v>
      </c>
    </row>
    <row r="535" spans="1:16">
      <c r="A535" t="str">
        <v>emu_USA_Amtrak_Budd_Metroliner</v>
      </c>
      <c r="B535" t="b" cm="1">
        <f t="array" ref="B535">_xlfn.XLOOKUP(A535,CONTROL[VEHIDCODE],PROPERTIES[EXCLUDE])</f>
        <v>0</v>
      </c>
      <c r="C535">
        <f>FLOOR(_xlfn.XLOOKUP($A535,PROPERTIES[VEHIDCODE],PROPERTIES[INTRODUCTION_YEAR]),20)</f>
        <v>1960</v>
      </c>
      <c r="D535" t="str">
        <f>_xlfn.XLOOKUP($A535,PROPERTIES[VEHIDCODE],PROPERTIES[ROLE])</f>
        <v>Express Passenger</v>
      </c>
      <c r="E535" s="35" t="str">
        <f>_xlfn.XLOOKUP($A535,PROPERTIES[VEHIDCODE],PROPERTIES[REGION1])</f>
        <v>NORTH_AMERICA</v>
      </c>
      <c r="F535" s="35" t="str">
        <f>_xlfn.XLOOKUP($A535,PROPERTIES[VEHIDCODE],PROPERTIES[REGION2])</f>
        <v>NO_REGION</v>
      </c>
      <c r="G535" s="35" t="str">
        <f t="shared" si="53"/>
        <v>NORTH_AMERICA_NO_REGION</v>
      </c>
      <c r="H535" t="b">
        <f t="shared" si="54"/>
        <v>0</v>
      </c>
      <c r="I535" t="b">
        <f t="shared" si="55"/>
        <v>0</v>
      </c>
      <c r="J535" t="b">
        <f t="shared" si="56"/>
        <v>0</v>
      </c>
      <c r="K535" t="b">
        <f t="shared" si="52"/>
        <v>0</v>
      </c>
      <c r="L535" t="b">
        <f t="shared" si="52"/>
        <v>0</v>
      </c>
      <c r="M535" t="b">
        <f t="shared" si="52"/>
        <v>0</v>
      </c>
      <c r="N535" t="b">
        <f t="shared" si="57"/>
        <v>1</v>
      </c>
      <c r="O535" t="b">
        <f t="shared" si="57"/>
        <v>0</v>
      </c>
      <c r="P535" t="b">
        <f t="shared" si="58"/>
        <v>0</v>
      </c>
    </row>
    <row r="536" spans="1:16">
      <c r="A536" t="str">
        <v>emu_Germany_DB_403_ICE_3</v>
      </c>
      <c r="B536" t="b" cm="1">
        <f t="array" ref="B536">_xlfn.XLOOKUP(A536,CONTROL[VEHIDCODE],PROPERTIES[EXCLUDE])</f>
        <v>0</v>
      </c>
      <c r="C536">
        <f>FLOOR(_xlfn.XLOOKUP($A536,PROPERTIES[VEHIDCODE],PROPERTIES[INTRODUCTION_YEAR]),20)</f>
        <v>2000</v>
      </c>
      <c r="D536" t="str">
        <f>_xlfn.XLOOKUP($A536,PROPERTIES[VEHIDCODE],PROPERTIES[ROLE])</f>
        <v>Ultra-High-Speed (Pax)</v>
      </c>
      <c r="E536" s="35" t="str">
        <f>_xlfn.XLOOKUP($A536,PROPERTIES[VEHIDCODE],PROPERTIES[REGION1])</f>
        <v>WESTERN_EUROPE</v>
      </c>
      <c r="F536" s="35" t="str">
        <f>_xlfn.XLOOKUP($A536,PROPERTIES[VEHIDCODE],PROPERTIES[REGION2])</f>
        <v>NO_REGION</v>
      </c>
      <c r="G536" s="35" t="str">
        <f t="shared" si="53"/>
        <v>WESTERN_EUROPE_NO_REGION</v>
      </c>
      <c r="H536" t="b">
        <f t="shared" si="54"/>
        <v>0</v>
      </c>
      <c r="I536" t="b">
        <f t="shared" si="55"/>
        <v>0</v>
      </c>
      <c r="J536" t="b">
        <f t="shared" si="56"/>
        <v>0</v>
      </c>
      <c r="K536" t="b">
        <f t="shared" si="52"/>
        <v>0</v>
      </c>
      <c r="L536" t="b">
        <f t="shared" si="52"/>
        <v>1</v>
      </c>
      <c r="M536" t="b">
        <f t="shared" si="52"/>
        <v>0</v>
      </c>
      <c r="N536" t="b">
        <f t="shared" si="57"/>
        <v>0</v>
      </c>
      <c r="O536" t="b">
        <f t="shared" si="57"/>
        <v>0</v>
      </c>
      <c r="P536" t="b">
        <f t="shared" si="58"/>
        <v>0</v>
      </c>
    </row>
    <row r="537" spans="1:16">
      <c r="A537" t="str">
        <v>emu_Bulgaria_BDZ_10_Desiro</v>
      </c>
      <c r="B537" t="b" cm="1">
        <f t="array" ref="B537">_xlfn.XLOOKUP(A537,CONTROL[VEHIDCODE],PROPERTIES[EXCLUDE])</f>
        <v>0</v>
      </c>
      <c r="C537">
        <f>FLOOR(_xlfn.XLOOKUP($A537,PROPERTIES[VEHIDCODE],PROPERTIES[INTRODUCTION_YEAR]),20)</f>
        <v>2000</v>
      </c>
      <c r="D537" t="str">
        <f>_xlfn.XLOOKUP($A537,PROPERTIES[VEHIDCODE],PROPERTIES[ROLE])</f>
        <v>Commuter/Urban</v>
      </c>
      <c r="E537" s="35" t="str">
        <f>_xlfn.XLOOKUP($A537,PROPERTIES[VEHIDCODE],PROPERTIES[REGION1])</f>
        <v>EASTERN_EUROPE</v>
      </c>
      <c r="F537" s="35" t="str">
        <f>_xlfn.XLOOKUP($A537,PROPERTIES[VEHIDCODE],PROPERTIES[REGION2])</f>
        <v>NO_REGION</v>
      </c>
      <c r="G537" s="35" t="str">
        <f t="shared" si="53"/>
        <v>EASTERN_EUROPE_NO_REGION</v>
      </c>
      <c r="H537" t="b">
        <f t="shared" si="54"/>
        <v>0</v>
      </c>
      <c r="I537" t="b">
        <f t="shared" si="55"/>
        <v>0</v>
      </c>
      <c r="J537" t="b">
        <f t="shared" si="56"/>
        <v>0</v>
      </c>
      <c r="K537" t="b">
        <f t="shared" si="52"/>
        <v>1</v>
      </c>
      <c r="L537" t="b">
        <f t="shared" si="52"/>
        <v>0</v>
      </c>
      <c r="M537" t="b">
        <f t="shared" si="52"/>
        <v>0</v>
      </c>
      <c r="N537" t="b">
        <f t="shared" si="57"/>
        <v>0</v>
      </c>
      <c r="O537" t="b">
        <f t="shared" si="57"/>
        <v>0</v>
      </c>
      <c r="P537" t="b">
        <f t="shared" si="58"/>
        <v>0</v>
      </c>
    </row>
    <row r="538" spans="1:16">
      <c r="A538" t="str">
        <v>emu_Finland_VR_Sm2</v>
      </c>
      <c r="B538" t="b" cm="1">
        <f t="array" ref="B538">_xlfn.XLOOKUP(A538,CONTROL[VEHIDCODE],PROPERTIES[EXCLUDE])</f>
        <v>0</v>
      </c>
      <c r="C538">
        <f>FLOOR(_xlfn.XLOOKUP($A538,PROPERTIES[VEHIDCODE],PROPERTIES[INTRODUCTION_YEAR]),20)</f>
        <v>1960</v>
      </c>
      <c r="D538" t="str">
        <f>_xlfn.XLOOKUP($A538,PROPERTIES[VEHIDCODE],PROPERTIES[ROLE])</f>
        <v>Express Passenger</v>
      </c>
      <c r="E538" s="35" t="str">
        <f>_xlfn.XLOOKUP($A538,PROPERTIES[VEHIDCODE],PROPERTIES[REGION1])</f>
        <v>NORTHERN_EUROPE</v>
      </c>
      <c r="F538" s="35" t="str">
        <f>_xlfn.XLOOKUP($A538,PROPERTIES[VEHIDCODE],PROPERTIES[REGION2])</f>
        <v>NO_REGION</v>
      </c>
      <c r="G538" s="35" t="str">
        <f t="shared" si="53"/>
        <v>NORTHERN_EUROPE_NO_REGION</v>
      </c>
      <c r="H538" t="b">
        <f t="shared" si="54"/>
        <v>0</v>
      </c>
      <c r="I538" t="b">
        <f t="shared" si="55"/>
        <v>0</v>
      </c>
      <c r="J538" t="b">
        <f t="shared" si="56"/>
        <v>0</v>
      </c>
      <c r="K538" t="b">
        <f t="shared" si="52"/>
        <v>0</v>
      </c>
      <c r="L538" t="b">
        <f t="shared" si="52"/>
        <v>0</v>
      </c>
      <c r="M538" t="b">
        <f t="shared" si="52"/>
        <v>1</v>
      </c>
      <c r="N538" t="b">
        <f t="shared" si="57"/>
        <v>0</v>
      </c>
      <c r="O538" t="b">
        <f t="shared" si="57"/>
        <v>0</v>
      </c>
      <c r="P538" t="b">
        <f t="shared" si="58"/>
        <v>0</v>
      </c>
    </row>
    <row r="539" spans="1:16">
      <c r="A539" t="str">
        <v>emu_Finland_VR_Sm4</v>
      </c>
      <c r="B539" t="b" cm="1">
        <f t="array" ref="B539">_xlfn.XLOOKUP(A539,CONTROL[VEHIDCODE],PROPERTIES[EXCLUDE])</f>
        <v>0</v>
      </c>
      <c r="C539">
        <f>FLOOR(_xlfn.XLOOKUP($A539,PROPERTIES[VEHIDCODE],PROPERTIES[INTRODUCTION_YEAR]),20)</f>
        <v>1980</v>
      </c>
      <c r="D539" t="str">
        <f>_xlfn.XLOOKUP($A539,PROPERTIES[VEHIDCODE],PROPERTIES[ROLE])</f>
        <v>Ultra-High-Speed (Pax)</v>
      </c>
      <c r="E539" s="35" t="str">
        <f>_xlfn.XLOOKUP($A539,PROPERTIES[VEHIDCODE],PROPERTIES[REGION1])</f>
        <v>NORTHERN_EUROPE</v>
      </c>
      <c r="F539" s="35" t="str">
        <f>_xlfn.XLOOKUP($A539,PROPERTIES[VEHIDCODE],PROPERTIES[REGION2])</f>
        <v>NO_REGION</v>
      </c>
      <c r="G539" s="35" t="str">
        <f t="shared" si="53"/>
        <v>NORTHERN_EUROPE_NO_REGION</v>
      </c>
      <c r="H539" t="b">
        <f t="shared" si="54"/>
        <v>0</v>
      </c>
      <c r="I539" t="b">
        <f t="shared" si="55"/>
        <v>0</v>
      </c>
      <c r="J539" t="b">
        <f t="shared" si="56"/>
        <v>0</v>
      </c>
      <c r="K539" t="b">
        <f t="shared" si="52"/>
        <v>0</v>
      </c>
      <c r="L539" t="b">
        <f t="shared" si="52"/>
        <v>0</v>
      </c>
      <c r="M539" t="b">
        <f t="shared" si="52"/>
        <v>1</v>
      </c>
      <c r="N539" t="b">
        <f t="shared" si="57"/>
        <v>0</v>
      </c>
      <c r="O539" t="b">
        <f t="shared" si="57"/>
        <v>0</v>
      </c>
      <c r="P539" t="b">
        <f t="shared" si="58"/>
        <v>0</v>
      </c>
    </row>
    <row r="540" spans="1:16">
      <c r="A540" t="str">
        <v>emu_Hungary_MAV_BDVmot</v>
      </c>
      <c r="B540" t="b" cm="1">
        <f t="array" ref="B540">_xlfn.XLOOKUP(A540,CONTROL[VEHIDCODE],PROPERTIES[EXCLUDE])</f>
        <v>0</v>
      </c>
      <c r="C540">
        <f>FLOOR(_xlfn.XLOOKUP($A540,PROPERTIES[VEHIDCODE],PROPERTIES[INTRODUCTION_YEAR]),20)</f>
        <v>1980</v>
      </c>
      <c r="D540" t="str">
        <f>_xlfn.XLOOKUP($A540,PROPERTIES[VEHIDCODE],PROPERTIES[ROLE])</f>
        <v>Commuter/Urban</v>
      </c>
      <c r="E540" s="35" t="str">
        <f>_xlfn.XLOOKUP($A540,PROPERTIES[VEHIDCODE],PROPERTIES[REGION1])</f>
        <v>EASTERN_EUROPE</v>
      </c>
      <c r="F540" s="35" t="str">
        <f>_xlfn.XLOOKUP($A540,PROPERTIES[VEHIDCODE],PROPERTIES[REGION2])</f>
        <v>NO_REGION</v>
      </c>
      <c r="G540" s="35" t="str">
        <f t="shared" si="53"/>
        <v>EASTERN_EUROPE_NO_REGION</v>
      </c>
      <c r="H540" t="b">
        <f t="shared" si="54"/>
        <v>0</v>
      </c>
      <c r="I540" t="b">
        <f t="shared" si="55"/>
        <v>0</v>
      </c>
      <c r="J540" t="b">
        <f t="shared" si="56"/>
        <v>0</v>
      </c>
      <c r="K540" t="b">
        <f t="shared" si="52"/>
        <v>1</v>
      </c>
      <c r="L540" t="b">
        <f t="shared" si="52"/>
        <v>0</v>
      </c>
      <c r="M540" t="b">
        <f t="shared" si="52"/>
        <v>0</v>
      </c>
      <c r="N540" t="b">
        <f t="shared" si="57"/>
        <v>0</v>
      </c>
      <c r="O540" t="b">
        <f t="shared" si="57"/>
        <v>0</v>
      </c>
      <c r="P540" t="b">
        <f t="shared" si="58"/>
        <v>0</v>
      </c>
    </row>
    <row r="541" spans="1:16">
      <c r="A541" t="str">
        <v>emu_Europe_Sureot</v>
      </c>
      <c r="B541" t="b" cm="1">
        <f t="array" ref="B541">_xlfn.XLOOKUP(A541,CONTROL[VEHIDCODE],PROPERTIES[EXCLUDE])</f>
        <v>0</v>
      </c>
      <c r="C541">
        <f>FLOOR(_xlfn.XLOOKUP($A541,PROPERTIES[VEHIDCODE],PROPERTIES[INTRODUCTION_YEAR]),20)</f>
        <v>2020</v>
      </c>
      <c r="D541" t="str">
        <f>_xlfn.XLOOKUP($A541,PROPERTIES[VEHIDCODE],PROPERTIES[ROLE])</f>
        <v>Ultra-High-Speed (Pax)</v>
      </c>
      <c r="E541" s="35" t="str">
        <f>_xlfn.XLOOKUP($A541,PROPERTIES[VEHIDCODE],PROPERTIES[REGION1])</f>
        <v>ALL_EUROPE</v>
      </c>
      <c r="F541" s="35" t="str">
        <f>_xlfn.XLOOKUP($A541,PROPERTIES[VEHIDCODE],PROPERTIES[REGION2])</f>
        <v>NO_REGION</v>
      </c>
      <c r="G541" s="35" t="str">
        <f t="shared" si="53"/>
        <v>ALL_EUROPE_NO_REGION</v>
      </c>
      <c r="H541" t="b">
        <f t="shared" si="54"/>
        <v>0</v>
      </c>
      <c r="I541" t="b">
        <f t="shared" si="55"/>
        <v>0</v>
      </c>
      <c r="J541" t="b">
        <f t="shared" si="56"/>
        <v>1</v>
      </c>
      <c r="K541" t="b">
        <f t="shared" si="52"/>
        <v>1</v>
      </c>
      <c r="L541" t="b">
        <f t="shared" si="52"/>
        <v>1</v>
      </c>
      <c r="M541" t="b">
        <f t="shared" si="52"/>
        <v>1</v>
      </c>
      <c r="N541" t="b">
        <f t="shared" si="57"/>
        <v>0</v>
      </c>
      <c r="O541" t="b">
        <f t="shared" si="57"/>
        <v>0</v>
      </c>
      <c r="P541" t="b">
        <f t="shared" si="58"/>
        <v>0</v>
      </c>
    </row>
    <row r="542" spans="1:16">
      <c r="A542" t="str">
        <v>emu_Japan_JNR_Shinkansen_Series_0</v>
      </c>
      <c r="B542" t="b" cm="1">
        <f t="array" ref="B542">_xlfn.XLOOKUP(A542,CONTROL[VEHIDCODE],PROPERTIES[EXCLUDE])</f>
        <v>0</v>
      </c>
      <c r="C542">
        <f>FLOOR(_xlfn.XLOOKUP($A542,PROPERTIES[VEHIDCODE],PROPERTIES[INTRODUCTION_YEAR]),20)</f>
        <v>1960</v>
      </c>
      <c r="D542" t="str">
        <f>_xlfn.XLOOKUP($A542,PROPERTIES[VEHIDCODE],PROPERTIES[ROLE])</f>
        <v>Express Passenger</v>
      </c>
      <c r="E542" s="35" t="str">
        <f>_xlfn.XLOOKUP($A542,PROPERTIES[VEHIDCODE],PROPERTIES[REGION1])</f>
        <v>ASIA</v>
      </c>
      <c r="F542" s="35" t="str">
        <f>_xlfn.XLOOKUP($A542,PROPERTIES[VEHIDCODE],PROPERTIES[REGION2])</f>
        <v>NO_REGION</v>
      </c>
      <c r="G542" s="35" t="str">
        <f t="shared" si="53"/>
        <v>ASIA_NO_REGION</v>
      </c>
      <c r="H542" t="b">
        <f t="shared" si="54"/>
        <v>0</v>
      </c>
      <c r="I542" t="b">
        <f t="shared" si="55"/>
        <v>1</v>
      </c>
      <c r="J542" t="b">
        <f t="shared" si="56"/>
        <v>0</v>
      </c>
      <c r="K542" t="b">
        <f t="shared" si="52"/>
        <v>0</v>
      </c>
      <c r="L542" t="b">
        <f t="shared" si="52"/>
        <v>0</v>
      </c>
      <c r="M542" t="b">
        <f t="shared" si="52"/>
        <v>0</v>
      </c>
      <c r="N542" t="b">
        <f t="shared" si="57"/>
        <v>0</v>
      </c>
      <c r="O542" t="b">
        <f t="shared" si="57"/>
        <v>0</v>
      </c>
      <c r="P542" t="b">
        <f t="shared" si="58"/>
        <v>0</v>
      </c>
    </row>
    <row r="543" spans="1:16">
      <c r="A543" t="str">
        <v>emu_Japan_JR_Shinkansen_Series_700</v>
      </c>
      <c r="B543" t="b" cm="1">
        <f t="array" ref="B543">_xlfn.XLOOKUP(A543,CONTROL[VEHIDCODE],PROPERTIES[EXCLUDE])</f>
        <v>0</v>
      </c>
      <c r="C543">
        <f>FLOOR(_xlfn.XLOOKUP($A543,PROPERTIES[VEHIDCODE],PROPERTIES[INTRODUCTION_YEAR]),20)</f>
        <v>1980</v>
      </c>
      <c r="D543" t="str">
        <f>_xlfn.XLOOKUP($A543,PROPERTIES[VEHIDCODE],PROPERTIES[ROLE])</f>
        <v>Express Passenger</v>
      </c>
      <c r="E543" s="35" t="str">
        <f>_xlfn.XLOOKUP($A543,PROPERTIES[VEHIDCODE],PROPERTIES[REGION1])</f>
        <v>ASIA</v>
      </c>
      <c r="F543" s="35" t="str">
        <f>_xlfn.XLOOKUP($A543,PROPERTIES[VEHIDCODE],PROPERTIES[REGION2])</f>
        <v>NO_REGION</v>
      </c>
      <c r="G543" s="35" t="str">
        <f t="shared" si="53"/>
        <v>ASIA_NO_REGION</v>
      </c>
      <c r="H543" t="b">
        <f t="shared" si="54"/>
        <v>0</v>
      </c>
      <c r="I543" t="b">
        <f t="shared" si="55"/>
        <v>1</v>
      </c>
      <c r="J543" t="b">
        <f t="shared" si="56"/>
        <v>0</v>
      </c>
      <c r="K543" t="b">
        <f t="shared" si="52"/>
        <v>0</v>
      </c>
      <c r="L543" t="b">
        <f t="shared" si="52"/>
        <v>0</v>
      </c>
      <c r="M543" t="b">
        <f t="shared" si="52"/>
        <v>0</v>
      </c>
      <c r="N543" t="b">
        <f t="shared" si="57"/>
        <v>0</v>
      </c>
      <c r="O543" t="b">
        <f t="shared" si="57"/>
        <v>0</v>
      </c>
      <c r="P543" t="b">
        <f t="shared" si="58"/>
        <v>0</v>
      </c>
    </row>
    <row r="544" spans="1:16">
      <c r="A544" t="str">
        <v>emu_Japan_JR_Shinkansen_Series_E1_Max</v>
      </c>
      <c r="B544" t="b" cm="1">
        <f t="array" ref="B544">_xlfn.XLOOKUP(A544,CONTROL[VEHIDCODE],PROPERTIES[EXCLUDE])</f>
        <v>0</v>
      </c>
      <c r="C544">
        <f>FLOOR(_xlfn.XLOOKUP($A544,PROPERTIES[VEHIDCODE],PROPERTIES[INTRODUCTION_YEAR]),20)</f>
        <v>1980</v>
      </c>
      <c r="D544" t="str">
        <f>_xlfn.XLOOKUP($A544,PROPERTIES[VEHIDCODE],PROPERTIES[ROLE])</f>
        <v>Express Passenger</v>
      </c>
      <c r="E544" s="35" t="str">
        <f>_xlfn.XLOOKUP($A544,PROPERTIES[VEHIDCODE],PROPERTIES[REGION1])</f>
        <v>ASIA</v>
      </c>
      <c r="F544" s="35" t="str">
        <f>_xlfn.XLOOKUP($A544,PROPERTIES[VEHIDCODE],PROPERTIES[REGION2])</f>
        <v>NO_REGION</v>
      </c>
      <c r="G544" s="35" t="str">
        <f t="shared" si="53"/>
        <v>ASIA_NO_REGION</v>
      </c>
      <c r="H544" t="b">
        <f t="shared" si="54"/>
        <v>0</v>
      </c>
      <c r="I544" t="b">
        <f t="shared" si="55"/>
        <v>1</v>
      </c>
      <c r="J544" t="b">
        <f t="shared" si="56"/>
        <v>0</v>
      </c>
      <c r="K544" t="b">
        <f t="shared" si="52"/>
        <v>0</v>
      </c>
      <c r="L544" t="b">
        <f t="shared" si="52"/>
        <v>0</v>
      </c>
      <c r="M544" t="b">
        <f t="shared" si="52"/>
        <v>0</v>
      </c>
      <c r="N544" t="b">
        <f t="shared" si="57"/>
        <v>0</v>
      </c>
      <c r="O544" t="b">
        <f t="shared" si="57"/>
        <v>0</v>
      </c>
      <c r="P544" t="b">
        <f t="shared" si="58"/>
        <v>0</v>
      </c>
    </row>
    <row r="545" spans="1:16">
      <c r="A545" t="str">
        <v>emu_Luxembourg_CFL_2200_Coradia_Duplex</v>
      </c>
      <c r="B545" t="b" cm="1">
        <f t="array" ref="B545">_xlfn.XLOOKUP(A545,CONTROL[VEHIDCODE],PROPERTIES[EXCLUDE])</f>
        <v>0</v>
      </c>
      <c r="C545">
        <f>FLOOR(_xlfn.XLOOKUP($A545,PROPERTIES[VEHIDCODE],PROPERTIES[INTRODUCTION_YEAR]),20)</f>
        <v>1980</v>
      </c>
      <c r="D545" t="str">
        <f>_xlfn.XLOOKUP($A545,PROPERTIES[VEHIDCODE],PROPERTIES[ROLE])</f>
        <v>Express Passenger</v>
      </c>
      <c r="E545" s="35" t="str">
        <f>_xlfn.XLOOKUP($A545,PROPERTIES[VEHIDCODE],PROPERTIES[REGION1])</f>
        <v>WESTERN_EUROPE</v>
      </c>
      <c r="F545" s="35" t="str">
        <f>_xlfn.XLOOKUP($A545,PROPERTIES[VEHIDCODE],PROPERTIES[REGION2])</f>
        <v>NO_REGION</v>
      </c>
      <c r="G545" s="35" t="str">
        <f t="shared" si="53"/>
        <v>WESTERN_EUROPE_NO_REGION</v>
      </c>
      <c r="H545" t="b">
        <f t="shared" si="54"/>
        <v>0</v>
      </c>
      <c r="I545" t="b">
        <f t="shared" si="55"/>
        <v>0</v>
      </c>
      <c r="J545" t="b">
        <f t="shared" si="56"/>
        <v>0</v>
      </c>
      <c r="K545" t="b">
        <f t="shared" si="52"/>
        <v>0</v>
      </c>
      <c r="L545" t="b">
        <f t="shared" si="52"/>
        <v>1</v>
      </c>
      <c r="M545" t="b">
        <f t="shared" si="52"/>
        <v>0</v>
      </c>
      <c r="N545" t="b">
        <f t="shared" si="57"/>
        <v>0</v>
      </c>
      <c r="O545" t="b">
        <f t="shared" si="57"/>
        <v>0</v>
      </c>
      <c r="P545" t="b">
        <f t="shared" si="58"/>
        <v>0</v>
      </c>
    </row>
    <row r="546" spans="1:16">
      <c r="A546" t="str">
        <v>emu_Macedonia_Macedonian_Railways_412</v>
      </c>
      <c r="B546" t="b" cm="1">
        <f t="array" ref="B546">_xlfn.XLOOKUP(A546,CONTROL[VEHIDCODE],PROPERTIES[EXCLUDE])</f>
        <v>0</v>
      </c>
      <c r="C546">
        <f>FLOOR(_xlfn.XLOOKUP($A546,PROPERTIES[VEHIDCODE],PROPERTIES[INTRODUCTION_YEAR]),20)</f>
        <v>1980</v>
      </c>
      <c r="D546" t="str">
        <f>_xlfn.XLOOKUP($A546,PROPERTIES[VEHIDCODE],PROPERTIES[ROLE])</f>
        <v>Commuter/Urban</v>
      </c>
      <c r="E546" s="35" t="str">
        <f>_xlfn.XLOOKUP($A546,PROPERTIES[VEHIDCODE],PROPERTIES[REGION1])</f>
        <v>SOUTHERN_EUROPE</v>
      </c>
      <c r="F546" s="35" t="str">
        <f>_xlfn.XLOOKUP($A546,PROPERTIES[VEHIDCODE],PROPERTIES[REGION2])</f>
        <v>NO_REGION</v>
      </c>
      <c r="G546" s="35" t="str">
        <f t="shared" si="53"/>
        <v>SOUTHERN_EUROPE_NO_REGION</v>
      </c>
      <c r="H546" t="b">
        <f t="shared" si="54"/>
        <v>0</v>
      </c>
      <c r="I546" t="b">
        <f t="shared" si="55"/>
        <v>0</v>
      </c>
      <c r="J546" t="b">
        <f t="shared" si="56"/>
        <v>1</v>
      </c>
      <c r="K546" t="b">
        <f t="shared" si="52"/>
        <v>0</v>
      </c>
      <c r="L546" t="b">
        <f t="shared" si="52"/>
        <v>0</v>
      </c>
      <c r="M546" t="b">
        <f t="shared" si="52"/>
        <v>0</v>
      </c>
      <c r="N546" t="b">
        <f t="shared" si="57"/>
        <v>0</v>
      </c>
      <c r="O546" t="b">
        <f t="shared" si="57"/>
        <v>0</v>
      </c>
      <c r="P546" t="b">
        <f t="shared" si="58"/>
        <v>0</v>
      </c>
    </row>
    <row r="547" spans="1:16">
      <c r="A547" t="str">
        <v>emu_Romania_CFR_58</v>
      </c>
      <c r="B547" t="b" cm="1">
        <f t="array" ref="B547">_xlfn.XLOOKUP(A547,CONTROL[VEHIDCODE],PROPERTIES[EXCLUDE])</f>
        <v>0</v>
      </c>
      <c r="C547">
        <f>FLOOR(_xlfn.XLOOKUP($A547,PROPERTIES[VEHIDCODE],PROPERTIES[INTRODUCTION_YEAR]),20)</f>
        <v>1960</v>
      </c>
      <c r="D547" t="str">
        <f>_xlfn.XLOOKUP($A547,PROPERTIES[VEHIDCODE],PROPERTIES[ROLE])</f>
        <v>Commuter/Urban</v>
      </c>
      <c r="E547" s="35" t="str">
        <f>_xlfn.XLOOKUP($A547,PROPERTIES[VEHIDCODE],PROPERTIES[REGION1])</f>
        <v>EASTERN_EUROPE</v>
      </c>
      <c r="F547" s="35" t="str">
        <f>_xlfn.XLOOKUP($A547,PROPERTIES[VEHIDCODE],PROPERTIES[REGION2])</f>
        <v>NO_REGION</v>
      </c>
      <c r="G547" s="35" t="str">
        <f t="shared" si="53"/>
        <v>EASTERN_EUROPE_NO_REGION</v>
      </c>
      <c r="H547" t="b">
        <f t="shared" si="54"/>
        <v>0</v>
      </c>
      <c r="I547" t="b">
        <f t="shared" si="55"/>
        <v>0</v>
      </c>
      <c r="J547" t="b">
        <f t="shared" si="56"/>
        <v>0</v>
      </c>
      <c r="K547" t="b">
        <f t="shared" si="52"/>
        <v>1</v>
      </c>
      <c r="L547" t="b">
        <f t="shared" si="52"/>
        <v>0</v>
      </c>
      <c r="M547" t="b">
        <f t="shared" si="52"/>
        <v>0</v>
      </c>
      <c r="N547" t="b">
        <f t="shared" si="57"/>
        <v>0</v>
      </c>
      <c r="O547" t="b">
        <f t="shared" si="57"/>
        <v>0</v>
      </c>
      <c r="P547" t="b">
        <f t="shared" si="58"/>
        <v>0</v>
      </c>
    </row>
    <row r="548" spans="1:16">
      <c r="A548" t="str">
        <v>emu_South_Africa_Gautrain_Electrostar</v>
      </c>
      <c r="B548" t="b" cm="1">
        <f t="array" ref="B548">_xlfn.XLOOKUP(A548,CONTROL[VEHIDCODE],PROPERTIES[EXCLUDE])</f>
        <v>0</v>
      </c>
      <c r="C548">
        <f>FLOOR(_xlfn.XLOOKUP($A548,PROPERTIES[VEHIDCODE],PROPERTIES[INTRODUCTION_YEAR]),20)</f>
        <v>2000</v>
      </c>
      <c r="D548" t="str">
        <f>_xlfn.XLOOKUP($A548,PROPERTIES[VEHIDCODE],PROPERTIES[ROLE])</f>
        <v>Express Passenger</v>
      </c>
      <c r="E548" s="35" t="str">
        <f>_xlfn.XLOOKUP($A548,PROPERTIES[VEHIDCODE],PROPERTIES[REGION1])</f>
        <v>AFRICA</v>
      </c>
      <c r="F548" s="35" t="str">
        <f>_xlfn.XLOOKUP($A548,PROPERTIES[VEHIDCODE],PROPERTIES[REGION2])</f>
        <v>NO_REGION</v>
      </c>
      <c r="G548" s="35" t="str">
        <f t="shared" si="53"/>
        <v>AFRICA_NO_REGION</v>
      </c>
      <c r="H548" t="b">
        <f t="shared" si="54"/>
        <v>1</v>
      </c>
      <c r="I548" t="b">
        <f t="shared" si="55"/>
        <v>0</v>
      </c>
      <c r="J548" t="b">
        <f t="shared" si="56"/>
        <v>0</v>
      </c>
      <c r="K548" t="b">
        <f t="shared" si="52"/>
        <v>0</v>
      </c>
      <c r="L548" t="b">
        <f t="shared" si="52"/>
        <v>0</v>
      </c>
      <c r="M548" t="b">
        <f t="shared" si="52"/>
        <v>0</v>
      </c>
      <c r="N548" t="b">
        <f t="shared" si="57"/>
        <v>0</v>
      </c>
      <c r="O548" t="b">
        <f t="shared" si="57"/>
        <v>0</v>
      </c>
      <c r="P548" t="b">
        <f t="shared" si="58"/>
        <v>0</v>
      </c>
    </row>
    <row r="549" spans="1:16">
      <c r="A549" t="str">
        <v>emu_Turkey_TCDD_E8000</v>
      </c>
      <c r="B549" t="b" cm="1">
        <f t="array" ref="B549">_xlfn.XLOOKUP(A549,CONTROL[VEHIDCODE],PROPERTIES[EXCLUDE])</f>
        <v>0</v>
      </c>
      <c r="C549">
        <f>FLOOR(_xlfn.XLOOKUP($A549,PROPERTIES[VEHIDCODE],PROPERTIES[INTRODUCTION_YEAR]),20)</f>
        <v>1940</v>
      </c>
      <c r="D549" t="str">
        <f>_xlfn.XLOOKUP($A549,PROPERTIES[VEHIDCODE],PROPERTIES[ROLE])</f>
        <v>Commuter/Urban</v>
      </c>
      <c r="E549" s="35" t="str">
        <f>_xlfn.XLOOKUP($A549,PROPERTIES[VEHIDCODE],PROPERTIES[REGION1])</f>
        <v>ASIA</v>
      </c>
      <c r="F549" s="35" t="str">
        <f>_xlfn.XLOOKUP($A549,PROPERTIES[VEHIDCODE],PROPERTIES[REGION2])</f>
        <v>NO_REGION</v>
      </c>
      <c r="G549" s="35" t="str">
        <f t="shared" si="53"/>
        <v>ASIA_NO_REGION</v>
      </c>
      <c r="H549" t="b">
        <f t="shared" si="54"/>
        <v>0</v>
      </c>
      <c r="I549" t="b">
        <f t="shared" si="55"/>
        <v>1</v>
      </c>
      <c r="J549" t="b">
        <f t="shared" si="56"/>
        <v>0</v>
      </c>
      <c r="K549" t="b">
        <f t="shared" si="52"/>
        <v>0</v>
      </c>
      <c r="L549" t="b">
        <f t="shared" si="52"/>
        <v>0</v>
      </c>
      <c r="M549" t="b">
        <f t="shared" si="52"/>
        <v>0</v>
      </c>
      <c r="N549" t="b">
        <f t="shared" si="57"/>
        <v>0</v>
      </c>
      <c r="O549" t="b">
        <f t="shared" si="57"/>
        <v>0</v>
      </c>
      <c r="P549" t="b">
        <f t="shared" si="58"/>
        <v>0</v>
      </c>
    </row>
    <row r="550" spans="1:16">
      <c r="A550" t="str">
        <v>emu_China_Railways_CHR380A</v>
      </c>
      <c r="B550" t="b" cm="1">
        <f t="array" ref="B550">_xlfn.XLOOKUP(A550,CONTROL[VEHIDCODE],PROPERTIES[EXCLUDE])</f>
        <v>0</v>
      </c>
      <c r="C550">
        <f>FLOOR(_xlfn.XLOOKUP($A550,PROPERTIES[VEHIDCODE],PROPERTIES[INTRODUCTION_YEAR]),20)</f>
        <v>2000</v>
      </c>
      <c r="D550" t="str">
        <f>_xlfn.XLOOKUP($A550,PROPERTIES[VEHIDCODE],PROPERTIES[ROLE])</f>
        <v>Ultra-High-Speed (Pax)</v>
      </c>
      <c r="E550" s="35" t="str">
        <f>_xlfn.XLOOKUP($A550,PROPERTIES[VEHIDCODE],PROPERTIES[REGION1])</f>
        <v>ASIA</v>
      </c>
      <c r="F550" s="35" t="str">
        <f>_xlfn.XLOOKUP($A550,PROPERTIES[VEHIDCODE],PROPERTIES[REGION2])</f>
        <v>NO_REGION</v>
      </c>
      <c r="G550" s="35" t="str">
        <f t="shared" si="53"/>
        <v>ASIA_NO_REGION</v>
      </c>
      <c r="H550" t="b">
        <f t="shared" si="54"/>
        <v>0</v>
      </c>
      <c r="I550" t="b">
        <f t="shared" si="55"/>
        <v>1</v>
      </c>
      <c r="J550" t="b">
        <f t="shared" si="56"/>
        <v>0</v>
      </c>
      <c r="K550" t="b">
        <f t="shared" si="52"/>
        <v>0</v>
      </c>
      <c r="L550" t="b">
        <f t="shared" si="52"/>
        <v>0</v>
      </c>
      <c r="M550" t="b">
        <f t="shared" si="52"/>
        <v>0</v>
      </c>
      <c r="N550" t="b">
        <f t="shared" si="57"/>
        <v>0</v>
      </c>
      <c r="O550" t="b">
        <f t="shared" si="57"/>
        <v>0</v>
      </c>
      <c r="P550" t="b">
        <f t="shared" si="58"/>
        <v>0</v>
      </c>
    </row>
    <row r="551" spans="1:16">
      <c r="A551" t="str">
        <v>emu_USA_PRR_MP54</v>
      </c>
      <c r="B551" t="b" cm="1">
        <f t="array" ref="B551">_xlfn.XLOOKUP(A551,CONTROL[VEHIDCODE],PROPERTIES[EXCLUDE])</f>
        <v>0</v>
      </c>
      <c r="C551">
        <f>FLOOR(_xlfn.XLOOKUP($A551,PROPERTIES[VEHIDCODE],PROPERTIES[INTRODUCTION_YEAR]),20)</f>
        <v>1900</v>
      </c>
      <c r="D551" t="str">
        <f>_xlfn.XLOOKUP($A551,PROPERTIES[VEHIDCODE],PROPERTIES[ROLE])</f>
        <v>Commuter/Urban</v>
      </c>
      <c r="E551" s="35" t="str">
        <f>_xlfn.XLOOKUP($A551,PROPERTIES[VEHIDCODE],PROPERTIES[REGION1])</f>
        <v>NORTH_AMERICA</v>
      </c>
      <c r="F551" s="35" t="str">
        <f>_xlfn.XLOOKUP($A551,PROPERTIES[VEHIDCODE],PROPERTIES[REGION2])</f>
        <v>NO_REGION</v>
      </c>
      <c r="G551" s="35" t="str">
        <f t="shared" si="53"/>
        <v>NORTH_AMERICA_NO_REGION</v>
      </c>
      <c r="H551" t="b">
        <f t="shared" si="54"/>
        <v>0</v>
      </c>
      <c r="I551" t="b">
        <f t="shared" si="55"/>
        <v>0</v>
      </c>
      <c r="J551" t="b">
        <f t="shared" si="56"/>
        <v>0</v>
      </c>
      <c r="K551" t="b">
        <f t="shared" si="52"/>
        <v>0</v>
      </c>
      <c r="L551" t="b">
        <f t="shared" si="52"/>
        <v>0</v>
      </c>
      <c r="M551" t="b">
        <f t="shared" si="52"/>
        <v>0</v>
      </c>
      <c r="N551" t="b">
        <f t="shared" si="57"/>
        <v>1</v>
      </c>
      <c r="O551" t="b">
        <f t="shared" si="57"/>
        <v>0</v>
      </c>
      <c r="P551" t="b">
        <f t="shared" si="58"/>
        <v>0</v>
      </c>
    </row>
    <row r="552" spans="1:16">
      <c r="A552" t="str">
        <v>emu_Italy_NTV_AGV</v>
      </c>
      <c r="B552" t="b" cm="1">
        <f t="array" ref="B552">_xlfn.XLOOKUP(A552,CONTROL[VEHIDCODE],PROPERTIES[EXCLUDE])</f>
        <v>0</v>
      </c>
      <c r="C552">
        <f>FLOOR(_xlfn.XLOOKUP($A552,PROPERTIES[VEHIDCODE],PROPERTIES[INTRODUCTION_YEAR]),20)</f>
        <v>2000</v>
      </c>
      <c r="D552" t="str">
        <f>_xlfn.XLOOKUP($A552,PROPERTIES[VEHIDCODE],PROPERTIES[ROLE])</f>
        <v>Ultra-High-Speed (Pax)</v>
      </c>
      <c r="E552" s="35" t="str">
        <f>_xlfn.XLOOKUP($A552,PROPERTIES[VEHIDCODE],PROPERTIES[REGION1])</f>
        <v>SOUTHERN_EUROPE</v>
      </c>
      <c r="F552" s="35" t="str">
        <f>_xlfn.XLOOKUP($A552,PROPERTIES[VEHIDCODE],PROPERTIES[REGION2])</f>
        <v>NO_REGION</v>
      </c>
      <c r="G552" s="35" t="str">
        <f t="shared" si="53"/>
        <v>SOUTHERN_EUROPE_NO_REGION</v>
      </c>
      <c r="H552" t="b">
        <f t="shared" si="54"/>
        <v>0</v>
      </c>
      <c r="I552" t="b">
        <f t="shared" si="55"/>
        <v>0</v>
      </c>
      <c r="J552" t="b">
        <f t="shared" si="56"/>
        <v>1</v>
      </c>
      <c r="K552" t="b">
        <f t="shared" si="52"/>
        <v>0</v>
      </c>
      <c r="L552" t="b">
        <f t="shared" si="52"/>
        <v>0</v>
      </c>
      <c r="M552" t="b">
        <f t="shared" si="52"/>
        <v>0</v>
      </c>
      <c r="N552" t="b">
        <f t="shared" si="57"/>
        <v>0</v>
      </c>
      <c r="O552" t="b">
        <f t="shared" si="57"/>
        <v>0</v>
      </c>
      <c r="P552" t="b">
        <f t="shared" si="58"/>
        <v>0</v>
      </c>
    </row>
    <row r="553" spans="1:16">
      <c r="A553" t="str">
        <v>emu_Italy_NTV_AGV_Duplex</v>
      </c>
      <c r="B553" t="b" cm="1">
        <f t="array" ref="B553">_xlfn.XLOOKUP(A553,CONTROL[VEHIDCODE],PROPERTIES[EXCLUDE])</f>
        <v>0</v>
      </c>
      <c r="C553">
        <f>FLOOR(_xlfn.XLOOKUP($A553,PROPERTIES[VEHIDCODE],PROPERTIES[INTRODUCTION_YEAR]),20)</f>
        <v>2000</v>
      </c>
      <c r="D553" t="str">
        <f>_xlfn.XLOOKUP($A553,PROPERTIES[VEHIDCODE],PROPERTIES[ROLE])</f>
        <v>Ultra-High-Speed (Pax)</v>
      </c>
      <c r="E553" s="35" t="str">
        <f>_xlfn.XLOOKUP($A553,PROPERTIES[VEHIDCODE],PROPERTIES[REGION1])</f>
        <v>SOUTHERN_EUROPE</v>
      </c>
      <c r="F553" s="35" t="str">
        <f>_xlfn.XLOOKUP($A553,PROPERTIES[VEHIDCODE],PROPERTIES[REGION2])</f>
        <v>NO_REGION</v>
      </c>
      <c r="G553" s="35" t="str">
        <f t="shared" si="53"/>
        <v>SOUTHERN_EUROPE_NO_REGION</v>
      </c>
      <c r="H553" t="b">
        <f t="shared" si="54"/>
        <v>0</v>
      </c>
      <c r="I553" t="b">
        <f t="shared" si="55"/>
        <v>0</v>
      </c>
      <c r="J553" t="b">
        <f t="shared" si="56"/>
        <v>1</v>
      </c>
      <c r="K553" t="b">
        <f t="shared" si="52"/>
        <v>0</v>
      </c>
      <c r="L553" t="b">
        <f t="shared" si="52"/>
        <v>0</v>
      </c>
      <c r="M553" t="b">
        <f t="shared" si="52"/>
        <v>0</v>
      </c>
      <c r="N553" t="b">
        <f t="shared" si="57"/>
        <v>0</v>
      </c>
      <c r="O553" t="b">
        <f t="shared" si="57"/>
        <v>0</v>
      </c>
      <c r="P553" t="b">
        <f t="shared" si="58"/>
        <v>0</v>
      </c>
    </row>
    <row r="554" spans="1:16">
      <c r="A554" t="str">
        <v>emu_Netherlands_NS_Hispeed_V250_Albatros</v>
      </c>
      <c r="B554" t="b" cm="1">
        <f t="array" ref="B554">_xlfn.XLOOKUP(A554,CONTROL[VEHIDCODE],PROPERTIES[EXCLUDE])</f>
        <v>0</v>
      </c>
      <c r="C554">
        <f>FLOOR(_xlfn.XLOOKUP($A554,PROPERTIES[VEHIDCODE],PROPERTIES[INTRODUCTION_YEAR]),20)</f>
        <v>2000</v>
      </c>
      <c r="D554" t="str">
        <f>_xlfn.XLOOKUP($A554,PROPERTIES[VEHIDCODE],PROPERTIES[ROLE])</f>
        <v>Express Passenger</v>
      </c>
      <c r="E554" s="35" t="str">
        <f>_xlfn.XLOOKUP($A554,PROPERTIES[VEHIDCODE],PROPERTIES[REGION1])</f>
        <v>WESTERN_EUROPE</v>
      </c>
      <c r="F554" s="35" t="str">
        <f>_xlfn.XLOOKUP($A554,PROPERTIES[VEHIDCODE],PROPERTIES[REGION2])</f>
        <v>NO_REGION</v>
      </c>
      <c r="G554" s="35" t="str">
        <f t="shared" si="53"/>
        <v>WESTERN_EUROPE_NO_REGION</v>
      </c>
      <c r="H554" t="b">
        <f t="shared" si="54"/>
        <v>0</v>
      </c>
      <c r="I554" t="b">
        <f t="shared" si="55"/>
        <v>0</v>
      </c>
      <c r="J554" t="b">
        <f t="shared" si="56"/>
        <v>0</v>
      </c>
      <c r="K554" t="b">
        <f t="shared" si="52"/>
        <v>0</v>
      </c>
      <c r="L554" t="b">
        <f t="shared" si="52"/>
        <v>1</v>
      </c>
      <c r="M554" t="b">
        <f t="shared" si="52"/>
        <v>0</v>
      </c>
      <c r="N554" t="b">
        <f t="shared" si="57"/>
        <v>0</v>
      </c>
      <c r="O554" t="b">
        <f t="shared" si="57"/>
        <v>0</v>
      </c>
      <c r="P554" t="b">
        <f t="shared" si="58"/>
        <v>0</v>
      </c>
    </row>
    <row r="555" spans="1:16">
      <c r="A555" t="str">
        <v>emu_Netherlands_NS_4800_HSA</v>
      </c>
      <c r="B555" t="b" cm="1">
        <f t="array" ref="B555">_xlfn.XLOOKUP(A555,CONTROL[VEHIDCODE],PROPERTIES[EXCLUDE])</f>
        <v>0</v>
      </c>
      <c r="C555">
        <f>FLOOR(_xlfn.XLOOKUP($A555,PROPERTIES[VEHIDCODE],PROPERTIES[INTRODUCTION_YEAR]),20)</f>
        <v>2000</v>
      </c>
      <c r="D555" t="str">
        <f>_xlfn.XLOOKUP($A555,PROPERTIES[VEHIDCODE],PROPERTIES[ROLE])</f>
        <v>Ultra-High-Speed (Pax)</v>
      </c>
      <c r="E555" s="35" t="str">
        <f>_xlfn.XLOOKUP($A555,PROPERTIES[VEHIDCODE],PROPERTIES[REGION1])</f>
        <v>WESTERN_EUROPE</v>
      </c>
      <c r="F555" s="35" t="str">
        <f>_xlfn.XLOOKUP($A555,PROPERTIES[VEHIDCODE],PROPERTIES[REGION2])</f>
        <v>NO_REGION</v>
      </c>
      <c r="G555" s="35" t="str">
        <f t="shared" si="53"/>
        <v>WESTERN_EUROPE_NO_REGION</v>
      </c>
      <c r="H555" t="b">
        <f t="shared" si="54"/>
        <v>0</v>
      </c>
      <c r="I555" t="b">
        <f t="shared" si="55"/>
        <v>0</v>
      </c>
      <c r="J555" t="b">
        <f t="shared" si="56"/>
        <v>0</v>
      </c>
      <c r="K555" t="b">
        <f t="shared" si="52"/>
        <v>0</v>
      </c>
      <c r="L555" t="b">
        <f t="shared" si="52"/>
        <v>1</v>
      </c>
      <c r="M555" t="b">
        <f t="shared" si="52"/>
        <v>0</v>
      </c>
      <c r="N555" t="b">
        <f t="shared" si="57"/>
        <v>0</v>
      </c>
      <c r="O555" t="b">
        <f t="shared" si="57"/>
        <v>0</v>
      </c>
      <c r="P555" t="b">
        <f t="shared" si="58"/>
        <v>0</v>
      </c>
    </row>
    <row r="556" spans="1:16">
      <c r="A556" t="str">
        <v>emu_Switzerland_SBB_Rae_TEE_II</v>
      </c>
      <c r="B556" t="b" cm="1">
        <f t="array" ref="B556">_xlfn.XLOOKUP(A556,CONTROL[VEHIDCODE],PROPERTIES[EXCLUDE])</f>
        <v>0</v>
      </c>
      <c r="C556">
        <f>FLOOR(_xlfn.XLOOKUP($A556,PROPERTIES[VEHIDCODE],PROPERTIES[INTRODUCTION_YEAR]),20)</f>
        <v>1960</v>
      </c>
      <c r="D556" t="str">
        <f>_xlfn.XLOOKUP($A556,PROPERTIES[VEHIDCODE],PROPERTIES[ROLE])</f>
        <v>Express Passenger</v>
      </c>
      <c r="E556" s="35" t="str">
        <f>_xlfn.XLOOKUP($A556,PROPERTIES[VEHIDCODE],PROPERTIES[REGION1])</f>
        <v>WESTERN_EUROPE</v>
      </c>
      <c r="F556" s="35" t="str">
        <f>_xlfn.XLOOKUP($A556,PROPERTIES[VEHIDCODE],PROPERTIES[REGION2])</f>
        <v>NO_REGION</v>
      </c>
      <c r="G556" s="35" t="str">
        <f t="shared" si="53"/>
        <v>WESTERN_EUROPE_NO_REGION</v>
      </c>
      <c r="H556" t="b">
        <f t="shared" si="54"/>
        <v>0</v>
      </c>
      <c r="I556" t="b">
        <f t="shared" si="55"/>
        <v>0</v>
      </c>
      <c r="J556" t="b">
        <f t="shared" si="56"/>
        <v>0</v>
      </c>
      <c r="K556" t="b">
        <f t="shared" si="52"/>
        <v>0</v>
      </c>
      <c r="L556" t="b">
        <f t="shared" si="52"/>
        <v>1</v>
      </c>
      <c r="M556" t="b">
        <f t="shared" si="52"/>
        <v>0</v>
      </c>
      <c r="N556" t="b">
        <f t="shared" si="57"/>
        <v>0</v>
      </c>
      <c r="O556" t="b">
        <f t="shared" si="57"/>
        <v>0</v>
      </c>
      <c r="P556" t="b">
        <f t="shared" si="58"/>
        <v>0</v>
      </c>
    </row>
    <row r="557" spans="1:16">
      <c r="A557" t="str">
        <v>emu_USA_Erie_Lackawanna_MU_Cars</v>
      </c>
      <c r="B557" t="b" cm="1">
        <f t="array" ref="B557">_xlfn.XLOOKUP(A557,CONTROL[VEHIDCODE],PROPERTIES[EXCLUDE])</f>
        <v>0</v>
      </c>
      <c r="C557">
        <f>FLOOR(_xlfn.XLOOKUP($A557,PROPERTIES[VEHIDCODE],PROPERTIES[INTRODUCTION_YEAR]),20)</f>
        <v>1920</v>
      </c>
      <c r="D557" t="str">
        <f>_xlfn.XLOOKUP($A557,PROPERTIES[VEHIDCODE],PROPERTIES[ROLE])</f>
        <v>Commuter/Urban</v>
      </c>
      <c r="E557" s="35" t="str">
        <f>_xlfn.XLOOKUP($A557,PROPERTIES[VEHIDCODE],PROPERTIES[REGION1])</f>
        <v>NORTH_AMERICA</v>
      </c>
      <c r="F557" s="35" t="str">
        <f>_xlfn.XLOOKUP($A557,PROPERTIES[VEHIDCODE],PROPERTIES[REGION2])</f>
        <v>NO_REGION</v>
      </c>
      <c r="G557" s="35" t="str">
        <f t="shared" si="53"/>
        <v>NORTH_AMERICA_NO_REGION</v>
      </c>
      <c r="H557" t="b">
        <f t="shared" si="54"/>
        <v>0</v>
      </c>
      <c r="I557" t="b">
        <f t="shared" si="55"/>
        <v>0</v>
      </c>
      <c r="J557" t="b">
        <f t="shared" si="56"/>
        <v>0</v>
      </c>
      <c r="K557" t="b">
        <f t="shared" si="52"/>
        <v>0</v>
      </c>
      <c r="L557" t="b">
        <f t="shared" si="52"/>
        <v>0</v>
      </c>
      <c r="M557" t="b">
        <f t="shared" si="52"/>
        <v>0</v>
      </c>
      <c r="N557" t="b">
        <f t="shared" si="57"/>
        <v>1</v>
      </c>
      <c r="O557" t="b">
        <f t="shared" si="57"/>
        <v>0</v>
      </c>
      <c r="P557" t="b">
        <f t="shared" si="58"/>
        <v>0</v>
      </c>
    </row>
    <row r="558" spans="1:16">
      <c r="A558" t="str">
        <v>emu_France_SNCF_TGV_Sud_Est</v>
      </c>
      <c r="B558" t="b" cm="1">
        <f t="array" ref="B558">_xlfn.XLOOKUP(A558,CONTROL[VEHIDCODE],PROPERTIES[EXCLUDE])</f>
        <v>0</v>
      </c>
      <c r="C558">
        <f>FLOOR(_xlfn.XLOOKUP($A558,PROPERTIES[VEHIDCODE],PROPERTIES[INTRODUCTION_YEAR]),20)</f>
        <v>1980</v>
      </c>
      <c r="D558" t="str">
        <f>_xlfn.XLOOKUP($A558,PROPERTIES[VEHIDCODE],PROPERTIES[ROLE])</f>
        <v>Express</v>
      </c>
      <c r="E558" s="35" t="str">
        <f>_xlfn.XLOOKUP($A558,PROPERTIES[VEHIDCODE],PROPERTIES[REGION1])</f>
        <v>WESTERN_EUROPE</v>
      </c>
      <c r="F558" s="35" t="str">
        <f>_xlfn.XLOOKUP($A558,PROPERTIES[VEHIDCODE],PROPERTIES[REGION2])</f>
        <v>NO_REGION</v>
      </c>
      <c r="G558" s="35" t="str">
        <f t="shared" si="53"/>
        <v>WESTERN_EUROPE_NO_REGION</v>
      </c>
      <c r="H558" t="b">
        <f t="shared" si="54"/>
        <v>0</v>
      </c>
      <c r="I558" t="b">
        <f t="shared" si="55"/>
        <v>0</v>
      </c>
      <c r="J558" t="b">
        <f t="shared" si="56"/>
        <v>0</v>
      </c>
      <c r="K558" t="b">
        <f t="shared" si="52"/>
        <v>0</v>
      </c>
      <c r="L558" t="b">
        <f t="shared" si="52"/>
        <v>1</v>
      </c>
      <c r="M558" t="b">
        <f t="shared" si="52"/>
        <v>0</v>
      </c>
      <c r="N558" t="b">
        <f t="shared" si="57"/>
        <v>0</v>
      </c>
      <c r="O558" t="b">
        <f t="shared" si="57"/>
        <v>0</v>
      </c>
      <c r="P558" t="b">
        <f t="shared" si="58"/>
        <v>0</v>
      </c>
    </row>
    <row r="559" spans="1:16">
      <c r="A559" t="str">
        <v>emu_France_SNCF_TGV_Duplex</v>
      </c>
      <c r="B559" t="b" cm="1">
        <f t="array" ref="B559">_xlfn.XLOOKUP(A559,CONTROL[VEHIDCODE],PROPERTIES[EXCLUDE])</f>
        <v>0</v>
      </c>
      <c r="C559">
        <f>FLOOR(_xlfn.XLOOKUP($A559,PROPERTIES[VEHIDCODE],PROPERTIES[INTRODUCTION_YEAR]),20)</f>
        <v>1980</v>
      </c>
      <c r="D559" t="str">
        <f>_xlfn.XLOOKUP($A559,PROPERTIES[VEHIDCODE],PROPERTIES[ROLE])</f>
        <v>Ultra-High-Speed (Universal)</v>
      </c>
      <c r="E559" s="35" t="str">
        <f>_xlfn.XLOOKUP($A559,PROPERTIES[VEHIDCODE],PROPERTIES[REGION1])</f>
        <v>WESTERN_EUROPE</v>
      </c>
      <c r="F559" s="35" t="str">
        <f>_xlfn.XLOOKUP($A559,PROPERTIES[VEHIDCODE],PROPERTIES[REGION2])</f>
        <v>NO_REGION</v>
      </c>
      <c r="G559" s="35" t="str">
        <f t="shared" si="53"/>
        <v>WESTERN_EUROPE_NO_REGION</v>
      </c>
      <c r="H559" t="b">
        <f t="shared" si="54"/>
        <v>0</v>
      </c>
      <c r="I559" t="b">
        <f t="shared" si="55"/>
        <v>0</v>
      </c>
      <c r="J559" t="b">
        <f t="shared" si="56"/>
        <v>0</v>
      </c>
      <c r="K559" t="b">
        <f t="shared" si="52"/>
        <v>0</v>
      </c>
      <c r="L559" t="b">
        <f t="shared" si="52"/>
        <v>1</v>
      </c>
      <c r="M559" t="b">
        <f t="shared" si="52"/>
        <v>0</v>
      </c>
      <c r="N559" t="b">
        <f t="shared" si="57"/>
        <v>0</v>
      </c>
      <c r="O559" t="b">
        <f t="shared" si="57"/>
        <v>0</v>
      </c>
      <c r="P559" t="b">
        <f t="shared" si="58"/>
        <v>0</v>
      </c>
    </row>
    <row r="560" spans="1:16">
      <c r="A560" t="str">
        <v>emu_France_Thalys_PBKA</v>
      </c>
      <c r="B560" t="b" cm="1">
        <f t="array" ref="B560">_xlfn.XLOOKUP(A560,CONTROL[VEHIDCODE],PROPERTIES[EXCLUDE])</f>
        <v>0</v>
      </c>
      <c r="C560">
        <f>FLOOR(_xlfn.XLOOKUP($A560,PROPERTIES[VEHIDCODE],PROPERTIES[INTRODUCTION_YEAR]),20)</f>
        <v>1980</v>
      </c>
      <c r="D560" t="str">
        <f>_xlfn.XLOOKUP($A560,PROPERTIES[VEHIDCODE],PROPERTIES[ROLE])</f>
        <v>Ultra-High-Speed (Universal)</v>
      </c>
      <c r="E560" s="35" t="str">
        <f>_xlfn.XLOOKUP($A560,PROPERTIES[VEHIDCODE],PROPERTIES[REGION1])</f>
        <v>WESTERN_EUROPE</v>
      </c>
      <c r="F560" s="35" t="str">
        <f>_xlfn.XLOOKUP($A560,PROPERTIES[VEHIDCODE],PROPERTIES[REGION2])</f>
        <v>NO_REGION</v>
      </c>
      <c r="G560" s="35" t="str">
        <f t="shared" si="53"/>
        <v>WESTERN_EUROPE_NO_REGION</v>
      </c>
      <c r="H560" t="b">
        <f t="shared" si="54"/>
        <v>0</v>
      </c>
      <c r="I560" t="b">
        <f t="shared" si="55"/>
        <v>0</v>
      </c>
      <c r="J560" t="b">
        <f t="shared" si="56"/>
        <v>0</v>
      </c>
      <c r="K560" t="b">
        <f t="shared" si="52"/>
        <v>0</v>
      </c>
      <c r="L560" t="b">
        <f t="shared" si="52"/>
        <v>1</v>
      </c>
      <c r="M560" t="b">
        <f t="shared" si="52"/>
        <v>0</v>
      </c>
      <c r="N560" t="b">
        <f t="shared" si="57"/>
        <v>0</v>
      </c>
      <c r="O560" t="b">
        <f t="shared" si="57"/>
        <v>0</v>
      </c>
      <c r="P560" t="b">
        <f t="shared" si="58"/>
        <v>0</v>
      </c>
    </row>
    <row r="561" spans="1:16">
      <c r="A561" t="str">
        <v>emu_Czech_Republic_CD_680_Pendolino</v>
      </c>
      <c r="B561" t="b" cm="1">
        <f t="array" ref="B561">_xlfn.XLOOKUP(A561,CONTROL[VEHIDCODE],PROPERTIES[EXCLUDE])</f>
        <v>0</v>
      </c>
      <c r="C561">
        <f>FLOOR(_xlfn.XLOOKUP($A561,PROPERTIES[VEHIDCODE],PROPERTIES[INTRODUCTION_YEAR]),20)</f>
        <v>1980</v>
      </c>
      <c r="D561" t="str">
        <f>_xlfn.XLOOKUP($A561,PROPERTIES[VEHIDCODE],PROPERTIES[ROLE])</f>
        <v>Express Passenger</v>
      </c>
      <c r="E561" s="35" t="str">
        <f>_xlfn.XLOOKUP($A561,PROPERTIES[VEHIDCODE],PROPERTIES[REGION1])</f>
        <v>EASTERN_EUROPE</v>
      </c>
      <c r="F561" s="35" t="str">
        <f>_xlfn.XLOOKUP($A561,PROPERTIES[VEHIDCODE],PROPERTIES[REGION2])</f>
        <v>NO_REGION</v>
      </c>
      <c r="G561" s="35" t="str">
        <f t="shared" si="53"/>
        <v>EASTERN_EUROPE_NO_REGION</v>
      </c>
      <c r="H561" t="b">
        <f t="shared" si="54"/>
        <v>0</v>
      </c>
      <c r="I561" t="b">
        <f t="shared" si="55"/>
        <v>0</v>
      </c>
      <c r="J561" t="b">
        <f t="shared" si="56"/>
        <v>0</v>
      </c>
      <c r="K561" t="b">
        <f t="shared" si="52"/>
        <v>1</v>
      </c>
      <c r="L561" t="b">
        <f t="shared" si="52"/>
        <v>0</v>
      </c>
      <c r="M561" t="b">
        <f t="shared" si="52"/>
        <v>0</v>
      </c>
      <c r="N561" t="b">
        <f t="shared" si="57"/>
        <v>0</v>
      </c>
      <c r="O561" t="b">
        <f t="shared" si="57"/>
        <v>0</v>
      </c>
      <c r="P561" t="b">
        <f t="shared" si="58"/>
        <v>0</v>
      </c>
    </row>
    <row r="562" spans="1:16">
      <c r="A562" t="str">
        <v>emu_Spain_RENFE_120</v>
      </c>
      <c r="B562" t="b" cm="1">
        <f t="array" ref="B562">_xlfn.XLOOKUP(A562,CONTROL[VEHIDCODE],PROPERTIES[EXCLUDE])</f>
        <v>0</v>
      </c>
      <c r="C562">
        <f>FLOOR(_xlfn.XLOOKUP($A562,PROPERTIES[VEHIDCODE],PROPERTIES[INTRODUCTION_YEAR]),20)</f>
        <v>2000</v>
      </c>
      <c r="D562" t="str">
        <f>_xlfn.XLOOKUP($A562,PROPERTIES[VEHIDCODE],PROPERTIES[ROLE])</f>
        <v>Express Passenger</v>
      </c>
      <c r="E562" s="35" t="str">
        <f>_xlfn.XLOOKUP($A562,PROPERTIES[VEHIDCODE],PROPERTIES[REGION1])</f>
        <v>SOUTHERN_EUROPE</v>
      </c>
      <c r="F562" s="35" t="str">
        <f>_xlfn.XLOOKUP($A562,PROPERTIES[VEHIDCODE],PROPERTIES[REGION2])</f>
        <v>NO_REGION</v>
      </c>
      <c r="G562" s="35" t="str">
        <f t="shared" si="53"/>
        <v>SOUTHERN_EUROPE_NO_REGION</v>
      </c>
      <c r="H562" t="b">
        <f t="shared" si="54"/>
        <v>0</v>
      </c>
      <c r="I562" t="b">
        <f t="shared" si="55"/>
        <v>0</v>
      </c>
      <c r="J562" t="b">
        <f t="shared" si="56"/>
        <v>1</v>
      </c>
      <c r="K562" t="b">
        <f t="shared" si="52"/>
        <v>0</v>
      </c>
      <c r="L562" t="b">
        <f t="shared" si="52"/>
        <v>0</v>
      </c>
      <c r="M562" t="b">
        <f t="shared" si="52"/>
        <v>0</v>
      </c>
      <c r="N562" t="b">
        <f t="shared" si="57"/>
        <v>0</v>
      </c>
      <c r="O562" t="b">
        <f t="shared" si="57"/>
        <v>0</v>
      </c>
      <c r="P562" t="b">
        <f t="shared" si="58"/>
        <v>0</v>
      </c>
    </row>
    <row r="563" spans="1:16">
      <c r="A563" t="str">
        <v>emu_USA_Amtrak_Acela_Express</v>
      </c>
      <c r="B563" t="b" cm="1">
        <f t="array" ref="B563">_xlfn.XLOOKUP(A563,CONTROL[VEHIDCODE],PROPERTIES[EXCLUDE])</f>
        <v>0</v>
      </c>
      <c r="C563">
        <f>FLOOR(_xlfn.XLOOKUP($A563,PROPERTIES[VEHIDCODE],PROPERTIES[INTRODUCTION_YEAR]),20)</f>
        <v>1980</v>
      </c>
      <c r="D563" t="str">
        <f>_xlfn.XLOOKUP($A563,PROPERTIES[VEHIDCODE],PROPERTIES[ROLE])</f>
        <v>Express</v>
      </c>
      <c r="E563" s="35" t="str">
        <f>_xlfn.XLOOKUP($A563,PROPERTIES[VEHIDCODE],PROPERTIES[REGION1])</f>
        <v>NORTH_AMERICA</v>
      </c>
      <c r="F563" s="35" t="str">
        <f>_xlfn.XLOOKUP($A563,PROPERTIES[VEHIDCODE],PROPERTIES[REGION2])</f>
        <v>NO_REGION</v>
      </c>
      <c r="G563" s="35" t="str">
        <f t="shared" si="53"/>
        <v>NORTH_AMERICA_NO_REGION</v>
      </c>
      <c r="H563" t="b">
        <f t="shared" si="54"/>
        <v>0</v>
      </c>
      <c r="I563" t="b">
        <f t="shared" si="55"/>
        <v>0</v>
      </c>
      <c r="J563" t="b">
        <f t="shared" si="56"/>
        <v>0</v>
      </c>
      <c r="K563" t="b">
        <f t="shared" si="52"/>
        <v>0</v>
      </c>
      <c r="L563" t="b">
        <f t="shared" si="52"/>
        <v>0</v>
      </c>
      <c r="M563" t="b">
        <f t="shared" si="52"/>
        <v>0</v>
      </c>
      <c r="N563" t="b">
        <f t="shared" si="57"/>
        <v>1</v>
      </c>
      <c r="O563" t="b">
        <f t="shared" si="57"/>
        <v>0</v>
      </c>
      <c r="P563" t="b">
        <f t="shared" si="58"/>
        <v>0</v>
      </c>
    </row>
    <row r="564" spans="1:16">
      <c r="A564" t="str">
        <v>singlemtro_USA_Brooklyn_Union_Gate_Car</v>
      </c>
      <c r="B564" t="b" cm="1">
        <f t="array" ref="B564">_xlfn.XLOOKUP(A564,CONTROL[VEHIDCODE],PROPERTIES[EXCLUDE])</f>
        <v>0</v>
      </c>
      <c r="C564">
        <f>FLOOR(_xlfn.XLOOKUP($A564,PROPERTIES[VEHIDCODE],PROPERTIES[INTRODUCTION_YEAR]),20)</f>
        <v>1880</v>
      </c>
      <c r="D564" t="str">
        <f>_xlfn.XLOOKUP($A564,PROPERTIES[VEHIDCODE],PROPERTIES[ROLE])</f>
        <v>Metro</v>
      </c>
      <c r="E564" s="35" t="str">
        <f>_xlfn.XLOOKUP($A564,PROPERTIES[VEHIDCODE],PROPERTIES[REGION1])</f>
        <v>NORTH_AMERICA</v>
      </c>
      <c r="F564" s="35" t="str">
        <f>_xlfn.XLOOKUP($A564,PROPERTIES[VEHIDCODE],PROPERTIES[REGION2])</f>
        <v>NO_REGION</v>
      </c>
      <c r="G564" s="35" t="str">
        <f t="shared" si="53"/>
        <v>NORTH_AMERICA_NO_REGION</v>
      </c>
      <c r="H564" t="b">
        <f t="shared" si="54"/>
        <v>0</v>
      </c>
      <c r="I564" t="b">
        <f t="shared" si="55"/>
        <v>0</v>
      </c>
      <c r="J564" t="b">
        <f t="shared" si="56"/>
        <v>0</v>
      </c>
      <c r="K564" t="b">
        <f t="shared" si="52"/>
        <v>0</v>
      </c>
      <c r="L564" t="b">
        <f t="shared" si="52"/>
        <v>0</v>
      </c>
      <c r="M564" t="b">
        <f t="shared" si="52"/>
        <v>0</v>
      </c>
      <c r="N564" t="b">
        <f t="shared" si="57"/>
        <v>1</v>
      </c>
      <c r="O564" t="b">
        <f t="shared" si="57"/>
        <v>0</v>
      </c>
      <c r="P564" t="b">
        <f t="shared" si="58"/>
        <v>0</v>
      </c>
    </row>
    <row r="565" spans="1:16">
      <c r="A565" t="str">
        <v>singlemtro_Hungary_Budapest_1894_Stock</v>
      </c>
      <c r="B565" t="b" cm="1">
        <f t="array" ref="B565">_xlfn.XLOOKUP(A565,CONTROL[VEHIDCODE],PROPERTIES[EXCLUDE])</f>
        <v>0</v>
      </c>
      <c r="C565">
        <f>FLOOR(_xlfn.XLOOKUP($A565,PROPERTIES[VEHIDCODE],PROPERTIES[INTRODUCTION_YEAR]),20)</f>
        <v>1900</v>
      </c>
      <c r="D565" t="str">
        <f>_xlfn.XLOOKUP($A565,PROPERTIES[VEHIDCODE],PROPERTIES[ROLE])</f>
        <v>Metro</v>
      </c>
      <c r="E565" s="35" t="str">
        <f>_xlfn.XLOOKUP($A565,PROPERTIES[VEHIDCODE],PROPERTIES[REGION1])</f>
        <v>EASTERN_EUROPE</v>
      </c>
      <c r="F565" s="35" t="str">
        <f>_xlfn.XLOOKUP($A565,PROPERTIES[VEHIDCODE],PROPERTIES[REGION2])</f>
        <v>NO_REGION</v>
      </c>
      <c r="G565" s="35" t="str">
        <f t="shared" si="53"/>
        <v>EASTERN_EUROPE_NO_REGION</v>
      </c>
      <c r="H565" t="b">
        <f t="shared" si="54"/>
        <v>0</v>
      </c>
      <c r="I565" t="b">
        <f t="shared" si="55"/>
        <v>0</v>
      </c>
      <c r="J565" t="b">
        <f t="shared" si="56"/>
        <v>0</v>
      </c>
      <c r="K565" t="b">
        <f t="shared" si="52"/>
        <v>1</v>
      </c>
      <c r="L565" t="b">
        <f t="shared" si="52"/>
        <v>0</v>
      </c>
      <c r="M565" t="b">
        <f t="shared" si="52"/>
        <v>0</v>
      </c>
      <c r="N565" t="b">
        <f t="shared" si="57"/>
        <v>0</v>
      </c>
      <c r="O565" t="b">
        <f t="shared" si="57"/>
        <v>0</v>
      </c>
      <c r="P565" t="b">
        <f t="shared" si="58"/>
        <v>0</v>
      </c>
    </row>
    <row r="566" spans="1:16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>
        <f>FLOOR(_xlfn.XLOOKUP($A566,PROPERTIES[VEHIDCODE],PROPERTIES[INTRODUCTION_YEAR]),20)</f>
        <v>1900</v>
      </c>
      <c r="D566" t="str">
        <f>_xlfn.XLOOKUP($A566,PROPERTIES[VEHIDCODE],PROPERTIES[ROLE])</f>
        <v>Metro</v>
      </c>
      <c r="E566" s="35" t="str">
        <f>_xlfn.XLOOKUP($A566,PROPERTIES[VEHIDCODE],PROPERTIES[REGION1])</f>
        <v>NORTH_AMERICA</v>
      </c>
      <c r="F566" s="35" t="str">
        <f>_xlfn.XLOOKUP($A566,PROPERTIES[VEHIDCODE],PROPERTIES[REGION2])</f>
        <v>NO_REGION</v>
      </c>
      <c r="G566" s="35" t="str">
        <f t="shared" si="53"/>
        <v>NORTH_AMERICA_NO_REGION</v>
      </c>
      <c r="H566" t="b">
        <f t="shared" si="54"/>
        <v>0</v>
      </c>
      <c r="I566" t="b">
        <f t="shared" si="55"/>
        <v>0</v>
      </c>
      <c r="J566" t="b">
        <f t="shared" si="56"/>
        <v>0</v>
      </c>
      <c r="K566" t="b">
        <f t="shared" si="52"/>
        <v>0</v>
      </c>
      <c r="L566" t="b">
        <f t="shared" si="52"/>
        <v>0</v>
      </c>
      <c r="M566" t="b">
        <f t="shared" si="52"/>
        <v>0</v>
      </c>
      <c r="N566" t="b">
        <f t="shared" si="57"/>
        <v>1</v>
      </c>
      <c r="O566" t="b">
        <f t="shared" si="57"/>
        <v>0</v>
      </c>
      <c r="P566" t="b">
        <f t="shared" si="58"/>
        <v>0</v>
      </c>
    </row>
    <row r="567" spans="1:16">
      <c r="A567" t="str">
        <v>singlemtro_Germany_Berlin_U_Bahn_C_II</v>
      </c>
      <c r="B567" t="b" cm="1">
        <f t="array" ref="B567">_xlfn.XLOOKUP(A567,CONTROL[VEHIDCODE],PROPERTIES[EXCLUDE])</f>
        <v>0</v>
      </c>
      <c r="C567">
        <f>FLOOR(_xlfn.XLOOKUP($A567,PROPERTIES[VEHIDCODE],PROPERTIES[INTRODUCTION_YEAR]),20)</f>
        <v>1920</v>
      </c>
      <c r="D567" t="str">
        <f>_xlfn.XLOOKUP($A567,PROPERTIES[VEHIDCODE],PROPERTIES[ROLE])</f>
        <v>Metro</v>
      </c>
      <c r="E567" s="35" t="str">
        <f>_xlfn.XLOOKUP($A567,PROPERTIES[VEHIDCODE],PROPERTIES[REGION1])</f>
        <v>WESTERN_EUROPE</v>
      </c>
      <c r="F567" s="35" t="str">
        <f>_xlfn.XLOOKUP($A567,PROPERTIES[VEHIDCODE],PROPERTIES[REGION2])</f>
        <v>NO_REGION</v>
      </c>
      <c r="G567" s="35" t="str">
        <f t="shared" si="53"/>
        <v>WESTERN_EUROPE_NO_REGION</v>
      </c>
      <c r="H567" t="b">
        <f t="shared" si="54"/>
        <v>0</v>
      </c>
      <c r="I567" t="b">
        <f t="shared" si="55"/>
        <v>0</v>
      </c>
      <c r="J567" t="b">
        <f t="shared" si="56"/>
        <v>0</v>
      </c>
      <c r="K567" t="b">
        <f t="shared" si="52"/>
        <v>0</v>
      </c>
      <c r="L567" t="b">
        <f t="shared" si="52"/>
        <v>1</v>
      </c>
      <c r="M567" t="b">
        <f t="shared" si="52"/>
        <v>0</v>
      </c>
      <c r="N567" t="b">
        <f t="shared" si="57"/>
        <v>0</v>
      </c>
      <c r="O567" t="b">
        <f t="shared" si="57"/>
        <v>0</v>
      </c>
      <c r="P567" t="b">
        <f t="shared" si="58"/>
        <v>0</v>
      </c>
    </row>
    <row r="568" spans="1:16">
      <c r="A568" t="str">
        <v>rbm_World_Turbobus</v>
      </c>
      <c r="B568" t="b" cm="1">
        <f t="array" ref="B568">_xlfn.XLOOKUP(A568,CONTROL[VEHIDCODE],PROPERTIES[EXCLUDE])</f>
        <v>0</v>
      </c>
      <c r="C568">
        <f>FLOOR(_xlfn.XLOOKUP($A568,PROPERTIES[VEHIDCODE],PROPERTIES[INTRODUCTION_YEAR]),20)</f>
        <v>2040</v>
      </c>
      <c r="D568" t="str">
        <f>_xlfn.XLOOKUP($A568,PROPERTIES[VEHIDCODE],PROPERTIES[ROLE])</f>
        <v>Ultra-High-Speed (Pax)</v>
      </c>
      <c r="E568" s="35" t="str">
        <f>_xlfn.XLOOKUP($A568,PROPERTIES[VEHIDCODE],PROPERTIES[REGION1])</f>
        <v>ALL_REGION</v>
      </c>
      <c r="F568" s="35" t="str">
        <f>_xlfn.XLOOKUP($A568,PROPERTIES[VEHIDCODE],PROPERTIES[REGION2])</f>
        <v>NO_REGION</v>
      </c>
      <c r="G568" s="35" t="str">
        <f t="shared" si="53"/>
        <v>ALL_REGION_NO_REGION</v>
      </c>
      <c r="H568" t="b">
        <f t="shared" si="54"/>
        <v>1</v>
      </c>
      <c r="I568" t="b">
        <f t="shared" si="55"/>
        <v>1</v>
      </c>
      <c r="J568" t="b">
        <f t="shared" si="56"/>
        <v>1</v>
      </c>
      <c r="K568" t="b">
        <f t="shared" si="52"/>
        <v>1</v>
      </c>
      <c r="L568" t="b">
        <f t="shared" si="52"/>
        <v>1</v>
      </c>
      <c r="M568" t="b">
        <f t="shared" si="52"/>
        <v>1</v>
      </c>
      <c r="N568" t="b">
        <f t="shared" si="57"/>
        <v>1</v>
      </c>
      <c r="O568" t="b">
        <f t="shared" si="57"/>
        <v>1</v>
      </c>
      <c r="P568" t="b">
        <f t="shared" si="58"/>
        <v>1</v>
      </c>
    </row>
    <row r="569" spans="1:16">
      <c r="A569" t="str">
        <v>mglv_Germany_DB_182_ES64UM_Mutus</v>
      </c>
      <c r="B569" t="b" cm="1">
        <f t="array" ref="B569">_xlfn.XLOOKUP(A569,CONTROL[VEHIDCODE],PROPERTIES[EXCLUDE])</f>
        <v>0</v>
      </c>
      <c r="C569">
        <f>FLOOR(_xlfn.XLOOKUP($A569,PROPERTIES[VEHIDCODE],PROPERTIES[INTRODUCTION_YEAR]),20)</f>
        <v>2000</v>
      </c>
      <c r="D569" t="str">
        <f>_xlfn.XLOOKUP($A569,PROPERTIES[VEHIDCODE],PROPERTIES[ROLE])</f>
        <v>Express</v>
      </c>
      <c r="E569" s="35" t="str">
        <f>_xlfn.XLOOKUP($A569,PROPERTIES[VEHIDCODE],PROPERTIES[REGION1])</f>
        <v>WESTERN_EUROPE</v>
      </c>
      <c r="F569" s="35" t="str">
        <f>_xlfn.XLOOKUP($A569,PROPERTIES[VEHIDCODE],PROPERTIES[REGION2])</f>
        <v>NO_REGION</v>
      </c>
      <c r="G569" s="35" t="str">
        <f t="shared" si="53"/>
        <v>WESTERN_EUROPE_NO_REGION</v>
      </c>
      <c r="H569" t="b">
        <f t="shared" si="54"/>
        <v>0</v>
      </c>
      <c r="I569" t="b">
        <f t="shared" si="55"/>
        <v>0</v>
      </c>
      <c r="J569" t="b">
        <f t="shared" si="56"/>
        <v>0</v>
      </c>
      <c r="K569" t="b">
        <f t="shared" si="52"/>
        <v>0</v>
      </c>
      <c r="L569" t="b">
        <f t="shared" si="52"/>
        <v>1</v>
      </c>
      <c r="M569" t="b">
        <f t="shared" si="52"/>
        <v>0</v>
      </c>
      <c r="N569" t="b">
        <f t="shared" si="57"/>
        <v>0</v>
      </c>
      <c r="O569" t="b">
        <f t="shared" si="57"/>
        <v>0</v>
      </c>
      <c r="P569" t="b">
        <f t="shared" si="58"/>
        <v>0</v>
      </c>
    </row>
    <row r="570" spans="1:16">
      <c r="A570" t="str">
        <v>mmu_China_Transrapid</v>
      </c>
      <c r="B570" t="b" cm="1">
        <f t="array" ref="B570">_xlfn.XLOOKUP(A570,CONTROL[VEHIDCODE],PROPERTIES[EXCLUDE])</f>
        <v>0</v>
      </c>
      <c r="C570">
        <f>FLOOR(_xlfn.XLOOKUP($A570,PROPERTIES[VEHIDCODE],PROPERTIES[INTRODUCTION_YEAR]),20)</f>
        <v>2000</v>
      </c>
      <c r="D570" t="str">
        <f>_xlfn.XLOOKUP($A570,PROPERTIES[VEHIDCODE],PROPERTIES[ROLE])</f>
        <v>Ultra-High-Speed (Pax)</v>
      </c>
      <c r="E570" s="35" t="str">
        <f>_xlfn.XLOOKUP($A570,PROPERTIES[VEHIDCODE],PROPERTIES[REGION1])</f>
        <v>ASIA</v>
      </c>
      <c r="F570" s="35" t="str">
        <f>_xlfn.XLOOKUP($A570,PROPERTIES[VEHIDCODE],PROPERTIES[REGION2])</f>
        <v>NO_REGION</v>
      </c>
      <c r="G570" s="35" t="str">
        <f t="shared" si="53"/>
        <v>ASIA_NO_REGION</v>
      </c>
      <c r="H570" t="b">
        <f t="shared" si="54"/>
        <v>0</v>
      </c>
      <c r="I570" t="b">
        <f t="shared" si="55"/>
        <v>1</v>
      </c>
      <c r="J570" t="b">
        <f t="shared" si="56"/>
        <v>0</v>
      </c>
      <c r="K570" t="b">
        <f t="shared" si="52"/>
        <v>0</v>
      </c>
      <c r="L570" t="b">
        <f t="shared" si="52"/>
        <v>0</v>
      </c>
      <c r="M570" t="b">
        <f t="shared" si="52"/>
        <v>0</v>
      </c>
      <c r="N570" t="b">
        <f t="shared" si="57"/>
        <v>0</v>
      </c>
      <c r="O570" t="b">
        <f t="shared" si="57"/>
        <v>0</v>
      </c>
      <c r="P570" t="b">
        <f t="shared" si="58"/>
        <v>0</v>
      </c>
    </row>
    <row r="571" spans="1:16">
      <c r="A571" t="str">
        <v>mmu_Japan_MLX01_901</v>
      </c>
      <c r="B571" t="b" cm="1">
        <f t="array" ref="B571">_xlfn.XLOOKUP(A571,CONTROL[VEHIDCODE],PROPERTIES[EXCLUDE])</f>
        <v>0</v>
      </c>
      <c r="C571">
        <f>FLOOR(_xlfn.XLOOKUP($A571,PROPERTIES[VEHIDCODE],PROPERTIES[INTRODUCTION_YEAR]),20)</f>
        <v>2020</v>
      </c>
      <c r="D571" t="str">
        <f>_xlfn.XLOOKUP($A571,PROPERTIES[VEHIDCODE],PROPERTIES[ROLE])</f>
        <v>Ultra-High-Speed (Pax)</v>
      </c>
      <c r="E571" s="35" t="str">
        <f>_xlfn.XLOOKUP($A571,PROPERTIES[VEHIDCODE],PROPERTIES[REGION1])</f>
        <v>ASIA</v>
      </c>
      <c r="F571" s="35" t="str">
        <f>_xlfn.XLOOKUP($A571,PROPERTIES[VEHIDCODE],PROPERTIES[REGION2])</f>
        <v>NO_REGION</v>
      </c>
      <c r="G571" s="35" t="str">
        <f t="shared" si="53"/>
        <v>ASIA_NO_REGION</v>
      </c>
      <c r="H571" t="b">
        <f t="shared" si="54"/>
        <v>0</v>
      </c>
      <c r="I571" t="b">
        <f t="shared" si="55"/>
        <v>1</v>
      </c>
      <c r="J571" t="b">
        <f t="shared" si="56"/>
        <v>0</v>
      </c>
      <c r="K571" t="b">
        <f t="shared" si="52"/>
        <v>0</v>
      </c>
      <c r="L571" t="b">
        <f t="shared" si="52"/>
        <v>0</v>
      </c>
      <c r="M571" t="b">
        <f t="shared" si="52"/>
        <v>0</v>
      </c>
      <c r="N571" t="b">
        <f t="shared" si="57"/>
        <v>0</v>
      </c>
      <c r="O571" t="b">
        <f t="shared" si="57"/>
        <v>0</v>
      </c>
      <c r="P571" t="b">
        <f t="shared" si="58"/>
        <v>0</v>
      </c>
    </row>
    <row r="572" spans="1:16">
      <c r="A572" t="str">
        <v>mglv_Wagon_Gen7M_Boxcar_Type1</v>
      </c>
      <c r="B572" t="b" cm="1">
        <f t="array" ref="B572">_xlfn.XLOOKUP(A572,CONTROL[VEHIDCODE],PROPERTIES[EXCLUDE])</f>
        <v>0</v>
      </c>
      <c r="C572">
        <f>FLOOR(_xlfn.XLOOKUP($A572,PROPERTIES[VEHIDCODE],PROPERTIES[INTRODUCTION_YEAR]),20)</f>
        <v>2000</v>
      </c>
      <c r="D572" t="str">
        <f>_xlfn.XLOOKUP($A572,PROPERTIES[VEHIDCODE],PROPERTIES[ROLE])</f>
        <v>Wagon</v>
      </c>
      <c r="E572" s="35" t="str">
        <f>_xlfn.XLOOKUP($A572,PROPERTIES[VEHIDCODE],PROPERTIES[REGION1])</f>
        <v>ALL_REGION</v>
      </c>
      <c r="F572" s="35" t="str">
        <f>_xlfn.XLOOKUP($A572,PROPERTIES[VEHIDCODE],PROPERTIES[REGION2])</f>
        <v>NO_REGION</v>
      </c>
      <c r="G572" s="35" t="str">
        <f t="shared" si="53"/>
        <v>ALL_REGION_NO_REGION</v>
      </c>
      <c r="H572" t="b">
        <f t="shared" si="54"/>
        <v>1</v>
      </c>
      <c r="I572" t="b">
        <f t="shared" si="55"/>
        <v>1</v>
      </c>
      <c r="J572" t="b">
        <f t="shared" si="56"/>
        <v>1</v>
      </c>
      <c r="K572" t="b">
        <f t="shared" si="52"/>
        <v>1</v>
      </c>
      <c r="L572" t="b">
        <f t="shared" si="52"/>
        <v>1</v>
      </c>
      <c r="M572" t="b">
        <f t="shared" si="52"/>
        <v>1</v>
      </c>
      <c r="N572" t="b">
        <f t="shared" si="57"/>
        <v>1</v>
      </c>
      <c r="O572" t="b">
        <f t="shared" si="57"/>
        <v>1</v>
      </c>
      <c r="P572" t="b">
        <f t="shared" si="58"/>
        <v>1</v>
      </c>
    </row>
    <row r="573" spans="1:16">
      <c r="A573" t="str">
        <v>mglv_Wagon_Gen7M_Boxcar_Type2</v>
      </c>
      <c r="B573" t="b" cm="1">
        <f t="array" ref="B573">_xlfn.XLOOKUP(A573,CONTROL[VEHIDCODE],PROPERTIES[EXCLUDE])</f>
        <v>0</v>
      </c>
      <c r="C573">
        <f>FLOOR(_xlfn.XLOOKUP($A573,PROPERTIES[VEHIDCODE],PROPERTIES[INTRODUCTION_YEAR]),20)</f>
        <v>2000</v>
      </c>
      <c r="D573" t="str">
        <f>_xlfn.XLOOKUP($A573,PROPERTIES[VEHIDCODE],PROPERTIES[ROLE])</f>
        <v>Wagon</v>
      </c>
      <c r="E573" s="35" t="str">
        <f>_xlfn.XLOOKUP($A573,PROPERTIES[VEHIDCODE],PROPERTIES[REGION1])</f>
        <v>ALL_REGION</v>
      </c>
      <c r="F573" s="35" t="str">
        <f>_xlfn.XLOOKUP($A573,PROPERTIES[VEHIDCODE],PROPERTIES[REGION2])</f>
        <v>NO_REGION</v>
      </c>
      <c r="G573" s="35" t="str">
        <f t="shared" si="53"/>
        <v>ALL_REGION_NO_REGION</v>
      </c>
      <c r="H573" t="b">
        <f t="shared" si="54"/>
        <v>1</v>
      </c>
      <c r="I573" t="b">
        <f t="shared" si="55"/>
        <v>1</v>
      </c>
      <c r="J573" t="b">
        <f t="shared" si="56"/>
        <v>1</v>
      </c>
      <c r="K573" t="b">
        <f t="shared" si="52"/>
        <v>1</v>
      </c>
      <c r="L573" t="b">
        <f t="shared" si="52"/>
        <v>1</v>
      </c>
      <c r="M573" t="b">
        <f t="shared" si="52"/>
        <v>1</v>
      </c>
      <c r="N573" t="b">
        <f t="shared" si="57"/>
        <v>1</v>
      </c>
      <c r="O573" t="b">
        <f t="shared" si="57"/>
        <v>1</v>
      </c>
      <c r="P573" t="b">
        <f t="shared" si="58"/>
        <v>1</v>
      </c>
    </row>
    <row r="574" spans="1:16">
      <c r="A574" t="str">
        <v>mglv_Wagon_Gen7M_Car_Transporter</v>
      </c>
      <c r="B574" t="b" cm="1">
        <f t="array" ref="B574">_xlfn.XLOOKUP(A574,CONTROL[VEHIDCODE],PROPERTIES[EXCLUDE])</f>
        <v>0</v>
      </c>
      <c r="C574">
        <f>FLOOR(_xlfn.XLOOKUP($A574,PROPERTIES[VEHIDCODE],PROPERTIES[INTRODUCTION_YEAR]),20)</f>
        <v>2020</v>
      </c>
      <c r="D574" t="str">
        <f>_xlfn.XLOOKUP($A574,PROPERTIES[VEHIDCODE],PROPERTIES[ROLE])</f>
        <v>Wagon</v>
      </c>
      <c r="E574" s="35" t="str">
        <f>_xlfn.XLOOKUP($A574,PROPERTIES[VEHIDCODE],PROPERTIES[REGION1])</f>
        <v>ALL_REGION</v>
      </c>
      <c r="F574" s="35" t="str">
        <f>_xlfn.XLOOKUP($A574,PROPERTIES[VEHIDCODE],PROPERTIES[REGION2])</f>
        <v>NO_REGION</v>
      </c>
      <c r="G574" s="35" t="str">
        <f t="shared" si="53"/>
        <v>ALL_REGION_NO_REGION</v>
      </c>
      <c r="H574" t="b">
        <f t="shared" si="54"/>
        <v>1</v>
      </c>
      <c r="I574" t="b">
        <f t="shared" si="55"/>
        <v>1</v>
      </c>
      <c r="J574" t="b">
        <f t="shared" si="56"/>
        <v>1</v>
      </c>
      <c r="K574" t="b">
        <f t="shared" si="52"/>
        <v>1</v>
      </c>
      <c r="L574" t="b">
        <f t="shared" si="52"/>
        <v>1</v>
      </c>
      <c r="M574" t="b">
        <f t="shared" si="52"/>
        <v>1</v>
      </c>
      <c r="N574" t="b">
        <f t="shared" si="57"/>
        <v>1</v>
      </c>
      <c r="O574" t="b">
        <f t="shared" si="57"/>
        <v>1</v>
      </c>
      <c r="P574" t="b">
        <f t="shared" si="58"/>
        <v>1</v>
      </c>
    </row>
    <row r="575" spans="1:16">
      <c r="A575" t="str">
        <v>mglv_Wagon_Gen7M_Centerbeam</v>
      </c>
      <c r="B575" t="b" cm="1">
        <f t="array" ref="B575">_xlfn.XLOOKUP(A575,CONTROL[VEHIDCODE],PROPERTIES[EXCLUDE])</f>
        <v>0</v>
      </c>
      <c r="C575">
        <f>FLOOR(_xlfn.XLOOKUP($A575,PROPERTIES[VEHIDCODE],PROPERTIES[INTRODUCTION_YEAR]),20)</f>
        <v>2000</v>
      </c>
      <c r="D575" t="str">
        <f>_xlfn.XLOOKUP($A575,PROPERTIES[VEHIDCODE],PROPERTIES[ROLE])</f>
        <v>Wagon</v>
      </c>
      <c r="E575" s="35" t="str">
        <f>_xlfn.XLOOKUP($A575,PROPERTIES[VEHIDCODE],PROPERTIES[REGION1])</f>
        <v>ALL_REGION</v>
      </c>
      <c r="F575" s="35" t="str">
        <f>_xlfn.XLOOKUP($A575,PROPERTIES[VEHIDCODE],PROPERTIES[REGION2])</f>
        <v>NO_REGION</v>
      </c>
      <c r="G575" s="35" t="str">
        <f t="shared" si="53"/>
        <v>ALL_REGION_NO_REGION</v>
      </c>
      <c r="H575" t="b">
        <f t="shared" si="54"/>
        <v>1</v>
      </c>
      <c r="I575" t="b">
        <f t="shared" si="55"/>
        <v>1</v>
      </c>
      <c r="J575" t="b">
        <f t="shared" si="56"/>
        <v>1</v>
      </c>
      <c r="K575" t="b">
        <f t="shared" si="52"/>
        <v>1</v>
      </c>
      <c r="L575" t="b">
        <f t="shared" si="52"/>
        <v>1</v>
      </c>
      <c r="M575" t="b">
        <f t="shared" si="52"/>
        <v>1</v>
      </c>
      <c r="N575" t="b">
        <f t="shared" si="57"/>
        <v>1</v>
      </c>
      <c r="O575" t="b">
        <f t="shared" si="57"/>
        <v>1</v>
      </c>
      <c r="P575" t="b">
        <f t="shared" si="58"/>
        <v>1</v>
      </c>
    </row>
    <row r="576" spans="1:16">
      <c r="A576" t="str">
        <v>mglv_Wagon_Gen7M_Container_Carrier</v>
      </c>
      <c r="B576" t="b" cm="1">
        <f t="array" ref="B576">_xlfn.XLOOKUP(A576,CONTROL[VEHIDCODE],PROPERTIES[EXCLUDE])</f>
        <v>0</v>
      </c>
      <c r="C576">
        <f>FLOOR(_xlfn.XLOOKUP($A576,PROPERTIES[VEHIDCODE],PROPERTIES[INTRODUCTION_YEAR]),20)</f>
        <v>2000</v>
      </c>
      <c r="D576" t="str">
        <f>_xlfn.XLOOKUP($A576,PROPERTIES[VEHIDCODE],PROPERTIES[ROLE])</f>
        <v>Wagon</v>
      </c>
      <c r="E576" s="35" t="str">
        <f>_xlfn.XLOOKUP($A576,PROPERTIES[VEHIDCODE],PROPERTIES[REGION1])</f>
        <v>ALL_REGION</v>
      </c>
      <c r="F576" s="35" t="str">
        <f>_xlfn.XLOOKUP($A576,PROPERTIES[VEHIDCODE],PROPERTIES[REGION2])</f>
        <v>NO_REGION</v>
      </c>
      <c r="G576" s="35" t="str">
        <f t="shared" si="53"/>
        <v>ALL_REGION_NO_REGION</v>
      </c>
      <c r="H576" t="b">
        <f t="shared" si="54"/>
        <v>1</v>
      </c>
      <c r="I576" t="b">
        <f t="shared" si="55"/>
        <v>1</v>
      </c>
      <c r="J576" t="b">
        <f t="shared" si="56"/>
        <v>1</v>
      </c>
      <c r="K576" t="b">
        <f t="shared" si="52"/>
        <v>1</v>
      </c>
      <c r="L576" t="b">
        <f t="shared" si="52"/>
        <v>1</v>
      </c>
      <c r="M576" t="b">
        <f t="shared" si="52"/>
        <v>1</v>
      </c>
      <c r="N576" t="b">
        <f t="shared" si="57"/>
        <v>1</v>
      </c>
      <c r="O576" t="b">
        <f t="shared" si="57"/>
        <v>1</v>
      </c>
      <c r="P576" t="b">
        <f t="shared" si="58"/>
        <v>1</v>
      </c>
    </row>
    <row r="577" spans="1:16">
      <c r="A577" t="str">
        <v>mglv_Wagon_Gen7M_Container_Doublestack</v>
      </c>
      <c r="B577" t="b" cm="1">
        <f t="array" ref="B577">_xlfn.XLOOKUP(A577,CONTROL[VEHIDCODE],PROPERTIES[EXCLUDE])</f>
        <v>0</v>
      </c>
      <c r="C577">
        <f>FLOOR(_xlfn.XLOOKUP($A577,PROPERTIES[VEHIDCODE],PROPERTIES[INTRODUCTION_YEAR]),20)</f>
        <v>2000</v>
      </c>
      <c r="D577" t="str">
        <f>_xlfn.XLOOKUP($A577,PROPERTIES[VEHIDCODE],PROPERTIES[ROLE])</f>
        <v>Wagon</v>
      </c>
      <c r="E577" s="35" t="str">
        <f>_xlfn.XLOOKUP($A577,PROPERTIES[VEHIDCODE],PROPERTIES[REGION1])</f>
        <v>ALL_REGION</v>
      </c>
      <c r="F577" s="35" t="str">
        <f>_xlfn.XLOOKUP($A577,PROPERTIES[VEHIDCODE],PROPERTIES[REGION2])</f>
        <v>NO_REGION</v>
      </c>
      <c r="G577" s="35" t="str">
        <f t="shared" si="53"/>
        <v>ALL_REGION_NO_REGION</v>
      </c>
      <c r="H577" t="b">
        <f t="shared" si="54"/>
        <v>1</v>
      </c>
      <c r="I577" t="b">
        <f t="shared" si="55"/>
        <v>1</v>
      </c>
      <c r="J577" t="b">
        <f t="shared" si="56"/>
        <v>1</v>
      </c>
      <c r="K577" t="b">
        <f t="shared" si="52"/>
        <v>1</v>
      </c>
      <c r="L577" t="b">
        <f t="shared" si="52"/>
        <v>1</v>
      </c>
      <c r="M577" t="b">
        <f t="shared" si="52"/>
        <v>1</v>
      </c>
      <c r="N577" t="b">
        <f t="shared" si="57"/>
        <v>1</v>
      </c>
      <c r="O577" t="b">
        <f t="shared" si="57"/>
        <v>1</v>
      </c>
      <c r="P577" t="b">
        <f t="shared" si="58"/>
        <v>1</v>
      </c>
    </row>
    <row r="578" spans="1:16">
      <c r="A578" t="str">
        <v>mglv_Wagon_Gen7M_Flatcar</v>
      </c>
      <c r="B578" t="b" cm="1">
        <f t="array" ref="B578">_xlfn.XLOOKUP(A578,CONTROL[VEHIDCODE],PROPERTIES[EXCLUDE])</f>
        <v>0</v>
      </c>
      <c r="C578">
        <f>FLOOR(_xlfn.XLOOKUP($A578,PROPERTIES[VEHIDCODE],PROPERTIES[INTRODUCTION_YEAR]),20)</f>
        <v>2000</v>
      </c>
      <c r="D578" t="str">
        <f>_xlfn.XLOOKUP($A578,PROPERTIES[VEHIDCODE],PROPERTIES[ROLE])</f>
        <v>Wagon</v>
      </c>
      <c r="E578" s="35" t="str">
        <f>_xlfn.XLOOKUP($A578,PROPERTIES[VEHIDCODE],PROPERTIES[REGION1])</f>
        <v>ALL_REGION</v>
      </c>
      <c r="F578" s="35" t="str">
        <f>_xlfn.XLOOKUP($A578,PROPERTIES[VEHIDCODE],PROPERTIES[REGION2])</f>
        <v>NO_REGION</v>
      </c>
      <c r="G578" s="35" t="str">
        <f t="shared" si="53"/>
        <v>ALL_REGION_NO_REGION</v>
      </c>
      <c r="H578" t="b">
        <f t="shared" si="54"/>
        <v>1</v>
      </c>
      <c r="I578" t="b">
        <f t="shared" si="55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6"/>
        <v>1</v>
      </c>
      <c r="N578" t="b">
        <f t="shared" si="57"/>
        <v>1</v>
      </c>
      <c r="O578" t="b">
        <f t="shared" si="57"/>
        <v>1</v>
      </c>
      <c r="P578" t="b">
        <f t="shared" si="58"/>
        <v>1</v>
      </c>
    </row>
    <row r="579" spans="1:16">
      <c r="A579" t="str">
        <v>mglv_Wagon_Gen7M_Gondola</v>
      </c>
      <c r="B579" t="b" cm="1">
        <f t="array" ref="B579">_xlfn.XLOOKUP(A579,CONTROL[VEHIDCODE],PROPERTIES[EXCLUDE])</f>
        <v>0</v>
      </c>
      <c r="C579">
        <f>FLOOR(_xlfn.XLOOKUP($A579,PROPERTIES[VEHIDCODE],PROPERTIES[INTRODUCTION_YEAR]),20)</f>
        <v>2000</v>
      </c>
      <c r="D579" t="str">
        <f>_xlfn.XLOOKUP($A579,PROPERTIES[VEHIDCODE],PROPERTIES[ROLE])</f>
        <v>Wagon</v>
      </c>
      <c r="E579" s="35" t="str">
        <f>_xlfn.XLOOKUP($A579,PROPERTIES[VEHIDCODE],PROPERTIES[REGION1])</f>
        <v>ALL_REGION</v>
      </c>
      <c r="F579" s="35" t="str">
        <f>_xlfn.XLOOKUP($A579,PROPERTIES[VEHIDCODE],PROPERTIES[REGION2])</f>
        <v>NO_REGION</v>
      </c>
      <c r="G579" s="35" t="str">
        <f t="shared" ref="G579:G642" si="59">_xlfn.CONCAT($E579,"_",$F579)</f>
        <v>ALL_REGION_NO_REGION</v>
      </c>
      <c r="H579" t="b">
        <f t="shared" ref="H579:H642" si="60">OR(ISNUMBER(SEARCH("ALL_REGION",$G579)),
ISNUMBER(SEARCH("AFRICA",$G579)),
ISNUMBER(SEARCH("REGIONTYPE1",$G579)),
ISNUMBER(SEARCH("REGIONTYPE2",$G579)))</f>
        <v>1</v>
      </c>
      <c r="I579" t="b">
        <f t="shared" ref="I579:I642" si="61">OR(ISNUMBER(SEARCH("ALL_REGION",$G579)),
ISNUMBER(SEARCH("ASIA",$G579)),
ISNUMBER(SEARCH("REGIONTYPE1",$G579)),
ISNUMBER(SEARCH("REGIONTYPE2",$G579)),
ISNUMBER(SEARCH("REGIONTYPE3",$G579)))</f>
        <v>1</v>
      </c>
      <c r="J579" t="b">
        <f t="shared" ref="J579:M642" si="62">OR(ISNUMBER(SEARCH("ALL_REGION",$G579)),
ISNUMBER(SEARCH("ALL_EUROPE",$G579)),
ISNUMBER(SEARCH(J$1,$G579)),
ISNUMBER(SEARCH("REGIONTYPE1",$G579)))</f>
        <v>1</v>
      </c>
      <c r="K579" t="b">
        <f t="shared" si="62"/>
        <v>1</v>
      </c>
      <c r="L579" t="b">
        <f t="shared" si="62"/>
        <v>1</v>
      </c>
      <c r="M579" t="b">
        <f t="shared" si="62"/>
        <v>1</v>
      </c>
      <c r="N579" t="b">
        <f t="shared" ref="N579:O642" si="63">OR(ISNUMBER(SEARCH("ALL_REGION",$G579)),
ISNUMBER(SEARCH("ALL_AMERICA",$G579)),
ISNUMBER(SEARCH(N$1,$G579)),
ISNUMBER(SEARCH("REGIONTYPE2",$G579)))</f>
        <v>1</v>
      </c>
      <c r="O579" t="b">
        <f t="shared" si="63"/>
        <v>1</v>
      </c>
      <c r="P579" t="b">
        <f t="shared" ref="P579:P642" si="64">OR(ISNUMBER(SEARCH("ALL_REGION",$G579)),
ISNUMBER(SEARCH(P$1,$G579)),
ISNUMBER(SEARCH("REGIONTYPE3",$G579)))</f>
        <v>1</v>
      </c>
    </row>
    <row r="580" spans="1:16">
      <c r="A580" t="str">
        <v>mglv_Wagon_Gen7M_Heavy_Flatcar</v>
      </c>
      <c r="B580" t="b" cm="1">
        <f t="array" ref="B580">_xlfn.XLOOKUP(A580,CONTROL[VEHIDCODE],PROPERTIES[EXCLUDE])</f>
        <v>0</v>
      </c>
      <c r="C580">
        <f>FLOOR(_xlfn.XLOOKUP($A580,PROPERTIES[VEHIDCODE],PROPERTIES[INTRODUCTION_YEAR]),20)</f>
        <v>2020</v>
      </c>
      <c r="D580" t="str">
        <f>_xlfn.XLOOKUP($A580,PROPERTIES[VEHIDCODE],PROPERTIES[ROLE])</f>
        <v>Wagon</v>
      </c>
      <c r="E580" s="35" t="str">
        <f>_xlfn.XLOOKUP($A580,PROPERTIES[VEHIDCODE],PROPERTIES[REGION1])</f>
        <v>ALL_REGION</v>
      </c>
      <c r="F580" s="35" t="str">
        <f>_xlfn.XLOOKUP($A580,PROPERTIES[VEHIDCODE],PROPERTIES[REGION2])</f>
        <v>NO_REGION</v>
      </c>
      <c r="G580" s="35" t="str">
        <f t="shared" si="59"/>
        <v>ALL_REGION_NO_REGION</v>
      </c>
      <c r="H580" t="b">
        <f t="shared" si="60"/>
        <v>1</v>
      </c>
      <c r="I580" t="b">
        <f t="shared" si="61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2"/>
        <v>1</v>
      </c>
      <c r="N580" t="b">
        <f t="shared" si="63"/>
        <v>1</v>
      </c>
      <c r="O580" t="b">
        <f t="shared" si="63"/>
        <v>1</v>
      </c>
      <c r="P580" t="b">
        <f t="shared" si="64"/>
        <v>1</v>
      </c>
    </row>
    <row r="581" spans="1:16">
      <c r="A581" t="str">
        <v>mglv_Wagon_Gen7M_Hopper_Type1</v>
      </c>
      <c r="B581" t="b" cm="1">
        <f t="array" ref="B581">_xlfn.XLOOKUP(A581,CONTROL[VEHIDCODE],PROPERTIES[EXCLUDE])</f>
        <v>0</v>
      </c>
      <c r="C581">
        <f>FLOOR(_xlfn.XLOOKUP($A581,PROPERTIES[VEHIDCODE],PROPERTIES[INTRODUCTION_YEAR]),20)</f>
        <v>2020</v>
      </c>
      <c r="D581" t="str">
        <f>_xlfn.XLOOKUP($A581,PROPERTIES[VEHIDCODE],PROPERTIES[ROLE])</f>
        <v>Wagon</v>
      </c>
      <c r="E581" s="35" t="str">
        <f>_xlfn.XLOOKUP($A581,PROPERTIES[VEHIDCODE],PROPERTIES[REGION1])</f>
        <v>ALL_REGION</v>
      </c>
      <c r="F581" s="35" t="str">
        <f>_xlfn.XLOOKUP($A581,PROPERTIES[VEHIDCODE],PROPERTIES[REGION2])</f>
        <v>NO_REGION</v>
      </c>
      <c r="G581" s="35" t="str">
        <f t="shared" si="59"/>
        <v>ALL_REGION_NO_REGION</v>
      </c>
      <c r="H581" t="b">
        <f t="shared" si="60"/>
        <v>1</v>
      </c>
      <c r="I581" t="b">
        <f t="shared" si="61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2"/>
        <v>1</v>
      </c>
      <c r="N581" t="b">
        <f t="shared" si="63"/>
        <v>1</v>
      </c>
      <c r="O581" t="b">
        <f t="shared" si="63"/>
        <v>1</v>
      </c>
      <c r="P581" t="b">
        <f t="shared" si="64"/>
        <v>1</v>
      </c>
    </row>
    <row r="582" spans="1:16">
      <c r="A582" t="str">
        <v>mglv_Wagon_Gen7M_Hopper_Type2</v>
      </c>
      <c r="B582" t="b" cm="1">
        <f t="array" ref="B582">_xlfn.XLOOKUP(A582,CONTROL[VEHIDCODE],PROPERTIES[EXCLUDE])</f>
        <v>0</v>
      </c>
      <c r="C582">
        <f>FLOOR(_xlfn.XLOOKUP($A582,PROPERTIES[VEHIDCODE],PROPERTIES[INTRODUCTION_YEAR]),20)</f>
        <v>2020</v>
      </c>
      <c r="D582" t="str">
        <f>_xlfn.XLOOKUP($A582,PROPERTIES[VEHIDCODE],PROPERTIES[ROLE])</f>
        <v>Wagon</v>
      </c>
      <c r="E582" s="35" t="str">
        <f>_xlfn.XLOOKUP($A582,PROPERTIES[VEHIDCODE],PROPERTIES[REGION1])</f>
        <v>ALL_REGION</v>
      </c>
      <c r="F582" s="35" t="str">
        <f>_xlfn.XLOOKUP($A582,PROPERTIES[VEHIDCODE],PROPERTIES[REGION2])</f>
        <v>NO_REGION</v>
      </c>
      <c r="G582" s="35" t="str">
        <f t="shared" si="59"/>
        <v>ALL_REGION_NO_REGION</v>
      </c>
      <c r="H582" t="b">
        <f t="shared" si="60"/>
        <v>1</v>
      </c>
      <c r="I582" t="b">
        <f t="shared" si="61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2"/>
        <v>1</v>
      </c>
      <c r="N582" t="b">
        <f t="shared" si="63"/>
        <v>1</v>
      </c>
      <c r="O582" t="b">
        <f t="shared" si="63"/>
        <v>1</v>
      </c>
      <c r="P582" t="b">
        <f t="shared" si="64"/>
        <v>1</v>
      </c>
    </row>
    <row r="583" spans="1:16">
      <c r="A583" t="str">
        <v>mglv_Wagon_Gen7M_Silo_Type1</v>
      </c>
      <c r="B583" t="b" cm="1">
        <f t="array" ref="B583">_xlfn.XLOOKUP(A583,CONTROL[VEHIDCODE],PROPERTIES[EXCLUDE])</f>
        <v>0</v>
      </c>
      <c r="C583">
        <f>FLOOR(_xlfn.XLOOKUP($A583,PROPERTIES[VEHIDCODE],PROPERTIES[INTRODUCTION_YEAR]),20)</f>
        <v>2020</v>
      </c>
      <c r="D583" t="str">
        <f>_xlfn.XLOOKUP($A583,PROPERTIES[VEHIDCODE],PROPERTIES[ROLE])</f>
        <v>Wagon</v>
      </c>
      <c r="E583" s="35" t="str">
        <f>_xlfn.XLOOKUP($A583,PROPERTIES[VEHIDCODE],PROPERTIES[REGION1])</f>
        <v>ALL_REGION</v>
      </c>
      <c r="F583" s="35" t="str">
        <f>_xlfn.XLOOKUP($A583,PROPERTIES[VEHIDCODE],PROPERTIES[REGION2])</f>
        <v>NO_REGION</v>
      </c>
      <c r="G583" s="35" t="str">
        <f t="shared" si="59"/>
        <v>ALL_REGION_NO_REGION</v>
      </c>
      <c r="H583" t="b">
        <f t="shared" si="60"/>
        <v>1</v>
      </c>
      <c r="I583" t="b">
        <f t="shared" si="61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2"/>
        <v>1</v>
      </c>
      <c r="N583" t="b">
        <f t="shared" si="63"/>
        <v>1</v>
      </c>
      <c r="O583" t="b">
        <f t="shared" si="63"/>
        <v>1</v>
      </c>
      <c r="P583" t="b">
        <f t="shared" si="64"/>
        <v>1</v>
      </c>
    </row>
    <row r="584" spans="1:16">
      <c r="A584" t="str">
        <v>mglv_Wagon_Gen7M_Silo_Type2</v>
      </c>
      <c r="B584" t="b" cm="1">
        <f t="array" ref="B584">_xlfn.XLOOKUP(A584,CONTROL[VEHIDCODE],PROPERTIES[EXCLUDE])</f>
        <v>0</v>
      </c>
      <c r="C584">
        <f>FLOOR(_xlfn.XLOOKUP($A584,PROPERTIES[VEHIDCODE],PROPERTIES[INTRODUCTION_YEAR]),20)</f>
        <v>2020</v>
      </c>
      <c r="D584" t="str">
        <f>_xlfn.XLOOKUP($A584,PROPERTIES[VEHIDCODE],PROPERTIES[ROLE])</f>
        <v>Wagon</v>
      </c>
      <c r="E584" s="35" t="str">
        <f>_xlfn.XLOOKUP($A584,PROPERTIES[VEHIDCODE],PROPERTIES[REGION1])</f>
        <v>ALL_REGION</v>
      </c>
      <c r="F584" s="35" t="str">
        <f>_xlfn.XLOOKUP($A584,PROPERTIES[VEHIDCODE],PROPERTIES[REGION2])</f>
        <v>NO_REGION</v>
      </c>
      <c r="G584" s="35" t="str">
        <f t="shared" si="59"/>
        <v>ALL_REGION_NO_REGION</v>
      </c>
      <c r="H584" t="b">
        <f t="shared" si="60"/>
        <v>1</v>
      </c>
      <c r="I584" t="b">
        <f t="shared" si="61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2"/>
        <v>1</v>
      </c>
      <c r="N584" t="b">
        <f t="shared" si="63"/>
        <v>1</v>
      </c>
      <c r="O584" t="b">
        <f t="shared" si="63"/>
        <v>1</v>
      </c>
      <c r="P584" t="b">
        <f t="shared" si="64"/>
        <v>1</v>
      </c>
    </row>
    <row r="585" spans="1:16">
      <c r="A585" t="str">
        <v>mglv_Wagon_Gen7M_Superheavy_Flatcar</v>
      </c>
      <c r="B585" t="b" cm="1">
        <f t="array" ref="B585">_xlfn.XLOOKUP(A585,CONTROL[VEHIDCODE],PROPERTIES[EXCLUDE])</f>
        <v>0</v>
      </c>
      <c r="C585">
        <f>FLOOR(_xlfn.XLOOKUP($A585,PROPERTIES[VEHIDCODE],PROPERTIES[INTRODUCTION_YEAR]),20)</f>
        <v>2000</v>
      </c>
      <c r="D585" t="str">
        <f>_xlfn.XLOOKUP($A585,PROPERTIES[VEHIDCODE],PROPERTIES[ROLE])</f>
        <v>Wagon</v>
      </c>
      <c r="E585" s="35" t="str">
        <f>_xlfn.XLOOKUP($A585,PROPERTIES[VEHIDCODE],PROPERTIES[REGION1])</f>
        <v>ALL_REGION</v>
      </c>
      <c r="F585" s="35" t="str">
        <f>_xlfn.XLOOKUP($A585,PROPERTIES[VEHIDCODE],PROPERTIES[REGION2])</f>
        <v>NO_REGION</v>
      </c>
      <c r="G585" s="35" t="str">
        <f t="shared" si="59"/>
        <v>ALL_REGION_NO_REGION</v>
      </c>
      <c r="H585" t="b">
        <f t="shared" si="60"/>
        <v>1</v>
      </c>
      <c r="I585" t="b">
        <f t="shared" si="61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2"/>
        <v>1</v>
      </c>
      <c r="N585" t="b">
        <f t="shared" si="63"/>
        <v>1</v>
      </c>
      <c r="O585" t="b">
        <f t="shared" si="63"/>
        <v>1</v>
      </c>
      <c r="P585" t="b">
        <f t="shared" si="64"/>
        <v>1</v>
      </c>
    </row>
    <row r="586" spans="1:16">
      <c r="A586" t="str">
        <v>mglv_Wagon_Gen7M_Tanker</v>
      </c>
      <c r="B586" t="b" cm="1">
        <f t="array" ref="B586">_xlfn.XLOOKUP(A586,CONTROL[VEHIDCODE],PROPERTIES[EXCLUDE])</f>
        <v>0</v>
      </c>
      <c r="C586">
        <f>FLOOR(_xlfn.XLOOKUP($A586,PROPERTIES[VEHIDCODE],PROPERTIES[INTRODUCTION_YEAR]),20)</f>
        <v>2020</v>
      </c>
      <c r="D586" t="str">
        <f>_xlfn.XLOOKUP($A586,PROPERTIES[VEHIDCODE],PROPERTIES[ROLE])</f>
        <v>Wagon</v>
      </c>
      <c r="E586" s="35" t="str">
        <f>_xlfn.XLOOKUP($A586,PROPERTIES[VEHIDCODE],PROPERTIES[REGION1])</f>
        <v>ALL_REGION</v>
      </c>
      <c r="F586" s="35" t="str">
        <f>_xlfn.XLOOKUP($A586,PROPERTIES[VEHIDCODE],PROPERTIES[REGION2])</f>
        <v>NO_REGION</v>
      </c>
      <c r="G586" s="35" t="str">
        <f t="shared" si="59"/>
        <v>ALL_REGION_NO_REGION</v>
      </c>
      <c r="H586" t="b">
        <f t="shared" si="60"/>
        <v>1</v>
      </c>
      <c r="I586" t="b">
        <f t="shared" si="61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2"/>
        <v>1</v>
      </c>
      <c r="N586" t="b">
        <f t="shared" si="63"/>
        <v>1</v>
      </c>
      <c r="O586" t="b">
        <f t="shared" si="63"/>
        <v>1</v>
      </c>
      <c r="P586" t="b">
        <f t="shared" si="64"/>
        <v>1</v>
      </c>
    </row>
    <row r="587" spans="1:16">
      <c r="A587" t="str">
        <v>rbd_Japan_JR_Shikoku_1000</v>
      </c>
      <c r="B587" t="b" cm="1">
        <f t="array" ref="B587">_xlfn.XLOOKUP(A587,CONTROL[VEHIDCODE],PROPERTIES[EXCLUDE])</f>
        <v>0</v>
      </c>
      <c r="C587">
        <f>FLOOR(_xlfn.XLOOKUP($A587,PROPERTIES[VEHIDCODE],PROPERTIES[INTRODUCTION_YEAR]),20)</f>
        <v>1980</v>
      </c>
      <c r="D587" t="str">
        <f>_xlfn.XLOOKUP($A587,PROPERTIES[VEHIDCODE],PROPERTIES[ROLE])</f>
        <v>Express Passenger</v>
      </c>
      <c r="E587" s="35" t="str">
        <f>_xlfn.XLOOKUP($A587,PROPERTIES[VEHIDCODE],PROPERTIES[REGION1])</f>
        <v>ASIA</v>
      </c>
      <c r="F587" s="35" t="str">
        <f>_xlfn.XLOOKUP($A587,PROPERTIES[VEHIDCODE],PROPERTIES[REGION2])</f>
        <v>NO_REGION</v>
      </c>
      <c r="G587" s="35" t="str">
        <f t="shared" si="59"/>
        <v>ASIA_NO_REGION</v>
      </c>
      <c r="H587" t="b">
        <f t="shared" si="60"/>
        <v>0</v>
      </c>
      <c r="I587" t="b">
        <f t="shared" si="61"/>
        <v>1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2"/>
        <v>0</v>
      </c>
      <c r="N587" t="b">
        <f t="shared" si="63"/>
        <v>0</v>
      </c>
      <c r="O587" t="b">
        <f t="shared" si="63"/>
        <v>0</v>
      </c>
      <c r="P587" t="b">
        <f t="shared" si="64"/>
        <v>0</v>
      </c>
    </row>
    <row r="588" spans="1:16">
      <c r="A588" t="str">
        <v>rbd_Japan_JR_KiHa_E120</v>
      </c>
      <c r="B588" t="b" cm="1">
        <f t="array" ref="B588">_xlfn.XLOOKUP(A588,CONTROL[VEHIDCODE],PROPERTIES[EXCLUDE])</f>
        <v>0</v>
      </c>
      <c r="C588">
        <f>FLOOR(_xlfn.XLOOKUP($A588,PROPERTIES[VEHIDCODE],PROPERTIES[INTRODUCTION_YEAR]),20)</f>
        <v>2000</v>
      </c>
      <c r="D588" t="str">
        <f>_xlfn.XLOOKUP($A588,PROPERTIES[VEHIDCODE],PROPERTIES[ROLE])</f>
        <v>Express Passenger</v>
      </c>
      <c r="E588" s="35" t="str">
        <f>_xlfn.XLOOKUP($A588,PROPERTIES[VEHIDCODE],PROPERTIES[REGION1])</f>
        <v>ASIA</v>
      </c>
      <c r="F588" s="35" t="str">
        <f>_xlfn.XLOOKUP($A588,PROPERTIES[VEHIDCODE],PROPERTIES[REGION2])</f>
        <v>NO_REGION</v>
      </c>
      <c r="G588" s="35" t="str">
        <f t="shared" si="59"/>
        <v>ASIA_NO_REGION</v>
      </c>
      <c r="H588" t="b">
        <f t="shared" si="60"/>
        <v>0</v>
      </c>
      <c r="I588" t="b">
        <f t="shared" si="61"/>
        <v>1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2"/>
        <v>0</v>
      </c>
      <c r="N588" t="b">
        <f t="shared" si="63"/>
        <v>0</v>
      </c>
      <c r="O588" t="b">
        <f t="shared" si="63"/>
        <v>0</v>
      </c>
      <c r="P588" t="b">
        <f t="shared" si="64"/>
        <v>0</v>
      </c>
    </row>
    <row r="589" spans="1:16">
      <c r="A589" t="str">
        <v>rbd_Chile_EFE_Buscarril</v>
      </c>
      <c r="B589" t="b" cm="1">
        <f t="array" ref="B589">_xlfn.XLOOKUP(A589,CONTROL[VEHIDCODE],PROPERTIES[EXCLUDE])</f>
        <v>0</v>
      </c>
      <c r="C589">
        <f>FLOOR(_xlfn.XLOOKUP($A589,PROPERTIES[VEHIDCODE],PROPERTIES[INTRODUCTION_YEAR]),20)</f>
        <v>1960</v>
      </c>
      <c r="D589" t="str">
        <f>_xlfn.XLOOKUP($A589,PROPERTIES[VEHIDCODE],PROPERTIES[ROLE])</f>
        <v>Commuter/Urban</v>
      </c>
      <c r="E589" s="35" t="str">
        <f>_xlfn.XLOOKUP($A589,PROPERTIES[VEHIDCODE],PROPERTIES[REGION1])</f>
        <v>SOUTH_AMERICA</v>
      </c>
      <c r="F589" s="35" t="str">
        <f>_xlfn.XLOOKUP($A589,PROPERTIES[VEHIDCODE],PROPERTIES[REGION2])</f>
        <v>NO_REGION</v>
      </c>
      <c r="G589" s="35" t="str">
        <f t="shared" si="59"/>
        <v>SOUTH_AMERICA_NO_REGION</v>
      </c>
      <c r="H589" t="b">
        <f t="shared" si="60"/>
        <v>0</v>
      </c>
      <c r="I589" t="b">
        <f t="shared" si="61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2"/>
        <v>0</v>
      </c>
      <c r="N589" t="b">
        <f t="shared" si="63"/>
        <v>0</v>
      </c>
      <c r="O589" t="b">
        <f t="shared" si="63"/>
        <v>1</v>
      </c>
      <c r="P589" t="b">
        <f t="shared" si="64"/>
        <v>0</v>
      </c>
    </row>
    <row r="590" spans="1:16">
      <c r="A590" t="str">
        <v>rbd_Argentina_FCPBA_M_Railcar</v>
      </c>
      <c r="B590" t="b" cm="1">
        <f t="array" ref="B590">_xlfn.XLOOKUP(A590,CONTROL[VEHIDCODE],PROPERTIES[EXCLUDE])</f>
        <v>0</v>
      </c>
      <c r="C590">
        <f>FLOOR(_xlfn.XLOOKUP($A590,PROPERTIES[VEHIDCODE],PROPERTIES[INTRODUCTION_YEAR]),20)</f>
        <v>1920</v>
      </c>
      <c r="D590" t="str">
        <f>_xlfn.XLOOKUP($A590,PROPERTIES[VEHIDCODE],PROPERTIES[ROLE])</f>
        <v>Commuter/Urban</v>
      </c>
      <c r="E590" s="35" t="str">
        <f>_xlfn.XLOOKUP($A590,PROPERTIES[VEHIDCODE],PROPERTIES[REGION1])</f>
        <v>SOUTH_AMERICA</v>
      </c>
      <c r="F590" s="35" t="str">
        <f>_xlfn.XLOOKUP($A590,PROPERTIES[VEHIDCODE],PROPERTIES[REGION2])</f>
        <v>NO_REGION</v>
      </c>
      <c r="G590" s="35" t="str">
        <f t="shared" si="59"/>
        <v>SOUTH_AMERICA_NO_REGION</v>
      </c>
      <c r="H590" t="b">
        <f t="shared" si="60"/>
        <v>0</v>
      </c>
      <c r="I590" t="b">
        <f t="shared" si="61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2"/>
        <v>0</v>
      </c>
      <c r="N590" t="b">
        <f t="shared" si="63"/>
        <v>0</v>
      </c>
      <c r="O590" t="b">
        <f t="shared" si="63"/>
        <v>1</v>
      </c>
      <c r="P590" t="b">
        <f t="shared" si="64"/>
        <v>0</v>
      </c>
    </row>
    <row r="591" spans="1:16">
      <c r="A591" t="str">
        <v>rbd_Eritrea_Eritrean_Railway_A62_70_Littorina</v>
      </c>
      <c r="B591" t="b" cm="1">
        <f t="array" ref="B591">_xlfn.XLOOKUP(A591,CONTROL[VEHIDCODE],PROPERTIES[EXCLUDE])</f>
        <v>0</v>
      </c>
      <c r="C591">
        <f>FLOOR(_xlfn.XLOOKUP($A591,PROPERTIES[VEHIDCODE],PROPERTIES[INTRODUCTION_YEAR]),20)</f>
        <v>1920</v>
      </c>
      <c r="D591" t="str">
        <f>_xlfn.XLOOKUP($A591,PROPERTIES[VEHIDCODE],PROPERTIES[ROLE])</f>
        <v>Commuter/Urban</v>
      </c>
      <c r="E591" s="35" t="str">
        <f>_xlfn.XLOOKUP($A591,PROPERTIES[VEHIDCODE],PROPERTIES[REGION1])</f>
        <v>AFRICA</v>
      </c>
      <c r="F591" s="35" t="str">
        <f>_xlfn.XLOOKUP($A591,PROPERTIES[VEHIDCODE],PROPERTIES[REGION2])</f>
        <v>NO_REGION</v>
      </c>
      <c r="G591" s="35" t="str">
        <f t="shared" si="59"/>
        <v>AFRICA_NO_REGION</v>
      </c>
      <c r="H591" t="b">
        <f t="shared" si="60"/>
        <v>1</v>
      </c>
      <c r="I591" t="b">
        <f t="shared" si="61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2"/>
        <v>0</v>
      </c>
      <c r="N591" t="b">
        <f t="shared" si="63"/>
        <v>0</v>
      </c>
      <c r="O591" t="b">
        <f t="shared" si="63"/>
        <v>0</v>
      </c>
      <c r="P591" t="b">
        <f t="shared" si="64"/>
        <v>0</v>
      </c>
    </row>
    <row r="592" spans="1:16">
      <c r="A592" t="str">
        <v>rbe_Switzerland_AB_CFe_3_3</v>
      </c>
      <c r="B592" t="b" cm="1">
        <f t="array" ref="B592">_xlfn.XLOOKUP(A592,CONTROL[VEHIDCODE],PROPERTIES[EXCLUDE])</f>
        <v>0</v>
      </c>
      <c r="C592">
        <f>FLOOR(_xlfn.XLOOKUP($A592,PROPERTIES[VEHIDCODE],PROPERTIES[INTRODUCTION_YEAR]),20)</f>
        <v>1900</v>
      </c>
      <c r="D592" t="str">
        <f>_xlfn.XLOOKUP($A592,PROPERTIES[VEHIDCODE],PROPERTIES[ROLE])</f>
        <v>Commuter/Urban</v>
      </c>
      <c r="E592" s="35" t="str">
        <f>_xlfn.XLOOKUP($A592,PROPERTIES[VEHIDCODE],PROPERTIES[REGION1])</f>
        <v>WESTERN_EUROPE</v>
      </c>
      <c r="F592" s="35" t="str">
        <f>_xlfn.XLOOKUP($A592,PROPERTIES[VEHIDCODE],PROPERTIES[REGION2])</f>
        <v>NO_REGION</v>
      </c>
      <c r="G592" s="35" t="str">
        <f t="shared" si="59"/>
        <v>WESTERN_EUROPE_NO_REGION</v>
      </c>
      <c r="H592" t="b">
        <f t="shared" si="60"/>
        <v>0</v>
      </c>
      <c r="I592" t="b">
        <f t="shared" si="61"/>
        <v>0</v>
      </c>
      <c r="J592" t="b">
        <f t="shared" si="62"/>
        <v>0</v>
      </c>
      <c r="K592" t="b">
        <f t="shared" si="62"/>
        <v>0</v>
      </c>
      <c r="L592" t="b">
        <f t="shared" si="62"/>
        <v>1</v>
      </c>
      <c r="M592" t="b">
        <f t="shared" si="62"/>
        <v>0</v>
      </c>
      <c r="N592" t="b">
        <f t="shared" si="63"/>
        <v>0</v>
      </c>
      <c r="O592" t="b">
        <f t="shared" si="63"/>
        <v>0</v>
      </c>
      <c r="P592" t="b">
        <f t="shared" si="64"/>
        <v>0</v>
      </c>
    </row>
    <row r="593" spans="1:16">
      <c r="A593" t="str">
        <v>rbe_Switzerland_TPC_BVB_Be_2_2</v>
      </c>
      <c r="B593" t="b" cm="1">
        <f t="array" ref="B593">_xlfn.XLOOKUP(A593,CONTROL[VEHIDCODE],PROPERTIES[EXCLUDE])</f>
        <v>0</v>
      </c>
      <c r="C593">
        <f>FLOOR(_xlfn.XLOOKUP($A593,PROPERTIES[VEHIDCODE],PROPERTIES[INTRODUCTION_YEAR]),20)</f>
        <v>1900</v>
      </c>
      <c r="D593" t="str">
        <f>_xlfn.XLOOKUP($A593,PROPERTIES[VEHIDCODE],PROPERTIES[ROLE])</f>
        <v>Commuter/Urban</v>
      </c>
      <c r="E593" s="35" t="str">
        <f>_xlfn.XLOOKUP($A593,PROPERTIES[VEHIDCODE],PROPERTIES[REGION1])</f>
        <v>WESTERN_EUROPE</v>
      </c>
      <c r="F593" s="35" t="str">
        <f>_xlfn.XLOOKUP($A593,PROPERTIES[VEHIDCODE],PROPERTIES[REGION2])</f>
        <v>NO_REGION</v>
      </c>
      <c r="G593" s="35" t="str">
        <f t="shared" si="59"/>
        <v>WESTERN_EUROPE_NO_REGION</v>
      </c>
      <c r="H593" t="b">
        <f t="shared" si="60"/>
        <v>0</v>
      </c>
      <c r="I593" t="b">
        <f t="shared" si="61"/>
        <v>0</v>
      </c>
      <c r="J593" t="b">
        <f t="shared" si="62"/>
        <v>0</v>
      </c>
      <c r="K593" t="b">
        <f t="shared" si="62"/>
        <v>0</v>
      </c>
      <c r="L593" t="b">
        <f t="shared" si="62"/>
        <v>1</v>
      </c>
      <c r="M593" t="b">
        <f t="shared" si="62"/>
        <v>0</v>
      </c>
      <c r="N593" t="b">
        <f t="shared" si="63"/>
        <v>0</v>
      </c>
      <c r="O593" t="b">
        <f t="shared" si="63"/>
        <v>0</v>
      </c>
      <c r="P593" t="b">
        <f t="shared" si="64"/>
        <v>0</v>
      </c>
    </row>
    <row r="594" spans="1:16">
      <c r="A594" t="str">
        <v>rbe_Switzerland_MVR_Beh_2_4</v>
      </c>
      <c r="B594" t="b" cm="1">
        <f t="array" ref="B594">_xlfn.XLOOKUP(A594,CONTROL[VEHIDCODE],PROPERTIES[EXCLUDE])</f>
        <v>0</v>
      </c>
      <c r="C594">
        <f>FLOOR(_xlfn.XLOOKUP($A594,PROPERTIES[VEHIDCODE],PROPERTIES[INTRODUCTION_YEAR]),20)</f>
        <v>1980</v>
      </c>
      <c r="D594" t="str">
        <f>_xlfn.XLOOKUP($A594,PROPERTIES[VEHIDCODE],PROPERTIES[ROLE])</f>
        <v>Commuter/Urban</v>
      </c>
      <c r="E594" s="35" t="str">
        <f>_xlfn.XLOOKUP($A594,PROPERTIES[VEHIDCODE],PROPERTIES[REGION1])</f>
        <v>WESTERN_EUROPE</v>
      </c>
      <c r="F594" s="35" t="str">
        <f>_xlfn.XLOOKUP($A594,PROPERTIES[VEHIDCODE],PROPERTIES[REGION2])</f>
        <v>NO_REGION</v>
      </c>
      <c r="G594" s="35" t="str">
        <f t="shared" si="59"/>
        <v>WESTERN_EUROPE_NO_REGION</v>
      </c>
      <c r="H594" t="b">
        <f t="shared" si="60"/>
        <v>0</v>
      </c>
      <c r="I594" t="b">
        <f t="shared" si="61"/>
        <v>0</v>
      </c>
      <c r="J594" t="b">
        <f t="shared" si="62"/>
        <v>0</v>
      </c>
      <c r="K594" t="b">
        <f t="shared" si="62"/>
        <v>0</v>
      </c>
      <c r="L594" t="b">
        <f t="shared" si="62"/>
        <v>1</v>
      </c>
      <c r="M594" t="b">
        <f t="shared" si="62"/>
        <v>0</v>
      </c>
      <c r="N594" t="b">
        <f t="shared" si="63"/>
        <v>0</v>
      </c>
      <c r="O594" t="b">
        <f t="shared" si="63"/>
        <v>0</v>
      </c>
      <c r="P594" t="b">
        <f t="shared" si="64"/>
        <v>0</v>
      </c>
    </row>
    <row r="595" spans="1:16">
      <c r="A595" t="str">
        <v>rbe_Spain_Ferrocarril_de_Soller_1_3</v>
      </c>
      <c r="B595" t="b" cm="1">
        <f t="array" ref="B595">_xlfn.XLOOKUP(A595,CONTROL[VEHIDCODE],PROPERTIES[EXCLUDE])</f>
        <v>0</v>
      </c>
      <c r="C595">
        <f>FLOOR(_xlfn.XLOOKUP($A595,PROPERTIES[VEHIDCODE],PROPERTIES[INTRODUCTION_YEAR]),20)</f>
        <v>1920</v>
      </c>
      <c r="D595" t="str">
        <f>_xlfn.XLOOKUP($A595,PROPERTIES[VEHIDCODE],PROPERTIES[ROLE])</f>
        <v>Commuter/Urban</v>
      </c>
      <c r="E595" s="35" t="str">
        <f>_xlfn.XLOOKUP($A595,PROPERTIES[VEHIDCODE],PROPERTIES[REGION1])</f>
        <v>SOUTHERN_EUROPE</v>
      </c>
      <c r="F595" s="35" t="str">
        <f>_xlfn.XLOOKUP($A595,PROPERTIES[VEHIDCODE],PROPERTIES[REGION2])</f>
        <v>NO_REGION</v>
      </c>
      <c r="G595" s="35" t="str">
        <f t="shared" si="59"/>
        <v>SOUTHERN_EUROPE_NO_REGION</v>
      </c>
      <c r="H595" t="b">
        <f t="shared" si="60"/>
        <v>0</v>
      </c>
      <c r="I595" t="b">
        <f t="shared" si="61"/>
        <v>0</v>
      </c>
      <c r="J595" t="b">
        <f t="shared" si="62"/>
        <v>1</v>
      </c>
      <c r="K595" t="b">
        <f t="shared" si="62"/>
        <v>0</v>
      </c>
      <c r="L595" t="b">
        <f t="shared" si="62"/>
        <v>0</v>
      </c>
      <c r="M595" t="b">
        <f t="shared" si="62"/>
        <v>0</v>
      </c>
      <c r="N595" t="b">
        <f t="shared" si="63"/>
        <v>0</v>
      </c>
      <c r="O595" t="b">
        <f t="shared" si="63"/>
        <v>0</v>
      </c>
      <c r="P595" t="b">
        <f t="shared" si="64"/>
        <v>0</v>
      </c>
    </row>
    <row r="596" spans="1:16">
      <c r="A596" t="str">
        <v>rbe_Japan_Choshi_DeHa_1000</v>
      </c>
      <c r="B596" t="b" cm="1">
        <f t="array" ref="B596">_xlfn.XLOOKUP(A596,CONTROL[VEHIDCODE],PROPERTIES[EXCLUDE])</f>
        <v>0</v>
      </c>
      <c r="C596">
        <f>FLOOR(_xlfn.XLOOKUP($A596,PROPERTIES[VEHIDCODE],PROPERTIES[INTRODUCTION_YEAR]),20)</f>
        <v>1960</v>
      </c>
      <c r="D596" t="str">
        <f>_xlfn.XLOOKUP($A596,PROPERTIES[VEHIDCODE],PROPERTIES[ROLE])</f>
        <v>Commuter/Urban</v>
      </c>
      <c r="E596" s="35" t="str">
        <f>_xlfn.XLOOKUP($A596,PROPERTIES[VEHIDCODE],PROPERTIES[REGION1])</f>
        <v>ASIA</v>
      </c>
      <c r="F596" s="35" t="str">
        <f>_xlfn.XLOOKUP($A596,PROPERTIES[VEHIDCODE],PROPERTIES[REGION2])</f>
        <v>NO_REGION</v>
      </c>
      <c r="G596" s="35" t="str">
        <f t="shared" si="59"/>
        <v>ASIA_NO_REGION</v>
      </c>
      <c r="H596" t="b">
        <f t="shared" si="60"/>
        <v>0</v>
      </c>
      <c r="I596" t="b">
        <f t="shared" si="61"/>
        <v>1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2"/>
        <v>0</v>
      </c>
      <c r="N596" t="b">
        <f t="shared" si="63"/>
        <v>0</v>
      </c>
      <c r="O596" t="b">
        <f t="shared" si="63"/>
        <v>0</v>
      </c>
      <c r="P596" t="b">
        <f t="shared" si="64"/>
        <v>0</v>
      </c>
    </row>
    <row r="597" spans="1:16">
      <c r="A597" t="str">
        <v>steam_Switzerland_RhB_G_3_4</v>
      </c>
      <c r="B597" t="b" cm="1">
        <f t="array" ref="B597">_xlfn.XLOOKUP(A597,CONTROL[VEHIDCODE],PROPERTIES[EXCLUDE])</f>
        <v>0</v>
      </c>
      <c r="C597">
        <f>FLOOR(_xlfn.XLOOKUP($A597,PROPERTIES[VEHIDCODE],PROPERTIES[INTRODUCTION_YEAR]),20)</f>
        <v>1880</v>
      </c>
      <c r="D597" t="str">
        <f>_xlfn.XLOOKUP($A597,PROPERTIES[VEHIDCODE],PROPERTIES[ROLE])</f>
        <v>Shunting</v>
      </c>
      <c r="E597" s="35" t="str">
        <f>_xlfn.XLOOKUP($A597,PROPERTIES[VEHIDCODE],PROPERTIES[REGION1])</f>
        <v>WESTERN_EUROPE</v>
      </c>
      <c r="F597" s="35" t="str">
        <f>_xlfn.XLOOKUP($A597,PROPERTIES[VEHIDCODE],PROPERTIES[REGION2])</f>
        <v>NO_REGION</v>
      </c>
      <c r="G597" s="35" t="str">
        <f t="shared" si="59"/>
        <v>WESTERN_EUROPE_NO_REGION</v>
      </c>
      <c r="H597" t="b">
        <f t="shared" si="60"/>
        <v>0</v>
      </c>
      <c r="I597" t="b">
        <f t="shared" si="61"/>
        <v>0</v>
      </c>
      <c r="J597" t="b">
        <f t="shared" si="62"/>
        <v>0</v>
      </c>
      <c r="K597" t="b">
        <f t="shared" si="62"/>
        <v>0</v>
      </c>
      <c r="L597" t="b">
        <f t="shared" si="62"/>
        <v>1</v>
      </c>
      <c r="M597" t="b">
        <f t="shared" si="62"/>
        <v>0</v>
      </c>
      <c r="N597" t="b">
        <f t="shared" si="63"/>
        <v>0</v>
      </c>
      <c r="O597" t="b">
        <f t="shared" si="63"/>
        <v>0</v>
      </c>
      <c r="P597" t="b">
        <f t="shared" si="64"/>
        <v>0</v>
      </c>
    </row>
    <row r="598" spans="1:16">
      <c r="A598" t="str">
        <v>steam_Japan_JNR_Class_E10</v>
      </c>
      <c r="B598" t="b" cm="1">
        <f t="array" ref="B598">_xlfn.XLOOKUP(A598,CONTROL[VEHIDCODE],PROPERTIES[EXCLUDE])</f>
        <v>0</v>
      </c>
      <c r="C598">
        <f>FLOOR(_xlfn.XLOOKUP($A598,PROPERTIES[VEHIDCODE],PROPERTIES[INTRODUCTION_YEAR]),20)</f>
        <v>1940</v>
      </c>
      <c r="D598" t="str">
        <f>_xlfn.XLOOKUP($A598,PROPERTIES[VEHIDCODE],PROPERTIES[ROLE])</f>
        <v>Commuter/Urban</v>
      </c>
      <c r="E598" s="35" t="str">
        <f>_xlfn.XLOOKUP($A598,PROPERTIES[VEHIDCODE],PROPERTIES[REGION1])</f>
        <v>ASIA</v>
      </c>
      <c r="F598" s="35" t="str">
        <f>_xlfn.XLOOKUP($A598,PROPERTIES[VEHIDCODE],PROPERTIES[REGION2])</f>
        <v>NO_REGION</v>
      </c>
      <c r="G598" s="35" t="str">
        <f t="shared" si="59"/>
        <v>ASIA_NO_REGION</v>
      </c>
      <c r="H598" t="b">
        <f t="shared" si="60"/>
        <v>0</v>
      </c>
      <c r="I598" t="b">
        <f t="shared" si="61"/>
        <v>1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2"/>
        <v>0</v>
      </c>
      <c r="N598" t="b">
        <f t="shared" si="63"/>
        <v>0</v>
      </c>
      <c r="O598" t="b">
        <f t="shared" si="63"/>
        <v>0</v>
      </c>
      <c r="P598" t="b">
        <f t="shared" si="64"/>
        <v>0</v>
      </c>
    </row>
    <row r="599" spans="1:16">
      <c r="A599" t="str">
        <v>steam_Japan_JNR_7100</v>
      </c>
      <c r="B599" t="b" cm="1">
        <f t="array" ref="B599">_xlfn.XLOOKUP(A599,CONTROL[VEHIDCODE],PROPERTIES[EXCLUDE])</f>
        <v>0</v>
      </c>
      <c r="C599">
        <f>FLOOR(_xlfn.XLOOKUP($A599,PROPERTIES[VEHIDCODE],PROPERTIES[INTRODUCTION_YEAR]),20)</f>
        <v>1880</v>
      </c>
      <c r="D599" t="str">
        <f>_xlfn.XLOOKUP($A599,PROPERTIES[VEHIDCODE],PROPERTIES[ROLE])</f>
        <v>Shunting</v>
      </c>
      <c r="E599" s="35" t="str">
        <f>_xlfn.XLOOKUP($A599,PROPERTIES[VEHIDCODE],PROPERTIES[REGION1])</f>
        <v>ASIA</v>
      </c>
      <c r="F599" s="35" t="str">
        <f>_xlfn.XLOOKUP($A599,PROPERTIES[VEHIDCODE],PROPERTIES[REGION2])</f>
        <v>NO_REGION</v>
      </c>
      <c r="G599" s="35" t="str">
        <f t="shared" si="59"/>
        <v>ASIA_NO_REGION</v>
      </c>
      <c r="H599" t="b">
        <f t="shared" si="60"/>
        <v>0</v>
      </c>
      <c r="I599" t="b">
        <f t="shared" si="61"/>
        <v>1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2"/>
        <v>0</v>
      </c>
      <c r="N599" t="b">
        <f t="shared" si="63"/>
        <v>0</v>
      </c>
      <c r="O599" t="b">
        <f t="shared" si="63"/>
        <v>0</v>
      </c>
      <c r="P599" t="b">
        <f t="shared" si="64"/>
        <v>0</v>
      </c>
    </row>
    <row r="600" spans="1:16">
      <c r="A600" t="str">
        <v>steam_Japan_JNR_860</v>
      </c>
      <c r="B600" t="b" cm="1">
        <f t="array" ref="B600">_xlfn.XLOOKUP(A600,CONTROL[VEHIDCODE],PROPERTIES[EXCLUDE])</f>
        <v>0</v>
      </c>
      <c r="C600">
        <f>FLOOR(_xlfn.XLOOKUP($A600,PROPERTIES[VEHIDCODE],PROPERTIES[INTRODUCTION_YEAR]),20)</f>
        <v>1880</v>
      </c>
      <c r="D600" t="str">
        <f>_xlfn.XLOOKUP($A600,PROPERTIES[VEHIDCODE],PROPERTIES[ROLE])</f>
        <v>Shunting</v>
      </c>
      <c r="E600" s="35" t="str">
        <f>_xlfn.XLOOKUP($A600,PROPERTIES[VEHIDCODE],PROPERTIES[REGION1])</f>
        <v>ASIA</v>
      </c>
      <c r="F600" s="35" t="str">
        <f>_xlfn.XLOOKUP($A600,PROPERTIES[VEHIDCODE],PROPERTIES[REGION2])</f>
        <v>NO_REGION</v>
      </c>
      <c r="G600" s="35" t="str">
        <f t="shared" si="59"/>
        <v>ASIA_NO_REGION</v>
      </c>
      <c r="H600" t="b">
        <f t="shared" si="60"/>
        <v>0</v>
      </c>
      <c r="I600" t="b">
        <f t="shared" si="61"/>
        <v>1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2"/>
        <v>0</v>
      </c>
      <c r="N600" t="b">
        <f t="shared" si="63"/>
        <v>0</v>
      </c>
      <c r="O600" t="b">
        <f t="shared" si="63"/>
        <v>0</v>
      </c>
      <c r="P600" t="b">
        <f t="shared" si="64"/>
        <v>0</v>
      </c>
    </row>
    <row r="601" spans="1:16">
      <c r="A601" t="str">
        <v>steam_Japan_JNR_9600</v>
      </c>
      <c r="B601" t="b" cm="1">
        <f t="array" ref="B601">_xlfn.XLOOKUP(A601,CONTROL[VEHIDCODE],PROPERTIES[EXCLUDE])</f>
        <v>0</v>
      </c>
      <c r="C601">
        <f>FLOOR(_xlfn.XLOOKUP($A601,PROPERTIES[VEHIDCODE],PROPERTIES[INTRODUCTION_YEAR]),20)</f>
        <v>1900</v>
      </c>
      <c r="D601" t="str">
        <f>_xlfn.XLOOKUP($A601,PROPERTIES[VEHIDCODE],PROPERTIES[ROLE])</f>
        <v>Universal</v>
      </c>
      <c r="E601" s="35" t="str">
        <f>_xlfn.XLOOKUP($A601,PROPERTIES[VEHIDCODE],PROPERTIES[REGION1])</f>
        <v>ASIA</v>
      </c>
      <c r="F601" s="35" t="str">
        <f>_xlfn.XLOOKUP($A601,PROPERTIES[VEHIDCODE],PROPERTIES[REGION2])</f>
        <v>NO_REGION</v>
      </c>
      <c r="G601" s="35" t="str">
        <f t="shared" si="59"/>
        <v>ASIA_NO_REGION</v>
      </c>
      <c r="H601" t="b">
        <f t="shared" si="60"/>
        <v>0</v>
      </c>
      <c r="I601" t="b">
        <f t="shared" si="61"/>
        <v>1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2"/>
        <v>0</v>
      </c>
      <c r="N601" t="b">
        <f t="shared" si="63"/>
        <v>0</v>
      </c>
      <c r="O601" t="b">
        <f t="shared" si="63"/>
        <v>0</v>
      </c>
      <c r="P601" t="b">
        <f t="shared" si="64"/>
        <v>0</v>
      </c>
    </row>
    <row r="602" spans="1:16">
      <c r="A602" t="str">
        <v>steam_Japan_JNR_D50</v>
      </c>
      <c r="B602" t="b" cm="1">
        <f t="array" ref="B602">_xlfn.XLOOKUP(A602,CONTROL[VEHIDCODE],PROPERTIES[EXCLUDE])</f>
        <v>0</v>
      </c>
      <c r="C602">
        <f>FLOOR(_xlfn.XLOOKUP($A602,PROPERTIES[VEHIDCODE],PROPERTIES[INTRODUCTION_YEAR]),20)</f>
        <v>1920</v>
      </c>
      <c r="D602" t="str">
        <f>_xlfn.XLOOKUP($A602,PROPERTIES[VEHIDCODE],PROPERTIES[ROLE])</f>
        <v>Universal</v>
      </c>
      <c r="E602" s="35" t="str">
        <f>_xlfn.XLOOKUP($A602,PROPERTIES[VEHIDCODE],PROPERTIES[REGION1])</f>
        <v>ASIA</v>
      </c>
      <c r="F602" s="35" t="str">
        <f>_xlfn.XLOOKUP($A602,PROPERTIES[VEHIDCODE],PROPERTIES[REGION2])</f>
        <v>NO_REGION</v>
      </c>
      <c r="G602" s="35" t="str">
        <f t="shared" si="59"/>
        <v>ASIA_NO_REGION</v>
      </c>
      <c r="H602" t="b">
        <f t="shared" si="60"/>
        <v>0</v>
      </c>
      <c r="I602" t="b">
        <f t="shared" si="61"/>
        <v>1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2"/>
        <v>0</v>
      </c>
      <c r="N602" t="b">
        <f t="shared" si="63"/>
        <v>0</v>
      </c>
      <c r="O602" t="b">
        <f t="shared" si="63"/>
        <v>0</v>
      </c>
      <c r="P602" t="b">
        <f t="shared" si="64"/>
        <v>0</v>
      </c>
    </row>
    <row r="603" spans="1:16">
      <c r="A603" t="str">
        <v>diesel_Japan_JNR_DF50</v>
      </c>
      <c r="B603" t="b" cm="1">
        <f t="array" ref="B603">_xlfn.XLOOKUP(A603,CONTROL[VEHIDCODE],PROPERTIES[EXCLUDE])</f>
        <v>0</v>
      </c>
      <c r="C603">
        <f>FLOOR(_xlfn.XLOOKUP($A603,PROPERTIES[VEHIDCODE],PROPERTIES[INTRODUCTION_YEAR]),20)</f>
        <v>1940</v>
      </c>
      <c r="D603" t="str">
        <f>_xlfn.XLOOKUP($A603,PROPERTIES[VEHIDCODE],PROPERTIES[ROLE])</f>
        <v>Universal</v>
      </c>
      <c r="E603" s="35" t="str">
        <f>_xlfn.XLOOKUP($A603,PROPERTIES[VEHIDCODE],PROPERTIES[REGION1])</f>
        <v>ASIA</v>
      </c>
      <c r="F603" s="35" t="str">
        <f>_xlfn.XLOOKUP($A603,PROPERTIES[VEHIDCODE],PROPERTIES[REGION2])</f>
        <v>NO_REGION</v>
      </c>
      <c r="G603" s="35" t="str">
        <f t="shared" si="59"/>
        <v>ASIA_NO_REGION</v>
      </c>
      <c r="H603" t="b">
        <f t="shared" si="60"/>
        <v>0</v>
      </c>
      <c r="I603" t="b">
        <f t="shared" si="61"/>
        <v>1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2"/>
        <v>0</v>
      </c>
      <c r="N603" t="b">
        <f t="shared" si="63"/>
        <v>0</v>
      </c>
      <c r="O603" t="b">
        <f t="shared" si="63"/>
        <v>0</v>
      </c>
      <c r="P603" t="b">
        <f t="shared" si="64"/>
        <v>0</v>
      </c>
    </row>
    <row r="604" spans="1:16">
      <c r="A604" t="str">
        <v>electric_Switzerland_RhB_DE_2_2</v>
      </c>
      <c r="B604" t="b" cm="1">
        <f t="array" ref="B604">_xlfn.XLOOKUP(A604,CONTROL[VEHIDCODE],PROPERTIES[EXCLUDE])</f>
        <v>0</v>
      </c>
      <c r="C604">
        <f>FLOOR(_xlfn.XLOOKUP($A604,PROPERTIES[VEHIDCODE],PROPERTIES[INTRODUCTION_YEAR]),20)</f>
        <v>1900</v>
      </c>
      <c r="D604" t="str">
        <f>_xlfn.XLOOKUP($A604,PROPERTIES[VEHIDCODE],PROPERTIES[ROLE])</f>
        <v>Shunting</v>
      </c>
      <c r="E604" s="35" t="str">
        <f>_xlfn.XLOOKUP($A604,PROPERTIES[VEHIDCODE],PROPERTIES[REGION1])</f>
        <v>WESTERN_EUROPE</v>
      </c>
      <c r="F604" s="35" t="str">
        <f>_xlfn.XLOOKUP($A604,PROPERTIES[VEHIDCODE],PROPERTIES[REGION2])</f>
        <v>NO_REGION</v>
      </c>
      <c r="G604" s="35" t="str">
        <f t="shared" si="59"/>
        <v>WESTERN_EUROPE_NO_REGION</v>
      </c>
      <c r="H604" t="b">
        <f t="shared" si="60"/>
        <v>0</v>
      </c>
      <c r="I604" t="b">
        <f t="shared" si="61"/>
        <v>0</v>
      </c>
      <c r="J604" t="b">
        <f t="shared" si="62"/>
        <v>0</v>
      </c>
      <c r="K604" t="b">
        <f t="shared" si="62"/>
        <v>0</v>
      </c>
      <c r="L604" t="b">
        <f t="shared" si="62"/>
        <v>1</v>
      </c>
      <c r="M604" t="b">
        <f t="shared" si="62"/>
        <v>0</v>
      </c>
      <c r="N604" t="b">
        <f t="shared" si="63"/>
        <v>0</v>
      </c>
      <c r="O604" t="b">
        <f t="shared" si="63"/>
        <v>0</v>
      </c>
      <c r="P604" t="b">
        <f t="shared" si="64"/>
        <v>0</v>
      </c>
    </row>
    <row r="605" spans="1:16">
      <c r="A605" t="str">
        <v>electric_Japan_JNR_EH10</v>
      </c>
      <c r="B605" t="b" cm="1">
        <f t="array" ref="B605">_xlfn.XLOOKUP(A605,CONTROL[VEHIDCODE],PROPERTIES[EXCLUDE])</f>
        <v>0</v>
      </c>
      <c r="C605">
        <f>FLOOR(_xlfn.XLOOKUP($A605,PROPERTIES[VEHIDCODE],PROPERTIES[INTRODUCTION_YEAR]),20)</f>
        <v>1940</v>
      </c>
      <c r="D605" t="str">
        <f>_xlfn.XLOOKUP($A605,PROPERTIES[VEHIDCODE],PROPERTIES[ROLE])</f>
        <v>Express</v>
      </c>
      <c r="E605" s="35" t="str">
        <f>_xlfn.XLOOKUP($A605,PROPERTIES[VEHIDCODE],PROPERTIES[REGION1])</f>
        <v>ASIA</v>
      </c>
      <c r="F605" s="35" t="str">
        <f>_xlfn.XLOOKUP($A605,PROPERTIES[VEHIDCODE],PROPERTIES[REGION2])</f>
        <v>NO_REGION</v>
      </c>
      <c r="G605" s="35" t="str">
        <f t="shared" si="59"/>
        <v>ASIA_NO_REGION</v>
      </c>
      <c r="H605" t="b">
        <f t="shared" si="60"/>
        <v>0</v>
      </c>
      <c r="I605" t="b">
        <f t="shared" si="61"/>
        <v>1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2"/>
        <v>0</v>
      </c>
      <c r="N605" t="b">
        <f t="shared" si="63"/>
        <v>0</v>
      </c>
      <c r="O605" t="b">
        <f t="shared" si="63"/>
        <v>0</v>
      </c>
      <c r="P605" t="b">
        <f t="shared" si="64"/>
        <v>0</v>
      </c>
    </row>
    <row r="606" spans="1:16">
      <c r="A606" t="str">
        <v>electric_Japan_JNR_EF64</v>
      </c>
      <c r="B606" t="b" cm="1">
        <f t="array" ref="B606">_xlfn.XLOOKUP(A606,CONTROL[VEHIDCODE],PROPERTIES[EXCLUDE])</f>
        <v>0</v>
      </c>
      <c r="C606">
        <f>FLOOR(_xlfn.XLOOKUP($A606,PROPERTIES[VEHIDCODE],PROPERTIES[INTRODUCTION_YEAR]),20)</f>
        <v>1960</v>
      </c>
      <c r="D606" t="str">
        <f>_xlfn.XLOOKUP($A606,PROPERTIES[VEHIDCODE],PROPERTIES[ROLE])</f>
        <v>Express</v>
      </c>
      <c r="E606" s="35" t="str">
        <f>_xlfn.XLOOKUP($A606,PROPERTIES[VEHIDCODE],PROPERTIES[REGION1])</f>
        <v>ASIA</v>
      </c>
      <c r="F606" s="35" t="str">
        <f>_xlfn.XLOOKUP($A606,PROPERTIES[VEHIDCODE],PROPERTIES[REGION2])</f>
        <v>NO_REGION</v>
      </c>
      <c r="G606" s="35" t="str">
        <f t="shared" si="59"/>
        <v>ASIA_NO_REGION</v>
      </c>
      <c r="H606" t="b">
        <f t="shared" si="60"/>
        <v>0</v>
      </c>
      <c r="I606" t="b">
        <f t="shared" si="61"/>
        <v>1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2"/>
        <v>0</v>
      </c>
      <c r="N606" t="b">
        <f t="shared" si="63"/>
        <v>0</v>
      </c>
      <c r="O606" t="b">
        <f t="shared" si="63"/>
        <v>0</v>
      </c>
      <c r="P606" t="b">
        <f t="shared" si="64"/>
        <v>0</v>
      </c>
    </row>
    <row r="607" spans="1:16">
      <c r="A607" t="str">
        <v>electric_New_Zealand_NZR_EO_Class</v>
      </c>
      <c r="B607" t="b" cm="1">
        <f t="array" ref="B607">_xlfn.XLOOKUP(A607,CONTROL[VEHIDCODE],PROPERTIES[EXCLUDE])</f>
        <v>0</v>
      </c>
      <c r="C607">
        <f>FLOOR(_xlfn.XLOOKUP($A607,PROPERTIES[VEHIDCODE],PROPERTIES[INTRODUCTION_YEAR]),20)</f>
        <v>1920</v>
      </c>
      <c r="D607" t="str">
        <f>_xlfn.XLOOKUP($A607,PROPERTIES[VEHIDCODE],PROPERTIES[ROLE])</f>
        <v>Universal</v>
      </c>
      <c r="E607" s="35" t="str">
        <f>_xlfn.XLOOKUP($A607,PROPERTIES[VEHIDCODE],PROPERTIES[REGION1])</f>
        <v>OCEANIA</v>
      </c>
      <c r="F607" s="35" t="str">
        <f>_xlfn.XLOOKUP($A607,PROPERTIES[VEHIDCODE],PROPERTIES[REGION2])</f>
        <v>NO_REGION</v>
      </c>
      <c r="G607" s="35" t="str">
        <f t="shared" si="59"/>
        <v>OCEANIA_NO_REGION</v>
      </c>
      <c r="H607" t="b">
        <f t="shared" si="60"/>
        <v>0</v>
      </c>
      <c r="I607" t="b">
        <f t="shared" si="61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2"/>
        <v>0</v>
      </c>
      <c r="N607" t="b">
        <f t="shared" si="63"/>
        <v>0</v>
      </c>
      <c r="O607" t="b">
        <f t="shared" si="63"/>
        <v>0</v>
      </c>
      <c r="P607" t="b">
        <f t="shared" si="64"/>
        <v>1</v>
      </c>
    </row>
    <row r="608" spans="1:16">
      <c r="A608" t="str">
        <v>electric_Australia_NSWGR_71</v>
      </c>
      <c r="B608" t="b" cm="1">
        <f t="array" ref="B608">_xlfn.XLOOKUP(A608,CONTROL[VEHIDCODE],PROPERTIES[EXCLUDE])</f>
        <v>0</v>
      </c>
      <c r="C608">
        <f>FLOOR(_xlfn.XLOOKUP($A608,PROPERTIES[VEHIDCODE],PROPERTIES[INTRODUCTION_YEAR]),20)</f>
        <v>1940</v>
      </c>
      <c r="D608" t="str">
        <f>_xlfn.XLOOKUP($A608,PROPERTIES[VEHIDCODE],PROPERTIES[ROLE])</f>
        <v>Express</v>
      </c>
      <c r="E608" s="35" t="str">
        <f>_xlfn.XLOOKUP($A608,PROPERTIES[VEHIDCODE],PROPERTIES[REGION1])</f>
        <v>OCEANIA</v>
      </c>
      <c r="F608" s="35" t="str">
        <f>_xlfn.XLOOKUP($A608,PROPERTIES[VEHIDCODE],PROPERTIES[REGION2])</f>
        <v>NO_REGION</v>
      </c>
      <c r="G608" s="35" t="str">
        <f t="shared" si="59"/>
        <v>OCEANIA_NO_REGION</v>
      </c>
      <c r="H608" t="b">
        <f t="shared" si="60"/>
        <v>0</v>
      </c>
      <c r="I608" t="b">
        <f t="shared" si="61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2"/>
        <v>0</v>
      </c>
      <c r="N608" t="b">
        <f t="shared" si="63"/>
        <v>0</v>
      </c>
      <c r="O608" t="b">
        <f t="shared" si="63"/>
        <v>0</v>
      </c>
      <c r="P608" t="b">
        <f t="shared" si="64"/>
        <v>1</v>
      </c>
    </row>
    <row r="609" spans="1:16">
      <c r="A609" t="str">
        <v>electric_South_Africa_SAR_4E</v>
      </c>
      <c r="B609" t="b" cm="1">
        <f t="array" ref="B609">_xlfn.XLOOKUP(A609,CONTROL[VEHIDCODE],PROPERTIES[EXCLUDE])</f>
        <v>0</v>
      </c>
      <c r="C609">
        <f>FLOOR(_xlfn.XLOOKUP($A609,PROPERTIES[VEHIDCODE],PROPERTIES[INTRODUCTION_YEAR]),20)</f>
        <v>1940</v>
      </c>
      <c r="D609" t="str">
        <f>_xlfn.XLOOKUP($A609,PROPERTIES[VEHIDCODE],PROPERTIES[ROLE])</f>
        <v>Heavy Freight</v>
      </c>
      <c r="E609" s="35" t="str">
        <f>_xlfn.XLOOKUP($A609,PROPERTIES[VEHIDCODE],PROPERTIES[REGION1])</f>
        <v>AFRICA</v>
      </c>
      <c r="F609" s="35" t="str">
        <f>_xlfn.XLOOKUP($A609,PROPERTIES[VEHIDCODE],PROPERTIES[REGION2])</f>
        <v>NO_REGION</v>
      </c>
      <c r="G609" s="35" t="str">
        <f t="shared" si="59"/>
        <v>AFRICA_NO_REGION</v>
      </c>
      <c r="H609" t="b">
        <f t="shared" si="60"/>
        <v>1</v>
      </c>
      <c r="I609" t="b">
        <f t="shared" si="61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2"/>
        <v>0</v>
      </c>
      <c r="N609" t="b">
        <f t="shared" si="63"/>
        <v>0</v>
      </c>
      <c r="O609" t="b">
        <f t="shared" si="63"/>
        <v>0</v>
      </c>
      <c r="P609" t="b">
        <f t="shared" si="64"/>
        <v>0</v>
      </c>
    </row>
    <row r="610" spans="1:16">
      <c r="A610" t="str">
        <v>electric_South_Africa_SAR_5E1</v>
      </c>
      <c r="B610" t="b" cm="1">
        <f t="array" ref="B610">_xlfn.XLOOKUP(A610,CONTROL[VEHIDCODE],PROPERTIES[EXCLUDE])</f>
        <v>0</v>
      </c>
      <c r="C610">
        <f>FLOOR(_xlfn.XLOOKUP($A610,PROPERTIES[VEHIDCODE],PROPERTIES[INTRODUCTION_YEAR]),20)</f>
        <v>1960</v>
      </c>
      <c r="D610" t="str">
        <f>_xlfn.XLOOKUP($A610,PROPERTIES[VEHIDCODE],PROPERTIES[ROLE])</f>
        <v>Universal</v>
      </c>
      <c r="E610" s="35" t="str">
        <f>_xlfn.XLOOKUP($A610,PROPERTIES[VEHIDCODE],PROPERTIES[REGION1])</f>
        <v>AFRICA</v>
      </c>
      <c r="F610" s="35" t="str">
        <f>_xlfn.XLOOKUP($A610,PROPERTIES[VEHIDCODE],PROPERTIES[REGION2])</f>
        <v>NO_REGION</v>
      </c>
      <c r="G610" s="35" t="str">
        <f t="shared" si="59"/>
        <v>AFRICA_NO_REGION</v>
      </c>
      <c r="H610" t="b">
        <f t="shared" si="60"/>
        <v>1</v>
      </c>
      <c r="I610" t="b">
        <f t="shared" si="61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2"/>
        <v>0</v>
      </c>
      <c r="N610" t="b">
        <f t="shared" si="63"/>
        <v>0</v>
      </c>
      <c r="O610" t="b">
        <f t="shared" si="63"/>
        <v>0</v>
      </c>
      <c r="P610" t="b">
        <f t="shared" si="64"/>
        <v>0</v>
      </c>
    </row>
    <row r="611" spans="1:16">
      <c r="A611" t="str">
        <v>electric_South_Africa_SAR_6E</v>
      </c>
      <c r="B611" t="b" cm="1">
        <f t="array" ref="B611">_xlfn.XLOOKUP(A611,CONTROL[VEHIDCODE],PROPERTIES[EXCLUDE])</f>
        <v>0</v>
      </c>
      <c r="C611">
        <f>FLOOR(_xlfn.XLOOKUP($A611,PROPERTIES[VEHIDCODE],PROPERTIES[INTRODUCTION_YEAR]),20)</f>
        <v>1960</v>
      </c>
      <c r="D611" t="str">
        <f>_xlfn.XLOOKUP($A611,PROPERTIES[VEHIDCODE],PROPERTIES[ROLE])</f>
        <v>Express</v>
      </c>
      <c r="E611" s="35" t="str">
        <f>_xlfn.XLOOKUP($A611,PROPERTIES[VEHIDCODE],PROPERTIES[REGION1])</f>
        <v>AFRICA</v>
      </c>
      <c r="F611" s="35" t="str">
        <f>_xlfn.XLOOKUP($A611,PROPERTIES[VEHIDCODE],PROPERTIES[REGION2])</f>
        <v>NO_REGION</v>
      </c>
      <c r="G611" s="35" t="str">
        <f t="shared" si="59"/>
        <v>AFRICA_NO_REGION</v>
      </c>
      <c r="H611" t="b">
        <f t="shared" si="60"/>
        <v>1</v>
      </c>
      <c r="I611" t="b">
        <f t="shared" si="61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2"/>
        <v>0</v>
      </c>
      <c r="N611" t="b">
        <f t="shared" si="63"/>
        <v>0</v>
      </c>
      <c r="O611" t="b">
        <f t="shared" si="63"/>
        <v>0</v>
      </c>
      <c r="P611" t="b">
        <f t="shared" si="64"/>
        <v>0</v>
      </c>
    </row>
    <row r="612" spans="1:16">
      <c r="A612" t="str">
        <v>electric_Switzerland_RhB_Ge_4_4_I</v>
      </c>
      <c r="B612" t="b" cm="1">
        <f t="array" ref="B612">_xlfn.XLOOKUP(A612,CONTROL[VEHIDCODE],PROPERTIES[EXCLUDE])</f>
        <v>0</v>
      </c>
      <c r="C612">
        <f>FLOOR(_xlfn.XLOOKUP($A612,PROPERTIES[VEHIDCODE],PROPERTIES[INTRODUCTION_YEAR]),20)</f>
        <v>1940</v>
      </c>
      <c r="D612" t="str">
        <f>_xlfn.XLOOKUP($A612,PROPERTIES[VEHIDCODE],PROPERTIES[ROLE])</f>
        <v>Universal</v>
      </c>
      <c r="E612" s="35" t="str">
        <f>_xlfn.XLOOKUP($A612,PROPERTIES[VEHIDCODE],PROPERTIES[REGION1])</f>
        <v>WESTERN_EUROPE</v>
      </c>
      <c r="F612" s="35" t="str">
        <f>_xlfn.XLOOKUP($A612,PROPERTIES[VEHIDCODE],PROPERTIES[REGION2])</f>
        <v>NO_REGION</v>
      </c>
      <c r="G612" s="35" t="str">
        <f t="shared" si="59"/>
        <v>WESTERN_EUROPE_NO_REGION</v>
      </c>
      <c r="H612" t="b">
        <f t="shared" si="60"/>
        <v>0</v>
      </c>
      <c r="I612" t="b">
        <f t="shared" si="61"/>
        <v>0</v>
      </c>
      <c r="J612" t="b">
        <f t="shared" si="62"/>
        <v>0</v>
      </c>
      <c r="K612" t="b">
        <f t="shared" si="62"/>
        <v>0</v>
      </c>
      <c r="L612" t="b">
        <f t="shared" si="62"/>
        <v>1</v>
      </c>
      <c r="M612" t="b">
        <f t="shared" si="62"/>
        <v>0</v>
      </c>
      <c r="N612" t="b">
        <f t="shared" si="63"/>
        <v>0</v>
      </c>
      <c r="O612" t="b">
        <f t="shared" si="63"/>
        <v>0</v>
      </c>
      <c r="P612" t="b">
        <f t="shared" si="64"/>
        <v>0</v>
      </c>
    </row>
    <row r="613" spans="1:16">
      <c r="A613" t="str">
        <v>electric_Switzerland_RhB_Ge_6_6_Krokodil</v>
      </c>
      <c r="B613" t="b" cm="1">
        <f t="array" ref="B613">_xlfn.XLOOKUP(A613,CONTROL[VEHIDCODE],PROPERTIES[EXCLUDE])</f>
        <v>0</v>
      </c>
      <c r="C613">
        <f>FLOOR(_xlfn.XLOOKUP($A613,PROPERTIES[VEHIDCODE],PROPERTIES[INTRODUCTION_YEAR]),20)</f>
        <v>1920</v>
      </c>
      <c r="D613" t="str">
        <f>_xlfn.XLOOKUP($A613,PROPERTIES[VEHIDCODE],PROPERTIES[ROLE])</f>
        <v>Universal</v>
      </c>
      <c r="E613" s="35" t="str">
        <f>_xlfn.XLOOKUP($A613,PROPERTIES[VEHIDCODE],PROPERTIES[REGION1])</f>
        <v>WESTERN_EUROPE</v>
      </c>
      <c r="F613" s="35" t="str">
        <f>_xlfn.XLOOKUP($A613,PROPERTIES[VEHIDCODE],PROPERTIES[REGION2])</f>
        <v>NO_REGION</v>
      </c>
      <c r="G613" s="35" t="str">
        <f t="shared" si="59"/>
        <v>WESTERN_EUROPE_NO_REGION</v>
      </c>
      <c r="H613" t="b">
        <f t="shared" si="60"/>
        <v>0</v>
      </c>
      <c r="I613" t="b">
        <f t="shared" si="61"/>
        <v>0</v>
      </c>
      <c r="J613" t="b">
        <f t="shared" si="62"/>
        <v>0</v>
      </c>
      <c r="K613" t="b">
        <f t="shared" si="62"/>
        <v>0</v>
      </c>
      <c r="L613" t="b">
        <f t="shared" si="62"/>
        <v>1</v>
      </c>
      <c r="M613" t="b">
        <f t="shared" si="62"/>
        <v>0</v>
      </c>
      <c r="N613" t="b">
        <f t="shared" si="63"/>
        <v>0</v>
      </c>
      <c r="O613" t="b">
        <f t="shared" si="63"/>
        <v>0</v>
      </c>
      <c r="P613" t="b">
        <f t="shared" si="64"/>
        <v>0</v>
      </c>
    </row>
    <row r="614" spans="1:16">
      <c r="A614" t="str">
        <v>electric_Brasil_MRS_He_4_4</v>
      </c>
      <c r="B614" t="b" cm="1">
        <f t="array" ref="B614">_xlfn.XLOOKUP(A614,CONTROL[VEHIDCODE],PROPERTIES[EXCLUDE])</f>
        <v>0</v>
      </c>
      <c r="C614">
        <f>FLOOR(_xlfn.XLOOKUP($A614,PROPERTIES[VEHIDCODE],PROPERTIES[INTRODUCTION_YEAR]),20)</f>
        <v>2000</v>
      </c>
      <c r="D614" t="str">
        <f>_xlfn.XLOOKUP($A614,PROPERTIES[VEHIDCODE],PROPERTIES[ROLE])</f>
        <v>Universal</v>
      </c>
      <c r="E614" s="35" t="str">
        <f>_xlfn.XLOOKUP($A614,PROPERTIES[VEHIDCODE],PROPERTIES[REGION1])</f>
        <v>SOUTH_AMERICA</v>
      </c>
      <c r="F614" s="35" t="str">
        <f>_xlfn.XLOOKUP($A614,PROPERTIES[VEHIDCODE],PROPERTIES[REGION2])</f>
        <v>NO_REGION</v>
      </c>
      <c r="G614" s="35" t="str">
        <f t="shared" si="59"/>
        <v>SOUTH_AMERICA_NO_REGION</v>
      </c>
      <c r="H614" t="b">
        <f t="shared" si="60"/>
        <v>0</v>
      </c>
      <c r="I614" t="b">
        <f t="shared" si="61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2"/>
        <v>0</v>
      </c>
      <c r="N614" t="b">
        <f t="shared" si="63"/>
        <v>0</v>
      </c>
      <c r="O614" t="b">
        <f t="shared" si="63"/>
        <v>1</v>
      </c>
      <c r="P614" t="b">
        <f t="shared" si="64"/>
        <v>0</v>
      </c>
    </row>
    <row r="615" spans="1:16">
      <c r="A615" t="str">
        <v>electric_South_Africa_SAR_7E</v>
      </c>
      <c r="B615" t="b" cm="1">
        <f t="array" ref="B615">_xlfn.XLOOKUP(A615,CONTROL[VEHIDCODE],PROPERTIES[EXCLUDE])</f>
        <v>0</v>
      </c>
      <c r="C615">
        <f>FLOOR(_xlfn.XLOOKUP($A615,PROPERTIES[VEHIDCODE],PROPERTIES[INTRODUCTION_YEAR]),20)</f>
        <v>1960</v>
      </c>
      <c r="D615" t="str">
        <f>_xlfn.XLOOKUP($A615,PROPERTIES[VEHIDCODE],PROPERTIES[ROLE])</f>
        <v>Express</v>
      </c>
      <c r="E615" s="35" t="str">
        <f>_xlfn.XLOOKUP($A615,PROPERTIES[VEHIDCODE],PROPERTIES[REGION1])</f>
        <v>AFRICA</v>
      </c>
      <c r="F615" s="35" t="str">
        <f>_xlfn.XLOOKUP($A615,PROPERTIES[VEHIDCODE],PROPERTIES[REGION2])</f>
        <v>NO_REGION</v>
      </c>
      <c r="G615" s="35" t="str">
        <f t="shared" si="59"/>
        <v>AFRICA_NO_REGION</v>
      </c>
      <c r="H615" t="b">
        <f t="shared" si="60"/>
        <v>1</v>
      </c>
      <c r="I615" t="b">
        <f t="shared" si="61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2"/>
        <v>0</v>
      </c>
      <c r="N615" t="b">
        <f t="shared" si="63"/>
        <v>0</v>
      </c>
      <c r="O615" t="b">
        <f t="shared" si="63"/>
        <v>0</v>
      </c>
      <c r="P615" t="b">
        <f t="shared" si="64"/>
        <v>0</v>
      </c>
    </row>
    <row r="616" spans="1:16">
      <c r="A616" t="str">
        <v>electric_South_Africa_SAR_11E</v>
      </c>
      <c r="B616" t="b" cm="1">
        <f t="array" ref="B616">_xlfn.XLOOKUP(A616,CONTROL[VEHIDCODE],PROPERTIES[EXCLUDE])</f>
        <v>0</v>
      </c>
      <c r="C616">
        <f>FLOOR(_xlfn.XLOOKUP($A616,PROPERTIES[VEHIDCODE],PROPERTIES[INTRODUCTION_YEAR]),20)</f>
        <v>1980</v>
      </c>
      <c r="D616" t="str">
        <f>_xlfn.XLOOKUP($A616,PROPERTIES[VEHIDCODE],PROPERTIES[ROLE])</f>
        <v>Heavy Freight</v>
      </c>
      <c r="E616" s="35" t="str">
        <f>_xlfn.XLOOKUP($A616,PROPERTIES[VEHIDCODE],PROPERTIES[REGION1])</f>
        <v>AFRICA</v>
      </c>
      <c r="F616" s="35" t="str">
        <f>_xlfn.XLOOKUP($A616,PROPERTIES[VEHIDCODE],PROPERTIES[REGION2])</f>
        <v>NO_REGION</v>
      </c>
      <c r="G616" s="35" t="str">
        <f t="shared" si="59"/>
        <v>AFRICA_NO_REGION</v>
      </c>
      <c r="H616" t="b">
        <f t="shared" si="60"/>
        <v>1</v>
      </c>
      <c r="I616" t="b">
        <f t="shared" si="61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2"/>
        <v>0</v>
      </c>
      <c r="N616" t="b">
        <f t="shared" si="63"/>
        <v>0</v>
      </c>
      <c r="O616" t="b">
        <f t="shared" si="63"/>
        <v>0</v>
      </c>
      <c r="P616" t="b">
        <f t="shared" si="64"/>
        <v>0</v>
      </c>
    </row>
    <row r="617" spans="1:16">
      <c r="A617" t="str">
        <v>electric_New_Zealand_TranzRail_EF</v>
      </c>
      <c r="B617" t="b" cm="1">
        <f t="array" ref="B617">_xlfn.XLOOKUP(A617,CONTROL[VEHIDCODE],PROPERTIES[EXCLUDE])</f>
        <v>0</v>
      </c>
      <c r="C617">
        <f>FLOOR(_xlfn.XLOOKUP($A617,PROPERTIES[VEHIDCODE],PROPERTIES[INTRODUCTION_YEAR]),20)</f>
        <v>1980</v>
      </c>
      <c r="D617" t="str">
        <f>_xlfn.XLOOKUP($A617,PROPERTIES[VEHIDCODE],PROPERTIES[ROLE])</f>
        <v>Express</v>
      </c>
      <c r="E617" s="35" t="str">
        <f>_xlfn.XLOOKUP($A617,PROPERTIES[VEHIDCODE],PROPERTIES[REGION1])</f>
        <v>OCEANIA</v>
      </c>
      <c r="F617" s="35" t="str">
        <f>_xlfn.XLOOKUP($A617,PROPERTIES[VEHIDCODE],PROPERTIES[REGION2])</f>
        <v>NO_REGION</v>
      </c>
      <c r="G617" s="35" t="str">
        <f t="shared" si="59"/>
        <v>OCEANIA_NO_REGION</v>
      </c>
      <c r="H617" t="b">
        <f t="shared" si="60"/>
        <v>0</v>
      </c>
      <c r="I617" t="b">
        <f t="shared" si="61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2"/>
        <v>0</v>
      </c>
      <c r="N617" t="b">
        <f t="shared" si="63"/>
        <v>0</v>
      </c>
      <c r="O617" t="b">
        <f t="shared" si="63"/>
        <v>0</v>
      </c>
      <c r="P617" t="b">
        <f t="shared" si="64"/>
        <v>1</v>
      </c>
    </row>
    <row r="618" spans="1:16">
      <c r="A618" t="str">
        <v>emu_Japan_Odakyu_3100_Series_Romance</v>
      </c>
      <c r="B618" t="b" cm="1">
        <f t="array" ref="B618">_xlfn.XLOOKUP(A618,CONTROL[VEHIDCODE],PROPERTIES[EXCLUDE])</f>
        <v>0</v>
      </c>
      <c r="C618">
        <f>FLOOR(_xlfn.XLOOKUP($A618,PROPERTIES[VEHIDCODE],PROPERTIES[INTRODUCTION_YEAR]),20)</f>
        <v>1960</v>
      </c>
      <c r="D618" t="str">
        <f>_xlfn.XLOOKUP($A618,PROPERTIES[VEHIDCODE],PROPERTIES[ROLE])</f>
        <v>Express Passenger</v>
      </c>
      <c r="E618" s="35" t="str">
        <f>_xlfn.XLOOKUP($A618,PROPERTIES[VEHIDCODE],PROPERTIES[REGION1])</f>
        <v>ASIA</v>
      </c>
      <c r="F618" s="35" t="str">
        <f>_xlfn.XLOOKUP($A618,PROPERTIES[VEHIDCODE],PROPERTIES[REGION2])</f>
        <v>NO_REGION</v>
      </c>
      <c r="G618" s="35" t="str">
        <f t="shared" si="59"/>
        <v>ASIA_NO_REGION</v>
      </c>
      <c r="H618" t="b">
        <f t="shared" si="60"/>
        <v>0</v>
      </c>
      <c r="I618" t="b">
        <f t="shared" si="61"/>
        <v>1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2"/>
        <v>0</v>
      </c>
      <c r="N618" t="b">
        <f t="shared" si="63"/>
        <v>0</v>
      </c>
      <c r="O618" t="b">
        <f t="shared" si="63"/>
        <v>0</v>
      </c>
      <c r="P618" t="b">
        <f t="shared" si="64"/>
        <v>0</v>
      </c>
    </row>
    <row r="619" spans="1:16">
      <c r="A619" t="str">
        <v>emu_Japan_Odakyu_10000_Series_Romance</v>
      </c>
      <c r="B619" t="b" cm="1">
        <f t="array" ref="B619">_xlfn.XLOOKUP(A619,CONTROL[VEHIDCODE],PROPERTIES[EXCLUDE])</f>
        <v>0</v>
      </c>
      <c r="C619">
        <f>FLOOR(_xlfn.XLOOKUP($A619,PROPERTIES[VEHIDCODE],PROPERTIES[INTRODUCTION_YEAR]),20)</f>
        <v>1980</v>
      </c>
      <c r="D619" t="str">
        <f>_xlfn.XLOOKUP($A619,PROPERTIES[VEHIDCODE],PROPERTIES[ROLE])</f>
        <v>Express Passenger</v>
      </c>
      <c r="E619" s="35" t="str">
        <f>_xlfn.XLOOKUP($A619,PROPERTIES[VEHIDCODE],PROPERTIES[REGION1])</f>
        <v>ASIA</v>
      </c>
      <c r="F619" s="35" t="str">
        <f>_xlfn.XLOOKUP($A619,PROPERTIES[VEHIDCODE],PROPERTIES[REGION2])</f>
        <v>NO_REGION</v>
      </c>
      <c r="G619" s="35" t="str">
        <f t="shared" si="59"/>
        <v>ASIA_NO_REGION</v>
      </c>
      <c r="H619" t="b">
        <f t="shared" si="60"/>
        <v>0</v>
      </c>
      <c r="I619" t="b">
        <f t="shared" si="61"/>
        <v>1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2"/>
        <v>0</v>
      </c>
      <c r="N619" t="b">
        <f t="shared" si="63"/>
        <v>0</v>
      </c>
      <c r="O619" t="b">
        <f t="shared" si="63"/>
        <v>0</v>
      </c>
      <c r="P619" t="b">
        <f t="shared" si="64"/>
        <v>0</v>
      </c>
    </row>
    <row r="620" spans="1:16">
      <c r="A620" t="str">
        <v>emu_Australia_Sydney_Trains_S_Set</v>
      </c>
      <c r="B620" t="b" cm="1">
        <f t="array" ref="B620">_xlfn.XLOOKUP(A620,CONTROL[VEHIDCODE],PROPERTIES[EXCLUDE])</f>
        <v>0</v>
      </c>
      <c r="C620">
        <f>FLOOR(_xlfn.XLOOKUP($A620,PROPERTIES[VEHIDCODE],PROPERTIES[INTRODUCTION_YEAR]),20)</f>
        <v>1960</v>
      </c>
      <c r="D620" t="str">
        <f>_xlfn.XLOOKUP($A620,PROPERTIES[VEHIDCODE],PROPERTIES[ROLE])</f>
        <v>Commuter/Urban</v>
      </c>
      <c r="E620" s="35" t="str">
        <f>_xlfn.XLOOKUP($A620,PROPERTIES[VEHIDCODE],PROPERTIES[REGION1])</f>
        <v>OCEANIA</v>
      </c>
      <c r="F620" s="35" t="str">
        <f>_xlfn.XLOOKUP($A620,PROPERTIES[VEHIDCODE],PROPERTIES[REGION2])</f>
        <v>NO_REGION</v>
      </c>
      <c r="G620" s="35" t="str">
        <f t="shared" si="59"/>
        <v>OCEANIA_NO_REGION</v>
      </c>
      <c r="H620" t="b">
        <f t="shared" si="60"/>
        <v>0</v>
      </c>
      <c r="I620" t="b">
        <f t="shared" si="61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2"/>
        <v>0</v>
      </c>
      <c r="N620" t="b">
        <f t="shared" si="63"/>
        <v>0</v>
      </c>
      <c r="O620" t="b">
        <f t="shared" si="63"/>
        <v>0</v>
      </c>
      <c r="P620" t="b">
        <f t="shared" si="64"/>
        <v>1</v>
      </c>
    </row>
    <row r="621" spans="1:16">
      <c r="A621" t="str">
        <v>emu_Australia_Sydney_Trains_OSCars</v>
      </c>
      <c r="B621" t="b" cm="1">
        <f t="array" ref="B621">_xlfn.XLOOKUP(A621,CONTROL[VEHIDCODE],PROPERTIES[EXCLUDE])</f>
        <v>0</v>
      </c>
      <c r="C621">
        <f>FLOOR(_xlfn.XLOOKUP($A621,PROPERTIES[VEHIDCODE],PROPERTIES[INTRODUCTION_YEAR]),20)</f>
        <v>2000</v>
      </c>
      <c r="D621" t="str">
        <f>_xlfn.XLOOKUP($A621,PROPERTIES[VEHIDCODE],PROPERTIES[ROLE])</f>
        <v>Commuter/Urban</v>
      </c>
      <c r="E621" s="35" t="str">
        <f>_xlfn.XLOOKUP($A621,PROPERTIES[VEHIDCODE],PROPERTIES[REGION1])</f>
        <v>OCEANIA</v>
      </c>
      <c r="F621" s="35" t="str">
        <f>_xlfn.XLOOKUP($A621,PROPERTIES[VEHIDCODE],PROPERTIES[REGION2])</f>
        <v>NO_REGION</v>
      </c>
      <c r="G621" s="35" t="str">
        <f t="shared" si="59"/>
        <v>OCEANIA_NO_REGION</v>
      </c>
      <c r="H621" t="b">
        <f t="shared" si="60"/>
        <v>0</v>
      </c>
      <c r="I621" t="b">
        <f t="shared" si="61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2"/>
        <v>0</v>
      </c>
      <c r="N621" t="b">
        <f t="shared" si="63"/>
        <v>0</v>
      </c>
      <c r="O621" t="b">
        <f t="shared" si="63"/>
        <v>0</v>
      </c>
      <c r="P621" t="b">
        <f t="shared" si="64"/>
        <v>1</v>
      </c>
    </row>
    <row r="622" spans="1:16">
      <c r="A622" t="str">
        <v>emu_Australia_Victorian_Railways_Swing_Door</v>
      </c>
      <c r="B622" t="b" cm="1">
        <f t="array" ref="B622">_xlfn.XLOOKUP(A622,CONTROL[VEHIDCODE],PROPERTIES[EXCLUDE])</f>
        <v>0</v>
      </c>
      <c r="C622">
        <f>FLOOR(_xlfn.XLOOKUP($A622,PROPERTIES[VEHIDCODE],PROPERTIES[INTRODUCTION_YEAR]),20)</f>
        <v>1900</v>
      </c>
      <c r="D622" t="str">
        <f>_xlfn.XLOOKUP($A622,PROPERTIES[VEHIDCODE],PROPERTIES[ROLE])</f>
        <v>Commuter/Urban</v>
      </c>
      <c r="E622" s="35" t="str">
        <f>_xlfn.XLOOKUP($A622,PROPERTIES[VEHIDCODE],PROPERTIES[REGION1])</f>
        <v>OCEANIA</v>
      </c>
      <c r="F622" s="35" t="str">
        <f>_xlfn.XLOOKUP($A622,PROPERTIES[VEHIDCODE],PROPERTIES[REGION2])</f>
        <v>NO_REGION</v>
      </c>
      <c r="G622" s="35" t="str">
        <f t="shared" si="59"/>
        <v>OCEANIA_NO_REGION</v>
      </c>
      <c r="H622" t="b">
        <f t="shared" si="60"/>
        <v>0</v>
      </c>
      <c r="I622" t="b">
        <f t="shared" si="61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2"/>
        <v>0</v>
      </c>
      <c r="N622" t="b">
        <f t="shared" si="63"/>
        <v>0</v>
      </c>
      <c r="O622" t="b">
        <f t="shared" si="63"/>
        <v>0</v>
      </c>
      <c r="P622" t="b">
        <f t="shared" si="64"/>
        <v>1</v>
      </c>
    </row>
    <row r="623" spans="1:16">
      <c r="A623" t="str">
        <v>emu_New_Zealand_NZR_EM_ET_Class</v>
      </c>
      <c r="B623" t="b" cm="1">
        <f t="array" ref="B623">_xlfn.XLOOKUP(A623,CONTROL[VEHIDCODE],PROPERTIES[EXCLUDE])</f>
        <v>0</v>
      </c>
      <c r="C623">
        <f>FLOOR(_xlfn.XLOOKUP($A623,PROPERTIES[VEHIDCODE],PROPERTIES[INTRODUCTION_YEAR]),20)</f>
        <v>1960</v>
      </c>
      <c r="D623" t="str">
        <f>_xlfn.XLOOKUP($A623,PROPERTIES[VEHIDCODE],PROPERTIES[ROLE])</f>
        <v>Commuter/Urban</v>
      </c>
      <c r="E623" s="35" t="str">
        <f>_xlfn.XLOOKUP($A623,PROPERTIES[VEHIDCODE],PROPERTIES[REGION1])</f>
        <v>OCEANIA</v>
      </c>
      <c r="F623" s="35" t="str">
        <f>_xlfn.XLOOKUP($A623,PROPERTIES[VEHIDCODE],PROPERTIES[REGION2])</f>
        <v>NO_REGION</v>
      </c>
      <c r="G623" s="35" t="str">
        <f t="shared" si="59"/>
        <v>OCEANIA_NO_REGION</v>
      </c>
      <c r="H623" t="b">
        <f t="shared" si="60"/>
        <v>0</v>
      </c>
      <c r="I623" t="b">
        <f t="shared" si="61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2"/>
        <v>0</v>
      </c>
      <c r="N623" t="b">
        <f t="shared" si="63"/>
        <v>0</v>
      </c>
      <c r="O623" t="b">
        <f t="shared" si="63"/>
        <v>0</v>
      </c>
      <c r="P623" t="b">
        <f t="shared" si="64"/>
        <v>1</v>
      </c>
    </row>
    <row r="624" spans="1:16">
      <c r="A624" t="str">
        <v>emu_South_Africa_SAR_5M2</v>
      </c>
      <c r="B624" t="b" cm="1">
        <f t="array" ref="B624">_xlfn.XLOOKUP(A624,CONTROL[VEHIDCODE],PROPERTIES[EXCLUDE])</f>
        <v>0</v>
      </c>
      <c r="C624">
        <f>FLOOR(_xlfn.XLOOKUP($A624,PROPERTIES[VEHIDCODE],PROPERTIES[INTRODUCTION_YEAR]),20)</f>
        <v>1940</v>
      </c>
      <c r="D624" t="str">
        <f>_xlfn.XLOOKUP($A624,PROPERTIES[VEHIDCODE],PROPERTIES[ROLE])</f>
        <v>Express Passenger</v>
      </c>
      <c r="E624" s="35" t="str">
        <f>_xlfn.XLOOKUP($A624,PROPERTIES[VEHIDCODE],PROPERTIES[REGION1])</f>
        <v>AFRICA</v>
      </c>
      <c r="F624" s="35" t="str">
        <f>_xlfn.XLOOKUP($A624,PROPERTIES[VEHIDCODE],PROPERTIES[REGION2])</f>
        <v>NO_REGION</v>
      </c>
      <c r="G624" s="35" t="str">
        <f t="shared" si="59"/>
        <v>AFRICA_NO_REGION</v>
      </c>
      <c r="H624" t="b">
        <f t="shared" si="60"/>
        <v>1</v>
      </c>
      <c r="I624" t="b">
        <f t="shared" si="61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2"/>
        <v>0</v>
      </c>
      <c r="N624" t="b">
        <f t="shared" si="63"/>
        <v>0</v>
      </c>
      <c r="O624" t="b">
        <f t="shared" si="63"/>
        <v>0</v>
      </c>
      <c r="P624" t="b">
        <f t="shared" si="64"/>
        <v>0</v>
      </c>
    </row>
    <row r="625" spans="1:16">
      <c r="A625" t="str">
        <v>emu_Chile_EFE_XTrapolis_100</v>
      </c>
      <c r="B625" t="b" cm="1">
        <f t="array" ref="B625">_xlfn.XLOOKUP(A625,CONTROL[VEHIDCODE],PROPERTIES[EXCLUDE])</f>
        <v>0</v>
      </c>
      <c r="C625">
        <f>FLOOR(_xlfn.XLOOKUP($A625,PROPERTIES[VEHIDCODE],PROPERTIES[INTRODUCTION_YEAR]),20)</f>
        <v>2000</v>
      </c>
      <c r="D625" t="str">
        <f>_xlfn.XLOOKUP($A625,PROPERTIES[VEHIDCODE],PROPERTIES[ROLE])</f>
        <v>Commuter/Urban</v>
      </c>
      <c r="E625" s="35" t="str">
        <f>_xlfn.XLOOKUP($A625,PROPERTIES[VEHIDCODE],PROPERTIES[REGION1])</f>
        <v>SOUTH_AMERICA</v>
      </c>
      <c r="F625" s="35" t="str">
        <f>_xlfn.XLOOKUP($A625,PROPERTIES[VEHIDCODE],PROPERTIES[REGION2])</f>
        <v>NO_REGION</v>
      </c>
      <c r="G625" s="35" t="str">
        <f t="shared" si="59"/>
        <v>SOUTH_AMERICA_NO_REGION</v>
      </c>
      <c r="H625" t="b">
        <f t="shared" si="60"/>
        <v>0</v>
      </c>
      <c r="I625" t="b">
        <f t="shared" si="61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2"/>
        <v>0</v>
      </c>
      <c r="N625" t="b">
        <f t="shared" si="63"/>
        <v>0</v>
      </c>
      <c r="O625" t="b">
        <f t="shared" si="63"/>
        <v>1</v>
      </c>
      <c r="P625" t="b">
        <f t="shared" si="64"/>
        <v>0</v>
      </c>
    </row>
    <row r="626" spans="1:16">
      <c r="A626" t="str">
        <v>emu_Chile_EFE_AES_Railcar</v>
      </c>
      <c r="B626" t="b" cm="1">
        <f t="array" ref="B626">_xlfn.XLOOKUP(A626,CONTROL[VEHIDCODE],PROPERTIES[EXCLUDE])</f>
        <v>0</v>
      </c>
      <c r="C626">
        <f>FLOOR(_xlfn.XLOOKUP($A626,PROPERTIES[VEHIDCODE],PROPERTIES[INTRODUCTION_YEAR]),20)</f>
        <v>1960</v>
      </c>
      <c r="D626" t="str">
        <f>_xlfn.XLOOKUP($A626,PROPERTIES[VEHIDCODE],PROPERTIES[ROLE])</f>
        <v>Commuter/Urban</v>
      </c>
      <c r="E626" s="35" t="str">
        <f>_xlfn.XLOOKUP($A626,PROPERTIES[VEHIDCODE],PROPERTIES[REGION1])</f>
        <v>SOUTH_AMERICA</v>
      </c>
      <c r="F626" s="35" t="str">
        <f>_xlfn.XLOOKUP($A626,PROPERTIES[VEHIDCODE],PROPERTIES[REGION2])</f>
        <v>NO_REGION</v>
      </c>
      <c r="G626" s="35" t="str">
        <f t="shared" si="59"/>
        <v>SOUTH_AMERICA_NO_REGION</v>
      </c>
      <c r="H626" t="b">
        <f t="shared" si="60"/>
        <v>0</v>
      </c>
      <c r="I626" t="b">
        <f t="shared" si="61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2"/>
        <v>0</v>
      </c>
      <c r="N626" t="b">
        <f t="shared" si="63"/>
        <v>0</v>
      </c>
      <c r="O626" t="b">
        <f t="shared" si="63"/>
        <v>1</v>
      </c>
      <c r="P626" t="b">
        <f t="shared" si="64"/>
        <v>0</v>
      </c>
    </row>
    <row r="627" spans="1:16">
      <c r="A627" t="str">
        <v>emu_Tunisia_SNCFT_YZ_E</v>
      </c>
      <c r="B627" t="b" cm="1">
        <f t="array" ref="B627">_xlfn.XLOOKUP(A627,CONTROL[VEHIDCODE],PROPERTIES[EXCLUDE])</f>
        <v>0</v>
      </c>
      <c r="C627">
        <f>FLOOR(_xlfn.XLOOKUP($A627,PROPERTIES[VEHIDCODE],PROPERTIES[INTRODUCTION_YEAR]),20)</f>
        <v>1980</v>
      </c>
      <c r="D627" t="str">
        <f>_xlfn.XLOOKUP($A627,PROPERTIES[VEHIDCODE],PROPERTIES[ROLE])</f>
        <v>Express Passenger</v>
      </c>
      <c r="E627" s="35" t="str">
        <f>_xlfn.XLOOKUP($A627,PROPERTIES[VEHIDCODE],PROPERTIES[REGION1])</f>
        <v>AFRICA</v>
      </c>
      <c r="F627" s="35" t="str">
        <f>_xlfn.XLOOKUP($A627,PROPERTIES[VEHIDCODE],PROPERTIES[REGION2])</f>
        <v>NO_REGION</v>
      </c>
      <c r="G627" s="35" t="str">
        <f t="shared" si="59"/>
        <v>AFRICA_NO_REGION</v>
      </c>
      <c r="H627" t="b">
        <f t="shared" si="60"/>
        <v>1</v>
      </c>
      <c r="I627" t="b">
        <f t="shared" si="61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2"/>
        <v>0</v>
      </c>
      <c r="N627" t="b">
        <f t="shared" si="63"/>
        <v>0</v>
      </c>
      <c r="O627" t="b">
        <f t="shared" si="63"/>
        <v>0</v>
      </c>
      <c r="P627" t="b">
        <f t="shared" si="64"/>
        <v>0</v>
      </c>
    </row>
    <row r="628" spans="1:16">
      <c r="A628" t="str">
        <v>emu_Australia_Queensland_Rail_Tilt_Train</v>
      </c>
      <c r="B628" t="b" cm="1">
        <f t="array" ref="B628">_xlfn.XLOOKUP(A628,CONTROL[VEHIDCODE],PROPERTIES[EXCLUDE])</f>
        <v>0</v>
      </c>
      <c r="C628">
        <f>FLOOR(_xlfn.XLOOKUP($A628,PROPERTIES[VEHIDCODE],PROPERTIES[INTRODUCTION_YEAR]),20)</f>
        <v>1980</v>
      </c>
      <c r="D628" t="str">
        <f>_xlfn.XLOOKUP($A628,PROPERTIES[VEHIDCODE],PROPERTIES[ROLE])</f>
        <v>Ultra-High-Speed (Pax)</v>
      </c>
      <c r="E628" s="35" t="str">
        <f>_xlfn.XLOOKUP($A628,PROPERTIES[VEHIDCODE],PROPERTIES[REGION1])</f>
        <v>OCEANIA</v>
      </c>
      <c r="F628" s="35" t="str">
        <f>_xlfn.XLOOKUP($A628,PROPERTIES[VEHIDCODE],PROPERTIES[REGION2])</f>
        <v>NO_REGION</v>
      </c>
      <c r="G628" s="35" t="str">
        <f t="shared" si="59"/>
        <v>OCEANIA_NO_REGION</v>
      </c>
      <c r="H628" t="b">
        <f t="shared" si="60"/>
        <v>0</v>
      </c>
      <c r="I628" t="b">
        <f t="shared" si="61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2"/>
        <v>0</v>
      </c>
      <c r="N628" t="b">
        <f t="shared" si="63"/>
        <v>0</v>
      </c>
      <c r="O628" t="b">
        <f t="shared" si="63"/>
        <v>0</v>
      </c>
      <c r="P628" t="b">
        <f t="shared" si="64"/>
        <v>1</v>
      </c>
    </row>
    <row r="629" spans="1:16">
      <c r="A629" t="str">
        <v>electric_Russia_RZD_VL15</v>
      </c>
      <c r="B629" t="b" cm="1">
        <f t="array" ref="B629">_xlfn.XLOOKUP(A629,CONTROL[VEHIDCODE],PROPERTIES[EXCLUDE])</f>
        <v>0</v>
      </c>
      <c r="C629">
        <f>FLOOR(_xlfn.XLOOKUP($A629,PROPERTIES[VEHIDCODE],PROPERTIES[INTRODUCTION_YEAR]),20)</f>
        <v>1980</v>
      </c>
      <c r="D629" t="str">
        <f>_xlfn.XLOOKUP($A629,PROPERTIES[VEHIDCODE],PROPERTIES[ROLE])</f>
        <v>Heavy Freight</v>
      </c>
      <c r="E629" s="35" t="str">
        <f>_xlfn.XLOOKUP($A629,PROPERTIES[VEHIDCODE],PROPERTIES[REGION1])</f>
        <v>ASIA</v>
      </c>
      <c r="F629" s="35" t="str">
        <f>_xlfn.XLOOKUP($A629,PROPERTIES[VEHIDCODE],PROPERTIES[REGION2])</f>
        <v>NO_REGION</v>
      </c>
      <c r="G629" s="35" t="str">
        <f t="shared" si="59"/>
        <v>ASIA_NO_REGION</v>
      </c>
      <c r="H629" t="b">
        <f t="shared" si="60"/>
        <v>0</v>
      </c>
      <c r="I629" t="b">
        <f t="shared" si="61"/>
        <v>1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2"/>
        <v>0</v>
      </c>
      <c r="N629" t="b">
        <f t="shared" si="63"/>
        <v>0</v>
      </c>
      <c r="O629" t="b">
        <f t="shared" si="63"/>
        <v>0</v>
      </c>
      <c r="P629" t="b">
        <f t="shared" si="64"/>
        <v>0</v>
      </c>
    </row>
    <row r="630" spans="1:16">
      <c r="A630" t="str">
        <v>electric_Russia_RZD_VL11</v>
      </c>
      <c r="B630" t="b" cm="1">
        <f t="array" ref="B630">_xlfn.XLOOKUP(A630,CONTROL[VEHIDCODE],PROPERTIES[EXCLUDE])</f>
        <v>0</v>
      </c>
      <c r="C630">
        <f>FLOOR(_xlfn.XLOOKUP($A630,PROPERTIES[VEHIDCODE],PROPERTIES[INTRODUCTION_YEAR]),20)</f>
        <v>1960</v>
      </c>
      <c r="D630" t="str">
        <f>_xlfn.XLOOKUP($A630,PROPERTIES[VEHIDCODE],PROPERTIES[ROLE])</f>
        <v>Heavy Freight</v>
      </c>
      <c r="E630" s="35" t="str">
        <f>_xlfn.XLOOKUP($A630,PROPERTIES[VEHIDCODE],PROPERTIES[REGION1])</f>
        <v>ASIA</v>
      </c>
      <c r="F630" s="35" t="str">
        <f>_xlfn.XLOOKUP($A630,PROPERTIES[VEHIDCODE],PROPERTIES[REGION2])</f>
        <v>NO_REGION</v>
      </c>
      <c r="G630" s="35" t="str">
        <f t="shared" si="59"/>
        <v>ASIA_NO_REGION</v>
      </c>
      <c r="H630" t="b">
        <f t="shared" si="60"/>
        <v>0</v>
      </c>
      <c r="I630" t="b">
        <f t="shared" si="61"/>
        <v>1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2"/>
        <v>0</v>
      </c>
      <c r="N630" t="b">
        <f t="shared" si="63"/>
        <v>0</v>
      </c>
      <c r="O630" t="b">
        <f t="shared" si="63"/>
        <v>0</v>
      </c>
      <c r="P630" t="b">
        <f t="shared" si="64"/>
        <v>0</v>
      </c>
    </row>
    <row r="631" spans="1:16">
      <c r="A631" t="str">
        <v>electric_Russia_RZD_VL22M</v>
      </c>
      <c r="B631" t="b" cm="1">
        <f t="array" ref="B631">_xlfn.XLOOKUP(A631,CONTROL[VEHIDCODE],PROPERTIES[EXCLUDE])</f>
        <v>0</v>
      </c>
      <c r="C631">
        <f>FLOOR(_xlfn.XLOOKUP($A631,PROPERTIES[VEHIDCODE],PROPERTIES[INTRODUCTION_YEAR]),20)</f>
        <v>1940</v>
      </c>
      <c r="D631" t="str">
        <f>_xlfn.XLOOKUP($A631,PROPERTIES[VEHIDCODE],PROPERTIES[ROLE])</f>
        <v>Universal</v>
      </c>
      <c r="E631" s="35" t="str">
        <f>_xlfn.XLOOKUP($A631,PROPERTIES[VEHIDCODE],PROPERTIES[REGION1])</f>
        <v>ASIA</v>
      </c>
      <c r="F631" s="35" t="str">
        <f>_xlfn.XLOOKUP($A631,PROPERTIES[VEHIDCODE],PROPERTIES[REGION2])</f>
        <v>NO_REGION</v>
      </c>
      <c r="G631" s="35" t="str">
        <f t="shared" si="59"/>
        <v>ASIA_NO_REGION</v>
      </c>
      <c r="H631" t="b">
        <f t="shared" si="60"/>
        <v>0</v>
      </c>
      <c r="I631" t="b">
        <f t="shared" si="61"/>
        <v>1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2"/>
        <v>0</v>
      </c>
      <c r="N631" t="b">
        <f t="shared" si="63"/>
        <v>0</v>
      </c>
      <c r="O631" t="b">
        <f t="shared" si="63"/>
        <v>0</v>
      </c>
      <c r="P631" t="b">
        <f t="shared" si="64"/>
        <v>0</v>
      </c>
    </row>
    <row r="632" spans="1:16">
      <c r="A632" t="str">
        <v>electric_Ukraine_UZ_DE1</v>
      </c>
      <c r="B632" t="b" cm="1">
        <f t="array" ref="B632">_xlfn.XLOOKUP(A632,CONTROL[VEHIDCODE],PROPERTIES[EXCLUDE])</f>
        <v>0</v>
      </c>
      <c r="C632">
        <f>FLOOR(_xlfn.XLOOKUP($A632,PROPERTIES[VEHIDCODE],PROPERTIES[INTRODUCTION_YEAR]),20)</f>
        <v>1980</v>
      </c>
      <c r="D632" t="str">
        <f>_xlfn.XLOOKUP($A632,PROPERTIES[VEHIDCODE],PROPERTIES[ROLE])</f>
        <v>Heavy Freight</v>
      </c>
      <c r="E632" s="35" t="str">
        <f>_xlfn.XLOOKUP($A632,PROPERTIES[VEHIDCODE],PROPERTIES[REGION1])</f>
        <v>EASTERN_EUROPE</v>
      </c>
      <c r="F632" s="35" t="str">
        <f>_xlfn.XLOOKUP($A632,PROPERTIES[VEHIDCODE],PROPERTIES[REGION2])</f>
        <v>NO_REGION</v>
      </c>
      <c r="G632" s="35" t="str">
        <f t="shared" si="59"/>
        <v>EASTERN_EUROPE_NO_REGION</v>
      </c>
      <c r="H632" t="b">
        <f t="shared" si="60"/>
        <v>0</v>
      </c>
      <c r="I632" t="b">
        <f t="shared" si="61"/>
        <v>0</v>
      </c>
      <c r="J632" t="b">
        <f t="shared" si="62"/>
        <v>0</v>
      </c>
      <c r="K632" t="b">
        <f t="shared" si="62"/>
        <v>1</v>
      </c>
      <c r="L632" t="b">
        <f t="shared" si="62"/>
        <v>0</v>
      </c>
      <c r="M632" t="b">
        <f t="shared" si="62"/>
        <v>0</v>
      </c>
      <c r="N632" t="b">
        <f t="shared" si="63"/>
        <v>0</v>
      </c>
      <c r="O632" t="b">
        <f t="shared" si="63"/>
        <v>0</v>
      </c>
      <c r="P632" t="b">
        <f t="shared" si="64"/>
        <v>0</v>
      </c>
    </row>
    <row r="633" spans="1:16">
      <c r="A633" t="str">
        <v>electric_Russia_RZD_ChS3</v>
      </c>
      <c r="B633" t="b" cm="1">
        <f t="array" ref="B633">_xlfn.XLOOKUP(A633,CONTROL[VEHIDCODE],PROPERTIES[EXCLUDE])</f>
        <v>0</v>
      </c>
      <c r="C633">
        <f>FLOOR(_xlfn.XLOOKUP($A633,PROPERTIES[VEHIDCODE],PROPERTIES[INTRODUCTION_YEAR]),20)</f>
        <v>1960</v>
      </c>
      <c r="D633" t="str">
        <f>_xlfn.XLOOKUP($A633,PROPERTIES[VEHIDCODE],PROPERTIES[ROLE])</f>
        <v>Universal</v>
      </c>
      <c r="E633" s="35" t="str">
        <f>_xlfn.XLOOKUP($A633,PROPERTIES[VEHIDCODE],PROPERTIES[REGION1])</f>
        <v>ASIA</v>
      </c>
      <c r="F633" s="35" t="str">
        <f>_xlfn.XLOOKUP($A633,PROPERTIES[VEHIDCODE],PROPERTIES[REGION2])</f>
        <v>NO_REGION</v>
      </c>
      <c r="G633" s="35" t="str">
        <f t="shared" si="59"/>
        <v>ASIA_NO_REGION</v>
      </c>
      <c r="H633" t="b">
        <f t="shared" si="60"/>
        <v>0</v>
      </c>
      <c r="I633" t="b">
        <f t="shared" si="61"/>
        <v>1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2"/>
        <v>0</v>
      </c>
      <c r="N633" t="b">
        <f t="shared" si="63"/>
        <v>0</v>
      </c>
      <c r="O633" t="b">
        <f t="shared" si="63"/>
        <v>0</v>
      </c>
      <c r="P633" t="b">
        <f t="shared" si="64"/>
        <v>0</v>
      </c>
    </row>
    <row r="634" spans="1:16">
      <c r="A634" t="str">
        <v>electric_Ukraine_UZ_ChS7</v>
      </c>
      <c r="B634" t="b" cm="1">
        <f t="array" ref="B634">_xlfn.XLOOKUP(A634,CONTROL[VEHIDCODE],PROPERTIES[EXCLUDE])</f>
        <v>0</v>
      </c>
      <c r="C634">
        <f>FLOOR(_xlfn.XLOOKUP($A634,PROPERTIES[VEHIDCODE],PROPERTIES[INTRODUCTION_YEAR]),20)</f>
        <v>1980</v>
      </c>
      <c r="D634" t="str">
        <f>_xlfn.XLOOKUP($A634,PROPERTIES[VEHIDCODE],PROPERTIES[ROLE])</f>
        <v>Express</v>
      </c>
      <c r="E634" s="35" t="str">
        <f>_xlfn.XLOOKUP($A634,PROPERTIES[VEHIDCODE],PROPERTIES[REGION1])</f>
        <v>EASTERN_EUROPE</v>
      </c>
      <c r="F634" s="35" t="str">
        <f>_xlfn.XLOOKUP($A634,PROPERTIES[VEHIDCODE],PROPERTIES[REGION2])</f>
        <v>NO_REGION</v>
      </c>
      <c r="G634" s="35" t="str">
        <f t="shared" si="59"/>
        <v>EASTERN_EUROPE_NO_REGION</v>
      </c>
      <c r="H634" t="b">
        <f t="shared" si="60"/>
        <v>0</v>
      </c>
      <c r="I634" t="b">
        <f t="shared" si="61"/>
        <v>0</v>
      </c>
      <c r="J634" t="b">
        <f t="shared" si="62"/>
        <v>0</v>
      </c>
      <c r="K634" t="b">
        <f t="shared" si="62"/>
        <v>1</v>
      </c>
      <c r="L634" t="b">
        <f t="shared" si="62"/>
        <v>0</v>
      </c>
      <c r="M634" t="b">
        <f t="shared" si="62"/>
        <v>0</v>
      </c>
      <c r="N634" t="b">
        <f t="shared" si="63"/>
        <v>0</v>
      </c>
      <c r="O634" t="b">
        <f t="shared" si="63"/>
        <v>0</v>
      </c>
      <c r="P634" t="b">
        <f t="shared" si="64"/>
        <v>0</v>
      </c>
    </row>
    <row r="635" spans="1:16">
      <c r="A635" t="str">
        <v>electric_Brasil_RFFSA_GE_C_C_4400</v>
      </c>
      <c r="B635" t="b" cm="1">
        <f t="array" ref="B635">_xlfn.XLOOKUP(A635,CONTROL[VEHIDCODE],PROPERTIES[EXCLUDE])</f>
        <v>0</v>
      </c>
      <c r="C635">
        <f>FLOOR(_xlfn.XLOOKUP($A635,PROPERTIES[VEHIDCODE],PROPERTIES[INTRODUCTION_YEAR]),20)</f>
        <v>1960</v>
      </c>
      <c r="D635" t="str">
        <f>_xlfn.XLOOKUP($A635,PROPERTIES[VEHIDCODE],PROPERTIES[ROLE])</f>
        <v>Universal</v>
      </c>
      <c r="E635" s="35" t="str">
        <f>_xlfn.XLOOKUP($A635,PROPERTIES[VEHIDCODE],PROPERTIES[REGION1])</f>
        <v>SOUTH_AMERICA</v>
      </c>
      <c r="F635" s="35" t="str">
        <f>_xlfn.XLOOKUP($A635,PROPERTIES[VEHIDCODE],PROPERTIES[REGION2])</f>
        <v>NO_REGION</v>
      </c>
      <c r="G635" s="35" t="str">
        <f t="shared" si="59"/>
        <v>SOUTH_AMERICA_NO_REGION</v>
      </c>
      <c r="H635" t="b">
        <f t="shared" si="60"/>
        <v>0</v>
      </c>
      <c r="I635" t="b">
        <f t="shared" si="61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2"/>
        <v>0</v>
      </c>
      <c r="N635" t="b">
        <f t="shared" si="63"/>
        <v>0</v>
      </c>
      <c r="O635" t="b">
        <f t="shared" si="63"/>
        <v>1</v>
      </c>
      <c r="P635" t="b">
        <f t="shared" si="64"/>
        <v>0</v>
      </c>
    </row>
    <row r="636" spans="1:16">
      <c r="A636" t="str">
        <v>electric_Russia_RZD_VL85</v>
      </c>
      <c r="B636" t="b" cm="1">
        <f t="array" ref="B636">_xlfn.XLOOKUP(A636,CONTROL[VEHIDCODE],PROPERTIES[EXCLUDE])</f>
        <v>0</v>
      </c>
      <c r="C636">
        <f>FLOOR(_xlfn.XLOOKUP($A636,PROPERTIES[VEHIDCODE],PROPERTIES[INTRODUCTION_YEAR]),20)</f>
        <v>1980</v>
      </c>
      <c r="D636" t="str">
        <f>_xlfn.XLOOKUP($A636,PROPERTIES[VEHIDCODE],PROPERTIES[ROLE])</f>
        <v>Heavy Freight</v>
      </c>
      <c r="E636" s="35" t="str">
        <f>_xlfn.XLOOKUP($A636,PROPERTIES[VEHIDCODE],PROPERTIES[REGION1])</f>
        <v>ASIA</v>
      </c>
      <c r="F636" s="35" t="str">
        <f>_xlfn.XLOOKUP($A636,PROPERTIES[VEHIDCODE],PROPERTIES[REGION2])</f>
        <v>NO_REGION</v>
      </c>
      <c r="G636" s="35" t="str">
        <f t="shared" si="59"/>
        <v>ASIA_NO_REGION</v>
      </c>
      <c r="H636" t="b">
        <f t="shared" si="60"/>
        <v>0</v>
      </c>
      <c r="I636" t="b">
        <f t="shared" si="61"/>
        <v>1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2"/>
        <v>0</v>
      </c>
      <c r="N636" t="b">
        <f t="shared" si="63"/>
        <v>0</v>
      </c>
      <c r="O636" t="b">
        <f t="shared" si="63"/>
        <v>0</v>
      </c>
      <c r="P636" t="b">
        <f t="shared" si="64"/>
        <v>0</v>
      </c>
    </row>
    <row r="637" spans="1:16">
      <c r="A637" t="str">
        <v>electric_Russia_RZD_VL41</v>
      </c>
      <c r="B637" t="b" cm="1">
        <f t="array" ref="B637">_xlfn.XLOOKUP(A637,CONTROL[VEHIDCODE],PROPERTIES[EXCLUDE])</f>
        <v>0</v>
      </c>
      <c r="C637">
        <f>FLOOR(_xlfn.XLOOKUP($A637,PROPERTIES[VEHIDCODE],PROPERTIES[INTRODUCTION_YEAR]),20)</f>
        <v>1960</v>
      </c>
      <c r="D637" t="str">
        <f>_xlfn.XLOOKUP($A637,PROPERTIES[VEHIDCODE],PROPERTIES[ROLE])</f>
        <v>Universal</v>
      </c>
      <c r="E637" s="35" t="str">
        <f>_xlfn.XLOOKUP($A637,PROPERTIES[VEHIDCODE],PROPERTIES[REGION1])</f>
        <v>ASIA</v>
      </c>
      <c r="F637" s="35" t="str">
        <f>_xlfn.XLOOKUP($A637,PROPERTIES[VEHIDCODE],PROPERTIES[REGION2])</f>
        <v>NO_REGION</v>
      </c>
      <c r="G637" s="35" t="str">
        <f t="shared" si="59"/>
        <v>ASIA_NO_REGION</v>
      </c>
      <c r="H637" t="b">
        <f t="shared" si="60"/>
        <v>0</v>
      </c>
      <c r="I637" t="b">
        <f t="shared" si="61"/>
        <v>1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2"/>
        <v>0</v>
      </c>
      <c r="N637" t="b">
        <f t="shared" si="63"/>
        <v>0</v>
      </c>
      <c r="O637" t="b">
        <f t="shared" si="63"/>
        <v>0</v>
      </c>
      <c r="P637" t="b">
        <f t="shared" si="64"/>
        <v>0</v>
      </c>
    </row>
    <row r="638" spans="1:16">
      <c r="A638" t="str">
        <v>electric_India_Indian_Railways_WAP_4</v>
      </c>
      <c r="B638" t="b" cm="1">
        <f t="array" ref="B638">_xlfn.XLOOKUP(A638,CONTROL[VEHIDCODE],PROPERTIES[EXCLUDE])</f>
        <v>0</v>
      </c>
      <c r="C638">
        <f>FLOOR(_xlfn.XLOOKUP($A638,PROPERTIES[VEHIDCODE],PROPERTIES[INTRODUCTION_YEAR]),20)</f>
        <v>1980</v>
      </c>
      <c r="D638" t="str">
        <f>_xlfn.XLOOKUP($A638,PROPERTIES[VEHIDCODE],PROPERTIES[ROLE])</f>
        <v>Universal</v>
      </c>
      <c r="E638" s="35" t="str">
        <f>_xlfn.XLOOKUP($A638,PROPERTIES[VEHIDCODE],PROPERTIES[REGION1])</f>
        <v>ASIA</v>
      </c>
      <c r="F638" s="35" t="str">
        <f>_xlfn.XLOOKUP($A638,PROPERTIES[VEHIDCODE],PROPERTIES[REGION2])</f>
        <v>NO_REGION</v>
      </c>
      <c r="G638" s="35" t="str">
        <f t="shared" si="59"/>
        <v>ASIA_NO_REGION</v>
      </c>
      <c r="H638" t="b">
        <f t="shared" si="60"/>
        <v>0</v>
      </c>
      <c r="I638" t="b">
        <f t="shared" si="61"/>
        <v>1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2"/>
        <v>0</v>
      </c>
      <c r="N638" t="b">
        <f t="shared" si="63"/>
        <v>0</v>
      </c>
      <c r="O638" t="b">
        <f t="shared" si="63"/>
        <v>0</v>
      </c>
      <c r="P638" t="b">
        <f t="shared" si="64"/>
        <v>0</v>
      </c>
    </row>
    <row r="639" spans="1:16">
      <c r="A639" t="str">
        <v>electric_Finland_VR_Sr1</v>
      </c>
      <c r="B639" t="b" cm="1">
        <f t="array" ref="B639">_xlfn.XLOOKUP(A639,CONTROL[VEHIDCODE],PROPERTIES[EXCLUDE])</f>
        <v>0</v>
      </c>
      <c r="C639">
        <f>FLOOR(_xlfn.XLOOKUP($A639,PROPERTIES[VEHIDCODE],PROPERTIES[INTRODUCTION_YEAR]),20)</f>
        <v>1960</v>
      </c>
      <c r="D639" t="str">
        <f>_xlfn.XLOOKUP($A639,PROPERTIES[VEHIDCODE],PROPERTIES[ROLE])</f>
        <v>Universal</v>
      </c>
      <c r="E639" s="35" t="str">
        <f>_xlfn.XLOOKUP($A639,PROPERTIES[VEHIDCODE],PROPERTIES[REGION1])</f>
        <v>NORTHERN_EUROPE</v>
      </c>
      <c r="F639" s="35" t="str">
        <f>_xlfn.XLOOKUP($A639,PROPERTIES[VEHIDCODE],PROPERTIES[REGION2])</f>
        <v>NO_REGION</v>
      </c>
      <c r="G639" s="35" t="str">
        <f t="shared" si="59"/>
        <v>NORTHERN_EUROPE_NO_REGION</v>
      </c>
      <c r="H639" t="b">
        <f t="shared" si="60"/>
        <v>0</v>
      </c>
      <c r="I639" t="b">
        <f t="shared" si="61"/>
        <v>0</v>
      </c>
      <c r="J639" t="b">
        <f t="shared" si="62"/>
        <v>0</v>
      </c>
      <c r="K639" t="b">
        <f t="shared" si="62"/>
        <v>0</v>
      </c>
      <c r="L639" t="b">
        <f t="shared" si="62"/>
        <v>0</v>
      </c>
      <c r="M639" t="b">
        <f t="shared" si="62"/>
        <v>1</v>
      </c>
      <c r="N639" t="b">
        <f t="shared" si="63"/>
        <v>0</v>
      </c>
      <c r="O639" t="b">
        <f t="shared" si="63"/>
        <v>0</v>
      </c>
      <c r="P639" t="b">
        <f t="shared" si="64"/>
        <v>0</v>
      </c>
    </row>
    <row r="640" spans="1:16">
      <c r="A640" t="str">
        <v>electric_Kazakhstan_KTZ_KZ4A</v>
      </c>
      <c r="B640" t="b" cm="1">
        <f t="array" ref="B640">_xlfn.XLOOKUP(A640,CONTROL[VEHIDCODE],PROPERTIES[EXCLUDE])</f>
        <v>0</v>
      </c>
      <c r="C640">
        <f>FLOOR(_xlfn.XLOOKUP($A640,PROPERTIES[VEHIDCODE],PROPERTIES[INTRODUCTION_YEAR]),20)</f>
        <v>2000</v>
      </c>
      <c r="D640" t="str">
        <f>_xlfn.XLOOKUP($A640,PROPERTIES[VEHIDCODE],PROPERTIES[ROLE])</f>
        <v>Express</v>
      </c>
      <c r="E640" s="35" t="str">
        <f>_xlfn.XLOOKUP($A640,PROPERTIES[VEHIDCODE],PROPERTIES[REGION1])</f>
        <v>ASIA</v>
      </c>
      <c r="F640" s="35" t="str">
        <f>_xlfn.XLOOKUP($A640,PROPERTIES[VEHIDCODE],PROPERTIES[REGION2])</f>
        <v>NO_REGION</v>
      </c>
      <c r="G640" s="35" t="str">
        <f t="shared" si="59"/>
        <v>ASIA_NO_REGION</v>
      </c>
      <c r="H640" t="b">
        <f t="shared" si="60"/>
        <v>0</v>
      </c>
      <c r="I640" t="b">
        <f t="shared" si="61"/>
        <v>1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2"/>
        <v>0</v>
      </c>
      <c r="N640" t="b">
        <f t="shared" si="63"/>
        <v>0</v>
      </c>
      <c r="O640" t="b">
        <f t="shared" si="63"/>
        <v>0</v>
      </c>
      <c r="P640" t="b">
        <f t="shared" si="64"/>
        <v>0</v>
      </c>
    </row>
    <row r="641" spans="1:16">
      <c r="A641" t="str">
        <v>electric_Kazakhstan_KTZ_KZ8A</v>
      </c>
      <c r="B641" t="b" cm="1">
        <f t="array" ref="B641">_xlfn.XLOOKUP(A641,CONTROL[VEHIDCODE],PROPERTIES[EXCLUDE])</f>
        <v>0</v>
      </c>
      <c r="C641">
        <f>FLOOR(_xlfn.XLOOKUP($A641,PROPERTIES[VEHIDCODE],PROPERTIES[INTRODUCTION_YEAR]),20)</f>
        <v>2000</v>
      </c>
      <c r="D641" t="str">
        <f>_xlfn.XLOOKUP($A641,PROPERTIES[VEHIDCODE],PROPERTIES[ROLE])</f>
        <v>Heavy Freight</v>
      </c>
      <c r="E641" s="35" t="str">
        <f>_xlfn.XLOOKUP($A641,PROPERTIES[VEHIDCODE],PROPERTIES[REGION1])</f>
        <v>ASIA</v>
      </c>
      <c r="F641" s="35" t="str">
        <f>_xlfn.XLOOKUP($A641,PROPERTIES[VEHIDCODE],PROPERTIES[REGION2])</f>
        <v>NO_REGION</v>
      </c>
      <c r="G641" s="35" t="str">
        <f t="shared" si="59"/>
        <v>ASIA_NO_REGION</v>
      </c>
      <c r="H641" t="b">
        <f t="shared" si="60"/>
        <v>0</v>
      </c>
      <c r="I641" t="b">
        <f t="shared" si="61"/>
        <v>1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2"/>
        <v>0</v>
      </c>
      <c r="N641" t="b">
        <f t="shared" si="63"/>
        <v>0</v>
      </c>
      <c r="O641" t="b">
        <f t="shared" si="63"/>
        <v>0</v>
      </c>
      <c r="P641" t="b">
        <f t="shared" si="64"/>
        <v>0</v>
      </c>
    </row>
    <row r="642" spans="1:16">
      <c r="A642" t="str">
        <v>electric_Russia_RZD_EP20</v>
      </c>
      <c r="B642" t="b" cm="1">
        <f t="array" ref="B642">_xlfn.XLOOKUP(A642,CONTROL[VEHIDCODE],PROPERTIES[EXCLUDE])</f>
        <v>0</v>
      </c>
      <c r="C642">
        <f>FLOOR(_xlfn.XLOOKUP($A642,PROPERTIES[VEHIDCODE],PROPERTIES[INTRODUCTION_YEAR]),20)</f>
        <v>2000</v>
      </c>
      <c r="D642" t="str">
        <f>_xlfn.XLOOKUP($A642,PROPERTIES[VEHIDCODE],PROPERTIES[ROLE])</f>
        <v>Express</v>
      </c>
      <c r="E642" s="35" t="str">
        <f>_xlfn.XLOOKUP($A642,PROPERTIES[VEHIDCODE],PROPERTIES[REGION1])</f>
        <v>ASIA</v>
      </c>
      <c r="F642" s="35" t="str">
        <f>_xlfn.XLOOKUP($A642,PROPERTIES[VEHIDCODE],PROPERTIES[REGION2])</f>
        <v>NO_REGION</v>
      </c>
      <c r="G642" s="35" t="str">
        <f t="shared" si="59"/>
        <v>ASIA_NO_REGION</v>
      </c>
      <c r="H642" t="b">
        <f t="shared" si="60"/>
        <v>0</v>
      </c>
      <c r="I642" t="b">
        <f t="shared" si="61"/>
        <v>1</v>
      </c>
      <c r="J642" t="b">
        <f t="shared" si="62"/>
        <v>0</v>
      </c>
      <c r="K642" t="b">
        <f t="shared" si="62"/>
        <v>0</v>
      </c>
      <c r="L642" t="b">
        <f t="shared" si="62"/>
        <v>0</v>
      </c>
      <c r="M642" t="b">
        <f t="shared" ref="K642:M705" si="65">OR(ISNUMBER(SEARCH("ALL_REGION",$G642)),
ISNUMBER(SEARCH("ALL_EUROPE",$G642)),
ISNUMBER(SEARCH(M$1,$G642)),
ISNUMBER(SEARCH("REGIONTYPE1",$G642)))</f>
        <v>0</v>
      </c>
      <c r="N642" t="b">
        <f t="shared" si="63"/>
        <v>0</v>
      </c>
      <c r="O642" t="b">
        <f t="shared" si="63"/>
        <v>0</v>
      </c>
      <c r="P642" t="b">
        <f t="shared" si="64"/>
        <v>0</v>
      </c>
    </row>
    <row r="643" spans="1:16">
      <c r="A643" t="str">
        <v>rbd_Finland_VR_Dm7</v>
      </c>
      <c r="B643" t="b" cm="1">
        <f t="array" ref="B643">_xlfn.XLOOKUP(A643,CONTROL[VEHIDCODE],PROPERTIES[EXCLUDE])</f>
        <v>0</v>
      </c>
      <c r="C643">
        <f>FLOOR(_xlfn.XLOOKUP($A643,PROPERTIES[VEHIDCODE],PROPERTIES[INTRODUCTION_YEAR]),20)</f>
        <v>1940</v>
      </c>
      <c r="D643" t="str">
        <f>_xlfn.XLOOKUP($A643,PROPERTIES[VEHIDCODE],PROPERTIES[ROLE])</f>
        <v>Commuter/Urban</v>
      </c>
      <c r="E643" s="35" t="str">
        <f>_xlfn.XLOOKUP($A643,PROPERTIES[VEHIDCODE],PROPERTIES[REGION1])</f>
        <v>NORTHERN_EUROPE</v>
      </c>
      <c r="F643" s="35" t="str">
        <f>_xlfn.XLOOKUP($A643,PROPERTIES[VEHIDCODE],PROPERTIES[REGION2])</f>
        <v>NO_REGION</v>
      </c>
      <c r="G643" s="35" t="str">
        <f t="shared" ref="G643:G706" si="66">_xlfn.CONCAT($E643,"_",$F643)</f>
        <v>NORTHERN_EUROPE_NO_REGION</v>
      </c>
      <c r="H643" t="b">
        <f t="shared" ref="H643:H706" si="67">OR(ISNUMBER(SEARCH("ALL_REGION",$G643)),
ISNUMBER(SEARCH("AFRICA",$G643)),
ISNUMBER(SEARCH("REGIONTYPE1",$G643)),
ISNUMBER(SEARCH("REGIONTYPE2",$G643)))</f>
        <v>0</v>
      </c>
      <c r="I643" t="b">
        <f t="shared" ref="I643:I706" si="68">OR(ISNUMBER(SEARCH("ALL_REGION",$G643)),
ISNUMBER(SEARCH("ASIA",$G643)),
ISNUMBER(SEARCH("REGIONTYPE1",$G643)),
ISNUMBER(SEARCH("REGIONTYPE2",$G643)),
ISNUMBER(SEARCH("REGIONTYPE3",$G643)))</f>
        <v>0</v>
      </c>
      <c r="J643" t="b">
        <f t="shared" ref="J643:M706" si="69">OR(ISNUMBER(SEARCH("ALL_REGION",$G643)),
ISNUMBER(SEARCH("ALL_EUROPE",$G643)),
ISNUMBER(SEARCH(J$1,$G643)),
ISNUMBER(SEARCH("REGIONTYPE1",$G643)))</f>
        <v>0</v>
      </c>
      <c r="K643" t="b">
        <f t="shared" si="65"/>
        <v>0</v>
      </c>
      <c r="L643" t="b">
        <f t="shared" si="65"/>
        <v>0</v>
      </c>
      <c r="M643" t="b">
        <f t="shared" si="65"/>
        <v>1</v>
      </c>
      <c r="N643" t="b">
        <f t="shared" ref="N643:O674" si="70">OR(ISNUMBER(SEARCH("ALL_REGION",$G643)),
ISNUMBER(SEARCH("ALL_AMERICA",$G643)),
ISNUMBER(SEARCH(N$1,$G643)),
ISNUMBER(SEARCH("REGIONTYPE2",$G643)))</f>
        <v>0</v>
      </c>
      <c r="O643" t="b">
        <f t="shared" si="70"/>
        <v>0</v>
      </c>
      <c r="P643" t="b">
        <f t="shared" ref="P643:P706" si="71">OR(ISNUMBER(SEARCH("ALL_REGION",$G643)),
ISNUMBER(SEARCH(P$1,$G643)),
ISNUMBER(SEARCH("REGIONTYPE3",$G643)))</f>
        <v>0</v>
      </c>
    </row>
    <row r="644" spans="1:16">
      <c r="A644" t="str">
        <v>rbd_Russia_RZD_ACh2</v>
      </c>
      <c r="B644" t="b" cm="1">
        <f t="array" ref="B644">_xlfn.XLOOKUP(A644,CONTROL[VEHIDCODE],PROPERTIES[EXCLUDE])</f>
        <v>0</v>
      </c>
      <c r="C644">
        <f>FLOOR(_xlfn.XLOOKUP($A644,PROPERTIES[VEHIDCODE],PROPERTIES[INTRODUCTION_YEAR]),20)</f>
        <v>1980</v>
      </c>
      <c r="D644" t="str">
        <f>_xlfn.XLOOKUP($A644,PROPERTIES[VEHIDCODE],PROPERTIES[ROLE])</f>
        <v>Commuter/Urban</v>
      </c>
      <c r="E644" s="35" t="str">
        <f>_xlfn.XLOOKUP($A644,PROPERTIES[VEHIDCODE],PROPERTIES[REGION1])</f>
        <v>ASIA</v>
      </c>
      <c r="F644" s="35" t="str">
        <f>_xlfn.XLOOKUP($A644,PROPERTIES[VEHIDCODE],PROPERTIES[REGION2])</f>
        <v>NO_REGION</v>
      </c>
      <c r="G644" s="35" t="str">
        <f t="shared" si="66"/>
        <v>ASIA_NO_REGION</v>
      </c>
      <c r="H644" t="b">
        <f t="shared" si="67"/>
        <v>0</v>
      </c>
      <c r="I644" t="b">
        <f t="shared" si="68"/>
        <v>1</v>
      </c>
      <c r="J644" t="b">
        <f t="shared" si="69"/>
        <v>0</v>
      </c>
      <c r="K644" t="b">
        <f t="shared" si="65"/>
        <v>0</v>
      </c>
      <c r="L644" t="b">
        <f t="shared" si="65"/>
        <v>0</v>
      </c>
      <c r="M644" t="b">
        <f t="shared" si="65"/>
        <v>0</v>
      </c>
      <c r="N644" t="b">
        <f t="shared" si="70"/>
        <v>0</v>
      </c>
      <c r="O644" t="b">
        <f t="shared" si="70"/>
        <v>0</v>
      </c>
      <c r="P644" t="b">
        <f t="shared" si="71"/>
        <v>0</v>
      </c>
    </row>
    <row r="645" spans="1:16">
      <c r="A645" t="str">
        <v>emu_Russia_RZD_ER200</v>
      </c>
      <c r="B645" t="b" cm="1">
        <f t="array" ref="B645">_xlfn.XLOOKUP(A645,CONTROL[VEHIDCODE],PROPERTIES[EXCLUDE])</f>
        <v>0</v>
      </c>
      <c r="C645">
        <f>FLOOR(_xlfn.XLOOKUP($A645,PROPERTIES[VEHIDCODE],PROPERTIES[INTRODUCTION_YEAR]),20)</f>
        <v>1960</v>
      </c>
      <c r="D645" t="str">
        <f>_xlfn.XLOOKUP($A645,PROPERTIES[VEHIDCODE],PROPERTIES[ROLE])</f>
        <v>Express Passenger</v>
      </c>
      <c r="E645" s="35" t="str">
        <f>_xlfn.XLOOKUP($A645,PROPERTIES[VEHIDCODE],PROPERTIES[REGION1])</f>
        <v>ASIA</v>
      </c>
      <c r="F645" s="35" t="str">
        <f>_xlfn.XLOOKUP($A645,PROPERTIES[VEHIDCODE],PROPERTIES[REGION2])</f>
        <v>NO_REGION</v>
      </c>
      <c r="G645" s="35" t="str">
        <f t="shared" si="66"/>
        <v>ASIA_NO_REGION</v>
      </c>
      <c r="H645" t="b">
        <f t="shared" si="67"/>
        <v>0</v>
      </c>
      <c r="I645" t="b">
        <f t="shared" si="68"/>
        <v>1</v>
      </c>
      <c r="J645" t="b">
        <f t="shared" si="69"/>
        <v>0</v>
      </c>
      <c r="K645" t="b">
        <f t="shared" si="65"/>
        <v>0</v>
      </c>
      <c r="L645" t="b">
        <f t="shared" si="65"/>
        <v>0</v>
      </c>
      <c r="M645" t="b">
        <f t="shared" si="65"/>
        <v>0</v>
      </c>
      <c r="N645" t="b">
        <f t="shared" si="70"/>
        <v>0</v>
      </c>
      <c r="O645" t="b">
        <f t="shared" si="70"/>
        <v>0</v>
      </c>
      <c r="P645" t="b">
        <f t="shared" si="71"/>
        <v>0</v>
      </c>
    </row>
    <row r="646" spans="1:16">
      <c r="A646" t="str">
        <v>emu_Russia_RZD_S</v>
      </c>
      <c r="B646" t="b" cm="1">
        <f t="array" ref="B646">_xlfn.XLOOKUP(A646,CONTROL[VEHIDCODE],PROPERTIES[EXCLUDE])</f>
        <v>0</v>
      </c>
      <c r="C646">
        <f>FLOOR(_xlfn.XLOOKUP($A646,PROPERTIES[VEHIDCODE],PROPERTIES[INTRODUCTION_YEAR]),20)</f>
        <v>1920</v>
      </c>
      <c r="D646" t="str">
        <f>_xlfn.XLOOKUP($A646,PROPERTIES[VEHIDCODE],PROPERTIES[ROLE])</f>
        <v>Commuter/Urban</v>
      </c>
      <c r="E646" s="35" t="str">
        <f>_xlfn.XLOOKUP($A646,PROPERTIES[VEHIDCODE],PROPERTIES[REGION1])</f>
        <v>ASIA</v>
      </c>
      <c r="F646" s="35" t="str">
        <f>_xlfn.XLOOKUP($A646,PROPERTIES[VEHIDCODE],PROPERTIES[REGION2])</f>
        <v>NO_REGION</v>
      </c>
      <c r="G646" s="35" t="str">
        <f t="shared" si="66"/>
        <v>ASIA_NO_REGION</v>
      </c>
      <c r="H646" t="b">
        <f t="shared" si="67"/>
        <v>0</v>
      </c>
      <c r="I646" t="b">
        <f t="shared" si="68"/>
        <v>1</v>
      </c>
      <c r="J646" t="b">
        <f t="shared" si="69"/>
        <v>0</v>
      </c>
      <c r="K646" t="b">
        <f t="shared" si="65"/>
        <v>0</v>
      </c>
      <c r="L646" t="b">
        <f t="shared" si="65"/>
        <v>0</v>
      </c>
      <c r="M646" t="b">
        <f t="shared" si="65"/>
        <v>0</v>
      </c>
      <c r="N646" t="b">
        <f t="shared" si="70"/>
        <v>0</v>
      </c>
      <c r="O646" t="b">
        <f t="shared" si="70"/>
        <v>0</v>
      </c>
      <c r="P646" t="b">
        <f t="shared" si="71"/>
        <v>0</v>
      </c>
    </row>
    <row r="647" spans="1:16">
      <c r="A647" t="str">
        <v>emu_Croatia_HZ_6112</v>
      </c>
      <c r="B647" t="b" cm="1">
        <f t="array" ref="B647">_xlfn.XLOOKUP(A647,CONTROL[VEHIDCODE],PROPERTIES[EXCLUDE])</f>
        <v>0</v>
      </c>
      <c r="C647">
        <f>FLOOR(_xlfn.XLOOKUP($A647,PROPERTIES[VEHIDCODE],PROPERTIES[INTRODUCTION_YEAR]),20)</f>
        <v>2000</v>
      </c>
      <c r="D647" t="str">
        <f>_xlfn.XLOOKUP($A647,PROPERTIES[VEHIDCODE],PROPERTIES[ROLE])</f>
        <v>Express Passenger</v>
      </c>
      <c r="E647" s="35" t="str">
        <f>_xlfn.XLOOKUP($A647,PROPERTIES[VEHIDCODE],PROPERTIES[REGION1])</f>
        <v>EASTERN_EUROPE</v>
      </c>
      <c r="F647" s="35" t="str">
        <f>_xlfn.XLOOKUP($A647,PROPERTIES[VEHIDCODE],PROPERTIES[REGION2])</f>
        <v>NO_REGION</v>
      </c>
      <c r="G647" s="35" t="str">
        <f t="shared" si="66"/>
        <v>EASTERN_EUROPE_NO_REGION</v>
      </c>
      <c r="H647" t="b">
        <f t="shared" si="67"/>
        <v>0</v>
      </c>
      <c r="I647" t="b">
        <f t="shared" si="68"/>
        <v>0</v>
      </c>
      <c r="J647" t="b">
        <f t="shared" si="69"/>
        <v>0</v>
      </c>
      <c r="K647" t="b">
        <f t="shared" si="65"/>
        <v>1</v>
      </c>
      <c r="L647" t="b">
        <f t="shared" si="65"/>
        <v>0</v>
      </c>
      <c r="M647" t="b">
        <f t="shared" si="65"/>
        <v>0</v>
      </c>
      <c r="N647" t="b">
        <f t="shared" si="70"/>
        <v>0</v>
      </c>
      <c r="O647" t="b">
        <f t="shared" si="70"/>
        <v>0</v>
      </c>
      <c r="P647" t="b">
        <f t="shared" si="71"/>
        <v>0</v>
      </c>
    </row>
    <row r="648" spans="1:16">
      <c r="A648" t="str">
        <v>emu_Russia_RZD_ES1_Lastochka</v>
      </c>
      <c r="B648" t="b" cm="1">
        <f t="array" ref="B648">_xlfn.XLOOKUP(A648,CONTROL[VEHIDCODE],PROPERTIES[EXCLUDE])</f>
        <v>0</v>
      </c>
      <c r="C648">
        <f>FLOOR(_xlfn.XLOOKUP($A648,PROPERTIES[VEHIDCODE],PROPERTIES[INTRODUCTION_YEAR]),20)</f>
        <v>2000</v>
      </c>
      <c r="D648" t="str">
        <f>_xlfn.XLOOKUP($A648,PROPERTIES[VEHIDCODE],PROPERTIES[ROLE])</f>
        <v>Express Passenger</v>
      </c>
      <c r="E648" s="35" t="str">
        <f>_xlfn.XLOOKUP($A648,PROPERTIES[VEHIDCODE],PROPERTIES[REGION1])</f>
        <v>ASIA</v>
      </c>
      <c r="F648" s="35" t="str">
        <f>_xlfn.XLOOKUP($A648,PROPERTIES[VEHIDCODE],PROPERTIES[REGION2])</f>
        <v>NO_REGION</v>
      </c>
      <c r="G648" s="35" t="str">
        <f t="shared" si="66"/>
        <v>ASIA_NO_REGION</v>
      </c>
      <c r="H648" t="b">
        <f t="shared" si="67"/>
        <v>0</v>
      </c>
      <c r="I648" t="b">
        <f t="shared" si="68"/>
        <v>1</v>
      </c>
      <c r="J648" t="b">
        <f t="shared" si="69"/>
        <v>0</v>
      </c>
      <c r="K648" t="b">
        <f t="shared" si="65"/>
        <v>0</v>
      </c>
      <c r="L648" t="b">
        <f t="shared" si="65"/>
        <v>0</v>
      </c>
      <c r="M648" t="b">
        <f t="shared" si="65"/>
        <v>0</v>
      </c>
      <c r="N648" t="b">
        <f t="shared" si="70"/>
        <v>0</v>
      </c>
      <c r="O648" t="b">
        <f t="shared" si="70"/>
        <v>0</v>
      </c>
      <c r="P648" t="b">
        <f t="shared" si="71"/>
        <v>0</v>
      </c>
    </row>
    <row r="649" spans="1:16">
      <c r="A649" t="str">
        <v>mtro_Metro_Wagon_Powered</v>
      </c>
      <c r="B649" t="b" cm="1">
        <f t="array" ref="B649">_xlfn.XLOOKUP(A649,CONTROL[VEHIDCODE],PROPERTIES[EXCLUDE])</f>
        <v>0</v>
      </c>
      <c r="C649">
        <f>FLOOR(_xlfn.XLOOKUP($A649,PROPERTIES[VEHIDCODE],PROPERTIES[INTRODUCTION_YEAR]),20)</f>
        <v>1900</v>
      </c>
      <c r="D649" t="str">
        <f>_xlfn.XLOOKUP($A649,PROPERTIES[VEHIDCODE],PROPERTIES[ROLE])</f>
        <v>Powered/Unpowered Sundry</v>
      </c>
      <c r="E649" s="35" t="str">
        <f>_xlfn.XLOOKUP($A649,PROPERTIES[VEHIDCODE],PROPERTIES[REGION1])</f>
        <v>ALL_REGION</v>
      </c>
      <c r="F649" s="35" t="str">
        <f>_xlfn.XLOOKUP($A649,PROPERTIES[VEHIDCODE],PROPERTIES[REGION2])</f>
        <v>NO_REGION</v>
      </c>
      <c r="G649" s="35" t="str">
        <f t="shared" si="66"/>
        <v>ALL_REGION_NO_REGION</v>
      </c>
      <c r="H649" t="b">
        <f t="shared" si="67"/>
        <v>1</v>
      </c>
      <c r="I649" t="b">
        <f t="shared" si="68"/>
        <v>1</v>
      </c>
      <c r="J649" t="b">
        <f t="shared" si="69"/>
        <v>1</v>
      </c>
      <c r="K649" t="b">
        <f t="shared" si="65"/>
        <v>1</v>
      </c>
      <c r="L649" t="b">
        <f t="shared" si="65"/>
        <v>1</v>
      </c>
      <c r="M649" t="b">
        <f t="shared" si="65"/>
        <v>1</v>
      </c>
      <c r="N649" t="b">
        <f t="shared" si="70"/>
        <v>1</v>
      </c>
      <c r="O649" t="b">
        <f t="shared" si="70"/>
        <v>1</v>
      </c>
      <c r="P649" t="b">
        <f t="shared" si="71"/>
        <v>1</v>
      </c>
    </row>
    <row r="650" spans="1:16">
      <c r="A650" t="str">
        <v>mtro_Metro_Wagon_Unpowered</v>
      </c>
      <c r="B650" t="b" cm="1">
        <f t="array" ref="B650">_xlfn.XLOOKUP(A650,CONTROL[VEHIDCODE],PROPERTIES[EXCLUDE])</f>
        <v>0</v>
      </c>
      <c r="C650">
        <f>FLOOR(_xlfn.XLOOKUP($A650,PROPERTIES[VEHIDCODE],PROPERTIES[INTRODUCTION_YEAR]),20)</f>
        <v>1900</v>
      </c>
      <c r="D650" t="str">
        <f>_xlfn.XLOOKUP($A650,PROPERTIES[VEHIDCODE],PROPERTIES[ROLE])</f>
        <v>Powered/Unpowered Sundry</v>
      </c>
      <c r="E650" s="35" t="str">
        <f>_xlfn.XLOOKUP($A650,PROPERTIES[VEHIDCODE],PROPERTIES[REGION1])</f>
        <v>ALL_REGION</v>
      </c>
      <c r="F650" s="35" t="str">
        <f>_xlfn.XLOOKUP($A650,PROPERTIES[VEHIDCODE],PROPERTIES[REGION2])</f>
        <v>NO_REGION</v>
      </c>
      <c r="G650" s="35" t="str">
        <f t="shared" si="66"/>
        <v>ALL_REGION_NO_REGION</v>
      </c>
      <c r="H650" t="b">
        <f t="shared" si="67"/>
        <v>1</v>
      </c>
      <c r="I650" t="b">
        <f t="shared" si="68"/>
        <v>1</v>
      </c>
      <c r="J650" t="b">
        <f t="shared" si="69"/>
        <v>1</v>
      </c>
      <c r="K650" t="b">
        <f t="shared" si="65"/>
        <v>1</v>
      </c>
      <c r="L650" t="b">
        <f t="shared" si="65"/>
        <v>1</v>
      </c>
      <c r="M650" t="b">
        <f t="shared" si="65"/>
        <v>1</v>
      </c>
      <c r="N650" t="b">
        <f t="shared" si="70"/>
        <v>1</v>
      </c>
      <c r="O650" t="b">
        <f t="shared" si="70"/>
        <v>1</v>
      </c>
      <c r="P650" t="b">
        <f t="shared" si="71"/>
        <v>1</v>
      </c>
    </row>
    <row r="651" spans="1:16">
      <c r="A651" t="str">
        <v>mu_MU_Cargo_Wagon_Powered</v>
      </c>
      <c r="B651" t="b" cm="1">
        <f t="array" ref="B651">_xlfn.XLOOKUP(A651,CONTROL[VEHIDCODE],PROPERTIES[EXCLUDE])</f>
        <v>0</v>
      </c>
      <c r="C651">
        <f>FLOOR(_xlfn.XLOOKUP($A651,PROPERTIES[VEHIDCODE],PROPERTIES[INTRODUCTION_YEAR]),20)</f>
        <v>1980</v>
      </c>
      <c r="D651" t="str">
        <f>_xlfn.XLOOKUP($A651,PROPERTIES[VEHIDCODE],PROPERTIES[ROLE])</f>
        <v>Powered/Unpowered Sundry</v>
      </c>
      <c r="E651" s="35" t="str">
        <f>_xlfn.XLOOKUP($A651,PROPERTIES[VEHIDCODE],PROPERTIES[REGION1])</f>
        <v>ALL_REGION</v>
      </c>
      <c r="F651" s="35" t="str">
        <f>_xlfn.XLOOKUP($A651,PROPERTIES[VEHIDCODE],PROPERTIES[REGION2])</f>
        <v>NO_REGION</v>
      </c>
      <c r="G651" s="35" t="str">
        <f t="shared" si="66"/>
        <v>ALL_REGION_NO_REGION</v>
      </c>
      <c r="H651" t="b">
        <f t="shared" si="67"/>
        <v>1</v>
      </c>
      <c r="I651" t="b">
        <f t="shared" si="68"/>
        <v>1</v>
      </c>
      <c r="J651" t="b">
        <f t="shared" si="69"/>
        <v>1</v>
      </c>
      <c r="K651" t="b">
        <f t="shared" si="65"/>
        <v>1</v>
      </c>
      <c r="L651" t="b">
        <f t="shared" si="65"/>
        <v>1</v>
      </c>
      <c r="M651" t="b">
        <f t="shared" si="65"/>
        <v>1</v>
      </c>
      <c r="N651" t="b">
        <f t="shared" si="70"/>
        <v>1</v>
      </c>
      <c r="O651" t="b">
        <f t="shared" si="70"/>
        <v>1</v>
      </c>
      <c r="P651" t="b">
        <f t="shared" si="71"/>
        <v>1</v>
      </c>
    </row>
    <row r="652" spans="1:16">
      <c r="A652" t="str">
        <v>mu_MU_Cargo_Wagon_Unpowered</v>
      </c>
      <c r="B652" t="b" cm="1">
        <f t="array" ref="B652">_xlfn.XLOOKUP(A652,CONTROL[VEHIDCODE],PROPERTIES[EXCLUDE])</f>
        <v>0</v>
      </c>
      <c r="C652">
        <f>FLOOR(_xlfn.XLOOKUP($A652,PROPERTIES[VEHIDCODE],PROPERTIES[INTRODUCTION_YEAR]),20)</f>
        <v>1980</v>
      </c>
      <c r="D652" t="str">
        <f>_xlfn.XLOOKUP($A652,PROPERTIES[VEHIDCODE],PROPERTIES[ROLE])</f>
        <v>Powered/Unpowered Sundry</v>
      </c>
      <c r="E652" s="35" t="str">
        <f>_xlfn.XLOOKUP($A652,PROPERTIES[VEHIDCODE],PROPERTIES[REGION1])</f>
        <v>ALL_REGION</v>
      </c>
      <c r="F652" s="35" t="str">
        <f>_xlfn.XLOOKUP($A652,PROPERTIES[VEHIDCODE],PROPERTIES[REGION2])</f>
        <v>NO_REGION</v>
      </c>
      <c r="G652" s="35" t="str">
        <f t="shared" si="66"/>
        <v>ALL_REGION_NO_REGION</v>
      </c>
      <c r="H652" t="b">
        <f t="shared" si="67"/>
        <v>1</v>
      </c>
      <c r="I652" t="b">
        <f t="shared" si="68"/>
        <v>1</v>
      </c>
      <c r="J652" t="b">
        <f t="shared" si="69"/>
        <v>1</v>
      </c>
      <c r="K652" t="b">
        <f t="shared" si="65"/>
        <v>1</v>
      </c>
      <c r="L652" t="b">
        <f t="shared" si="65"/>
        <v>1</v>
      </c>
      <c r="M652" t="b">
        <f t="shared" si="65"/>
        <v>1</v>
      </c>
      <c r="N652" t="b">
        <f t="shared" si="70"/>
        <v>1</v>
      </c>
      <c r="O652" t="b">
        <f t="shared" si="70"/>
        <v>1</v>
      </c>
      <c r="P652" t="b">
        <f t="shared" si="71"/>
        <v>1</v>
      </c>
    </row>
    <row r="653" spans="1:16">
      <c r="A653" t="str">
        <v>mu_MU_Wagon_Powered</v>
      </c>
      <c r="B653" t="b" cm="1">
        <f t="array" ref="B653">_xlfn.XLOOKUP(A653,CONTROL[VEHIDCODE],PROPERTIES[EXCLUDE])</f>
        <v>0</v>
      </c>
      <c r="C653">
        <f>FLOOR(_xlfn.XLOOKUP($A653,PROPERTIES[VEHIDCODE],PROPERTIES[INTRODUCTION_YEAR]),20)</f>
        <v>1900</v>
      </c>
      <c r="D653" t="str">
        <f>_xlfn.XLOOKUP($A653,PROPERTIES[VEHIDCODE],PROPERTIES[ROLE])</f>
        <v>Powered/Unpowered Sundry</v>
      </c>
      <c r="E653" s="35" t="str">
        <f>_xlfn.XLOOKUP($A653,PROPERTIES[VEHIDCODE],PROPERTIES[REGION1])</f>
        <v>ALL_REGION</v>
      </c>
      <c r="F653" s="35" t="str">
        <f>_xlfn.XLOOKUP($A653,PROPERTIES[VEHIDCODE],PROPERTIES[REGION2])</f>
        <v>NO_REGION</v>
      </c>
      <c r="G653" s="35" t="str">
        <f t="shared" si="66"/>
        <v>ALL_REGION_NO_REGION</v>
      </c>
      <c r="H653" t="b">
        <f t="shared" si="67"/>
        <v>1</v>
      </c>
      <c r="I653" t="b">
        <f t="shared" si="68"/>
        <v>1</v>
      </c>
      <c r="J653" t="b">
        <f t="shared" si="69"/>
        <v>1</v>
      </c>
      <c r="K653" t="b">
        <f t="shared" si="65"/>
        <v>1</v>
      </c>
      <c r="L653" t="b">
        <f t="shared" si="65"/>
        <v>1</v>
      </c>
      <c r="M653" t="b">
        <f t="shared" si="65"/>
        <v>1</v>
      </c>
      <c r="N653" t="b">
        <f t="shared" si="70"/>
        <v>1</v>
      </c>
      <c r="O653" t="b">
        <f t="shared" si="70"/>
        <v>1</v>
      </c>
      <c r="P653" t="b">
        <f t="shared" si="71"/>
        <v>1</v>
      </c>
    </row>
    <row r="654" spans="1:16">
      <c r="A654" t="str">
        <v>mu_MU_Wagon_Unpowered</v>
      </c>
      <c r="B654" t="b" cm="1">
        <f t="array" ref="B654">_xlfn.XLOOKUP(A654,CONTROL[VEHIDCODE],PROPERTIES[EXCLUDE])</f>
        <v>0</v>
      </c>
      <c r="C654">
        <f>FLOOR(_xlfn.XLOOKUP($A654,PROPERTIES[VEHIDCODE],PROPERTIES[INTRODUCTION_YEAR]),20)</f>
        <v>1900</v>
      </c>
      <c r="D654" t="str">
        <f>_xlfn.XLOOKUP($A654,PROPERTIES[VEHIDCODE],PROPERTIES[ROLE])</f>
        <v>Powered/Unpowered Sundry</v>
      </c>
      <c r="E654" s="35" t="str">
        <f>_xlfn.XLOOKUP($A654,PROPERTIES[VEHIDCODE],PROPERTIES[REGION1])</f>
        <v>ALL_REGION</v>
      </c>
      <c r="F654" s="35" t="str">
        <f>_xlfn.XLOOKUP($A654,PROPERTIES[VEHIDCODE],PROPERTIES[REGION2])</f>
        <v>NO_REGION</v>
      </c>
      <c r="G654" s="35" t="str">
        <f t="shared" si="66"/>
        <v>ALL_REGION_NO_REGION</v>
      </c>
      <c r="H654" t="b">
        <f t="shared" si="67"/>
        <v>1</v>
      </c>
      <c r="I654" t="b">
        <f t="shared" si="68"/>
        <v>1</v>
      </c>
      <c r="J654" t="b">
        <f t="shared" si="69"/>
        <v>1</v>
      </c>
      <c r="K654" t="b">
        <f t="shared" si="65"/>
        <v>1</v>
      </c>
      <c r="L654" t="b">
        <f t="shared" si="65"/>
        <v>1</v>
      </c>
      <c r="M654" t="b">
        <f t="shared" si="65"/>
        <v>1</v>
      </c>
      <c r="N654" t="b">
        <f t="shared" si="70"/>
        <v>1</v>
      </c>
      <c r="O654" t="b">
        <f t="shared" si="70"/>
        <v>1</v>
      </c>
      <c r="P654" t="b">
        <f t="shared" si="71"/>
        <v>1</v>
      </c>
    </row>
    <row r="655" spans="1:16">
      <c r="A655" t="str">
        <v>mu_Wagon_Gen1_Flat_Wagon</v>
      </c>
      <c r="B655" t="b" cm="1">
        <f t="array" ref="B655">_xlfn.XLOOKUP(A655,CONTROL[VEHIDCODE],PROPERTIES[EXCLUDE])</f>
        <v>0</v>
      </c>
      <c r="C655">
        <f>FLOOR(_xlfn.XLOOKUP($A655,PROPERTIES[VEHIDCODE],PROPERTIES[INTRODUCTION_YEAR]),20)</f>
        <v>1820</v>
      </c>
      <c r="D655" t="str">
        <f>_xlfn.XLOOKUP($A655,PROPERTIES[VEHIDCODE],PROPERTIES[ROLE])</f>
        <v>Wagon</v>
      </c>
      <c r="E655" s="35" t="str">
        <f>_xlfn.XLOOKUP($A655,PROPERTIES[VEHIDCODE],PROPERTIES[REGION1])</f>
        <v>ALL_REGION</v>
      </c>
      <c r="F655" s="35" t="str">
        <f>_xlfn.XLOOKUP($A655,PROPERTIES[VEHIDCODE],PROPERTIES[REGION2])</f>
        <v>NO_REGION</v>
      </c>
      <c r="G655" s="35" t="str">
        <f t="shared" si="66"/>
        <v>ALL_REGION_NO_REGION</v>
      </c>
      <c r="H655" t="b">
        <f t="shared" si="67"/>
        <v>1</v>
      </c>
      <c r="I655" t="b">
        <f t="shared" si="68"/>
        <v>1</v>
      </c>
      <c r="J655" t="b">
        <f t="shared" si="69"/>
        <v>1</v>
      </c>
      <c r="K655" t="b">
        <f t="shared" si="65"/>
        <v>1</v>
      </c>
      <c r="L655" t="b">
        <f t="shared" si="65"/>
        <v>1</v>
      </c>
      <c r="M655" t="b">
        <f t="shared" si="65"/>
        <v>1</v>
      </c>
      <c r="N655" t="b">
        <f t="shared" si="70"/>
        <v>1</v>
      </c>
      <c r="O655" t="b">
        <f t="shared" si="70"/>
        <v>1</v>
      </c>
      <c r="P655" t="b">
        <f t="shared" si="71"/>
        <v>1</v>
      </c>
    </row>
    <row r="656" spans="1:16">
      <c r="A656" t="str">
        <v>mu_Wagon_Gen1_Boxcar</v>
      </c>
      <c r="B656" t="b" cm="1">
        <f t="array" ref="B656">_xlfn.XLOOKUP(A656,CONTROL[VEHIDCODE],PROPERTIES[EXCLUDE])</f>
        <v>0</v>
      </c>
      <c r="C656">
        <f>FLOOR(_xlfn.XLOOKUP($A656,PROPERTIES[VEHIDCODE],PROPERTIES[INTRODUCTION_YEAR]),20)</f>
        <v>1820</v>
      </c>
      <c r="D656" t="str">
        <f>_xlfn.XLOOKUP($A656,PROPERTIES[VEHIDCODE],PROPERTIES[ROLE])</f>
        <v>Wagon</v>
      </c>
      <c r="E656" s="35" t="str">
        <f>_xlfn.XLOOKUP($A656,PROPERTIES[VEHIDCODE],PROPERTIES[REGION1])</f>
        <v>ALL_REGION</v>
      </c>
      <c r="F656" s="35" t="str">
        <f>_xlfn.XLOOKUP($A656,PROPERTIES[VEHIDCODE],PROPERTIES[REGION2])</f>
        <v>NO_REGION</v>
      </c>
      <c r="G656" s="35" t="str">
        <f t="shared" si="66"/>
        <v>ALL_REGION_NO_REGION</v>
      </c>
      <c r="H656" t="b">
        <f t="shared" si="67"/>
        <v>1</v>
      </c>
      <c r="I656" t="b">
        <f t="shared" si="68"/>
        <v>1</v>
      </c>
      <c r="J656" t="b">
        <f t="shared" si="69"/>
        <v>1</v>
      </c>
      <c r="K656" t="b">
        <f t="shared" si="65"/>
        <v>1</v>
      </c>
      <c r="L656" t="b">
        <f t="shared" si="65"/>
        <v>1</v>
      </c>
      <c r="M656" t="b">
        <f t="shared" si="65"/>
        <v>1</v>
      </c>
      <c r="N656" t="b">
        <f t="shared" si="70"/>
        <v>1</v>
      </c>
      <c r="O656" t="b">
        <f t="shared" si="70"/>
        <v>1</v>
      </c>
      <c r="P656" t="b">
        <f t="shared" si="71"/>
        <v>1</v>
      </c>
    </row>
    <row r="657" spans="1:16">
      <c r="A657" t="str">
        <v>mu_Wagon_Gen1_Tanker</v>
      </c>
      <c r="B657" t="b" cm="1">
        <f t="array" ref="B657">_xlfn.XLOOKUP(A657,CONTROL[VEHIDCODE],PROPERTIES[EXCLUDE])</f>
        <v>0</v>
      </c>
      <c r="C657">
        <f>FLOOR(_xlfn.XLOOKUP($A657,PROPERTIES[VEHIDCODE],PROPERTIES[INTRODUCTION_YEAR]),20)</f>
        <v>1820</v>
      </c>
      <c r="D657" t="str">
        <f>_xlfn.XLOOKUP($A657,PROPERTIES[VEHIDCODE],PROPERTIES[ROLE])</f>
        <v>Wagon</v>
      </c>
      <c r="E657" s="35" t="str">
        <f>_xlfn.XLOOKUP($A657,PROPERTIES[VEHIDCODE],PROPERTIES[REGION1])</f>
        <v>ALL_REGION</v>
      </c>
      <c r="F657" s="35" t="str">
        <f>_xlfn.XLOOKUP($A657,PROPERTIES[VEHIDCODE],PROPERTIES[REGION2])</f>
        <v>NO_REGION</v>
      </c>
      <c r="G657" s="35" t="str">
        <f t="shared" si="66"/>
        <v>ALL_REGION_NO_REGION</v>
      </c>
      <c r="H657" t="b">
        <f t="shared" si="67"/>
        <v>1</v>
      </c>
      <c r="I657" t="b">
        <f t="shared" si="68"/>
        <v>1</v>
      </c>
      <c r="J657" t="b">
        <f t="shared" si="69"/>
        <v>1</v>
      </c>
      <c r="K657" t="b">
        <f t="shared" si="65"/>
        <v>1</v>
      </c>
      <c r="L657" t="b">
        <f t="shared" si="65"/>
        <v>1</v>
      </c>
      <c r="M657" t="b">
        <f t="shared" si="65"/>
        <v>1</v>
      </c>
      <c r="N657" t="b">
        <f t="shared" si="70"/>
        <v>1</v>
      </c>
      <c r="O657" t="b">
        <f t="shared" si="70"/>
        <v>1</v>
      </c>
      <c r="P657" t="b">
        <f t="shared" si="71"/>
        <v>1</v>
      </c>
    </row>
    <row r="658" spans="1:16">
      <c r="A658" t="str">
        <v>mu_Wagon_Gen1_Open_Wagon</v>
      </c>
      <c r="B658" t="b" cm="1">
        <f t="array" ref="B658">_xlfn.XLOOKUP(A658,CONTROL[VEHIDCODE],PROPERTIES[EXCLUDE])</f>
        <v>0</v>
      </c>
      <c r="C658">
        <f>FLOOR(_xlfn.XLOOKUP($A658,PROPERTIES[VEHIDCODE],PROPERTIES[INTRODUCTION_YEAR]),20)</f>
        <v>1820</v>
      </c>
      <c r="D658" t="str">
        <f>_xlfn.XLOOKUP($A658,PROPERTIES[VEHIDCODE],PROPERTIES[ROLE])</f>
        <v>Wagon</v>
      </c>
      <c r="E658" s="35" t="str">
        <f>_xlfn.XLOOKUP($A658,PROPERTIES[VEHIDCODE],PROPERTIES[REGION1])</f>
        <v>ALL_REGION</v>
      </c>
      <c r="F658" s="35" t="str">
        <f>_xlfn.XLOOKUP($A658,PROPERTIES[VEHIDCODE],PROPERTIES[REGION2])</f>
        <v>NO_REGION</v>
      </c>
      <c r="G658" s="35" t="str">
        <f t="shared" si="66"/>
        <v>ALL_REGION_NO_REGION</v>
      </c>
      <c r="H658" t="b">
        <f t="shared" si="67"/>
        <v>1</v>
      </c>
      <c r="I658" t="b">
        <f t="shared" si="68"/>
        <v>1</v>
      </c>
      <c r="J658" t="b">
        <f t="shared" si="69"/>
        <v>1</v>
      </c>
      <c r="K658" t="b">
        <f t="shared" si="65"/>
        <v>1</v>
      </c>
      <c r="L658" t="b">
        <f t="shared" si="65"/>
        <v>1</v>
      </c>
      <c r="M658" t="b">
        <f t="shared" si="65"/>
        <v>1</v>
      </c>
      <c r="N658" t="b">
        <f t="shared" si="70"/>
        <v>1</v>
      </c>
      <c r="O658" t="b">
        <f t="shared" si="70"/>
        <v>1</v>
      </c>
      <c r="P658" t="b">
        <f t="shared" si="71"/>
        <v>1</v>
      </c>
    </row>
    <row r="659" spans="1:16">
      <c r="A659" t="str">
        <v>mu_Wagon_Gen2_Flat_Wagon</v>
      </c>
      <c r="B659" t="b" cm="1">
        <f t="array" ref="B659">_xlfn.XLOOKUP(A659,CONTROL[VEHIDCODE],PROPERTIES[EXCLUDE])</f>
        <v>0</v>
      </c>
      <c r="C659">
        <f>FLOOR(_xlfn.XLOOKUP($A659,PROPERTIES[VEHIDCODE],PROPERTIES[INTRODUCTION_YEAR]),20)</f>
        <v>1900</v>
      </c>
      <c r="D659" t="str">
        <f>_xlfn.XLOOKUP($A659,PROPERTIES[VEHIDCODE],PROPERTIES[ROLE])</f>
        <v>Wagon</v>
      </c>
      <c r="E659" s="35" t="str">
        <f>_xlfn.XLOOKUP($A659,PROPERTIES[VEHIDCODE],PROPERTIES[REGION1])</f>
        <v>ALL_REGION</v>
      </c>
      <c r="F659" s="35" t="str">
        <f>_xlfn.XLOOKUP($A659,PROPERTIES[VEHIDCODE],PROPERTIES[REGION2])</f>
        <v>NO_REGION</v>
      </c>
      <c r="G659" s="35" t="str">
        <f t="shared" si="66"/>
        <v>ALL_REGION_NO_REGION</v>
      </c>
      <c r="H659" t="b">
        <f t="shared" si="67"/>
        <v>1</v>
      </c>
      <c r="I659" t="b">
        <f t="shared" si="68"/>
        <v>1</v>
      </c>
      <c r="J659" t="b">
        <f t="shared" si="69"/>
        <v>1</v>
      </c>
      <c r="K659" t="b">
        <f t="shared" si="65"/>
        <v>1</v>
      </c>
      <c r="L659" t="b">
        <f t="shared" si="65"/>
        <v>1</v>
      </c>
      <c r="M659" t="b">
        <f t="shared" si="65"/>
        <v>1</v>
      </c>
      <c r="N659" t="b">
        <f t="shared" si="70"/>
        <v>1</v>
      </c>
      <c r="O659" t="b">
        <f t="shared" si="70"/>
        <v>1</v>
      </c>
      <c r="P659" t="b">
        <f t="shared" si="71"/>
        <v>1</v>
      </c>
    </row>
    <row r="660" spans="1:16">
      <c r="A660" t="str">
        <v>mu_Wagon_Gen2_Boxcar_Type1</v>
      </c>
      <c r="B660" t="b" cm="1">
        <f t="array" ref="B660">_xlfn.XLOOKUP(A660,CONTROL[VEHIDCODE],PROPERTIES[EXCLUDE])</f>
        <v>0</v>
      </c>
      <c r="C660">
        <f>FLOOR(_xlfn.XLOOKUP($A660,PROPERTIES[VEHIDCODE],PROPERTIES[INTRODUCTION_YEAR]),20)</f>
        <v>1880</v>
      </c>
      <c r="D660" t="str">
        <f>_xlfn.XLOOKUP($A660,PROPERTIES[VEHIDCODE],PROPERTIES[ROLE])</f>
        <v>Wagon</v>
      </c>
      <c r="E660" s="35" t="str">
        <f>_xlfn.XLOOKUP($A660,PROPERTIES[VEHIDCODE],PROPERTIES[REGION1])</f>
        <v>ALL_REGION</v>
      </c>
      <c r="F660" s="35" t="str">
        <f>_xlfn.XLOOKUP($A660,PROPERTIES[VEHIDCODE],PROPERTIES[REGION2])</f>
        <v>NO_REGION</v>
      </c>
      <c r="G660" s="35" t="str">
        <f t="shared" si="66"/>
        <v>ALL_REGION_NO_REGION</v>
      </c>
      <c r="H660" t="b">
        <f t="shared" si="67"/>
        <v>1</v>
      </c>
      <c r="I660" t="b">
        <f t="shared" si="68"/>
        <v>1</v>
      </c>
      <c r="J660" t="b">
        <f t="shared" si="69"/>
        <v>1</v>
      </c>
      <c r="K660" t="b">
        <f t="shared" si="65"/>
        <v>1</v>
      </c>
      <c r="L660" t="b">
        <f t="shared" si="65"/>
        <v>1</v>
      </c>
      <c r="M660" t="b">
        <f t="shared" si="65"/>
        <v>1</v>
      </c>
      <c r="N660" t="b">
        <f t="shared" si="70"/>
        <v>1</v>
      </c>
      <c r="O660" t="b">
        <f t="shared" si="70"/>
        <v>1</v>
      </c>
      <c r="P660" t="b">
        <f t="shared" si="71"/>
        <v>1</v>
      </c>
    </row>
    <row r="661" spans="1:16">
      <c r="A661" t="str">
        <v>mu_Wagon_Gen2_Boxcar_Type2</v>
      </c>
      <c r="B661" t="b" cm="1">
        <f t="array" ref="B661">_xlfn.XLOOKUP(A661,CONTROL[VEHIDCODE],PROPERTIES[EXCLUDE])</f>
        <v>0</v>
      </c>
      <c r="C661">
        <f>FLOOR(_xlfn.XLOOKUP($A661,PROPERTIES[VEHIDCODE],PROPERTIES[INTRODUCTION_YEAR]),20)</f>
        <v>1880</v>
      </c>
      <c r="D661" t="str">
        <f>_xlfn.XLOOKUP($A661,PROPERTIES[VEHIDCODE],PROPERTIES[ROLE])</f>
        <v>Wagon</v>
      </c>
      <c r="E661" s="35" t="str">
        <f>_xlfn.XLOOKUP($A661,PROPERTIES[VEHIDCODE],PROPERTIES[REGION1])</f>
        <v>ALL_REGION</v>
      </c>
      <c r="F661" s="35" t="str">
        <f>_xlfn.XLOOKUP($A661,PROPERTIES[VEHIDCODE],PROPERTIES[REGION2])</f>
        <v>NO_REGION</v>
      </c>
      <c r="G661" s="35" t="str">
        <f t="shared" si="66"/>
        <v>ALL_REGION_NO_REGION</v>
      </c>
      <c r="H661" t="b">
        <f t="shared" si="67"/>
        <v>1</v>
      </c>
      <c r="I661" t="b">
        <f t="shared" si="68"/>
        <v>1</v>
      </c>
      <c r="J661" t="b">
        <f t="shared" si="69"/>
        <v>1</v>
      </c>
      <c r="K661" t="b">
        <f t="shared" si="65"/>
        <v>1</v>
      </c>
      <c r="L661" t="b">
        <f t="shared" si="65"/>
        <v>1</v>
      </c>
      <c r="M661" t="b">
        <f t="shared" si="65"/>
        <v>1</v>
      </c>
      <c r="N661" t="b">
        <f t="shared" si="70"/>
        <v>1</v>
      </c>
      <c r="O661" t="b">
        <f t="shared" si="70"/>
        <v>1</v>
      </c>
      <c r="P661" t="b">
        <f t="shared" si="71"/>
        <v>1</v>
      </c>
    </row>
    <row r="662" spans="1:16">
      <c r="A662" t="str">
        <v>mu_Wagon_Gen2_Tanker</v>
      </c>
      <c r="B662" t="b" cm="1">
        <f t="array" ref="B662">_xlfn.XLOOKUP(A662,CONTROL[VEHIDCODE],PROPERTIES[EXCLUDE])</f>
        <v>0</v>
      </c>
      <c r="C662">
        <f>FLOOR(_xlfn.XLOOKUP($A662,PROPERTIES[VEHIDCODE],PROPERTIES[INTRODUCTION_YEAR]),20)</f>
        <v>1900</v>
      </c>
      <c r="D662" t="str">
        <f>_xlfn.XLOOKUP($A662,PROPERTIES[VEHIDCODE],PROPERTIES[ROLE])</f>
        <v>Wagon</v>
      </c>
      <c r="E662" s="35" t="str">
        <f>_xlfn.XLOOKUP($A662,PROPERTIES[VEHIDCODE],PROPERTIES[REGION1])</f>
        <v>ALL_REGION</v>
      </c>
      <c r="F662" s="35" t="str">
        <f>_xlfn.XLOOKUP($A662,PROPERTIES[VEHIDCODE],PROPERTIES[REGION2])</f>
        <v>NO_REGION</v>
      </c>
      <c r="G662" s="35" t="str">
        <f t="shared" si="66"/>
        <v>ALL_REGION_NO_REGION</v>
      </c>
      <c r="H662" t="b">
        <f t="shared" si="67"/>
        <v>1</v>
      </c>
      <c r="I662" t="b">
        <f t="shared" si="68"/>
        <v>1</v>
      </c>
      <c r="J662" t="b">
        <f t="shared" si="69"/>
        <v>1</v>
      </c>
      <c r="K662" t="b">
        <f t="shared" si="65"/>
        <v>1</v>
      </c>
      <c r="L662" t="b">
        <f t="shared" si="65"/>
        <v>1</v>
      </c>
      <c r="M662" t="b">
        <f t="shared" si="65"/>
        <v>1</v>
      </c>
      <c r="N662" t="b">
        <f t="shared" si="70"/>
        <v>1</v>
      </c>
      <c r="O662" t="b">
        <f t="shared" si="70"/>
        <v>1</v>
      </c>
      <c r="P662" t="b">
        <f t="shared" si="71"/>
        <v>1</v>
      </c>
    </row>
    <row r="663" spans="1:16">
      <c r="A663" t="str">
        <v>mu_Wagon_Gen2_Open_Wagon</v>
      </c>
      <c r="B663" t="b" cm="1">
        <f t="array" ref="B663">_xlfn.XLOOKUP(A663,CONTROL[VEHIDCODE],PROPERTIES[EXCLUDE])</f>
        <v>0</v>
      </c>
      <c r="C663">
        <f>FLOOR(_xlfn.XLOOKUP($A663,PROPERTIES[VEHIDCODE],PROPERTIES[INTRODUCTION_YEAR]),20)</f>
        <v>1880</v>
      </c>
      <c r="D663" t="str">
        <f>_xlfn.XLOOKUP($A663,PROPERTIES[VEHIDCODE],PROPERTIES[ROLE])</f>
        <v>Wagon</v>
      </c>
      <c r="E663" s="35" t="str">
        <f>_xlfn.XLOOKUP($A663,PROPERTIES[VEHIDCODE],PROPERTIES[REGION1])</f>
        <v>ALL_REGION</v>
      </c>
      <c r="F663" s="35" t="str">
        <f>_xlfn.XLOOKUP($A663,PROPERTIES[VEHIDCODE],PROPERTIES[REGION2])</f>
        <v>NO_REGION</v>
      </c>
      <c r="G663" s="35" t="str">
        <f t="shared" si="66"/>
        <v>ALL_REGION_NO_REGION</v>
      </c>
      <c r="H663" t="b">
        <f t="shared" si="67"/>
        <v>1</v>
      </c>
      <c r="I663" t="b">
        <f t="shared" si="68"/>
        <v>1</v>
      </c>
      <c r="J663" t="b">
        <f t="shared" si="69"/>
        <v>1</v>
      </c>
      <c r="K663" t="b">
        <f t="shared" si="65"/>
        <v>1</v>
      </c>
      <c r="L663" t="b">
        <f t="shared" si="65"/>
        <v>1</v>
      </c>
      <c r="M663" t="b">
        <f t="shared" si="65"/>
        <v>1</v>
      </c>
      <c r="N663" t="b">
        <f t="shared" si="70"/>
        <v>1</v>
      </c>
      <c r="O663" t="b">
        <f t="shared" si="70"/>
        <v>1</v>
      </c>
      <c r="P663" t="b">
        <f t="shared" si="71"/>
        <v>1</v>
      </c>
    </row>
    <row r="664" spans="1:16">
      <c r="A664" t="str">
        <v>mu_Wagon_Gen2_Silo</v>
      </c>
      <c r="B664" t="b" cm="1">
        <f t="array" ref="B664">_xlfn.XLOOKUP(A664,CONTROL[VEHIDCODE],PROPERTIES[EXCLUDE])</f>
        <v>0</v>
      </c>
      <c r="C664">
        <f>FLOOR(_xlfn.XLOOKUP($A664,PROPERTIES[VEHIDCODE],PROPERTIES[INTRODUCTION_YEAR]),20)</f>
        <v>1900</v>
      </c>
      <c r="D664" t="str">
        <f>_xlfn.XLOOKUP($A664,PROPERTIES[VEHIDCODE],PROPERTIES[ROLE])</f>
        <v>Wagon</v>
      </c>
      <c r="E664" s="35" t="str">
        <f>_xlfn.XLOOKUP($A664,PROPERTIES[VEHIDCODE],PROPERTIES[REGION1])</f>
        <v>ALL_REGION</v>
      </c>
      <c r="F664" s="35" t="str">
        <f>_xlfn.XLOOKUP($A664,PROPERTIES[VEHIDCODE],PROPERTIES[REGION2])</f>
        <v>NO_REGION</v>
      </c>
      <c r="G664" s="35" t="str">
        <f t="shared" si="66"/>
        <v>ALL_REGION_NO_REGION</v>
      </c>
      <c r="H664" t="b">
        <f t="shared" si="67"/>
        <v>1</v>
      </c>
      <c r="I664" t="b">
        <f t="shared" si="68"/>
        <v>1</v>
      </c>
      <c r="J664" t="b">
        <f t="shared" si="69"/>
        <v>1</v>
      </c>
      <c r="K664" t="b">
        <f t="shared" si="65"/>
        <v>1</v>
      </c>
      <c r="L664" t="b">
        <f t="shared" si="65"/>
        <v>1</v>
      </c>
      <c r="M664" t="b">
        <f t="shared" si="65"/>
        <v>1</v>
      </c>
      <c r="N664" t="b">
        <f t="shared" si="70"/>
        <v>1</v>
      </c>
      <c r="O664" t="b">
        <f t="shared" si="70"/>
        <v>1</v>
      </c>
      <c r="P664" t="b">
        <f t="shared" si="71"/>
        <v>1</v>
      </c>
    </row>
    <row r="665" spans="1:16">
      <c r="A665" t="str">
        <v>mu_Wagon_Gen2_Hopper</v>
      </c>
      <c r="B665" t="b" cm="1">
        <f t="array" ref="B665">_xlfn.XLOOKUP(A665,CONTROL[VEHIDCODE],PROPERTIES[EXCLUDE])</f>
        <v>0</v>
      </c>
      <c r="C665">
        <f>FLOOR(_xlfn.XLOOKUP($A665,PROPERTIES[VEHIDCODE],PROPERTIES[INTRODUCTION_YEAR]),20)</f>
        <v>1880</v>
      </c>
      <c r="D665" t="str">
        <f>_xlfn.XLOOKUP($A665,PROPERTIES[VEHIDCODE],PROPERTIES[ROLE])</f>
        <v>Wagon</v>
      </c>
      <c r="E665" s="35" t="str">
        <f>_xlfn.XLOOKUP($A665,PROPERTIES[VEHIDCODE],PROPERTIES[REGION1])</f>
        <v>ALL_REGION</v>
      </c>
      <c r="F665" s="35" t="str">
        <f>_xlfn.XLOOKUP($A665,PROPERTIES[VEHIDCODE],PROPERTIES[REGION2])</f>
        <v>NO_REGION</v>
      </c>
      <c r="G665" s="35" t="str">
        <f t="shared" si="66"/>
        <v>ALL_REGION_NO_REGION</v>
      </c>
      <c r="H665" t="b">
        <f t="shared" si="67"/>
        <v>1</v>
      </c>
      <c r="I665" t="b">
        <f t="shared" si="68"/>
        <v>1</v>
      </c>
      <c r="J665" t="b">
        <f t="shared" si="69"/>
        <v>1</v>
      </c>
      <c r="K665" t="b">
        <f t="shared" si="65"/>
        <v>1</v>
      </c>
      <c r="L665" t="b">
        <f t="shared" si="65"/>
        <v>1</v>
      </c>
      <c r="M665" t="b">
        <f t="shared" si="65"/>
        <v>1</v>
      </c>
      <c r="N665" t="b">
        <f t="shared" si="70"/>
        <v>1</v>
      </c>
      <c r="O665" t="b">
        <f t="shared" si="70"/>
        <v>1</v>
      </c>
      <c r="P665" t="b">
        <f t="shared" si="71"/>
        <v>1</v>
      </c>
    </row>
    <row r="666" spans="1:16">
      <c r="A666" t="str">
        <v>mu_Wagon_Gen3_Flat_Wagon</v>
      </c>
      <c r="B666" t="b" cm="1">
        <f t="array" ref="B666">_xlfn.XLOOKUP(A666,CONTROL[VEHIDCODE],PROPERTIES[EXCLUDE])</f>
        <v>0</v>
      </c>
      <c r="C666">
        <f>FLOOR(_xlfn.XLOOKUP($A666,PROPERTIES[VEHIDCODE],PROPERTIES[INTRODUCTION_YEAR]),20)</f>
        <v>1920</v>
      </c>
      <c r="D666" t="str">
        <f>_xlfn.XLOOKUP($A666,PROPERTIES[VEHIDCODE],PROPERTIES[ROLE])</f>
        <v>Wagon</v>
      </c>
      <c r="E666" s="35" t="str">
        <f>_xlfn.XLOOKUP($A666,PROPERTIES[VEHIDCODE],PROPERTIES[REGION1])</f>
        <v>ALL_REGION</v>
      </c>
      <c r="F666" s="35" t="str">
        <f>_xlfn.XLOOKUP($A666,PROPERTIES[VEHIDCODE],PROPERTIES[REGION2])</f>
        <v>NO_REGION</v>
      </c>
      <c r="G666" s="35" t="str">
        <f t="shared" si="66"/>
        <v>ALL_REGION_NO_REGION</v>
      </c>
      <c r="H666" t="b">
        <f t="shared" si="67"/>
        <v>1</v>
      </c>
      <c r="I666" t="b">
        <f t="shared" si="68"/>
        <v>1</v>
      </c>
      <c r="J666" t="b">
        <f t="shared" si="69"/>
        <v>1</v>
      </c>
      <c r="K666" t="b">
        <f t="shared" si="65"/>
        <v>1</v>
      </c>
      <c r="L666" t="b">
        <f t="shared" si="65"/>
        <v>1</v>
      </c>
      <c r="M666" t="b">
        <f t="shared" si="65"/>
        <v>1</v>
      </c>
      <c r="N666" t="b">
        <f t="shared" si="70"/>
        <v>1</v>
      </c>
      <c r="O666" t="b">
        <f t="shared" si="70"/>
        <v>1</v>
      </c>
      <c r="P666" t="b">
        <f t="shared" si="71"/>
        <v>1</v>
      </c>
    </row>
    <row r="667" spans="1:16">
      <c r="A667" t="str">
        <v>mu_Wagon_Gen3_Boxcar_Type1</v>
      </c>
      <c r="B667" t="b" cm="1">
        <f t="array" ref="B667">_xlfn.XLOOKUP(A667,CONTROL[VEHIDCODE],PROPERTIES[EXCLUDE])</f>
        <v>0</v>
      </c>
      <c r="C667">
        <f>FLOOR(_xlfn.XLOOKUP($A667,PROPERTIES[VEHIDCODE],PROPERTIES[INTRODUCTION_YEAR]),20)</f>
        <v>1920</v>
      </c>
      <c r="D667" t="str">
        <f>_xlfn.XLOOKUP($A667,PROPERTIES[VEHIDCODE],PROPERTIES[ROLE])</f>
        <v>Wagon</v>
      </c>
      <c r="E667" s="35" t="str">
        <f>_xlfn.XLOOKUP($A667,PROPERTIES[VEHIDCODE],PROPERTIES[REGION1])</f>
        <v>ALL_REGION</v>
      </c>
      <c r="F667" s="35" t="str">
        <f>_xlfn.XLOOKUP($A667,PROPERTIES[VEHIDCODE],PROPERTIES[REGION2])</f>
        <v>NO_REGION</v>
      </c>
      <c r="G667" s="35" t="str">
        <f t="shared" si="66"/>
        <v>ALL_REGION_NO_REGION</v>
      </c>
      <c r="H667" t="b">
        <f t="shared" si="67"/>
        <v>1</v>
      </c>
      <c r="I667" t="b">
        <f t="shared" si="68"/>
        <v>1</v>
      </c>
      <c r="J667" t="b">
        <f t="shared" si="69"/>
        <v>1</v>
      </c>
      <c r="K667" t="b">
        <f t="shared" si="65"/>
        <v>1</v>
      </c>
      <c r="L667" t="b">
        <f t="shared" si="65"/>
        <v>1</v>
      </c>
      <c r="M667" t="b">
        <f t="shared" si="65"/>
        <v>1</v>
      </c>
      <c r="N667" t="b">
        <f t="shared" si="70"/>
        <v>1</v>
      </c>
      <c r="O667" t="b">
        <f t="shared" si="70"/>
        <v>1</v>
      </c>
      <c r="P667" t="b">
        <f t="shared" si="71"/>
        <v>1</v>
      </c>
    </row>
    <row r="668" spans="1:16">
      <c r="A668" t="str">
        <v>mu_Wagon_Gen3_Boxcar_Type2</v>
      </c>
      <c r="B668" t="b" cm="1">
        <f t="array" ref="B668">_xlfn.XLOOKUP(A668,CONTROL[VEHIDCODE],PROPERTIES[EXCLUDE])</f>
        <v>0</v>
      </c>
      <c r="C668">
        <f>FLOOR(_xlfn.XLOOKUP($A668,PROPERTIES[VEHIDCODE],PROPERTIES[INTRODUCTION_YEAR]),20)</f>
        <v>1920</v>
      </c>
      <c r="D668" t="str">
        <f>_xlfn.XLOOKUP($A668,PROPERTIES[VEHIDCODE],PROPERTIES[ROLE])</f>
        <v>Wagon</v>
      </c>
      <c r="E668" s="35" t="str">
        <f>_xlfn.XLOOKUP($A668,PROPERTIES[VEHIDCODE],PROPERTIES[REGION1])</f>
        <v>ALL_REGION</v>
      </c>
      <c r="F668" s="35" t="str">
        <f>_xlfn.XLOOKUP($A668,PROPERTIES[VEHIDCODE],PROPERTIES[REGION2])</f>
        <v>NO_REGION</v>
      </c>
      <c r="G668" s="35" t="str">
        <f t="shared" si="66"/>
        <v>ALL_REGION_NO_REGION</v>
      </c>
      <c r="H668" t="b">
        <f t="shared" si="67"/>
        <v>1</v>
      </c>
      <c r="I668" t="b">
        <f t="shared" si="68"/>
        <v>1</v>
      </c>
      <c r="J668" t="b">
        <f t="shared" si="69"/>
        <v>1</v>
      </c>
      <c r="K668" t="b">
        <f t="shared" si="65"/>
        <v>1</v>
      </c>
      <c r="L668" t="b">
        <f t="shared" si="65"/>
        <v>1</v>
      </c>
      <c r="M668" t="b">
        <f t="shared" si="65"/>
        <v>1</v>
      </c>
      <c r="N668" t="b">
        <f t="shared" si="70"/>
        <v>1</v>
      </c>
      <c r="O668" t="b">
        <f t="shared" si="70"/>
        <v>1</v>
      </c>
      <c r="P668" t="b">
        <f t="shared" si="71"/>
        <v>1</v>
      </c>
    </row>
    <row r="669" spans="1:16">
      <c r="A669" t="str">
        <v>mu_Wagon_Gen3_Tanker</v>
      </c>
      <c r="B669" t="b" cm="1">
        <f t="array" ref="B669">_xlfn.XLOOKUP(A669,CONTROL[VEHIDCODE],PROPERTIES[EXCLUDE])</f>
        <v>0</v>
      </c>
      <c r="C669">
        <f>FLOOR(_xlfn.XLOOKUP($A669,PROPERTIES[VEHIDCODE],PROPERTIES[INTRODUCTION_YEAR]),20)</f>
        <v>1920</v>
      </c>
      <c r="D669" t="str">
        <f>_xlfn.XLOOKUP($A669,PROPERTIES[VEHIDCODE],PROPERTIES[ROLE])</f>
        <v>Wagon</v>
      </c>
      <c r="E669" s="35" t="str">
        <f>_xlfn.XLOOKUP($A669,PROPERTIES[VEHIDCODE],PROPERTIES[REGION1])</f>
        <v>ALL_REGION</v>
      </c>
      <c r="F669" s="35" t="str">
        <f>_xlfn.XLOOKUP($A669,PROPERTIES[VEHIDCODE],PROPERTIES[REGION2])</f>
        <v>NO_REGION</v>
      </c>
      <c r="G669" s="35" t="str">
        <f t="shared" si="66"/>
        <v>ALL_REGION_NO_REGION</v>
      </c>
      <c r="H669" t="b">
        <f t="shared" si="67"/>
        <v>1</v>
      </c>
      <c r="I669" t="b">
        <f t="shared" si="68"/>
        <v>1</v>
      </c>
      <c r="J669" t="b">
        <f t="shared" si="69"/>
        <v>1</v>
      </c>
      <c r="K669" t="b">
        <f t="shared" si="65"/>
        <v>1</v>
      </c>
      <c r="L669" t="b">
        <f t="shared" si="65"/>
        <v>1</v>
      </c>
      <c r="M669" t="b">
        <f t="shared" si="65"/>
        <v>1</v>
      </c>
      <c r="N669" t="b">
        <f t="shared" si="70"/>
        <v>1</v>
      </c>
      <c r="O669" t="b">
        <f t="shared" si="70"/>
        <v>1</v>
      </c>
      <c r="P669" t="b">
        <f t="shared" si="71"/>
        <v>1</v>
      </c>
    </row>
    <row r="670" spans="1:16">
      <c r="A670" t="str">
        <v>mu_Wagon_Gen3_Open_Wagon</v>
      </c>
      <c r="B670" t="b" cm="1">
        <f t="array" ref="B670">_xlfn.XLOOKUP(A670,CONTROL[VEHIDCODE],PROPERTIES[EXCLUDE])</f>
        <v>0</v>
      </c>
      <c r="C670">
        <f>FLOOR(_xlfn.XLOOKUP($A670,PROPERTIES[VEHIDCODE],PROPERTIES[INTRODUCTION_YEAR]),20)</f>
        <v>1920</v>
      </c>
      <c r="D670" t="str">
        <f>_xlfn.XLOOKUP($A670,PROPERTIES[VEHIDCODE],PROPERTIES[ROLE])</f>
        <v>Wagon</v>
      </c>
      <c r="E670" s="35" t="str">
        <f>_xlfn.XLOOKUP($A670,PROPERTIES[VEHIDCODE],PROPERTIES[REGION1])</f>
        <v>ALL_REGION</v>
      </c>
      <c r="F670" s="35" t="str">
        <f>_xlfn.XLOOKUP($A670,PROPERTIES[VEHIDCODE],PROPERTIES[REGION2])</f>
        <v>NO_REGION</v>
      </c>
      <c r="G670" s="35" t="str">
        <f t="shared" si="66"/>
        <v>ALL_REGION_NO_REGION</v>
      </c>
      <c r="H670" t="b">
        <f t="shared" si="67"/>
        <v>1</v>
      </c>
      <c r="I670" t="b">
        <f t="shared" si="68"/>
        <v>1</v>
      </c>
      <c r="J670" t="b">
        <f t="shared" si="69"/>
        <v>1</v>
      </c>
      <c r="K670" t="b">
        <f t="shared" si="65"/>
        <v>1</v>
      </c>
      <c r="L670" t="b">
        <f t="shared" si="65"/>
        <v>1</v>
      </c>
      <c r="M670" t="b">
        <f t="shared" si="65"/>
        <v>1</v>
      </c>
      <c r="N670" t="b">
        <f t="shared" si="70"/>
        <v>1</v>
      </c>
      <c r="O670" t="b">
        <f t="shared" si="70"/>
        <v>1</v>
      </c>
      <c r="P670" t="b">
        <f t="shared" si="71"/>
        <v>1</v>
      </c>
    </row>
    <row r="671" spans="1:16">
      <c r="A671" t="str">
        <v>mu_Wagon_Gen3_Silo_Type1</v>
      </c>
      <c r="B671" t="b" cm="1">
        <f t="array" ref="B671">_xlfn.XLOOKUP(A671,CONTROL[VEHIDCODE],PROPERTIES[EXCLUDE])</f>
        <v>0</v>
      </c>
      <c r="C671">
        <f>FLOOR(_xlfn.XLOOKUP($A671,PROPERTIES[VEHIDCODE],PROPERTIES[INTRODUCTION_YEAR]),20)</f>
        <v>1920</v>
      </c>
      <c r="D671" t="str">
        <f>_xlfn.XLOOKUP($A671,PROPERTIES[VEHIDCODE],PROPERTIES[ROLE])</f>
        <v>Wagon</v>
      </c>
      <c r="E671" s="35" t="str">
        <f>_xlfn.XLOOKUP($A671,PROPERTIES[VEHIDCODE],PROPERTIES[REGION1])</f>
        <v>ALL_REGION</v>
      </c>
      <c r="F671" s="35" t="str">
        <f>_xlfn.XLOOKUP($A671,PROPERTIES[VEHIDCODE],PROPERTIES[REGION2])</f>
        <v>NO_REGION</v>
      </c>
      <c r="G671" s="35" t="str">
        <f t="shared" si="66"/>
        <v>ALL_REGION_NO_REGION</v>
      </c>
      <c r="H671" t="b">
        <f t="shared" si="67"/>
        <v>1</v>
      </c>
      <c r="I671" t="b">
        <f t="shared" si="68"/>
        <v>1</v>
      </c>
      <c r="J671" t="b">
        <f t="shared" si="69"/>
        <v>1</v>
      </c>
      <c r="K671" t="b">
        <f t="shared" si="65"/>
        <v>1</v>
      </c>
      <c r="L671" t="b">
        <f t="shared" si="65"/>
        <v>1</v>
      </c>
      <c r="M671" t="b">
        <f t="shared" si="65"/>
        <v>1</v>
      </c>
      <c r="N671" t="b">
        <f t="shared" si="70"/>
        <v>1</v>
      </c>
      <c r="O671" t="b">
        <f t="shared" si="70"/>
        <v>1</v>
      </c>
      <c r="P671" t="b">
        <f t="shared" si="71"/>
        <v>1</v>
      </c>
    </row>
    <row r="672" spans="1:16">
      <c r="A672" t="str">
        <v>mu_Wagon_Gen3_Silo_Type2</v>
      </c>
      <c r="B672" t="b" cm="1">
        <f t="array" ref="B672">_xlfn.XLOOKUP(A672,CONTROL[VEHIDCODE],PROPERTIES[EXCLUDE])</f>
        <v>0</v>
      </c>
      <c r="C672">
        <f>FLOOR(_xlfn.XLOOKUP($A672,PROPERTIES[VEHIDCODE],PROPERTIES[INTRODUCTION_YEAR]),20)</f>
        <v>1920</v>
      </c>
      <c r="D672" t="str">
        <f>_xlfn.XLOOKUP($A672,PROPERTIES[VEHIDCODE],PROPERTIES[ROLE])</f>
        <v>Wagon</v>
      </c>
      <c r="E672" s="35" t="str">
        <f>_xlfn.XLOOKUP($A672,PROPERTIES[VEHIDCODE],PROPERTIES[REGION1])</f>
        <v>ALL_REGION</v>
      </c>
      <c r="F672" s="35" t="str">
        <f>_xlfn.XLOOKUP($A672,PROPERTIES[VEHIDCODE],PROPERTIES[REGION2])</f>
        <v>NO_REGION</v>
      </c>
      <c r="G672" s="35" t="str">
        <f t="shared" si="66"/>
        <v>ALL_REGION_NO_REGION</v>
      </c>
      <c r="H672" t="b">
        <f t="shared" si="67"/>
        <v>1</v>
      </c>
      <c r="I672" t="b">
        <f t="shared" si="68"/>
        <v>1</v>
      </c>
      <c r="J672" t="b">
        <f t="shared" si="69"/>
        <v>1</v>
      </c>
      <c r="K672" t="b">
        <f t="shared" si="65"/>
        <v>1</v>
      </c>
      <c r="L672" t="b">
        <f t="shared" si="65"/>
        <v>1</v>
      </c>
      <c r="M672" t="b">
        <f t="shared" si="65"/>
        <v>1</v>
      </c>
      <c r="N672" t="b">
        <f t="shared" si="70"/>
        <v>1</v>
      </c>
      <c r="O672" t="b">
        <f t="shared" si="70"/>
        <v>1</v>
      </c>
      <c r="P672" t="b">
        <f t="shared" si="71"/>
        <v>1</v>
      </c>
    </row>
    <row r="673" spans="1:16">
      <c r="A673" t="str">
        <v>mu_Wagon_Gen3_Hopper</v>
      </c>
      <c r="B673" t="b" cm="1">
        <f t="array" ref="B673">_xlfn.XLOOKUP(A673,CONTROL[VEHIDCODE],PROPERTIES[EXCLUDE])</f>
        <v>0</v>
      </c>
      <c r="C673">
        <f>FLOOR(_xlfn.XLOOKUP($A673,PROPERTIES[VEHIDCODE],PROPERTIES[INTRODUCTION_YEAR]),20)</f>
        <v>1920</v>
      </c>
      <c r="D673" t="str">
        <f>_xlfn.XLOOKUP($A673,PROPERTIES[VEHIDCODE],PROPERTIES[ROLE])</f>
        <v>Wagon</v>
      </c>
      <c r="E673" s="35" t="str">
        <f>_xlfn.XLOOKUP($A673,PROPERTIES[VEHIDCODE],PROPERTIES[REGION1])</f>
        <v>ALL_REGION</v>
      </c>
      <c r="F673" s="35" t="str">
        <f>_xlfn.XLOOKUP($A673,PROPERTIES[VEHIDCODE],PROPERTIES[REGION2])</f>
        <v>NO_REGION</v>
      </c>
      <c r="G673" s="35" t="str">
        <f t="shared" si="66"/>
        <v>ALL_REGION_NO_REGION</v>
      </c>
      <c r="H673" t="b">
        <f t="shared" si="67"/>
        <v>1</v>
      </c>
      <c r="I673" t="b">
        <f t="shared" si="68"/>
        <v>1</v>
      </c>
      <c r="J673" t="b">
        <f t="shared" si="69"/>
        <v>1</v>
      </c>
      <c r="K673" t="b">
        <f t="shared" si="65"/>
        <v>1</v>
      </c>
      <c r="L673" t="b">
        <f t="shared" si="65"/>
        <v>1</v>
      </c>
      <c r="M673" t="b">
        <f t="shared" si="65"/>
        <v>1</v>
      </c>
      <c r="N673" t="b">
        <f t="shared" si="70"/>
        <v>1</v>
      </c>
      <c r="O673" t="b">
        <f t="shared" si="70"/>
        <v>1</v>
      </c>
      <c r="P673" t="b">
        <f t="shared" si="71"/>
        <v>1</v>
      </c>
    </row>
    <row r="674" spans="1:16">
      <c r="A674" t="str">
        <v>mu_Wagon_Gen4_Flatcar</v>
      </c>
      <c r="B674" t="b" cm="1">
        <f t="array" ref="B674">_xlfn.XLOOKUP(A674,CONTROL[VEHIDCODE],PROPERTIES[EXCLUDE])</f>
        <v>0</v>
      </c>
      <c r="C674">
        <f>FLOOR(_xlfn.XLOOKUP($A674,PROPERTIES[VEHIDCODE],PROPERTIES[INTRODUCTION_YEAR]),20)</f>
        <v>1960</v>
      </c>
      <c r="D674" t="str">
        <f>_xlfn.XLOOKUP($A674,PROPERTIES[VEHIDCODE],PROPERTIES[ROLE])</f>
        <v>Wagon</v>
      </c>
      <c r="E674" s="35" t="str">
        <f>_xlfn.XLOOKUP($A674,PROPERTIES[VEHIDCODE],PROPERTIES[REGION1])</f>
        <v>ALL_REGION</v>
      </c>
      <c r="F674" s="35" t="str">
        <f>_xlfn.XLOOKUP($A674,PROPERTIES[VEHIDCODE],PROPERTIES[REGION2])</f>
        <v>NO_REGION</v>
      </c>
      <c r="G674" s="35" t="str">
        <f t="shared" si="66"/>
        <v>ALL_REGION_NO_REGION</v>
      </c>
      <c r="H674" t="b">
        <f t="shared" si="67"/>
        <v>1</v>
      </c>
      <c r="I674" t="b">
        <f t="shared" si="68"/>
        <v>1</v>
      </c>
      <c r="J674" t="b">
        <f t="shared" si="69"/>
        <v>1</v>
      </c>
      <c r="K674" t="b">
        <f t="shared" si="65"/>
        <v>1</v>
      </c>
      <c r="L674" t="b">
        <f t="shared" si="65"/>
        <v>1</v>
      </c>
      <c r="M674" t="b">
        <f t="shared" si="65"/>
        <v>1</v>
      </c>
      <c r="N674" t="b">
        <f t="shared" si="70"/>
        <v>1</v>
      </c>
      <c r="O674" t="b">
        <f t="shared" si="70"/>
        <v>1</v>
      </c>
      <c r="P674" t="b">
        <f t="shared" si="71"/>
        <v>1</v>
      </c>
    </row>
    <row r="675" spans="1:16">
      <c r="A675" t="str">
        <v>mu_Wagon_Gen4_Heavy_Flatcar</v>
      </c>
      <c r="B675" t="b" cm="1">
        <f t="array" ref="B675">_xlfn.XLOOKUP(A675,CONTROL[VEHIDCODE],PROPERTIES[EXCLUDE])</f>
        <v>0</v>
      </c>
      <c r="C675">
        <f>FLOOR(_xlfn.XLOOKUP($A675,PROPERTIES[VEHIDCODE],PROPERTIES[INTRODUCTION_YEAR]),20)</f>
        <v>1960</v>
      </c>
      <c r="D675" t="str">
        <f>_xlfn.XLOOKUP($A675,PROPERTIES[VEHIDCODE],PROPERTIES[ROLE])</f>
        <v>Wagon</v>
      </c>
      <c r="E675" s="35" t="str">
        <f>_xlfn.XLOOKUP($A675,PROPERTIES[VEHIDCODE],PROPERTIES[REGION1])</f>
        <v>ALL_REGION</v>
      </c>
      <c r="F675" s="35" t="str">
        <f>_xlfn.XLOOKUP($A675,PROPERTIES[VEHIDCODE],PROPERTIES[REGION2])</f>
        <v>NO_REGION</v>
      </c>
      <c r="G675" s="35" t="str">
        <f t="shared" si="66"/>
        <v>ALL_REGION_NO_REGION</v>
      </c>
      <c r="H675" t="b">
        <f t="shared" si="67"/>
        <v>1</v>
      </c>
      <c r="I675" t="b">
        <f t="shared" si="68"/>
        <v>1</v>
      </c>
      <c r="J675" t="b">
        <f t="shared" si="69"/>
        <v>1</v>
      </c>
      <c r="K675" t="b">
        <f t="shared" si="65"/>
        <v>1</v>
      </c>
      <c r="L675" t="b">
        <f t="shared" si="65"/>
        <v>1</v>
      </c>
      <c r="M675" t="b">
        <f t="shared" si="65"/>
        <v>1</v>
      </c>
      <c r="N675" t="b">
        <f t="shared" ref="N675:O706" si="72">OR(ISNUMBER(SEARCH("ALL_REGION",$G675)),
ISNUMBER(SEARCH("ALL_AMERICA",$G675)),
ISNUMBER(SEARCH(N$1,$G675)),
ISNUMBER(SEARCH("REGIONTYPE2",$G675)))</f>
        <v>1</v>
      </c>
      <c r="O675" t="b">
        <f t="shared" si="72"/>
        <v>1</v>
      </c>
      <c r="P675" t="b">
        <f t="shared" si="71"/>
        <v>1</v>
      </c>
    </row>
    <row r="676" spans="1:16">
      <c r="A676" t="str">
        <v>mu_Wagon_Gen4_Boxcar_Type1</v>
      </c>
      <c r="B676" t="b" cm="1">
        <f t="array" ref="B676">_xlfn.XLOOKUP(A676,CONTROL[VEHIDCODE],PROPERTIES[EXCLUDE])</f>
        <v>0</v>
      </c>
      <c r="C676">
        <f>FLOOR(_xlfn.XLOOKUP($A676,PROPERTIES[VEHIDCODE],PROPERTIES[INTRODUCTION_YEAR]),20)</f>
        <v>1940</v>
      </c>
      <c r="D676" t="str">
        <f>_xlfn.XLOOKUP($A676,PROPERTIES[VEHIDCODE],PROPERTIES[ROLE])</f>
        <v>Wagon</v>
      </c>
      <c r="E676" s="35" t="str">
        <f>_xlfn.XLOOKUP($A676,PROPERTIES[VEHIDCODE],PROPERTIES[REGION1])</f>
        <v>ALL_REGION</v>
      </c>
      <c r="F676" s="35" t="str">
        <f>_xlfn.XLOOKUP($A676,PROPERTIES[VEHIDCODE],PROPERTIES[REGION2])</f>
        <v>NO_REGION</v>
      </c>
      <c r="G676" s="35" t="str">
        <f t="shared" si="66"/>
        <v>ALL_REGION_NO_REGION</v>
      </c>
      <c r="H676" t="b">
        <f t="shared" si="67"/>
        <v>1</v>
      </c>
      <c r="I676" t="b">
        <f t="shared" si="68"/>
        <v>1</v>
      </c>
      <c r="J676" t="b">
        <f t="shared" si="69"/>
        <v>1</v>
      </c>
      <c r="K676" t="b">
        <f t="shared" si="65"/>
        <v>1</v>
      </c>
      <c r="L676" t="b">
        <f t="shared" si="65"/>
        <v>1</v>
      </c>
      <c r="M676" t="b">
        <f t="shared" si="65"/>
        <v>1</v>
      </c>
      <c r="N676" t="b">
        <f t="shared" si="72"/>
        <v>1</v>
      </c>
      <c r="O676" t="b">
        <f t="shared" si="72"/>
        <v>1</v>
      </c>
      <c r="P676" t="b">
        <f t="shared" si="71"/>
        <v>1</v>
      </c>
    </row>
    <row r="677" spans="1:16">
      <c r="A677" t="str">
        <v>mu_Wagon_Gen4_Boxcar_Type2</v>
      </c>
      <c r="B677" t="b" cm="1">
        <f t="array" ref="B677">_xlfn.XLOOKUP(A677,CONTROL[VEHIDCODE],PROPERTIES[EXCLUDE])</f>
        <v>0</v>
      </c>
      <c r="C677">
        <f>FLOOR(_xlfn.XLOOKUP($A677,PROPERTIES[VEHIDCODE],PROPERTIES[INTRODUCTION_YEAR]),20)</f>
        <v>1940</v>
      </c>
      <c r="D677" t="str">
        <f>_xlfn.XLOOKUP($A677,PROPERTIES[VEHIDCODE],PROPERTIES[ROLE])</f>
        <v>Wagon</v>
      </c>
      <c r="E677" s="35" t="str">
        <f>_xlfn.XLOOKUP($A677,PROPERTIES[VEHIDCODE],PROPERTIES[REGION1])</f>
        <v>ALL_REGION</v>
      </c>
      <c r="F677" s="35" t="str">
        <f>_xlfn.XLOOKUP($A677,PROPERTIES[VEHIDCODE],PROPERTIES[REGION2])</f>
        <v>NO_REGION</v>
      </c>
      <c r="G677" s="35" t="str">
        <f t="shared" si="66"/>
        <v>ALL_REGION_NO_REGION</v>
      </c>
      <c r="H677" t="b">
        <f t="shared" si="67"/>
        <v>1</v>
      </c>
      <c r="I677" t="b">
        <f t="shared" si="68"/>
        <v>1</v>
      </c>
      <c r="J677" t="b">
        <f t="shared" si="69"/>
        <v>1</v>
      </c>
      <c r="K677" t="b">
        <f t="shared" si="65"/>
        <v>1</v>
      </c>
      <c r="L677" t="b">
        <f t="shared" si="65"/>
        <v>1</v>
      </c>
      <c r="M677" t="b">
        <f t="shared" si="65"/>
        <v>1</v>
      </c>
      <c r="N677" t="b">
        <f t="shared" si="72"/>
        <v>1</v>
      </c>
      <c r="O677" t="b">
        <f t="shared" si="72"/>
        <v>1</v>
      </c>
      <c r="P677" t="b">
        <f t="shared" si="71"/>
        <v>1</v>
      </c>
    </row>
    <row r="678" spans="1:16">
      <c r="A678" t="str">
        <v>mu_Wagon_Gen4_Tanker</v>
      </c>
      <c r="B678" t="b" cm="1">
        <f t="array" ref="B678">_xlfn.XLOOKUP(A678,CONTROL[VEHIDCODE],PROPERTIES[EXCLUDE])</f>
        <v>0</v>
      </c>
      <c r="C678">
        <f>FLOOR(_xlfn.XLOOKUP($A678,PROPERTIES[VEHIDCODE],PROPERTIES[INTRODUCTION_YEAR]),20)</f>
        <v>1940</v>
      </c>
      <c r="D678" t="str">
        <f>_xlfn.XLOOKUP($A678,PROPERTIES[VEHIDCODE],PROPERTIES[ROLE])</f>
        <v>Wagon</v>
      </c>
      <c r="E678" s="35" t="str">
        <f>_xlfn.XLOOKUP($A678,PROPERTIES[VEHIDCODE],PROPERTIES[REGION1])</f>
        <v>ALL_REGION</v>
      </c>
      <c r="F678" s="35" t="str">
        <f>_xlfn.XLOOKUP($A678,PROPERTIES[VEHIDCODE],PROPERTIES[REGION2])</f>
        <v>NO_REGION</v>
      </c>
      <c r="G678" s="35" t="str">
        <f t="shared" si="66"/>
        <v>ALL_REGION_NO_REGION</v>
      </c>
      <c r="H678" t="b">
        <f t="shared" si="67"/>
        <v>1</v>
      </c>
      <c r="I678" t="b">
        <f t="shared" si="68"/>
        <v>1</v>
      </c>
      <c r="J678" t="b">
        <f t="shared" si="69"/>
        <v>1</v>
      </c>
      <c r="K678" t="b">
        <f t="shared" si="65"/>
        <v>1</v>
      </c>
      <c r="L678" t="b">
        <f t="shared" si="65"/>
        <v>1</v>
      </c>
      <c r="M678" t="b">
        <f t="shared" si="65"/>
        <v>1</v>
      </c>
      <c r="N678" t="b">
        <f t="shared" si="72"/>
        <v>1</v>
      </c>
      <c r="O678" t="b">
        <f t="shared" si="72"/>
        <v>1</v>
      </c>
      <c r="P678" t="b">
        <f t="shared" si="71"/>
        <v>1</v>
      </c>
    </row>
    <row r="679" spans="1:16">
      <c r="A679" t="str">
        <v>mu_Wagon_Gen4_Gondola</v>
      </c>
      <c r="B679" t="b" cm="1">
        <f t="array" ref="B679">_xlfn.XLOOKUP(A679,CONTROL[VEHIDCODE],PROPERTIES[EXCLUDE])</f>
        <v>0</v>
      </c>
      <c r="C679">
        <f>FLOOR(_xlfn.XLOOKUP($A679,PROPERTIES[VEHIDCODE],PROPERTIES[INTRODUCTION_YEAR]),20)</f>
        <v>1940</v>
      </c>
      <c r="D679" t="str">
        <f>_xlfn.XLOOKUP($A679,PROPERTIES[VEHIDCODE],PROPERTIES[ROLE])</f>
        <v>Wagon</v>
      </c>
      <c r="E679" s="35" t="str">
        <f>_xlfn.XLOOKUP($A679,PROPERTIES[VEHIDCODE],PROPERTIES[REGION1])</f>
        <v>ALL_REGION</v>
      </c>
      <c r="F679" s="35" t="str">
        <f>_xlfn.XLOOKUP($A679,PROPERTIES[VEHIDCODE],PROPERTIES[REGION2])</f>
        <v>NO_REGION</v>
      </c>
      <c r="G679" s="35" t="str">
        <f t="shared" si="66"/>
        <v>ALL_REGION_NO_REGION</v>
      </c>
      <c r="H679" t="b">
        <f t="shared" si="67"/>
        <v>1</v>
      </c>
      <c r="I679" t="b">
        <f t="shared" si="68"/>
        <v>1</v>
      </c>
      <c r="J679" t="b">
        <f t="shared" si="69"/>
        <v>1</v>
      </c>
      <c r="K679" t="b">
        <f t="shared" si="65"/>
        <v>1</v>
      </c>
      <c r="L679" t="b">
        <f t="shared" si="65"/>
        <v>1</v>
      </c>
      <c r="M679" t="b">
        <f t="shared" si="65"/>
        <v>1</v>
      </c>
      <c r="N679" t="b">
        <f t="shared" si="72"/>
        <v>1</v>
      </c>
      <c r="O679" t="b">
        <f t="shared" si="72"/>
        <v>1</v>
      </c>
      <c r="P679" t="b">
        <f t="shared" si="71"/>
        <v>1</v>
      </c>
    </row>
    <row r="680" spans="1:16">
      <c r="A680" t="str">
        <v>mu_Wagon_Gen4_Silo_Type1</v>
      </c>
      <c r="B680" t="b" cm="1">
        <f t="array" ref="B680">_xlfn.XLOOKUP(A680,CONTROL[VEHIDCODE],PROPERTIES[EXCLUDE])</f>
        <v>0</v>
      </c>
      <c r="C680">
        <f>FLOOR(_xlfn.XLOOKUP($A680,PROPERTIES[VEHIDCODE],PROPERTIES[INTRODUCTION_YEAR]),20)</f>
        <v>1940</v>
      </c>
      <c r="D680" t="str">
        <f>_xlfn.XLOOKUP($A680,PROPERTIES[VEHIDCODE],PROPERTIES[ROLE])</f>
        <v>Wagon</v>
      </c>
      <c r="E680" s="35" t="str">
        <f>_xlfn.XLOOKUP($A680,PROPERTIES[VEHIDCODE],PROPERTIES[REGION1])</f>
        <v>ALL_REGION</v>
      </c>
      <c r="F680" s="35" t="str">
        <f>_xlfn.XLOOKUP($A680,PROPERTIES[VEHIDCODE],PROPERTIES[REGION2])</f>
        <v>NO_REGION</v>
      </c>
      <c r="G680" s="35" t="str">
        <f t="shared" si="66"/>
        <v>ALL_REGION_NO_REGION</v>
      </c>
      <c r="H680" t="b">
        <f t="shared" si="67"/>
        <v>1</v>
      </c>
      <c r="I680" t="b">
        <f t="shared" si="68"/>
        <v>1</v>
      </c>
      <c r="J680" t="b">
        <f t="shared" si="69"/>
        <v>1</v>
      </c>
      <c r="K680" t="b">
        <f t="shared" si="65"/>
        <v>1</v>
      </c>
      <c r="L680" t="b">
        <f t="shared" si="65"/>
        <v>1</v>
      </c>
      <c r="M680" t="b">
        <f t="shared" si="65"/>
        <v>1</v>
      </c>
      <c r="N680" t="b">
        <f t="shared" si="72"/>
        <v>1</v>
      </c>
      <c r="O680" t="b">
        <f t="shared" si="72"/>
        <v>1</v>
      </c>
      <c r="P680" t="b">
        <f t="shared" si="71"/>
        <v>1</v>
      </c>
    </row>
    <row r="681" spans="1:16">
      <c r="A681" t="str">
        <v>mu_Wagon_Gen4_Silo_Type2</v>
      </c>
      <c r="B681" t="b" cm="1">
        <f t="array" ref="B681">_xlfn.XLOOKUP(A681,CONTROL[VEHIDCODE],PROPERTIES[EXCLUDE])</f>
        <v>0</v>
      </c>
      <c r="C681">
        <f>FLOOR(_xlfn.XLOOKUP($A681,PROPERTIES[VEHIDCODE],PROPERTIES[INTRODUCTION_YEAR]),20)</f>
        <v>1940</v>
      </c>
      <c r="D681" t="str">
        <f>_xlfn.XLOOKUP($A681,PROPERTIES[VEHIDCODE],PROPERTIES[ROLE])</f>
        <v>Wagon</v>
      </c>
      <c r="E681" s="35" t="str">
        <f>_xlfn.XLOOKUP($A681,PROPERTIES[VEHIDCODE],PROPERTIES[REGION1])</f>
        <v>ALL_REGION</v>
      </c>
      <c r="F681" s="35" t="str">
        <f>_xlfn.XLOOKUP($A681,PROPERTIES[VEHIDCODE],PROPERTIES[REGION2])</f>
        <v>NO_REGION</v>
      </c>
      <c r="G681" s="35" t="str">
        <f t="shared" si="66"/>
        <v>ALL_REGION_NO_REGION</v>
      </c>
      <c r="H681" t="b">
        <f t="shared" si="67"/>
        <v>1</v>
      </c>
      <c r="I681" t="b">
        <f t="shared" si="68"/>
        <v>1</v>
      </c>
      <c r="J681" t="b">
        <f t="shared" si="69"/>
        <v>1</v>
      </c>
      <c r="K681" t="b">
        <f t="shared" si="65"/>
        <v>1</v>
      </c>
      <c r="L681" t="b">
        <f t="shared" si="65"/>
        <v>1</v>
      </c>
      <c r="M681" t="b">
        <f t="shared" si="65"/>
        <v>1</v>
      </c>
      <c r="N681" t="b">
        <f t="shared" si="72"/>
        <v>1</v>
      </c>
      <c r="O681" t="b">
        <f t="shared" si="72"/>
        <v>1</v>
      </c>
      <c r="P681" t="b">
        <f t="shared" si="71"/>
        <v>1</v>
      </c>
    </row>
    <row r="682" spans="1:16">
      <c r="A682" t="str">
        <v>mu_Wagon_Gen4_Hopper_Type1</v>
      </c>
      <c r="B682" t="b" cm="1">
        <f t="array" ref="B682">_xlfn.XLOOKUP(A682,CONTROL[VEHIDCODE],PROPERTIES[EXCLUDE])</f>
        <v>0</v>
      </c>
      <c r="C682">
        <f>FLOOR(_xlfn.XLOOKUP($A682,PROPERTIES[VEHIDCODE],PROPERTIES[INTRODUCTION_YEAR]),20)</f>
        <v>1960</v>
      </c>
      <c r="D682" t="str">
        <f>_xlfn.XLOOKUP($A682,PROPERTIES[VEHIDCODE],PROPERTIES[ROLE])</f>
        <v>Wagon</v>
      </c>
      <c r="E682" s="35" t="str">
        <f>_xlfn.XLOOKUP($A682,PROPERTIES[VEHIDCODE],PROPERTIES[REGION1])</f>
        <v>ALL_REGION</v>
      </c>
      <c r="F682" s="35" t="str">
        <f>_xlfn.XLOOKUP($A682,PROPERTIES[VEHIDCODE],PROPERTIES[REGION2])</f>
        <v>NO_REGION</v>
      </c>
      <c r="G682" s="35" t="str">
        <f t="shared" si="66"/>
        <v>ALL_REGION_NO_REGION</v>
      </c>
      <c r="H682" t="b">
        <f t="shared" si="67"/>
        <v>1</v>
      </c>
      <c r="I682" t="b">
        <f t="shared" si="68"/>
        <v>1</v>
      </c>
      <c r="J682" t="b">
        <f t="shared" si="69"/>
        <v>1</v>
      </c>
      <c r="K682" t="b">
        <f t="shared" si="65"/>
        <v>1</v>
      </c>
      <c r="L682" t="b">
        <f t="shared" si="65"/>
        <v>1</v>
      </c>
      <c r="M682" t="b">
        <f t="shared" si="65"/>
        <v>1</v>
      </c>
      <c r="N682" t="b">
        <f t="shared" si="72"/>
        <v>1</v>
      </c>
      <c r="O682" t="b">
        <f t="shared" si="72"/>
        <v>1</v>
      </c>
      <c r="P682" t="b">
        <f t="shared" si="71"/>
        <v>1</v>
      </c>
    </row>
    <row r="683" spans="1:16">
      <c r="A683" t="str">
        <v>mu_Wagon_Gen4_Hopper_Type2</v>
      </c>
      <c r="B683" t="b" cm="1">
        <f t="array" ref="B683">_xlfn.XLOOKUP(A683,CONTROL[VEHIDCODE],PROPERTIES[EXCLUDE])</f>
        <v>0</v>
      </c>
      <c r="C683">
        <f>FLOOR(_xlfn.XLOOKUP($A683,PROPERTIES[VEHIDCODE],PROPERTIES[INTRODUCTION_YEAR]),20)</f>
        <v>1960</v>
      </c>
      <c r="D683" t="str">
        <f>_xlfn.XLOOKUP($A683,PROPERTIES[VEHIDCODE],PROPERTIES[ROLE])</f>
        <v>Wagon</v>
      </c>
      <c r="E683" s="35" t="str">
        <f>_xlfn.XLOOKUP($A683,PROPERTIES[VEHIDCODE],PROPERTIES[REGION1])</f>
        <v>ALL_REGION</v>
      </c>
      <c r="F683" s="35" t="str">
        <f>_xlfn.XLOOKUP($A683,PROPERTIES[VEHIDCODE],PROPERTIES[REGION2])</f>
        <v>NO_REGION</v>
      </c>
      <c r="G683" s="35" t="str">
        <f t="shared" si="66"/>
        <v>ALL_REGION_NO_REGION</v>
      </c>
      <c r="H683" t="b">
        <f t="shared" si="67"/>
        <v>1</v>
      </c>
      <c r="I683" t="b">
        <f t="shared" si="68"/>
        <v>1</v>
      </c>
      <c r="J683" t="b">
        <f t="shared" si="69"/>
        <v>1</v>
      </c>
      <c r="K683" t="b">
        <f t="shared" si="65"/>
        <v>1</v>
      </c>
      <c r="L683" t="b">
        <f t="shared" si="65"/>
        <v>1</v>
      </c>
      <c r="M683" t="b">
        <f t="shared" si="65"/>
        <v>1</v>
      </c>
      <c r="N683" t="b">
        <f t="shared" si="72"/>
        <v>1</v>
      </c>
      <c r="O683" t="b">
        <f t="shared" si="72"/>
        <v>1</v>
      </c>
      <c r="P683" t="b">
        <f t="shared" si="71"/>
        <v>1</v>
      </c>
    </row>
    <row r="684" spans="1:16">
      <c r="A684" t="str">
        <v>mu_Wagon_Gen4_Car_Transporter</v>
      </c>
      <c r="B684" t="b" cm="1">
        <f t="array" ref="B684">_xlfn.XLOOKUP(A684,CONTROL[VEHIDCODE],PROPERTIES[EXCLUDE])</f>
        <v>0</v>
      </c>
      <c r="C684">
        <f>FLOOR(_xlfn.XLOOKUP($A684,PROPERTIES[VEHIDCODE],PROPERTIES[INTRODUCTION_YEAR]),20)</f>
        <v>1960</v>
      </c>
      <c r="D684" t="str">
        <f>_xlfn.XLOOKUP($A684,PROPERTIES[VEHIDCODE],PROPERTIES[ROLE])</f>
        <v>Wagon</v>
      </c>
      <c r="E684" s="35" t="str">
        <f>_xlfn.XLOOKUP($A684,PROPERTIES[VEHIDCODE],PROPERTIES[REGION1])</f>
        <v>ALL_REGION</v>
      </c>
      <c r="F684" s="35" t="str">
        <f>_xlfn.XLOOKUP($A684,PROPERTIES[VEHIDCODE],PROPERTIES[REGION2])</f>
        <v>NO_REGION</v>
      </c>
      <c r="G684" s="35" t="str">
        <f t="shared" si="66"/>
        <v>ALL_REGION_NO_REGION</v>
      </c>
      <c r="H684" t="b">
        <f t="shared" si="67"/>
        <v>1</v>
      </c>
      <c r="I684" t="b">
        <f t="shared" si="68"/>
        <v>1</v>
      </c>
      <c r="J684" t="b">
        <f t="shared" si="69"/>
        <v>1</v>
      </c>
      <c r="K684" t="b">
        <f t="shared" si="65"/>
        <v>1</v>
      </c>
      <c r="L684" t="b">
        <f t="shared" si="65"/>
        <v>1</v>
      </c>
      <c r="M684" t="b">
        <f t="shared" si="65"/>
        <v>1</v>
      </c>
      <c r="N684" t="b">
        <f t="shared" si="72"/>
        <v>1</v>
      </c>
      <c r="O684" t="b">
        <f t="shared" si="72"/>
        <v>1</v>
      </c>
      <c r="P684" t="b">
        <f t="shared" si="71"/>
        <v>1</v>
      </c>
    </row>
    <row r="685" spans="1:16">
      <c r="A685" t="str">
        <v>mu_Wagon_Gen4_Container_Carrier</v>
      </c>
      <c r="B685" t="b" cm="1">
        <f t="array" ref="B685">_xlfn.XLOOKUP(A685,CONTROL[VEHIDCODE],PROPERTIES[EXCLUDE])</f>
        <v>0</v>
      </c>
      <c r="C685">
        <f>FLOOR(_xlfn.XLOOKUP($A685,PROPERTIES[VEHIDCODE],PROPERTIES[INTRODUCTION_YEAR]),20)</f>
        <v>1960</v>
      </c>
      <c r="D685" t="str">
        <f>_xlfn.XLOOKUP($A685,PROPERTIES[VEHIDCODE],PROPERTIES[ROLE])</f>
        <v>Wagon</v>
      </c>
      <c r="E685" s="35" t="str">
        <f>_xlfn.XLOOKUP($A685,PROPERTIES[VEHIDCODE],PROPERTIES[REGION1])</f>
        <v>ALL_REGION</v>
      </c>
      <c r="F685" s="35" t="str">
        <f>_xlfn.XLOOKUP($A685,PROPERTIES[VEHIDCODE],PROPERTIES[REGION2])</f>
        <v>NO_REGION</v>
      </c>
      <c r="G685" s="35" t="str">
        <f t="shared" si="66"/>
        <v>ALL_REGION_NO_REGION</v>
      </c>
      <c r="H685" t="b">
        <f t="shared" si="67"/>
        <v>1</v>
      </c>
      <c r="I685" t="b">
        <f t="shared" si="68"/>
        <v>1</v>
      </c>
      <c r="J685" t="b">
        <f t="shared" si="69"/>
        <v>1</v>
      </c>
      <c r="K685" t="b">
        <f t="shared" si="65"/>
        <v>1</v>
      </c>
      <c r="L685" t="b">
        <f t="shared" si="65"/>
        <v>1</v>
      </c>
      <c r="M685" t="b">
        <f t="shared" si="65"/>
        <v>1</v>
      </c>
      <c r="N685" t="b">
        <f t="shared" si="72"/>
        <v>1</v>
      </c>
      <c r="O685" t="b">
        <f t="shared" si="72"/>
        <v>1</v>
      </c>
      <c r="P685" t="b">
        <f t="shared" si="71"/>
        <v>1</v>
      </c>
    </row>
    <row r="686" spans="1:16">
      <c r="A686" t="str">
        <v>mu_Wagon_Gen4_Centerbeam</v>
      </c>
      <c r="B686" t="b" cm="1">
        <f t="array" ref="B686">_xlfn.XLOOKUP(A686,CONTROL[VEHIDCODE],PROPERTIES[EXCLUDE])</f>
        <v>0</v>
      </c>
      <c r="C686">
        <f>FLOOR(_xlfn.XLOOKUP($A686,PROPERTIES[VEHIDCODE],PROPERTIES[INTRODUCTION_YEAR]),20)</f>
        <v>1940</v>
      </c>
      <c r="D686" t="str">
        <f>_xlfn.XLOOKUP($A686,PROPERTIES[VEHIDCODE],PROPERTIES[ROLE])</f>
        <v>Wagon</v>
      </c>
      <c r="E686" s="35" t="str">
        <f>_xlfn.XLOOKUP($A686,PROPERTIES[VEHIDCODE],PROPERTIES[REGION1])</f>
        <v>ALL_REGION</v>
      </c>
      <c r="F686" s="35" t="str">
        <f>_xlfn.XLOOKUP($A686,PROPERTIES[VEHIDCODE],PROPERTIES[REGION2])</f>
        <v>NO_REGION</v>
      </c>
      <c r="G686" s="35" t="str">
        <f t="shared" si="66"/>
        <v>ALL_REGION_NO_REGION</v>
      </c>
      <c r="H686" t="b">
        <f t="shared" si="67"/>
        <v>1</v>
      </c>
      <c r="I686" t="b">
        <f t="shared" si="68"/>
        <v>1</v>
      </c>
      <c r="J686" t="b">
        <f t="shared" si="69"/>
        <v>1</v>
      </c>
      <c r="K686" t="b">
        <f t="shared" si="65"/>
        <v>1</v>
      </c>
      <c r="L686" t="b">
        <f t="shared" si="65"/>
        <v>1</v>
      </c>
      <c r="M686" t="b">
        <f t="shared" si="65"/>
        <v>1</v>
      </c>
      <c r="N686" t="b">
        <f t="shared" si="72"/>
        <v>1</v>
      </c>
      <c r="O686" t="b">
        <f t="shared" si="72"/>
        <v>1</v>
      </c>
      <c r="P686" t="b">
        <f t="shared" si="71"/>
        <v>1</v>
      </c>
    </row>
    <row r="687" spans="1:16">
      <c r="A687" t="str">
        <v>mu_Wagon_Gen5_Flatcar</v>
      </c>
      <c r="B687" t="b" cm="1">
        <f t="array" ref="B687">_xlfn.XLOOKUP(A687,CONTROL[VEHIDCODE],PROPERTIES[EXCLUDE])</f>
        <v>0</v>
      </c>
      <c r="C687">
        <f>FLOOR(_xlfn.XLOOKUP($A687,PROPERTIES[VEHIDCODE],PROPERTIES[INTRODUCTION_YEAR]),20)</f>
        <v>1980</v>
      </c>
      <c r="D687" t="str">
        <f>_xlfn.XLOOKUP($A687,PROPERTIES[VEHIDCODE],PROPERTIES[ROLE])</f>
        <v>Wagon</v>
      </c>
      <c r="E687" s="35" t="str">
        <f>_xlfn.XLOOKUP($A687,PROPERTIES[VEHIDCODE],PROPERTIES[REGION1])</f>
        <v>ALL_REGION</v>
      </c>
      <c r="F687" s="35" t="str">
        <f>_xlfn.XLOOKUP($A687,PROPERTIES[VEHIDCODE],PROPERTIES[REGION2])</f>
        <v>NO_REGION</v>
      </c>
      <c r="G687" s="35" t="str">
        <f t="shared" si="66"/>
        <v>ALL_REGION_NO_REGION</v>
      </c>
      <c r="H687" t="b">
        <f t="shared" si="67"/>
        <v>1</v>
      </c>
      <c r="I687" t="b">
        <f t="shared" si="68"/>
        <v>1</v>
      </c>
      <c r="J687" t="b">
        <f t="shared" si="69"/>
        <v>1</v>
      </c>
      <c r="K687" t="b">
        <f t="shared" si="65"/>
        <v>1</v>
      </c>
      <c r="L687" t="b">
        <f t="shared" si="65"/>
        <v>1</v>
      </c>
      <c r="M687" t="b">
        <f t="shared" si="65"/>
        <v>1</v>
      </c>
      <c r="N687" t="b">
        <f t="shared" si="72"/>
        <v>1</v>
      </c>
      <c r="O687" t="b">
        <f t="shared" si="72"/>
        <v>1</v>
      </c>
      <c r="P687" t="b">
        <f t="shared" si="71"/>
        <v>1</v>
      </c>
    </row>
    <row r="688" spans="1:16">
      <c r="A688" t="str">
        <v>mu_Wagon_Gen5_Heavy_Flatcar</v>
      </c>
      <c r="B688" t="b" cm="1">
        <f t="array" ref="B688">_xlfn.XLOOKUP(A688,CONTROL[VEHIDCODE],PROPERTIES[EXCLUDE])</f>
        <v>0</v>
      </c>
      <c r="C688">
        <f>FLOOR(_xlfn.XLOOKUP($A688,PROPERTIES[VEHIDCODE],PROPERTIES[INTRODUCTION_YEAR]),20)</f>
        <v>2000</v>
      </c>
      <c r="D688" t="str">
        <f>_xlfn.XLOOKUP($A688,PROPERTIES[VEHIDCODE],PROPERTIES[ROLE])</f>
        <v>Wagon</v>
      </c>
      <c r="E688" s="35" t="str">
        <f>_xlfn.XLOOKUP($A688,PROPERTIES[VEHIDCODE],PROPERTIES[REGION1])</f>
        <v>ALL_REGION</v>
      </c>
      <c r="F688" s="35" t="str">
        <f>_xlfn.XLOOKUP($A688,PROPERTIES[VEHIDCODE],PROPERTIES[REGION2])</f>
        <v>NO_REGION</v>
      </c>
      <c r="G688" s="35" t="str">
        <f t="shared" si="66"/>
        <v>ALL_REGION_NO_REGION</v>
      </c>
      <c r="H688" t="b">
        <f t="shared" si="67"/>
        <v>1</v>
      </c>
      <c r="I688" t="b">
        <f t="shared" si="68"/>
        <v>1</v>
      </c>
      <c r="J688" t="b">
        <f t="shared" si="69"/>
        <v>1</v>
      </c>
      <c r="K688" t="b">
        <f t="shared" si="65"/>
        <v>1</v>
      </c>
      <c r="L688" t="b">
        <f t="shared" si="65"/>
        <v>1</v>
      </c>
      <c r="M688" t="b">
        <f t="shared" si="65"/>
        <v>1</v>
      </c>
      <c r="N688" t="b">
        <f t="shared" si="72"/>
        <v>1</v>
      </c>
      <c r="O688" t="b">
        <f t="shared" si="72"/>
        <v>1</v>
      </c>
      <c r="P688" t="b">
        <f t="shared" si="71"/>
        <v>1</v>
      </c>
    </row>
    <row r="689" spans="1:16">
      <c r="A689" t="str">
        <v>mu_Wagon_Gen5_Boxcar_Type1</v>
      </c>
      <c r="B689" t="b" cm="1">
        <f t="array" ref="B689">_xlfn.XLOOKUP(A689,CONTROL[VEHIDCODE],PROPERTIES[EXCLUDE])</f>
        <v>0</v>
      </c>
      <c r="C689">
        <f>FLOOR(_xlfn.XLOOKUP($A689,PROPERTIES[VEHIDCODE],PROPERTIES[INTRODUCTION_YEAR]),20)</f>
        <v>1980</v>
      </c>
      <c r="D689" t="str">
        <f>_xlfn.XLOOKUP($A689,PROPERTIES[VEHIDCODE],PROPERTIES[ROLE])</f>
        <v>Wagon</v>
      </c>
      <c r="E689" s="35" t="str">
        <f>_xlfn.XLOOKUP($A689,PROPERTIES[VEHIDCODE],PROPERTIES[REGION1])</f>
        <v>ALL_REGION</v>
      </c>
      <c r="F689" s="35" t="str">
        <f>_xlfn.XLOOKUP($A689,PROPERTIES[VEHIDCODE],PROPERTIES[REGION2])</f>
        <v>NO_REGION</v>
      </c>
      <c r="G689" s="35" t="str">
        <f t="shared" si="66"/>
        <v>ALL_REGION_NO_REGION</v>
      </c>
      <c r="H689" t="b">
        <f t="shared" si="67"/>
        <v>1</v>
      </c>
      <c r="I689" t="b">
        <f t="shared" si="68"/>
        <v>1</v>
      </c>
      <c r="J689" t="b">
        <f t="shared" si="69"/>
        <v>1</v>
      </c>
      <c r="K689" t="b">
        <f t="shared" si="65"/>
        <v>1</v>
      </c>
      <c r="L689" t="b">
        <f t="shared" si="65"/>
        <v>1</v>
      </c>
      <c r="M689" t="b">
        <f t="shared" si="65"/>
        <v>1</v>
      </c>
      <c r="N689" t="b">
        <f t="shared" si="72"/>
        <v>1</v>
      </c>
      <c r="O689" t="b">
        <f t="shared" si="72"/>
        <v>1</v>
      </c>
      <c r="P689" t="b">
        <f t="shared" si="71"/>
        <v>1</v>
      </c>
    </row>
    <row r="690" spans="1:16">
      <c r="A690" t="str">
        <v>mu_Wagon_Gen5_Boxcar_Type2</v>
      </c>
      <c r="B690" t="b" cm="1">
        <f t="array" ref="B690">_xlfn.XLOOKUP(A690,CONTROL[VEHIDCODE],PROPERTIES[EXCLUDE])</f>
        <v>0</v>
      </c>
      <c r="C690">
        <f>FLOOR(_xlfn.XLOOKUP($A690,PROPERTIES[VEHIDCODE],PROPERTIES[INTRODUCTION_YEAR]),20)</f>
        <v>1980</v>
      </c>
      <c r="D690" t="str">
        <f>_xlfn.XLOOKUP($A690,PROPERTIES[VEHIDCODE],PROPERTIES[ROLE])</f>
        <v>Wagon</v>
      </c>
      <c r="E690" s="35" t="str">
        <f>_xlfn.XLOOKUP($A690,PROPERTIES[VEHIDCODE],PROPERTIES[REGION1])</f>
        <v>ALL_REGION</v>
      </c>
      <c r="F690" s="35" t="str">
        <f>_xlfn.XLOOKUP($A690,PROPERTIES[VEHIDCODE],PROPERTIES[REGION2])</f>
        <v>NO_REGION</v>
      </c>
      <c r="G690" s="35" t="str">
        <f t="shared" si="66"/>
        <v>ALL_REGION_NO_REGION</v>
      </c>
      <c r="H690" t="b">
        <f t="shared" si="67"/>
        <v>1</v>
      </c>
      <c r="I690" t="b">
        <f t="shared" si="68"/>
        <v>1</v>
      </c>
      <c r="J690" t="b">
        <f t="shared" si="69"/>
        <v>1</v>
      </c>
      <c r="K690" t="b">
        <f t="shared" si="65"/>
        <v>1</v>
      </c>
      <c r="L690" t="b">
        <f t="shared" si="65"/>
        <v>1</v>
      </c>
      <c r="M690" t="b">
        <f t="shared" si="65"/>
        <v>1</v>
      </c>
      <c r="N690" t="b">
        <f t="shared" si="72"/>
        <v>1</v>
      </c>
      <c r="O690" t="b">
        <f t="shared" si="72"/>
        <v>1</v>
      </c>
      <c r="P690" t="b">
        <f t="shared" si="71"/>
        <v>1</v>
      </c>
    </row>
    <row r="691" spans="1:16">
      <c r="A691" t="str">
        <v>mu_Wagon_Gen5_Tanker</v>
      </c>
      <c r="B691" t="b" cm="1">
        <f t="array" ref="B691">_xlfn.XLOOKUP(A691,CONTROL[VEHIDCODE],PROPERTIES[EXCLUDE])</f>
        <v>0</v>
      </c>
      <c r="C691">
        <f>FLOOR(_xlfn.XLOOKUP($A691,PROPERTIES[VEHIDCODE],PROPERTIES[INTRODUCTION_YEAR]),20)</f>
        <v>2000</v>
      </c>
      <c r="D691" t="str">
        <f>_xlfn.XLOOKUP($A691,PROPERTIES[VEHIDCODE],PROPERTIES[ROLE])</f>
        <v>Wagon</v>
      </c>
      <c r="E691" s="35" t="str">
        <f>_xlfn.XLOOKUP($A691,PROPERTIES[VEHIDCODE],PROPERTIES[REGION1])</f>
        <v>ALL_REGION</v>
      </c>
      <c r="F691" s="35" t="str">
        <f>_xlfn.XLOOKUP($A691,PROPERTIES[VEHIDCODE],PROPERTIES[REGION2])</f>
        <v>NO_REGION</v>
      </c>
      <c r="G691" s="35" t="str">
        <f t="shared" si="66"/>
        <v>ALL_REGION_NO_REGION</v>
      </c>
      <c r="H691" t="b">
        <f t="shared" si="67"/>
        <v>1</v>
      </c>
      <c r="I691" t="b">
        <f t="shared" si="68"/>
        <v>1</v>
      </c>
      <c r="J691" t="b">
        <f t="shared" si="69"/>
        <v>1</v>
      </c>
      <c r="K691" t="b">
        <f t="shared" si="65"/>
        <v>1</v>
      </c>
      <c r="L691" t="b">
        <f t="shared" si="65"/>
        <v>1</v>
      </c>
      <c r="M691" t="b">
        <f t="shared" si="65"/>
        <v>1</v>
      </c>
      <c r="N691" t="b">
        <f t="shared" si="72"/>
        <v>1</v>
      </c>
      <c r="O691" t="b">
        <f t="shared" si="72"/>
        <v>1</v>
      </c>
      <c r="P691" t="b">
        <f t="shared" si="71"/>
        <v>1</v>
      </c>
    </row>
    <row r="692" spans="1:16">
      <c r="A692" t="str">
        <v>mu_Wagon_Gen5_Gondola</v>
      </c>
      <c r="B692" t="b" cm="1">
        <f t="array" ref="B692">_xlfn.XLOOKUP(A692,CONTROL[VEHIDCODE],PROPERTIES[EXCLUDE])</f>
        <v>0</v>
      </c>
      <c r="C692">
        <f>FLOOR(_xlfn.XLOOKUP($A692,PROPERTIES[VEHIDCODE],PROPERTIES[INTRODUCTION_YEAR]),20)</f>
        <v>1980</v>
      </c>
      <c r="D692" t="str">
        <f>_xlfn.XLOOKUP($A692,PROPERTIES[VEHIDCODE],PROPERTIES[ROLE])</f>
        <v>Wagon</v>
      </c>
      <c r="E692" s="35" t="str">
        <f>_xlfn.XLOOKUP($A692,PROPERTIES[VEHIDCODE],PROPERTIES[REGION1])</f>
        <v>ALL_REGION</v>
      </c>
      <c r="F692" s="35" t="str">
        <f>_xlfn.XLOOKUP($A692,PROPERTIES[VEHIDCODE],PROPERTIES[REGION2])</f>
        <v>NO_REGION</v>
      </c>
      <c r="G692" s="35" t="str">
        <f t="shared" si="66"/>
        <v>ALL_REGION_NO_REGION</v>
      </c>
      <c r="H692" t="b">
        <f t="shared" si="67"/>
        <v>1</v>
      </c>
      <c r="I692" t="b">
        <f t="shared" si="68"/>
        <v>1</v>
      </c>
      <c r="J692" t="b">
        <f t="shared" si="69"/>
        <v>1</v>
      </c>
      <c r="K692" t="b">
        <f t="shared" si="65"/>
        <v>1</v>
      </c>
      <c r="L692" t="b">
        <f t="shared" si="65"/>
        <v>1</v>
      </c>
      <c r="M692" t="b">
        <f t="shared" si="65"/>
        <v>1</v>
      </c>
      <c r="N692" t="b">
        <f t="shared" si="72"/>
        <v>1</v>
      </c>
      <c r="O692" t="b">
        <f t="shared" si="72"/>
        <v>1</v>
      </c>
      <c r="P692" t="b">
        <f t="shared" si="71"/>
        <v>1</v>
      </c>
    </row>
    <row r="693" spans="1:16">
      <c r="A693" t="str">
        <v>mu_Wagon_Gen5_Silo_Type1</v>
      </c>
      <c r="B693" t="b" cm="1">
        <f t="array" ref="B693">_xlfn.XLOOKUP(A693,CONTROL[VEHIDCODE],PROPERTIES[EXCLUDE])</f>
        <v>0</v>
      </c>
      <c r="C693">
        <f>FLOOR(_xlfn.XLOOKUP($A693,PROPERTIES[VEHIDCODE],PROPERTIES[INTRODUCTION_YEAR]),20)</f>
        <v>2000</v>
      </c>
      <c r="D693" t="str">
        <f>_xlfn.XLOOKUP($A693,PROPERTIES[VEHIDCODE],PROPERTIES[ROLE])</f>
        <v>Wagon</v>
      </c>
      <c r="E693" s="35" t="str">
        <f>_xlfn.XLOOKUP($A693,PROPERTIES[VEHIDCODE],PROPERTIES[REGION1])</f>
        <v>ALL_REGION</v>
      </c>
      <c r="F693" s="35" t="str">
        <f>_xlfn.XLOOKUP($A693,PROPERTIES[VEHIDCODE],PROPERTIES[REGION2])</f>
        <v>NO_REGION</v>
      </c>
      <c r="G693" s="35" t="str">
        <f t="shared" si="66"/>
        <v>ALL_REGION_NO_REGION</v>
      </c>
      <c r="H693" t="b">
        <f t="shared" si="67"/>
        <v>1</v>
      </c>
      <c r="I693" t="b">
        <f t="shared" si="68"/>
        <v>1</v>
      </c>
      <c r="J693" t="b">
        <f t="shared" si="69"/>
        <v>1</v>
      </c>
      <c r="K693" t="b">
        <f t="shared" si="65"/>
        <v>1</v>
      </c>
      <c r="L693" t="b">
        <f t="shared" si="65"/>
        <v>1</v>
      </c>
      <c r="M693" t="b">
        <f t="shared" si="65"/>
        <v>1</v>
      </c>
      <c r="N693" t="b">
        <f t="shared" si="72"/>
        <v>1</v>
      </c>
      <c r="O693" t="b">
        <f t="shared" si="72"/>
        <v>1</v>
      </c>
      <c r="P693" t="b">
        <f t="shared" si="71"/>
        <v>1</v>
      </c>
    </row>
    <row r="694" spans="1:16">
      <c r="A694" t="str">
        <v>mu_Wagon_Gen5_Silo_Type2</v>
      </c>
      <c r="B694" t="b" cm="1">
        <f t="array" ref="B694">_xlfn.XLOOKUP(A694,CONTROL[VEHIDCODE],PROPERTIES[EXCLUDE])</f>
        <v>0</v>
      </c>
      <c r="C694">
        <f>FLOOR(_xlfn.XLOOKUP($A694,PROPERTIES[VEHIDCODE],PROPERTIES[INTRODUCTION_YEAR]),20)</f>
        <v>2000</v>
      </c>
      <c r="D694" t="str">
        <f>_xlfn.XLOOKUP($A694,PROPERTIES[VEHIDCODE],PROPERTIES[ROLE])</f>
        <v>Wagon</v>
      </c>
      <c r="E694" s="35" t="str">
        <f>_xlfn.XLOOKUP($A694,PROPERTIES[VEHIDCODE],PROPERTIES[REGION1])</f>
        <v>ALL_REGION</v>
      </c>
      <c r="F694" s="35" t="str">
        <f>_xlfn.XLOOKUP($A694,PROPERTIES[VEHIDCODE],PROPERTIES[REGION2])</f>
        <v>NO_REGION</v>
      </c>
      <c r="G694" s="35" t="str">
        <f t="shared" si="66"/>
        <v>ALL_REGION_NO_REGION</v>
      </c>
      <c r="H694" t="b">
        <f t="shared" si="67"/>
        <v>1</v>
      </c>
      <c r="I694" t="b">
        <f t="shared" si="68"/>
        <v>1</v>
      </c>
      <c r="J694" t="b">
        <f t="shared" si="69"/>
        <v>1</v>
      </c>
      <c r="K694" t="b">
        <f t="shared" si="65"/>
        <v>1</v>
      </c>
      <c r="L694" t="b">
        <f t="shared" si="65"/>
        <v>1</v>
      </c>
      <c r="M694" t="b">
        <f t="shared" si="65"/>
        <v>1</v>
      </c>
      <c r="N694" t="b">
        <f t="shared" si="72"/>
        <v>1</v>
      </c>
      <c r="O694" t="b">
        <f t="shared" si="72"/>
        <v>1</v>
      </c>
      <c r="P694" t="b">
        <f t="shared" si="71"/>
        <v>1</v>
      </c>
    </row>
    <row r="695" spans="1:16">
      <c r="A695" t="str">
        <v>mu_Wagon_Gen5_Hopper_Type1</v>
      </c>
      <c r="B695" t="b" cm="1">
        <f t="array" ref="B695">_xlfn.XLOOKUP(A695,CONTROL[VEHIDCODE],PROPERTIES[EXCLUDE])</f>
        <v>0</v>
      </c>
      <c r="C695">
        <f>FLOOR(_xlfn.XLOOKUP($A695,PROPERTIES[VEHIDCODE],PROPERTIES[INTRODUCTION_YEAR]),20)</f>
        <v>2000</v>
      </c>
      <c r="D695" t="str">
        <f>_xlfn.XLOOKUP($A695,PROPERTIES[VEHIDCODE],PROPERTIES[ROLE])</f>
        <v>Wagon</v>
      </c>
      <c r="E695" s="35" t="str">
        <f>_xlfn.XLOOKUP($A695,PROPERTIES[VEHIDCODE],PROPERTIES[REGION1])</f>
        <v>ALL_REGION</v>
      </c>
      <c r="F695" s="35" t="str">
        <f>_xlfn.XLOOKUP($A695,PROPERTIES[VEHIDCODE],PROPERTIES[REGION2])</f>
        <v>NO_REGION</v>
      </c>
      <c r="G695" s="35" t="str">
        <f t="shared" si="66"/>
        <v>ALL_REGION_NO_REGION</v>
      </c>
      <c r="H695" t="b">
        <f t="shared" si="67"/>
        <v>1</v>
      </c>
      <c r="I695" t="b">
        <f t="shared" si="68"/>
        <v>1</v>
      </c>
      <c r="J695" t="b">
        <f t="shared" si="69"/>
        <v>1</v>
      </c>
      <c r="K695" t="b">
        <f t="shared" si="65"/>
        <v>1</v>
      </c>
      <c r="L695" t="b">
        <f t="shared" si="65"/>
        <v>1</v>
      </c>
      <c r="M695" t="b">
        <f t="shared" si="65"/>
        <v>1</v>
      </c>
      <c r="N695" t="b">
        <f t="shared" si="72"/>
        <v>1</v>
      </c>
      <c r="O695" t="b">
        <f t="shared" si="72"/>
        <v>1</v>
      </c>
      <c r="P695" t="b">
        <f t="shared" si="71"/>
        <v>1</v>
      </c>
    </row>
    <row r="696" spans="1:16">
      <c r="A696" t="str">
        <v>mu_Wagon_Gen5_Hopper_Type2</v>
      </c>
      <c r="B696" t="b" cm="1">
        <f t="array" ref="B696">_xlfn.XLOOKUP(A696,CONTROL[VEHIDCODE],PROPERTIES[EXCLUDE])</f>
        <v>0</v>
      </c>
      <c r="C696">
        <f>FLOOR(_xlfn.XLOOKUP($A696,PROPERTIES[VEHIDCODE],PROPERTIES[INTRODUCTION_YEAR]),20)</f>
        <v>2000</v>
      </c>
      <c r="D696" t="str">
        <f>_xlfn.XLOOKUP($A696,PROPERTIES[VEHIDCODE],PROPERTIES[ROLE])</f>
        <v>Wagon</v>
      </c>
      <c r="E696" s="35" t="str">
        <f>_xlfn.XLOOKUP($A696,PROPERTIES[VEHIDCODE],PROPERTIES[REGION1])</f>
        <v>ALL_REGION</v>
      </c>
      <c r="F696" s="35" t="str">
        <f>_xlfn.XLOOKUP($A696,PROPERTIES[VEHIDCODE],PROPERTIES[REGION2])</f>
        <v>NO_REGION</v>
      </c>
      <c r="G696" s="35" t="str">
        <f t="shared" si="66"/>
        <v>ALL_REGION_NO_REGION</v>
      </c>
      <c r="H696" t="b">
        <f t="shared" si="67"/>
        <v>1</v>
      </c>
      <c r="I696" t="b">
        <f t="shared" si="68"/>
        <v>1</v>
      </c>
      <c r="J696" t="b">
        <f t="shared" si="69"/>
        <v>1</v>
      </c>
      <c r="K696" t="b">
        <f t="shared" si="65"/>
        <v>1</v>
      </c>
      <c r="L696" t="b">
        <f t="shared" si="65"/>
        <v>1</v>
      </c>
      <c r="M696" t="b">
        <f t="shared" si="65"/>
        <v>1</v>
      </c>
      <c r="N696" t="b">
        <f t="shared" si="72"/>
        <v>1</v>
      </c>
      <c r="O696" t="b">
        <f t="shared" si="72"/>
        <v>1</v>
      </c>
      <c r="P696" t="b">
        <f t="shared" si="71"/>
        <v>1</v>
      </c>
    </row>
    <row r="697" spans="1:16">
      <c r="A697" t="str">
        <v>mu_Wagon_Gen5_Car_Transporter</v>
      </c>
      <c r="B697" t="b" cm="1">
        <f t="array" ref="B697">_xlfn.XLOOKUP(A697,CONTROL[VEHIDCODE],PROPERTIES[EXCLUDE])</f>
        <v>0</v>
      </c>
      <c r="C697">
        <f>FLOOR(_xlfn.XLOOKUP($A697,PROPERTIES[VEHIDCODE],PROPERTIES[INTRODUCTION_YEAR]),20)</f>
        <v>2000</v>
      </c>
      <c r="D697" t="str">
        <f>_xlfn.XLOOKUP($A697,PROPERTIES[VEHIDCODE],PROPERTIES[ROLE])</f>
        <v>Wagon</v>
      </c>
      <c r="E697" s="35" t="str">
        <f>_xlfn.XLOOKUP($A697,PROPERTIES[VEHIDCODE],PROPERTIES[REGION1])</f>
        <v>ALL_REGION</v>
      </c>
      <c r="F697" s="35" t="str">
        <f>_xlfn.XLOOKUP($A697,PROPERTIES[VEHIDCODE],PROPERTIES[REGION2])</f>
        <v>NO_REGION</v>
      </c>
      <c r="G697" s="35" t="str">
        <f t="shared" si="66"/>
        <v>ALL_REGION_NO_REGION</v>
      </c>
      <c r="H697" t="b">
        <f t="shared" si="67"/>
        <v>1</v>
      </c>
      <c r="I697" t="b">
        <f t="shared" si="68"/>
        <v>1</v>
      </c>
      <c r="J697" t="b">
        <f t="shared" si="69"/>
        <v>1</v>
      </c>
      <c r="K697" t="b">
        <f t="shared" si="65"/>
        <v>1</v>
      </c>
      <c r="L697" t="b">
        <f t="shared" si="65"/>
        <v>1</v>
      </c>
      <c r="M697" t="b">
        <f t="shared" si="65"/>
        <v>1</v>
      </c>
      <c r="N697" t="b">
        <f t="shared" si="72"/>
        <v>1</v>
      </c>
      <c r="O697" t="b">
        <f t="shared" si="72"/>
        <v>1</v>
      </c>
      <c r="P697" t="b">
        <f t="shared" si="71"/>
        <v>1</v>
      </c>
    </row>
    <row r="698" spans="1:16">
      <c r="A698" t="str">
        <v>mu_Wagon_Gen5_Container_Carrier</v>
      </c>
      <c r="B698" t="b" cm="1">
        <f t="array" ref="B698">_xlfn.XLOOKUP(A698,CONTROL[VEHIDCODE],PROPERTIES[EXCLUDE])</f>
        <v>0</v>
      </c>
      <c r="C698">
        <f>FLOOR(_xlfn.XLOOKUP($A698,PROPERTIES[VEHIDCODE],PROPERTIES[INTRODUCTION_YEAR]),20)</f>
        <v>1980</v>
      </c>
      <c r="D698" t="str">
        <f>_xlfn.XLOOKUP($A698,PROPERTIES[VEHIDCODE],PROPERTIES[ROLE])</f>
        <v>Wagon</v>
      </c>
      <c r="E698" s="35" t="str">
        <f>_xlfn.XLOOKUP($A698,PROPERTIES[VEHIDCODE],PROPERTIES[REGION1])</f>
        <v>ALL_REGION</v>
      </c>
      <c r="F698" s="35" t="str">
        <f>_xlfn.XLOOKUP($A698,PROPERTIES[VEHIDCODE],PROPERTIES[REGION2])</f>
        <v>NO_REGION</v>
      </c>
      <c r="G698" s="35" t="str">
        <f t="shared" si="66"/>
        <v>ALL_REGION_NO_REGION</v>
      </c>
      <c r="H698" t="b">
        <f t="shared" si="67"/>
        <v>1</v>
      </c>
      <c r="I698" t="b">
        <f t="shared" si="68"/>
        <v>1</v>
      </c>
      <c r="J698" t="b">
        <f t="shared" si="69"/>
        <v>1</v>
      </c>
      <c r="K698" t="b">
        <f t="shared" si="65"/>
        <v>1</v>
      </c>
      <c r="L698" t="b">
        <f t="shared" si="65"/>
        <v>1</v>
      </c>
      <c r="M698" t="b">
        <f t="shared" si="65"/>
        <v>1</v>
      </c>
      <c r="N698" t="b">
        <f t="shared" si="72"/>
        <v>1</v>
      </c>
      <c r="O698" t="b">
        <f t="shared" si="72"/>
        <v>1</v>
      </c>
      <c r="P698" t="b">
        <f t="shared" si="71"/>
        <v>1</v>
      </c>
    </row>
    <row r="699" spans="1:16">
      <c r="A699" t="str">
        <v>mu_Wagon_Gen5_Centerbeam</v>
      </c>
      <c r="B699" t="b" cm="1">
        <f t="array" ref="B699">_xlfn.XLOOKUP(A699,CONTROL[VEHIDCODE],PROPERTIES[EXCLUDE])</f>
        <v>0</v>
      </c>
      <c r="C699">
        <f>FLOOR(_xlfn.XLOOKUP($A699,PROPERTIES[VEHIDCODE],PROPERTIES[INTRODUCTION_YEAR]),20)</f>
        <v>1980</v>
      </c>
      <c r="D699" t="str">
        <f>_xlfn.XLOOKUP($A699,PROPERTIES[VEHIDCODE],PROPERTIES[ROLE])</f>
        <v>Wagon</v>
      </c>
      <c r="E699" s="35" t="str">
        <f>_xlfn.XLOOKUP($A699,PROPERTIES[VEHIDCODE],PROPERTIES[REGION1])</f>
        <v>ALL_REGION</v>
      </c>
      <c r="F699" s="35" t="str">
        <f>_xlfn.XLOOKUP($A699,PROPERTIES[VEHIDCODE],PROPERTIES[REGION2])</f>
        <v>NO_REGION</v>
      </c>
      <c r="G699" s="35" t="str">
        <f t="shared" si="66"/>
        <v>ALL_REGION_NO_REGION</v>
      </c>
      <c r="H699" t="b">
        <f t="shared" si="67"/>
        <v>1</v>
      </c>
      <c r="I699" t="b">
        <f t="shared" si="68"/>
        <v>1</v>
      </c>
      <c r="J699" t="b">
        <f t="shared" si="69"/>
        <v>1</v>
      </c>
      <c r="K699" t="b">
        <f t="shared" si="65"/>
        <v>1</v>
      </c>
      <c r="L699" t="b">
        <f t="shared" si="65"/>
        <v>1</v>
      </c>
      <c r="M699" t="b">
        <f t="shared" si="65"/>
        <v>1</v>
      </c>
      <c r="N699" t="b">
        <f t="shared" si="72"/>
        <v>1</v>
      </c>
      <c r="O699" t="b">
        <f t="shared" si="72"/>
        <v>1</v>
      </c>
      <c r="P699" t="b">
        <f t="shared" si="71"/>
        <v>1</v>
      </c>
    </row>
    <row r="700" spans="1:16">
      <c r="A700" t="str">
        <v>mu_Wagon_Gen5_Container_Doublestack</v>
      </c>
      <c r="B700" t="b" cm="1">
        <f t="array" ref="B700">_xlfn.XLOOKUP(A700,CONTROL[VEHIDCODE],PROPERTIES[EXCLUDE])</f>
        <v>0</v>
      </c>
      <c r="C700">
        <f>FLOOR(_xlfn.XLOOKUP($A700,PROPERTIES[VEHIDCODE],PROPERTIES[INTRODUCTION_YEAR]),20)</f>
        <v>1980</v>
      </c>
      <c r="D700" t="str">
        <f>_xlfn.XLOOKUP($A700,PROPERTIES[VEHIDCODE],PROPERTIES[ROLE])</f>
        <v>Wagon</v>
      </c>
      <c r="E700" s="35" t="str">
        <f>_xlfn.XLOOKUP($A700,PROPERTIES[VEHIDCODE],PROPERTIES[REGION1])</f>
        <v>ALL_REGION</v>
      </c>
      <c r="F700" s="35" t="str">
        <f>_xlfn.XLOOKUP($A700,PROPERTIES[VEHIDCODE],PROPERTIES[REGION2])</f>
        <v>NO_REGION</v>
      </c>
      <c r="G700" s="35" t="str">
        <f t="shared" si="66"/>
        <v>ALL_REGION_NO_REGION</v>
      </c>
      <c r="H700" t="b">
        <f t="shared" si="67"/>
        <v>1</v>
      </c>
      <c r="I700" t="b">
        <f t="shared" si="68"/>
        <v>1</v>
      </c>
      <c r="J700" t="b">
        <f t="shared" si="69"/>
        <v>1</v>
      </c>
      <c r="K700" t="b">
        <f t="shared" si="65"/>
        <v>1</v>
      </c>
      <c r="L700" t="b">
        <f t="shared" si="65"/>
        <v>1</v>
      </c>
      <c r="M700" t="b">
        <f t="shared" si="65"/>
        <v>1</v>
      </c>
      <c r="N700" t="b">
        <f t="shared" si="72"/>
        <v>1</v>
      </c>
      <c r="O700" t="b">
        <f t="shared" si="72"/>
        <v>1</v>
      </c>
      <c r="P700" t="b">
        <f t="shared" si="71"/>
        <v>1</v>
      </c>
    </row>
    <row r="701" spans="1:16">
      <c r="A701" t="str">
        <v>mu_Wagon_Gen5_Superheavy_Flatcar</v>
      </c>
      <c r="B701" t="b" cm="1">
        <f t="array" ref="B701">_xlfn.XLOOKUP(A701,CONTROL[VEHIDCODE],PROPERTIES[EXCLUDE])</f>
        <v>0</v>
      </c>
      <c r="C701">
        <f>FLOOR(_xlfn.XLOOKUP($A701,PROPERTIES[VEHIDCODE],PROPERTIES[INTRODUCTION_YEAR]),20)</f>
        <v>1980</v>
      </c>
      <c r="D701" t="str">
        <f>_xlfn.XLOOKUP($A701,PROPERTIES[VEHIDCODE],PROPERTIES[ROLE])</f>
        <v>Wagon</v>
      </c>
      <c r="E701" s="35" t="str">
        <f>_xlfn.XLOOKUP($A701,PROPERTIES[VEHIDCODE],PROPERTIES[REGION1])</f>
        <v>ALL_REGION</v>
      </c>
      <c r="F701" s="35" t="str">
        <f>_xlfn.XLOOKUP($A701,PROPERTIES[VEHIDCODE],PROPERTIES[REGION2])</f>
        <v>NO_REGION</v>
      </c>
      <c r="G701" s="35" t="str">
        <f t="shared" si="66"/>
        <v>ALL_REGION_NO_REGION</v>
      </c>
      <c r="H701" t="b">
        <f t="shared" si="67"/>
        <v>1</v>
      </c>
      <c r="I701" t="b">
        <f t="shared" si="68"/>
        <v>1</v>
      </c>
      <c r="J701" t="b">
        <f t="shared" si="69"/>
        <v>1</v>
      </c>
      <c r="K701" t="b">
        <f t="shared" si="65"/>
        <v>1</v>
      </c>
      <c r="L701" t="b">
        <f t="shared" si="65"/>
        <v>1</v>
      </c>
      <c r="M701" t="b">
        <f t="shared" si="65"/>
        <v>1</v>
      </c>
      <c r="N701" t="b">
        <f t="shared" si="72"/>
        <v>1</v>
      </c>
      <c r="O701" t="b">
        <f t="shared" si="72"/>
        <v>1</v>
      </c>
      <c r="P701" t="b">
        <f t="shared" si="71"/>
        <v>1</v>
      </c>
    </row>
    <row r="702" spans="1:16">
      <c r="A702" t="str">
        <v>mu_Wagon_Gen6_Flatcar</v>
      </c>
      <c r="B702" t="b" cm="1">
        <f t="array" ref="B702">_xlfn.XLOOKUP(A702,CONTROL[VEHIDCODE],PROPERTIES[EXCLUDE])</f>
        <v>0</v>
      </c>
      <c r="C702">
        <f>FLOOR(_xlfn.XLOOKUP($A702,PROPERTIES[VEHIDCODE],PROPERTIES[INTRODUCTION_YEAR]),20)</f>
        <v>2000</v>
      </c>
      <c r="D702" t="str">
        <f>_xlfn.XLOOKUP($A702,PROPERTIES[VEHIDCODE],PROPERTIES[ROLE])</f>
        <v>Wagon</v>
      </c>
      <c r="E702" s="35" t="str">
        <f>_xlfn.XLOOKUP($A702,PROPERTIES[VEHIDCODE],PROPERTIES[REGION1])</f>
        <v>ALL_REGION</v>
      </c>
      <c r="F702" s="35" t="str">
        <f>_xlfn.XLOOKUP($A702,PROPERTIES[VEHIDCODE],PROPERTIES[REGION2])</f>
        <v>NO_REGION</v>
      </c>
      <c r="G702" s="35" t="str">
        <f t="shared" si="66"/>
        <v>ALL_REGION_NO_REGION</v>
      </c>
      <c r="H702" t="b">
        <f t="shared" si="67"/>
        <v>1</v>
      </c>
      <c r="I702" t="b">
        <f t="shared" si="68"/>
        <v>1</v>
      </c>
      <c r="J702" t="b">
        <f t="shared" si="69"/>
        <v>1</v>
      </c>
      <c r="K702" t="b">
        <f t="shared" si="65"/>
        <v>1</v>
      </c>
      <c r="L702" t="b">
        <f t="shared" si="65"/>
        <v>1</v>
      </c>
      <c r="M702" t="b">
        <f t="shared" si="65"/>
        <v>1</v>
      </c>
      <c r="N702" t="b">
        <f t="shared" si="72"/>
        <v>1</v>
      </c>
      <c r="O702" t="b">
        <f t="shared" si="72"/>
        <v>1</v>
      </c>
      <c r="P702" t="b">
        <f t="shared" si="71"/>
        <v>1</v>
      </c>
    </row>
    <row r="703" spans="1:16">
      <c r="A703" t="str">
        <v>mu_Wagon_Gen6_Heavy_Flatcar</v>
      </c>
      <c r="B703" t="b" cm="1">
        <f t="array" ref="B703">_xlfn.XLOOKUP(A703,CONTROL[VEHIDCODE],PROPERTIES[EXCLUDE])</f>
        <v>0</v>
      </c>
      <c r="C703">
        <f>FLOOR(_xlfn.XLOOKUP($A703,PROPERTIES[VEHIDCODE],PROPERTIES[INTRODUCTION_YEAR]),20)</f>
        <v>2020</v>
      </c>
      <c r="D703" t="str">
        <f>_xlfn.XLOOKUP($A703,PROPERTIES[VEHIDCODE],PROPERTIES[ROLE])</f>
        <v>Wagon</v>
      </c>
      <c r="E703" s="35" t="str">
        <f>_xlfn.XLOOKUP($A703,PROPERTIES[VEHIDCODE],PROPERTIES[REGION1])</f>
        <v>ALL_REGION</v>
      </c>
      <c r="F703" s="35" t="str">
        <f>_xlfn.XLOOKUP($A703,PROPERTIES[VEHIDCODE],PROPERTIES[REGION2])</f>
        <v>NO_REGION</v>
      </c>
      <c r="G703" s="35" t="str">
        <f t="shared" si="66"/>
        <v>ALL_REGION_NO_REGION</v>
      </c>
      <c r="H703" t="b">
        <f t="shared" si="67"/>
        <v>1</v>
      </c>
      <c r="I703" t="b">
        <f t="shared" si="68"/>
        <v>1</v>
      </c>
      <c r="J703" t="b">
        <f t="shared" si="69"/>
        <v>1</v>
      </c>
      <c r="K703" t="b">
        <f t="shared" si="65"/>
        <v>1</v>
      </c>
      <c r="L703" t="b">
        <f t="shared" si="65"/>
        <v>1</v>
      </c>
      <c r="M703" t="b">
        <f t="shared" si="65"/>
        <v>1</v>
      </c>
      <c r="N703" t="b">
        <f t="shared" si="72"/>
        <v>1</v>
      </c>
      <c r="O703" t="b">
        <f t="shared" si="72"/>
        <v>1</v>
      </c>
      <c r="P703" t="b">
        <f t="shared" si="71"/>
        <v>1</v>
      </c>
    </row>
    <row r="704" spans="1:16">
      <c r="A704" t="str">
        <v>mu_Wagon_Gen6_Boxcar_Type1</v>
      </c>
      <c r="B704" t="b" cm="1">
        <f t="array" ref="B704">_xlfn.XLOOKUP(A704,CONTROL[VEHIDCODE],PROPERTIES[EXCLUDE])</f>
        <v>0</v>
      </c>
      <c r="C704">
        <f>FLOOR(_xlfn.XLOOKUP($A704,PROPERTIES[VEHIDCODE],PROPERTIES[INTRODUCTION_YEAR]),20)</f>
        <v>2000</v>
      </c>
      <c r="D704" t="str">
        <f>_xlfn.XLOOKUP($A704,PROPERTIES[VEHIDCODE],PROPERTIES[ROLE])</f>
        <v>Wagon</v>
      </c>
      <c r="E704" s="35" t="str">
        <f>_xlfn.XLOOKUP($A704,PROPERTIES[VEHIDCODE],PROPERTIES[REGION1])</f>
        <v>ALL_REGION</v>
      </c>
      <c r="F704" s="35" t="str">
        <f>_xlfn.XLOOKUP($A704,PROPERTIES[VEHIDCODE],PROPERTIES[REGION2])</f>
        <v>NO_REGION</v>
      </c>
      <c r="G704" s="35" t="str">
        <f t="shared" si="66"/>
        <v>ALL_REGION_NO_REGION</v>
      </c>
      <c r="H704" t="b">
        <f t="shared" si="67"/>
        <v>1</v>
      </c>
      <c r="I704" t="b">
        <f t="shared" si="68"/>
        <v>1</v>
      </c>
      <c r="J704" t="b">
        <f t="shared" si="69"/>
        <v>1</v>
      </c>
      <c r="K704" t="b">
        <f t="shared" si="65"/>
        <v>1</v>
      </c>
      <c r="L704" t="b">
        <f t="shared" si="65"/>
        <v>1</v>
      </c>
      <c r="M704" t="b">
        <f t="shared" si="65"/>
        <v>1</v>
      </c>
      <c r="N704" t="b">
        <f t="shared" si="72"/>
        <v>1</v>
      </c>
      <c r="O704" t="b">
        <f t="shared" si="72"/>
        <v>1</v>
      </c>
      <c r="P704" t="b">
        <f t="shared" si="71"/>
        <v>1</v>
      </c>
    </row>
    <row r="705" spans="1:16">
      <c r="A705" t="str">
        <v>mu_Wagon_Gen6_Boxcar_Type2</v>
      </c>
      <c r="B705" t="b" cm="1">
        <f t="array" ref="B705">_xlfn.XLOOKUP(A705,CONTROL[VEHIDCODE],PROPERTIES[EXCLUDE])</f>
        <v>0</v>
      </c>
      <c r="C705">
        <f>FLOOR(_xlfn.XLOOKUP($A705,PROPERTIES[VEHIDCODE],PROPERTIES[INTRODUCTION_YEAR]),20)</f>
        <v>2000</v>
      </c>
      <c r="D705" t="str">
        <f>_xlfn.XLOOKUP($A705,PROPERTIES[VEHIDCODE],PROPERTIES[ROLE])</f>
        <v>Wagon</v>
      </c>
      <c r="E705" s="35" t="str">
        <f>_xlfn.XLOOKUP($A705,PROPERTIES[VEHIDCODE],PROPERTIES[REGION1])</f>
        <v>ALL_REGION</v>
      </c>
      <c r="F705" s="35" t="str">
        <f>_xlfn.XLOOKUP($A705,PROPERTIES[VEHIDCODE],PROPERTIES[REGION2])</f>
        <v>NO_REGION</v>
      </c>
      <c r="G705" s="35" t="str">
        <f t="shared" si="66"/>
        <v>ALL_REGION_NO_REGION</v>
      </c>
      <c r="H705" t="b">
        <f t="shared" si="67"/>
        <v>1</v>
      </c>
      <c r="I705" t="b">
        <f t="shared" si="68"/>
        <v>1</v>
      </c>
      <c r="J705" t="b">
        <f t="shared" si="69"/>
        <v>1</v>
      </c>
      <c r="K705" t="b">
        <f t="shared" si="65"/>
        <v>1</v>
      </c>
      <c r="L705" t="b">
        <f t="shared" si="65"/>
        <v>1</v>
      </c>
      <c r="M705" t="b">
        <f t="shared" si="65"/>
        <v>1</v>
      </c>
      <c r="N705" t="b">
        <f t="shared" si="72"/>
        <v>1</v>
      </c>
      <c r="O705" t="b">
        <f t="shared" si="72"/>
        <v>1</v>
      </c>
      <c r="P705" t="b">
        <f t="shared" si="71"/>
        <v>1</v>
      </c>
    </row>
    <row r="706" spans="1:16">
      <c r="A706" t="str">
        <v>mu_Wagon_Gen6_Tanker</v>
      </c>
      <c r="B706" t="b" cm="1">
        <f t="array" ref="B706">_xlfn.XLOOKUP(A706,CONTROL[VEHIDCODE],PROPERTIES[EXCLUDE])</f>
        <v>0</v>
      </c>
      <c r="C706">
        <f>FLOOR(_xlfn.XLOOKUP($A706,PROPERTIES[VEHIDCODE],PROPERTIES[INTRODUCTION_YEAR]),20)</f>
        <v>2020</v>
      </c>
      <c r="D706" t="str">
        <f>_xlfn.XLOOKUP($A706,PROPERTIES[VEHIDCODE],PROPERTIES[ROLE])</f>
        <v>Wagon</v>
      </c>
      <c r="E706" s="35" t="str">
        <f>_xlfn.XLOOKUP($A706,PROPERTIES[VEHIDCODE],PROPERTIES[REGION1])</f>
        <v>ALL_REGION</v>
      </c>
      <c r="F706" s="35" t="str">
        <f>_xlfn.XLOOKUP($A706,PROPERTIES[VEHIDCODE],PROPERTIES[REGION2])</f>
        <v>NO_REGION</v>
      </c>
      <c r="G706" s="35" t="str">
        <f t="shared" si="66"/>
        <v>ALL_REGION_NO_REGION</v>
      </c>
      <c r="H706" t="b">
        <f t="shared" si="67"/>
        <v>1</v>
      </c>
      <c r="I706" t="b">
        <f t="shared" si="68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69"/>
        <v>1</v>
      </c>
      <c r="N706" t="b">
        <f t="shared" si="72"/>
        <v>1</v>
      </c>
      <c r="O706" t="b">
        <f t="shared" si="72"/>
        <v>1</v>
      </c>
      <c r="P706" t="b">
        <f t="shared" si="71"/>
        <v>1</v>
      </c>
    </row>
    <row r="707" spans="1:16">
      <c r="A707" t="str">
        <v>mu_Wagon_Gen6_Gondola</v>
      </c>
      <c r="B707" t="b" cm="1">
        <f t="array" ref="B707">_xlfn.XLOOKUP(A707,CONTROL[VEHIDCODE],PROPERTIES[EXCLUDE])</f>
        <v>0</v>
      </c>
      <c r="C707">
        <f>FLOOR(_xlfn.XLOOKUP($A707,PROPERTIES[VEHIDCODE],PROPERTIES[INTRODUCTION_YEAR]),20)</f>
        <v>2000</v>
      </c>
      <c r="D707" t="str">
        <f>_xlfn.XLOOKUP($A707,PROPERTIES[VEHIDCODE],PROPERTIES[ROLE])</f>
        <v>Wagon</v>
      </c>
      <c r="E707" s="35" t="str">
        <f>_xlfn.XLOOKUP($A707,PROPERTIES[VEHIDCODE],PROPERTIES[REGION1])</f>
        <v>ALL_REGION</v>
      </c>
      <c r="F707" s="35" t="str">
        <f>_xlfn.XLOOKUP($A707,PROPERTIES[VEHIDCODE],PROPERTIES[REGION2])</f>
        <v>NO_REGION</v>
      </c>
      <c r="G707" s="35" t="str">
        <f t="shared" ref="G707:G770" si="73">_xlfn.CONCAT($E707,"_",$F707)</f>
        <v>ALL_REGION_NO_REGION</v>
      </c>
      <c r="H707" t="b">
        <f t="shared" ref="H707:H770" si="74">OR(ISNUMBER(SEARCH("ALL_REGION",$G707)),
ISNUMBER(SEARCH("AFRICA",$G707)),
ISNUMBER(SEARCH("REGIONTYPE1",$G707)),
ISNUMBER(SEARCH("REGIONTYPE2",$G707)))</f>
        <v>1</v>
      </c>
      <c r="I707" t="b">
        <f t="shared" ref="I707:I770" si="75">OR(ISNUMBER(SEARCH("ALL_REGION",$G707)),
ISNUMBER(SEARCH("ASIA",$G707)),
ISNUMBER(SEARCH("REGIONTYPE1",$G707)),
ISNUMBER(SEARCH("REGIONTYPE2",$G707)),
ISNUMBER(SEARCH("REGIONTYPE3",$G707)))</f>
        <v>1</v>
      </c>
      <c r="J707" t="b">
        <f t="shared" ref="J707:M738" si="76">OR(ISNUMBER(SEARCH("ALL_REGION",$G707)),
ISNUMBER(SEARCH("ALL_EUROPE",$G707)),
ISNUMBER(SEARCH(J$1,$G707)),
ISNUMBER(SEARCH("REGIONTYPE1",$G707)))</f>
        <v>1</v>
      </c>
      <c r="K707" t="b">
        <f t="shared" si="76"/>
        <v>1</v>
      </c>
      <c r="L707" t="b">
        <f t="shared" si="76"/>
        <v>1</v>
      </c>
      <c r="M707" t="b">
        <f t="shared" si="76"/>
        <v>1</v>
      </c>
      <c r="N707" t="b">
        <f t="shared" ref="N707:O738" si="77">OR(ISNUMBER(SEARCH("ALL_REGION",$G707)),
ISNUMBER(SEARCH("ALL_AMERICA",$G707)),
ISNUMBER(SEARCH(N$1,$G707)),
ISNUMBER(SEARCH("REGIONTYPE2",$G707)))</f>
        <v>1</v>
      </c>
      <c r="O707" t="b">
        <f t="shared" si="77"/>
        <v>1</v>
      </c>
      <c r="P707" t="b">
        <f t="shared" ref="P707:P770" si="78">OR(ISNUMBER(SEARCH("ALL_REGION",$G707)),
ISNUMBER(SEARCH(P$1,$G707)),
ISNUMBER(SEARCH("REGIONTYPE3",$G707)))</f>
        <v>1</v>
      </c>
    </row>
    <row r="708" spans="1:16">
      <c r="A708" t="str">
        <v>mu_Wagon_Gen6_Silo_Type1</v>
      </c>
      <c r="B708" t="b" cm="1">
        <f t="array" ref="B708">_xlfn.XLOOKUP(A708,CONTROL[VEHIDCODE],PROPERTIES[EXCLUDE])</f>
        <v>0</v>
      </c>
      <c r="C708">
        <f>FLOOR(_xlfn.XLOOKUP($A708,PROPERTIES[VEHIDCODE],PROPERTIES[INTRODUCTION_YEAR]),20)</f>
        <v>2020</v>
      </c>
      <c r="D708" t="str">
        <f>_xlfn.XLOOKUP($A708,PROPERTIES[VEHIDCODE],PROPERTIES[ROLE])</f>
        <v>Wagon</v>
      </c>
      <c r="E708" s="35" t="str">
        <f>_xlfn.XLOOKUP($A708,PROPERTIES[VEHIDCODE],PROPERTIES[REGION1])</f>
        <v>ALL_REGION</v>
      </c>
      <c r="F708" s="35" t="str">
        <f>_xlfn.XLOOKUP($A708,PROPERTIES[VEHIDCODE],PROPERTIES[REGION2])</f>
        <v>NO_REGION</v>
      </c>
      <c r="G708" s="35" t="str">
        <f t="shared" si="73"/>
        <v>ALL_REGION_NO_REGION</v>
      </c>
      <c r="H708" t="b">
        <f t="shared" si="74"/>
        <v>1</v>
      </c>
      <c r="I708" t="b">
        <f t="shared" si="75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6"/>
        <v>1</v>
      </c>
      <c r="N708" t="b">
        <f t="shared" si="77"/>
        <v>1</v>
      </c>
      <c r="O708" t="b">
        <f t="shared" si="77"/>
        <v>1</v>
      </c>
      <c r="P708" t="b">
        <f t="shared" si="78"/>
        <v>1</v>
      </c>
    </row>
    <row r="709" spans="1:16">
      <c r="A709" t="str">
        <v>mu_Wagon_Gen6_Silo_Type2</v>
      </c>
      <c r="B709" t="b" cm="1">
        <f t="array" ref="B709">_xlfn.XLOOKUP(A709,CONTROL[VEHIDCODE],PROPERTIES[EXCLUDE])</f>
        <v>0</v>
      </c>
      <c r="C709">
        <f>FLOOR(_xlfn.XLOOKUP($A709,PROPERTIES[VEHIDCODE],PROPERTIES[INTRODUCTION_YEAR]),20)</f>
        <v>2020</v>
      </c>
      <c r="D709" t="str">
        <f>_xlfn.XLOOKUP($A709,PROPERTIES[VEHIDCODE],PROPERTIES[ROLE])</f>
        <v>Wagon</v>
      </c>
      <c r="E709" s="35" t="str">
        <f>_xlfn.XLOOKUP($A709,PROPERTIES[VEHIDCODE],PROPERTIES[REGION1])</f>
        <v>ALL_REGION</v>
      </c>
      <c r="F709" s="35" t="str">
        <f>_xlfn.XLOOKUP($A709,PROPERTIES[VEHIDCODE],PROPERTIES[REGION2])</f>
        <v>NO_REGION</v>
      </c>
      <c r="G709" s="35" t="str">
        <f t="shared" si="73"/>
        <v>ALL_REGION_NO_REGION</v>
      </c>
      <c r="H709" t="b">
        <f t="shared" si="74"/>
        <v>1</v>
      </c>
      <c r="I709" t="b">
        <f t="shared" si="75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6"/>
        <v>1</v>
      </c>
      <c r="N709" t="b">
        <f t="shared" si="77"/>
        <v>1</v>
      </c>
      <c r="O709" t="b">
        <f t="shared" si="77"/>
        <v>1</v>
      </c>
      <c r="P709" t="b">
        <f t="shared" si="78"/>
        <v>1</v>
      </c>
    </row>
    <row r="710" spans="1:16">
      <c r="A710" t="str">
        <v>mu_Wagon_Gen6_Hopper_Type1</v>
      </c>
      <c r="B710" t="b" cm="1">
        <f t="array" ref="B710">_xlfn.XLOOKUP(A710,CONTROL[VEHIDCODE],PROPERTIES[EXCLUDE])</f>
        <v>0</v>
      </c>
      <c r="C710">
        <f>FLOOR(_xlfn.XLOOKUP($A710,PROPERTIES[VEHIDCODE],PROPERTIES[INTRODUCTION_YEAR]),20)</f>
        <v>2020</v>
      </c>
      <c r="D710" t="str">
        <f>_xlfn.XLOOKUP($A710,PROPERTIES[VEHIDCODE],PROPERTIES[ROLE])</f>
        <v>Wagon</v>
      </c>
      <c r="E710" s="35" t="str">
        <f>_xlfn.XLOOKUP($A710,PROPERTIES[VEHIDCODE],PROPERTIES[REGION1])</f>
        <v>ALL_REGION</v>
      </c>
      <c r="F710" s="35" t="str">
        <f>_xlfn.XLOOKUP($A710,PROPERTIES[VEHIDCODE],PROPERTIES[REGION2])</f>
        <v>NO_REGION</v>
      </c>
      <c r="G710" s="35" t="str">
        <f t="shared" si="73"/>
        <v>ALL_REGION_NO_REGION</v>
      </c>
      <c r="H710" t="b">
        <f t="shared" si="74"/>
        <v>1</v>
      </c>
      <c r="I710" t="b">
        <f t="shared" si="75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6"/>
        <v>1</v>
      </c>
      <c r="N710" t="b">
        <f t="shared" si="77"/>
        <v>1</v>
      </c>
      <c r="O710" t="b">
        <f t="shared" si="77"/>
        <v>1</v>
      </c>
      <c r="P710" t="b">
        <f t="shared" si="78"/>
        <v>1</v>
      </c>
    </row>
    <row r="711" spans="1:16">
      <c r="A711" t="str">
        <v>mu_Wagon_Gen6_Hopper_Type2</v>
      </c>
      <c r="B711" t="b" cm="1">
        <f t="array" ref="B711">_xlfn.XLOOKUP(A711,CONTROL[VEHIDCODE],PROPERTIES[EXCLUDE])</f>
        <v>0</v>
      </c>
      <c r="C711">
        <f>FLOOR(_xlfn.XLOOKUP($A711,PROPERTIES[VEHIDCODE],PROPERTIES[INTRODUCTION_YEAR]),20)</f>
        <v>2020</v>
      </c>
      <c r="D711" t="str">
        <f>_xlfn.XLOOKUP($A711,PROPERTIES[VEHIDCODE],PROPERTIES[ROLE])</f>
        <v>Wagon</v>
      </c>
      <c r="E711" s="35" t="str">
        <f>_xlfn.XLOOKUP($A711,PROPERTIES[VEHIDCODE],PROPERTIES[REGION1])</f>
        <v>ALL_REGION</v>
      </c>
      <c r="F711" s="35" t="str">
        <f>_xlfn.XLOOKUP($A711,PROPERTIES[VEHIDCODE],PROPERTIES[REGION2])</f>
        <v>NO_REGION</v>
      </c>
      <c r="G711" s="35" t="str">
        <f t="shared" si="73"/>
        <v>ALL_REGION_NO_REGION</v>
      </c>
      <c r="H711" t="b">
        <f t="shared" si="74"/>
        <v>1</v>
      </c>
      <c r="I711" t="b">
        <f t="shared" si="75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6"/>
        <v>1</v>
      </c>
      <c r="N711" t="b">
        <f t="shared" si="77"/>
        <v>1</v>
      </c>
      <c r="O711" t="b">
        <f t="shared" si="77"/>
        <v>1</v>
      </c>
      <c r="P711" t="b">
        <f t="shared" si="78"/>
        <v>1</v>
      </c>
    </row>
    <row r="712" spans="1:16">
      <c r="A712" t="str">
        <v>mu_Wagon_Gen6_Car_Transporter</v>
      </c>
      <c r="B712" t="b" cm="1">
        <f t="array" ref="B712">_xlfn.XLOOKUP(A712,CONTROL[VEHIDCODE],PROPERTIES[EXCLUDE])</f>
        <v>0</v>
      </c>
      <c r="C712">
        <f>FLOOR(_xlfn.XLOOKUP($A712,PROPERTIES[VEHIDCODE],PROPERTIES[INTRODUCTION_YEAR]),20)</f>
        <v>2020</v>
      </c>
      <c r="D712" t="str">
        <f>_xlfn.XLOOKUP($A712,PROPERTIES[VEHIDCODE],PROPERTIES[ROLE])</f>
        <v>Wagon</v>
      </c>
      <c r="E712" s="35" t="str">
        <f>_xlfn.XLOOKUP($A712,PROPERTIES[VEHIDCODE],PROPERTIES[REGION1])</f>
        <v>ALL_REGION</v>
      </c>
      <c r="F712" s="35" t="str">
        <f>_xlfn.XLOOKUP($A712,PROPERTIES[VEHIDCODE],PROPERTIES[REGION2])</f>
        <v>NO_REGION</v>
      </c>
      <c r="G712" s="35" t="str">
        <f t="shared" si="73"/>
        <v>ALL_REGION_NO_REGION</v>
      </c>
      <c r="H712" t="b">
        <f t="shared" si="74"/>
        <v>1</v>
      </c>
      <c r="I712" t="b">
        <f t="shared" si="75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6"/>
        <v>1</v>
      </c>
      <c r="N712" t="b">
        <f t="shared" si="77"/>
        <v>1</v>
      </c>
      <c r="O712" t="b">
        <f t="shared" si="77"/>
        <v>1</v>
      </c>
      <c r="P712" t="b">
        <f t="shared" si="78"/>
        <v>1</v>
      </c>
    </row>
    <row r="713" spans="1:16">
      <c r="A713" t="str">
        <v>mu_Wagon_Gen6_Container_Carrier</v>
      </c>
      <c r="B713" t="b" cm="1">
        <f t="array" ref="B713">_xlfn.XLOOKUP(A713,CONTROL[VEHIDCODE],PROPERTIES[EXCLUDE])</f>
        <v>0</v>
      </c>
      <c r="C713">
        <f>FLOOR(_xlfn.XLOOKUP($A713,PROPERTIES[VEHIDCODE],PROPERTIES[INTRODUCTION_YEAR]),20)</f>
        <v>2000</v>
      </c>
      <c r="D713" t="str">
        <f>_xlfn.XLOOKUP($A713,PROPERTIES[VEHIDCODE],PROPERTIES[ROLE])</f>
        <v>Wagon</v>
      </c>
      <c r="E713" s="35" t="str">
        <f>_xlfn.XLOOKUP($A713,PROPERTIES[VEHIDCODE],PROPERTIES[REGION1])</f>
        <v>ALL_REGION</v>
      </c>
      <c r="F713" s="35" t="str">
        <f>_xlfn.XLOOKUP($A713,PROPERTIES[VEHIDCODE],PROPERTIES[REGION2])</f>
        <v>NO_REGION</v>
      </c>
      <c r="G713" s="35" t="str">
        <f t="shared" si="73"/>
        <v>ALL_REGION_NO_REGION</v>
      </c>
      <c r="H713" t="b">
        <f t="shared" si="74"/>
        <v>1</v>
      </c>
      <c r="I713" t="b">
        <f t="shared" si="75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6"/>
        <v>1</v>
      </c>
      <c r="N713" t="b">
        <f t="shared" si="77"/>
        <v>1</v>
      </c>
      <c r="O713" t="b">
        <f t="shared" si="77"/>
        <v>1</v>
      </c>
      <c r="P713" t="b">
        <f t="shared" si="78"/>
        <v>1</v>
      </c>
    </row>
    <row r="714" spans="1:16">
      <c r="A714" t="str">
        <v>mu_Wagon_Gen6_Centerbeam</v>
      </c>
      <c r="B714" t="b" cm="1">
        <f t="array" ref="B714">_xlfn.XLOOKUP(A714,CONTROL[VEHIDCODE],PROPERTIES[EXCLUDE])</f>
        <v>0</v>
      </c>
      <c r="C714">
        <f>FLOOR(_xlfn.XLOOKUP($A714,PROPERTIES[VEHIDCODE],PROPERTIES[INTRODUCTION_YEAR]),20)</f>
        <v>2000</v>
      </c>
      <c r="D714" t="str">
        <f>_xlfn.XLOOKUP($A714,PROPERTIES[VEHIDCODE],PROPERTIES[ROLE])</f>
        <v>Wagon</v>
      </c>
      <c r="E714" s="35" t="str">
        <f>_xlfn.XLOOKUP($A714,PROPERTIES[VEHIDCODE],PROPERTIES[REGION1])</f>
        <v>ALL_REGION</v>
      </c>
      <c r="F714" s="35" t="str">
        <f>_xlfn.XLOOKUP($A714,PROPERTIES[VEHIDCODE],PROPERTIES[REGION2])</f>
        <v>NO_REGION</v>
      </c>
      <c r="G714" s="35" t="str">
        <f t="shared" si="73"/>
        <v>ALL_REGION_NO_REGION</v>
      </c>
      <c r="H714" t="b">
        <f t="shared" si="74"/>
        <v>1</v>
      </c>
      <c r="I714" t="b">
        <f t="shared" si="75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6"/>
        <v>1</v>
      </c>
      <c r="N714" t="b">
        <f t="shared" si="77"/>
        <v>1</v>
      </c>
      <c r="O714" t="b">
        <f t="shared" si="77"/>
        <v>1</v>
      </c>
      <c r="P714" t="b">
        <f t="shared" si="78"/>
        <v>1</v>
      </c>
    </row>
    <row r="715" spans="1:16">
      <c r="A715" t="str">
        <v>mu_Wagon_Gen6_Container_Doublestack</v>
      </c>
      <c r="B715" t="b" cm="1">
        <f t="array" ref="B715">_xlfn.XLOOKUP(A715,CONTROL[VEHIDCODE],PROPERTIES[EXCLUDE])</f>
        <v>0</v>
      </c>
      <c r="C715">
        <f>FLOOR(_xlfn.XLOOKUP($A715,PROPERTIES[VEHIDCODE],PROPERTIES[INTRODUCTION_YEAR]),20)</f>
        <v>2000</v>
      </c>
      <c r="D715" t="str">
        <f>_xlfn.XLOOKUP($A715,PROPERTIES[VEHIDCODE],PROPERTIES[ROLE])</f>
        <v>Wagon</v>
      </c>
      <c r="E715" s="35" t="str">
        <f>_xlfn.XLOOKUP($A715,PROPERTIES[VEHIDCODE],PROPERTIES[REGION1])</f>
        <v>ALL_REGION</v>
      </c>
      <c r="F715" s="35" t="str">
        <f>_xlfn.XLOOKUP($A715,PROPERTIES[VEHIDCODE],PROPERTIES[REGION2])</f>
        <v>NO_REGION</v>
      </c>
      <c r="G715" s="35" t="str">
        <f t="shared" si="73"/>
        <v>ALL_REGION_NO_REGION</v>
      </c>
      <c r="H715" t="b">
        <f t="shared" si="74"/>
        <v>1</v>
      </c>
      <c r="I715" t="b">
        <f t="shared" si="75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6"/>
        <v>1</v>
      </c>
      <c r="N715" t="b">
        <f t="shared" si="77"/>
        <v>1</v>
      </c>
      <c r="O715" t="b">
        <f t="shared" si="77"/>
        <v>1</v>
      </c>
      <c r="P715" t="b">
        <f t="shared" si="78"/>
        <v>1</v>
      </c>
    </row>
    <row r="716" spans="1:16">
      <c r="A716" t="str">
        <v>mu_Wagon_Gen6_Superheavy_Flatcar</v>
      </c>
      <c r="B716" t="b" cm="1">
        <f t="array" ref="B716">_xlfn.XLOOKUP(A716,CONTROL[VEHIDCODE],PROPERTIES[EXCLUDE])</f>
        <v>0</v>
      </c>
      <c r="C716">
        <f>FLOOR(_xlfn.XLOOKUP($A716,PROPERTIES[VEHIDCODE],PROPERTIES[INTRODUCTION_YEAR]),20)</f>
        <v>2000</v>
      </c>
      <c r="D716" t="str">
        <f>_xlfn.XLOOKUP($A716,PROPERTIES[VEHIDCODE],PROPERTIES[ROLE])</f>
        <v>Wagon</v>
      </c>
      <c r="E716" s="35" t="str">
        <f>_xlfn.XLOOKUP($A716,PROPERTIES[VEHIDCODE],PROPERTIES[REGION1])</f>
        <v>ALL_REGION</v>
      </c>
      <c r="F716" s="35" t="str">
        <f>_xlfn.XLOOKUP($A716,PROPERTIES[VEHIDCODE],PROPERTIES[REGION2])</f>
        <v>NO_REGION</v>
      </c>
      <c r="G716" s="35" t="str">
        <f t="shared" si="73"/>
        <v>ALL_REGION_NO_REGION</v>
      </c>
      <c r="H716" t="b">
        <f t="shared" si="74"/>
        <v>1</v>
      </c>
      <c r="I716" t="b">
        <f t="shared" si="75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6"/>
        <v>1</v>
      </c>
      <c r="N716" t="b">
        <f t="shared" si="77"/>
        <v>1</v>
      </c>
      <c r="O716" t="b">
        <f t="shared" si="77"/>
        <v>1</v>
      </c>
      <c r="P716" t="b">
        <f t="shared" si="78"/>
        <v>1</v>
      </c>
    </row>
    <row r="717" spans="1:16">
      <c r="A717" t="str">
        <v>mu_Wagon_Service_Car_Type1</v>
      </c>
      <c r="B717" t="b" cm="1">
        <f t="array" ref="B717">_xlfn.XLOOKUP(A717,CONTROL[VEHIDCODE],PROPERTIES[EXCLUDE])</f>
        <v>0</v>
      </c>
      <c r="C717">
        <f>FLOOR(_xlfn.XLOOKUP($A717,PROPERTIES[VEHIDCODE],PROPERTIES[INTRODUCTION_YEAR]),20)</f>
        <v>1660</v>
      </c>
      <c r="D717" t="str">
        <f>_xlfn.XLOOKUP($A717,PROPERTIES[VEHIDCODE],PROPERTIES[ROLE])</f>
        <v>Wagon</v>
      </c>
      <c r="E717" s="35" t="str">
        <f>_xlfn.XLOOKUP($A717,PROPERTIES[VEHIDCODE],PROPERTIES[REGION1])</f>
        <v>ALL_REGION</v>
      </c>
      <c r="F717" s="35" t="str">
        <f>_xlfn.XLOOKUP($A717,PROPERTIES[VEHIDCODE],PROPERTIES[REGION2])</f>
        <v>NO_REGION</v>
      </c>
      <c r="G717" s="35" t="str">
        <f t="shared" si="73"/>
        <v>ALL_REGION_NO_REGION</v>
      </c>
      <c r="H717" t="b">
        <f t="shared" si="74"/>
        <v>1</v>
      </c>
      <c r="I717" t="b">
        <f t="shared" si="75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6"/>
        <v>1</v>
      </c>
      <c r="N717" t="b">
        <f t="shared" si="77"/>
        <v>1</v>
      </c>
      <c r="O717" t="b">
        <f t="shared" si="77"/>
        <v>1</v>
      </c>
      <c r="P717" t="b">
        <f t="shared" si="78"/>
        <v>1</v>
      </c>
    </row>
    <row r="718" spans="1:16">
      <c r="A718" t="str">
        <v>mu_Wagon_Service_Car_Type2</v>
      </c>
      <c r="B718" t="b" cm="1">
        <f t="array" ref="B718">_xlfn.XLOOKUP(A718,CONTROL[VEHIDCODE],PROPERTIES[EXCLUDE])</f>
        <v>0</v>
      </c>
      <c r="C718">
        <f>FLOOR(_xlfn.XLOOKUP($A718,PROPERTIES[VEHIDCODE],PROPERTIES[INTRODUCTION_YEAR]),20)</f>
        <v>1660</v>
      </c>
      <c r="D718" t="str">
        <f>_xlfn.XLOOKUP($A718,PROPERTIES[VEHIDCODE],PROPERTIES[ROLE])</f>
        <v>Wagon</v>
      </c>
      <c r="E718" s="35" t="str">
        <f>_xlfn.XLOOKUP($A718,PROPERTIES[VEHIDCODE],PROPERTIES[REGION1])</f>
        <v>ALL_REGION</v>
      </c>
      <c r="F718" s="35" t="str">
        <f>_xlfn.XLOOKUP($A718,PROPERTIES[VEHIDCODE],PROPERTIES[REGION2])</f>
        <v>NO_REGION</v>
      </c>
      <c r="G718" s="35" t="str">
        <f t="shared" si="73"/>
        <v>ALL_REGION_NO_REGION</v>
      </c>
      <c r="H718" t="b">
        <f t="shared" si="74"/>
        <v>1</v>
      </c>
      <c r="I718" t="b">
        <f t="shared" si="75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6"/>
        <v>1</v>
      </c>
      <c r="N718" t="b">
        <f t="shared" si="77"/>
        <v>1</v>
      </c>
      <c r="O718" t="b">
        <f t="shared" si="77"/>
        <v>1</v>
      </c>
      <c r="P718" t="b">
        <f t="shared" si="78"/>
        <v>1</v>
      </c>
    </row>
    <row r="719" spans="1:16">
      <c r="A719" t="str">
        <v>mu_Coach_Gen1_Wooden_2_axle_Compartment_Coach</v>
      </c>
      <c r="B719" t="b" cm="1">
        <f t="array" ref="B719">_xlfn.XLOOKUP(A719,CONTROL[VEHIDCODE],PROPERTIES[EXCLUDE])</f>
        <v>0</v>
      </c>
      <c r="C719">
        <f>FLOOR(_xlfn.XLOOKUP($A719,PROPERTIES[VEHIDCODE],PROPERTIES[INTRODUCTION_YEAR]),20)</f>
        <v>1820</v>
      </c>
      <c r="D719" t="str">
        <f>_xlfn.XLOOKUP($A719,PROPERTIES[VEHIDCODE],PROPERTIES[ROLE])</f>
        <v>Coach (Commuter)</v>
      </c>
      <c r="E719" s="35" t="str">
        <f>_xlfn.XLOOKUP($A719,PROPERTIES[VEHIDCODE],PROPERTIES[REGION1])</f>
        <v>REGIONTYPE1</v>
      </c>
      <c r="F719" s="35" t="str">
        <f>_xlfn.XLOOKUP($A719,PROPERTIES[VEHIDCODE],PROPERTIES[REGION2])</f>
        <v>OCEANIA</v>
      </c>
      <c r="G719" s="35" t="str">
        <f t="shared" si="73"/>
        <v>REGIONTYPE1_OCEANIA</v>
      </c>
      <c r="H719" t="b">
        <f t="shared" si="74"/>
        <v>1</v>
      </c>
      <c r="I719" t="b">
        <f t="shared" si="75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6"/>
        <v>1</v>
      </c>
      <c r="N719" t="b">
        <f t="shared" si="77"/>
        <v>0</v>
      </c>
      <c r="O719" t="b">
        <f t="shared" si="77"/>
        <v>0</v>
      </c>
      <c r="P719" t="b">
        <f t="shared" si="78"/>
        <v>1</v>
      </c>
    </row>
    <row r="720" spans="1:16">
      <c r="A720" t="str">
        <v>mu_Coach_Gen1_Wooden_2_axle_Regional_Coach</v>
      </c>
      <c r="B720" t="b" cm="1">
        <f t="array" ref="B720">_xlfn.XLOOKUP(A720,CONTROL[VEHIDCODE],PROPERTIES[EXCLUDE])</f>
        <v>0</v>
      </c>
      <c r="C720">
        <f>FLOOR(_xlfn.XLOOKUP($A720,PROPERTIES[VEHIDCODE],PROPERTIES[INTRODUCTION_YEAR]),20)</f>
        <v>1820</v>
      </c>
      <c r="D720" t="str">
        <f>_xlfn.XLOOKUP($A720,PROPERTIES[VEHIDCODE],PROPERTIES[ROLE])</f>
        <v>Coach (Commuter)</v>
      </c>
      <c r="E720" s="35" t="str">
        <f>_xlfn.XLOOKUP($A720,PROPERTIES[VEHIDCODE],PROPERTIES[REGION1])</f>
        <v>ALL_REGION</v>
      </c>
      <c r="F720" s="35" t="str">
        <f>_xlfn.XLOOKUP($A720,PROPERTIES[VEHIDCODE],PROPERTIES[REGION2])</f>
        <v>NO_REGION</v>
      </c>
      <c r="G720" s="35" t="str">
        <f t="shared" si="73"/>
        <v>ALL_REGION_NO_REGION</v>
      </c>
      <c r="H720" t="b">
        <f t="shared" si="74"/>
        <v>1</v>
      </c>
      <c r="I720" t="b">
        <f t="shared" si="75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6"/>
        <v>1</v>
      </c>
      <c r="N720" t="b">
        <f t="shared" si="77"/>
        <v>1</v>
      </c>
      <c r="O720" t="b">
        <f t="shared" si="77"/>
        <v>1</v>
      </c>
      <c r="P720" t="b">
        <f t="shared" si="78"/>
        <v>1</v>
      </c>
    </row>
    <row r="721" spans="1:16">
      <c r="A721" t="str">
        <v>mu_Coach_Gen1_Wooden_2_axle_Mail_Coach</v>
      </c>
      <c r="B721" t="b" cm="1">
        <f t="array" ref="B721">_xlfn.XLOOKUP(A721,CONTROL[VEHIDCODE],PROPERTIES[EXCLUDE])</f>
        <v>0</v>
      </c>
      <c r="C721">
        <f>FLOOR(_xlfn.XLOOKUP($A721,PROPERTIES[VEHIDCODE],PROPERTIES[INTRODUCTION_YEAR]),20)</f>
        <v>1820</v>
      </c>
      <c r="D721" t="str">
        <f>_xlfn.XLOOKUP($A721,PROPERTIES[VEHIDCODE],PROPERTIES[ROLE])</f>
        <v>Coach (Mail)</v>
      </c>
      <c r="E721" s="35" t="str">
        <f>_xlfn.XLOOKUP($A721,PROPERTIES[VEHIDCODE],PROPERTIES[REGION1])</f>
        <v>ALL_REGION</v>
      </c>
      <c r="F721" s="35" t="str">
        <f>_xlfn.XLOOKUP($A721,PROPERTIES[VEHIDCODE],PROPERTIES[REGION2])</f>
        <v>NO_REGION</v>
      </c>
      <c r="G721" s="35" t="str">
        <f t="shared" si="73"/>
        <v>ALL_REGION_NO_REGION</v>
      </c>
      <c r="H721" t="b">
        <f t="shared" si="74"/>
        <v>1</v>
      </c>
      <c r="I721" t="b">
        <f t="shared" si="75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6"/>
        <v>1</v>
      </c>
      <c r="N721" t="b">
        <f t="shared" si="77"/>
        <v>1</v>
      </c>
      <c r="O721" t="b">
        <f t="shared" si="77"/>
        <v>1</v>
      </c>
      <c r="P721" t="b">
        <f t="shared" si="78"/>
        <v>1</v>
      </c>
    </row>
    <row r="722" spans="1:16">
      <c r="A722" t="str">
        <v>mu_Coach_Gen1_Clerestory_Compartment_Coach</v>
      </c>
      <c r="B722" t="b" cm="1">
        <f t="array" ref="B722">_xlfn.XLOOKUP(A722,CONTROL[VEHIDCODE],PROPERTIES[EXCLUDE])</f>
        <v>0</v>
      </c>
      <c r="C722">
        <f>FLOOR(_xlfn.XLOOKUP($A722,PROPERTIES[VEHIDCODE],PROPERTIES[INTRODUCTION_YEAR]),20)</f>
        <v>1840</v>
      </c>
      <c r="D722" t="str">
        <f>_xlfn.XLOOKUP($A722,PROPERTIES[VEHIDCODE],PROPERTIES[ROLE])</f>
        <v>Coach (Commuter)</v>
      </c>
      <c r="E722" s="35" t="str">
        <f>_xlfn.XLOOKUP($A722,PROPERTIES[VEHIDCODE],PROPERTIES[REGION1])</f>
        <v>REGIONTYPE1</v>
      </c>
      <c r="F722" s="35" t="str">
        <f>_xlfn.XLOOKUP($A722,PROPERTIES[VEHIDCODE],PROPERTIES[REGION2])</f>
        <v>OCEANIA</v>
      </c>
      <c r="G722" s="35" t="str">
        <f t="shared" si="73"/>
        <v>REGIONTYPE1_OCEANIA</v>
      </c>
      <c r="H722" t="b">
        <f t="shared" si="74"/>
        <v>1</v>
      </c>
      <c r="I722" t="b">
        <f t="shared" si="75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6"/>
        <v>1</v>
      </c>
      <c r="N722" t="b">
        <f t="shared" si="77"/>
        <v>0</v>
      </c>
      <c r="O722" t="b">
        <f t="shared" si="77"/>
        <v>0</v>
      </c>
      <c r="P722" t="b">
        <f t="shared" si="78"/>
        <v>1</v>
      </c>
    </row>
    <row r="723" spans="1:16">
      <c r="A723" t="str">
        <v>mu_Coach_Gen1_Clerestory_Regional_Coach</v>
      </c>
      <c r="B723" t="b" cm="1">
        <f t="array" ref="B723">_xlfn.XLOOKUP(A723,CONTROL[VEHIDCODE],PROPERTIES[EXCLUDE])</f>
        <v>0</v>
      </c>
      <c r="C723">
        <f>FLOOR(_xlfn.XLOOKUP($A723,PROPERTIES[VEHIDCODE],PROPERTIES[INTRODUCTION_YEAR]),20)</f>
        <v>1840</v>
      </c>
      <c r="D723" t="str">
        <f>_xlfn.XLOOKUP($A723,PROPERTIES[VEHIDCODE],PROPERTIES[ROLE])</f>
        <v>Coach (Commuter)</v>
      </c>
      <c r="E723" s="35" t="str">
        <f>_xlfn.XLOOKUP($A723,PROPERTIES[VEHIDCODE],PROPERTIES[REGION1])</f>
        <v>ALL_REGION</v>
      </c>
      <c r="F723" s="35" t="str">
        <f>_xlfn.XLOOKUP($A723,PROPERTIES[VEHIDCODE],PROPERTIES[REGION2])</f>
        <v>NO_REGION</v>
      </c>
      <c r="G723" s="35" t="str">
        <f t="shared" si="73"/>
        <v>ALL_REGION_NO_REGION</v>
      </c>
      <c r="H723" t="b">
        <f t="shared" si="74"/>
        <v>1</v>
      </c>
      <c r="I723" t="b">
        <f t="shared" si="75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6"/>
        <v>1</v>
      </c>
      <c r="N723" t="b">
        <f t="shared" si="77"/>
        <v>1</v>
      </c>
      <c r="O723" t="b">
        <f t="shared" si="77"/>
        <v>1</v>
      </c>
      <c r="P723" t="b">
        <f t="shared" si="78"/>
        <v>1</v>
      </c>
    </row>
    <row r="724" spans="1:16">
      <c r="A724" t="str">
        <v>mu_Coach_Gen1_Clerestory_Mail_Coach</v>
      </c>
      <c r="B724" t="b" cm="1">
        <f t="array" ref="B724">_xlfn.XLOOKUP(A724,CONTROL[VEHIDCODE],PROPERTIES[EXCLUDE])</f>
        <v>0</v>
      </c>
      <c r="C724">
        <f>FLOOR(_xlfn.XLOOKUP($A724,PROPERTIES[VEHIDCODE],PROPERTIES[INTRODUCTION_YEAR]),20)</f>
        <v>1840</v>
      </c>
      <c r="D724" t="str">
        <f>_xlfn.XLOOKUP($A724,PROPERTIES[VEHIDCODE],PROPERTIES[ROLE])</f>
        <v>Coach (Mail)</v>
      </c>
      <c r="E724" s="35" t="str">
        <f>_xlfn.XLOOKUP($A724,PROPERTIES[VEHIDCODE],PROPERTIES[REGION1])</f>
        <v>ALL_REGION</v>
      </c>
      <c r="F724" s="35" t="str">
        <f>_xlfn.XLOOKUP($A724,PROPERTIES[VEHIDCODE],PROPERTIES[REGION2])</f>
        <v>NO_REGION</v>
      </c>
      <c r="G724" s="35" t="str">
        <f t="shared" si="73"/>
        <v>ALL_REGION_NO_REGION</v>
      </c>
      <c r="H724" t="b">
        <f t="shared" si="74"/>
        <v>1</v>
      </c>
      <c r="I724" t="b">
        <f t="shared" si="75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6"/>
        <v>1</v>
      </c>
      <c r="N724" t="b">
        <f t="shared" si="77"/>
        <v>1</v>
      </c>
      <c r="O724" t="b">
        <f t="shared" si="77"/>
        <v>1</v>
      </c>
      <c r="P724" t="b">
        <f t="shared" si="78"/>
        <v>1</v>
      </c>
    </row>
    <row r="725" spans="1:16">
      <c r="A725" t="str">
        <v>mu_Coach_Gen1_Wooden_3_axle_Compartment_Coach</v>
      </c>
      <c r="B725" t="b" cm="1">
        <f t="array" ref="B725">_xlfn.XLOOKUP(A725,CONTROL[VEHIDCODE],PROPERTIES[EXCLUDE])</f>
        <v>0</v>
      </c>
      <c r="C725">
        <f>FLOOR(_xlfn.XLOOKUP($A725,PROPERTIES[VEHIDCODE],PROPERTIES[INTRODUCTION_YEAR]),20)</f>
        <v>1840</v>
      </c>
      <c r="D725" t="str">
        <f>_xlfn.XLOOKUP($A725,PROPERTIES[VEHIDCODE],PROPERTIES[ROLE])</f>
        <v>Coach (Commuter)</v>
      </c>
      <c r="E725" s="35" t="str">
        <f>_xlfn.XLOOKUP($A725,PROPERTIES[VEHIDCODE],PROPERTIES[REGION1])</f>
        <v>REGIONTYPE1</v>
      </c>
      <c r="F725" s="35" t="str">
        <f>_xlfn.XLOOKUP($A725,PROPERTIES[VEHIDCODE],PROPERTIES[REGION2])</f>
        <v>OCEANIA</v>
      </c>
      <c r="G725" s="35" t="str">
        <f t="shared" si="73"/>
        <v>REGIONTYPE1_OCEANIA</v>
      </c>
      <c r="H725" t="b">
        <f t="shared" si="74"/>
        <v>1</v>
      </c>
      <c r="I725" t="b">
        <f t="shared" si="75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6"/>
        <v>1</v>
      </c>
      <c r="N725" t="b">
        <f t="shared" si="77"/>
        <v>0</v>
      </c>
      <c r="O725" t="b">
        <f t="shared" si="77"/>
        <v>0</v>
      </c>
      <c r="P725" t="b">
        <f t="shared" si="78"/>
        <v>1</v>
      </c>
    </row>
    <row r="726" spans="1:16">
      <c r="A726" t="str">
        <v>mu_Coach_Gen1_Wooden_3_axle_Regional_Coach</v>
      </c>
      <c r="B726" t="b" cm="1">
        <f t="array" ref="B726">_xlfn.XLOOKUP(A726,CONTROL[VEHIDCODE],PROPERTIES[EXCLUDE])</f>
        <v>0</v>
      </c>
      <c r="C726">
        <f>FLOOR(_xlfn.XLOOKUP($A726,PROPERTIES[VEHIDCODE],PROPERTIES[INTRODUCTION_YEAR]),20)</f>
        <v>1840</v>
      </c>
      <c r="D726" t="str">
        <f>_xlfn.XLOOKUP($A726,PROPERTIES[VEHIDCODE],PROPERTIES[ROLE])</f>
        <v>Coach (Commuter)</v>
      </c>
      <c r="E726" s="35" t="str">
        <f>_xlfn.XLOOKUP($A726,PROPERTIES[VEHIDCODE],PROPERTIES[REGION1])</f>
        <v>REGIONTYPE1</v>
      </c>
      <c r="F726" s="35" t="str">
        <f>_xlfn.XLOOKUP($A726,PROPERTIES[VEHIDCODE],PROPERTIES[REGION2])</f>
        <v>OCEANIA</v>
      </c>
      <c r="G726" s="35" t="str">
        <f t="shared" si="73"/>
        <v>REGIONTYPE1_OCEANIA</v>
      </c>
      <c r="H726" t="b">
        <f t="shared" si="74"/>
        <v>1</v>
      </c>
      <c r="I726" t="b">
        <f t="shared" si="75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6"/>
        <v>1</v>
      </c>
      <c r="N726" t="b">
        <f t="shared" si="77"/>
        <v>0</v>
      </c>
      <c r="O726" t="b">
        <f t="shared" si="77"/>
        <v>0</v>
      </c>
      <c r="P726" t="b">
        <f t="shared" si="78"/>
        <v>1</v>
      </c>
    </row>
    <row r="727" spans="1:16">
      <c r="A727" t="str">
        <v>mu_Coach_Gen1_Wooden_3_axle_Mail_Coach</v>
      </c>
      <c r="B727" t="b" cm="1">
        <f t="array" ref="B727">_xlfn.XLOOKUP(A727,CONTROL[VEHIDCODE],PROPERTIES[EXCLUDE])</f>
        <v>0</v>
      </c>
      <c r="C727">
        <f>FLOOR(_xlfn.XLOOKUP($A727,PROPERTIES[VEHIDCODE],PROPERTIES[INTRODUCTION_YEAR]),20)</f>
        <v>1840</v>
      </c>
      <c r="D727" t="str">
        <f>_xlfn.XLOOKUP($A727,PROPERTIES[VEHIDCODE],PROPERTIES[ROLE])</f>
        <v>Coach (Mail)</v>
      </c>
      <c r="E727" s="35" t="str">
        <f>_xlfn.XLOOKUP($A727,PROPERTIES[VEHIDCODE],PROPERTIES[REGION1])</f>
        <v>REGIONTYPE1</v>
      </c>
      <c r="F727" s="35" t="str">
        <f>_xlfn.XLOOKUP($A727,PROPERTIES[VEHIDCODE],PROPERTIES[REGION2])</f>
        <v>OCEANIA</v>
      </c>
      <c r="G727" s="35" t="str">
        <f t="shared" si="73"/>
        <v>REGIONTYPE1_OCEANIA</v>
      </c>
      <c r="H727" t="b">
        <f t="shared" si="74"/>
        <v>1</v>
      </c>
      <c r="I727" t="b">
        <f t="shared" si="75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6"/>
        <v>1</v>
      </c>
      <c r="N727" t="b">
        <f t="shared" si="77"/>
        <v>0</v>
      </c>
      <c r="O727" t="b">
        <f t="shared" si="77"/>
        <v>0</v>
      </c>
      <c r="P727" t="b">
        <f t="shared" si="78"/>
        <v>1</v>
      </c>
    </row>
    <row r="728" spans="1:16">
      <c r="A728" t="str">
        <v>mu_Coach_Gen2_Heavyweight_Intercity_Coach</v>
      </c>
      <c r="B728" t="b" cm="1">
        <f t="array" ref="B728">_xlfn.XLOOKUP(A728,CONTROL[VEHIDCODE],PROPERTIES[EXCLUDE])</f>
        <v>0</v>
      </c>
      <c r="C728">
        <f>FLOOR(_xlfn.XLOOKUP($A728,PROPERTIES[VEHIDCODE],PROPERTIES[INTRODUCTION_YEAR]),20)</f>
        <v>1900</v>
      </c>
      <c r="D728" t="str">
        <f>_xlfn.XLOOKUP($A728,PROPERTIES[VEHIDCODE],PROPERTIES[ROLE])</f>
        <v>Coach (Commuter)</v>
      </c>
      <c r="E728" s="35" t="str">
        <f>_xlfn.XLOOKUP($A728,PROPERTIES[VEHIDCODE],PROPERTIES[REGION1])</f>
        <v>ALL_AMERICA</v>
      </c>
      <c r="F728" s="35" t="str">
        <f>_xlfn.XLOOKUP($A728,PROPERTIES[VEHIDCODE],PROPERTIES[REGION2])</f>
        <v>OCEANIA</v>
      </c>
      <c r="G728" s="35" t="str">
        <f t="shared" si="73"/>
        <v>ALL_AMERICA_OCEANIA</v>
      </c>
      <c r="H728" t="b">
        <f t="shared" si="74"/>
        <v>0</v>
      </c>
      <c r="I728" t="b">
        <f t="shared" si="75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6"/>
        <v>0</v>
      </c>
      <c r="N728" t="b">
        <f t="shared" si="77"/>
        <v>1</v>
      </c>
      <c r="O728" t="b">
        <f t="shared" si="77"/>
        <v>1</v>
      </c>
      <c r="P728" t="b">
        <f t="shared" si="78"/>
        <v>1</v>
      </c>
    </row>
    <row r="729" spans="1:16">
      <c r="A729" t="str">
        <v>mu_Coach_Gen2_Heavyweight_Mail_Coach</v>
      </c>
      <c r="B729" t="b" cm="1">
        <f t="array" ref="B729">_xlfn.XLOOKUP(A729,CONTROL[VEHIDCODE],PROPERTIES[EXCLUDE])</f>
        <v>0</v>
      </c>
      <c r="C729">
        <f>FLOOR(_xlfn.XLOOKUP($A729,PROPERTIES[VEHIDCODE],PROPERTIES[INTRODUCTION_YEAR]),20)</f>
        <v>1900</v>
      </c>
      <c r="D729" t="str">
        <f>_xlfn.XLOOKUP($A729,PROPERTIES[VEHIDCODE],PROPERTIES[ROLE])</f>
        <v>Coach (Mail)</v>
      </c>
      <c r="E729" s="35" t="str">
        <f>_xlfn.XLOOKUP($A729,PROPERTIES[VEHIDCODE],PROPERTIES[REGION1])</f>
        <v>ALL_AMERICA</v>
      </c>
      <c r="F729" s="35" t="str">
        <f>_xlfn.XLOOKUP($A729,PROPERTIES[VEHIDCODE],PROPERTIES[REGION2])</f>
        <v>OCEANIA</v>
      </c>
      <c r="G729" s="35" t="str">
        <f t="shared" si="73"/>
        <v>ALL_AMERICA_OCEANIA</v>
      </c>
      <c r="H729" t="b">
        <f t="shared" si="74"/>
        <v>0</v>
      </c>
      <c r="I729" t="b">
        <f t="shared" si="75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6"/>
        <v>0</v>
      </c>
      <c r="N729" t="b">
        <f t="shared" si="77"/>
        <v>1</v>
      </c>
      <c r="O729" t="b">
        <f t="shared" si="77"/>
        <v>1</v>
      </c>
      <c r="P729" t="b">
        <f t="shared" si="78"/>
        <v>1</v>
      </c>
    </row>
    <row r="730" spans="1:16">
      <c r="A730" t="str">
        <v>mu_Coach_Gen2_Steel_Intercity_Coach</v>
      </c>
      <c r="B730" t="b" cm="1">
        <f t="array" ref="B730">_xlfn.XLOOKUP(A730,CONTROL[VEHIDCODE],PROPERTIES[EXCLUDE])</f>
        <v>0</v>
      </c>
      <c r="C730">
        <f>FLOOR(_xlfn.XLOOKUP($A730,PROPERTIES[VEHIDCODE],PROPERTIES[INTRODUCTION_YEAR]),20)</f>
        <v>1900</v>
      </c>
      <c r="D730" t="str">
        <f>_xlfn.XLOOKUP($A730,PROPERTIES[VEHIDCODE],PROPERTIES[ROLE])</f>
        <v>Coach (Commuter)</v>
      </c>
      <c r="E730" s="35" t="str">
        <f>_xlfn.XLOOKUP($A730,PROPERTIES[VEHIDCODE],PROPERTIES[REGION1])</f>
        <v>REGIONTYPE1</v>
      </c>
      <c r="F730" s="35" t="str">
        <f>_xlfn.XLOOKUP($A730,PROPERTIES[VEHIDCODE],PROPERTIES[REGION2])</f>
        <v>OCEANIA</v>
      </c>
      <c r="G730" s="35" t="str">
        <f t="shared" si="73"/>
        <v>REGIONTYPE1_OCEANIA</v>
      </c>
      <c r="H730" t="b">
        <f t="shared" si="74"/>
        <v>1</v>
      </c>
      <c r="I730" t="b">
        <f t="shared" si="75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6"/>
        <v>1</v>
      </c>
      <c r="N730" t="b">
        <f t="shared" si="77"/>
        <v>0</v>
      </c>
      <c r="O730" t="b">
        <f t="shared" si="77"/>
        <v>0</v>
      </c>
      <c r="P730" t="b">
        <f t="shared" si="78"/>
        <v>1</v>
      </c>
    </row>
    <row r="731" spans="1:16">
      <c r="A731" t="str">
        <v>mu_Coach_Gen2_Steel_Compartment_Coach</v>
      </c>
      <c r="B731" t="b" cm="1">
        <f t="array" ref="B731">_xlfn.XLOOKUP(A731,CONTROL[VEHIDCODE],PROPERTIES[EXCLUDE])</f>
        <v>0</v>
      </c>
      <c r="C731">
        <f>FLOOR(_xlfn.XLOOKUP($A731,PROPERTIES[VEHIDCODE],PROPERTIES[INTRODUCTION_YEAR]),20)</f>
        <v>1900</v>
      </c>
      <c r="D731" t="str">
        <f>_xlfn.XLOOKUP($A731,PROPERTIES[VEHIDCODE],PROPERTIES[ROLE])</f>
        <v>Coach (Commuter)</v>
      </c>
      <c r="E731" s="35" t="str">
        <f>_xlfn.XLOOKUP($A731,PROPERTIES[VEHIDCODE],PROPERTIES[REGION1])</f>
        <v>REGIONTYPE1</v>
      </c>
      <c r="F731" s="35" t="str">
        <f>_xlfn.XLOOKUP($A731,PROPERTIES[VEHIDCODE],PROPERTIES[REGION2])</f>
        <v>OCEANIA</v>
      </c>
      <c r="G731" s="35" t="str">
        <f t="shared" si="73"/>
        <v>REGIONTYPE1_OCEANIA</v>
      </c>
      <c r="H731" t="b">
        <f t="shared" si="74"/>
        <v>1</v>
      </c>
      <c r="I731" t="b">
        <f t="shared" si="75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6"/>
        <v>1</v>
      </c>
      <c r="N731" t="b">
        <f t="shared" si="77"/>
        <v>0</v>
      </c>
      <c r="O731" t="b">
        <f t="shared" si="77"/>
        <v>0</v>
      </c>
      <c r="P731" t="b">
        <f t="shared" si="78"/>
        <v>1</v>
      </c>
    </row>
    <row r="732" spans="1:16">
      <c r="A732" t="str">
        <v>mu_Coach_Gen2_Steel_Regional_Coach</v>
      </c>
      <c r="B732" t="b" cm="1">
        <f t="array" ref="B732">_xlfn.XLOOKUP(A732,CONTROL[VEHIDCODE],PROPERTIES[EXCLUDE])</f>
        <v>0</v>
      </c>
      <c r="C732">
        <f>FLOOR(_xlfn.XLOOKUP($A732,PROPERTIES[VEHIDCODE],PROPERTIES[INTRODUCTION_YEAR]),20)</f>
        <v>1900</v>
      </c>
      <c r="D732" t="str">
        <f>_xlfn.XLOOKUP($A732,PROPERTIES[VEHIDCODE],PROPERTIES[ROLE])</f>
        <v>Coach (Commuter)</v>
      </c>
      <c r="E732" s="35" t="str">
        <f>_xlfn.XLOOKUP($A732,PROPERTIES[VEHIDCODE],PROPERTIES[REGION1])</f>
        <v>REGIONTYPE1</v>
      </c>
      <c r="F732" s="35" t="str">
        <f>_xlfn.XLOOKUP($A732,PROPERTIES[VEHIDCODE],PROPERTIES[REGION2])</f>
        <v>OCEANIA</v>
      </c>
      <c r="G732" s="35" t="str">
        <f t="shared" si="73"/>
        <v>REGIONTYPE1_OCEANIA</v>
      </c>
      <c r="H732" t="b">
        <f t="shared" si="74"/>
        <v>1</v>
      </c>
      <c r="I732" t="b">
        <f t="shared" si="75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6"/>
        <v>1</v>
      </c>
      <c r="N732" t="b">
        <f t="shared" si="77"/>
        <v>0</v>
      </c>
      <c r="O732" t="b">
        <f t="shared" si="77"/>
        <v>0</v>
      </c>
      <c r="P732" t="b">
        <f t="shared" si="78"/>
        <v>1</v>
      </c>
    </row>
    <row r="733" spans="1:16">
      <c r="A733" t="str">
        <v>mu_Coach_Gen2_Steel_Mail_Coach</v>
      </c>
      <c r="B733" t="b" cm="1">
        <f t="array" ref="B733">_xlfn.XLOOKUP(A733,CONTROL[VEHIDCODE],PROPERTIES[EXCLUDE])</f>
        <v>0</v>
      </c>
      <c r="C733">
        <f>FLOOR(_xlfn.XLOOKUP($A733,PROPERTIES[VEHIDCODE],PROPERTIES[INTRODUCTION_YEAR]),20)</f>
        <v>1900</v>
      </c>
      <c r="D733" t="str">
        <f>_xlfn.XLOOKUP($A733,PROPERTIES[VEHIDCODE],PROPERTIES[ROLE])</f>
        <v>Coach (Mail)</v>
      </c>
      <c r="E733" s="35" t="str">
        <f>_xlfn.XLOOKUP($A733,PROPERTIES[VEHIDCODE],PROPERTIES[REGION1])</f>
        <v>REGIONTYPE1</v>
      </c>
      <c r="F733" s="35" t="str">
        <f>_xlfn.XLOOKUP($A733,PROPERTIES[VEHIDCODE],PROPERTIES[REGION2])</f>
        <v>OCEANIA</v>
      </c>
      <c r="G733" s="35" t="str">
        <f t="shared" si="73"/>
        <v>REGIONTYPE1_OCEANIA</v>
      </c>
      <c r="H733" t="b">
        <f t="shared" si="74"/>
        <v>1</v>
      </c>
      <c r="I733" t="b">
        <f t="shared" si="75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6"/>
        <v>1</v>
      </c>
      <c r="N733" t="b">
        <f t="shared" si="77"/>
        <v>0</v>
      </c>
      <c r="O733" t="b">
        <f t="shared" si="77"/>
        <v>0</v>
      </c>
      <c r="P733" t="b">
        <f t="shared" si="78"/>
        <v>1</v>
      </c>
    </row>
    <row r="734" spans="1:16">
      <c r="A734" t="str">
        <v>mu_Coach_Gen2_Steel_2_axle_Compartment_Coach</v>
      </c>
      <c r="B734" t="b" cm="1">
        <f t="array" ref="B734">_xlfn.XLOOKUP(A734,CONTROL[VEHIDCODE],PROPERTIES[EXCLUDE])</f>
        <v>0</v>
      </c>
      <c r="C734">
        <f>FLOOR(_xlfn.XLOOKUP($A734,PROPERTIES[VEHIDCODE],PROPERTIES[INTRODUCTION_YEAR]),20)</f>
        <v>1920</v>
      </c>
      <c r="D734" t="str">
        <f>_xlfn.XLOOKUP($A734,PROPERTIES[VEHIDCODE],PROPERTIES[ROLE])</f>
        <v>Coach (Commuter)</v>
      </c>
      <c r="E734" s="35" t="str">
        <f>_xlfn.XLOOKUP($A734,PROPERTIES[VEHIDCODE],PROPERTIES[REGION1])</f>
        <v>REGIONTYPE1</v>
      </c>
      <c r="F734" s="35" t="str">
        <f>_xlfn.XLOOKUP($A734,PROPERTIES[VEHIDCODE],PROPERTIES[REGION2])</f>
        <v>OCEANIA</v>
      </c>
      <c r="G734" s="35" t="str">
        <f t="shared" si="73"/>
        <v>REGIONTYPE1_OCEANIA</v>
      </c>
      <c r="H734" t="b">
        <f t="shared" si="74"/>
        <v>1</v>
      </c>
      <c r="I734" t="b">
        <f t="shared" si="75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6"/>
        <v>1</v>
      </c>
      <c r="N734" t="b">
        <f t="shared" si="77"/>
        <v>0</v>
      </c>
      <c r="O734" t="b">
        <f t="shared" si="77"/>
        <v>0</v>
      </c>
      <c r="P734" t="b">
        <f t="shared" si="78"/>
        <v>1</v>
      </c>
    </row>
    <row r="735" spans="1:16">
      <c r="A735" t="str">
        <v>mu_Coach_Gen2_Steel_2_axle_Regional_Coach</v>
      </c>
      <c r="B735" t="b" cm="1">
        <f t="array" ref="B735">_xlfn.XLOOKUP(A735,CONTROL[VEHIDCODE],PROPERTIES[EXCLUDE])</f>
        <v>0</v>
      </c>
      <c r="C735">
        <f>FLOOR(_xlfn.XLOOKUP($A735,PROPERTIES[VEHIDCODE],PROPERTIES[INTRODUCTION_YEAR]),20)</f>
        <v>1920</v>
      </c>
      <c r="D735" t="str">
        <f>_xlfn.XLOOKUP($A735,PROPERTIES[VEHIDCODE],PROPERTIES[ROLE])</f>
        <v>Coach (Commuter)</v>
      </c>
      <c r="E735" s="35" t="str">
        <f>_xlfn.XLOOKUP($A735,PROPERTIES[VEHIDCODE],PROPERTIES[REGION1])</f>
        <v>ALL_REGION</v>
      </c>
      <c r="F735" s="35" t="str">
        <f>_xlfn.XLOOKUP($A735,PROPERTIES[VEHIDCODE],PROPERTIES[REGION2])</f>
        <v>NO_REGION</v>
      </c>
      <c r="G735" s="35" t="str">
        <f t="shared" si="73"/>
        <v>ALL_REGION_NO_REGION</v>
      </c>
      <c r="H735" t="b">
        <f t="shared" si="74"/>
        <v>1</v>
      </c>
      <c r="I735" t="b">
        <f t="shared" si="75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6"/>
        <v>1</v>
      </c>
      <c r="N735" t="b">
        <f t="shared" si="77"/>
        <v>1</v>
      </c>
      <c r="O735" t="b">
        <f t="shared" si="77"/>
        <v>1</v>
      </c>
      <c r="P735" t="b">
        <f t="shared" si="78"/>
        <v>1</v>
      </c>
    </row>
    <row r="736" spans="1:16">
      <c r="A736" t="str">
        <v>mu_Coach_Gen2_Steel_2_axle_Mail_Coach</v>
      </c>
      <c r="B736" t="b" cm="1">
        <f t="array" ref="B736">_xlfn.XLOOKUP(A736,CONTROL[VEHIDCODE],PROPERTIES[EXCLUDE])</f>
        <v>0</v>
      </c>
      <c r="C736">
        <f>FLOOR(_xlfn.XLOOKUP($A736,PROPERTIES[VEHIDCODE],PROPERTIES[INTRODUCTION_YEAR]),20)</f>
        <v>1920</v>
      </c>
      <c r="D736" t="str">
        <f>_xlfn.XLOOKUP($A736,PROPERTIES[VEHIDCODE],PROPERTIES[ROLE])</f>
        <v>Coach (Mail)</v>
      </c>
      <c r="E736" s="35" t="str">
        <f>_xlfn.XLOOKUP($A736,PROPERTIES[VEHIDCODE],PROPERTIES[REGION1])</f>
        <v>ALL_REGION</v>
      </c>
      <c r="F736" s="35" t="str">
        <f>_xlfn.XLOOKUP($A736,PROPERTIES[VEHIDCODE],PROPERTIES[REGION2])</f>
        <v>NO_REGION</v>
      </c>
      <c r="G736" s="35" t="str">
        <f t="shared" si="73"/>
        <v>ALL_REGION_NO_REGION</v>
      </c>
      <c r="H736" t="b">
        <f t="shared" si="74"/>
        <v>1</v>
      </c>
      <c r="I736" t="b">
        <f t="shared" si="75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6"/>
        <v>1</v>
      </c>
      <c r="N736" t="b">
        <f t="shared" si="77"/>
        <v>1</v>
      </c>
      <c r="O736" t="b">
        <f t="shared" si="77"/>
        <v>1</v>
      </c>
      <c r="P736" t="b">
        <f t="shared" si="78"/>
        <v>1</v>
      </c>
    </row>
    <row r="737" spans="1:16">
      <c r="A737" t="str">
        <v>mu_Coach_Gen2_Steel_3_axle_Compartment_Coach</v>
      </c>
      <c r="B737" t="b" cm="1">
        <f t="array" ref="B737">_xlfn.XLOOKUP(A737,CONTROL[VEHIDCODE],PROPERTIES[EXCLUDE])</f>
        <v>0</v>
      </c>
      <c r="C737">
        <f>FLOOR(_xlfn.XLOOKUP($A737,PROPERTIES[VEHIDCODE],PROPERTIES[INTRODUCTION_YEAR]),20)</f>
        <v>1920</v>
      </c>
      <c r="D737" t="str">
        <f>_xlfn.XLOOKUP($A737,PROPERTIES[VEHIDCODE],PROPERTIES[ROLE])</f>
        <v>Coach (Commuter)</v>
      </c>
      <c r="E737" s="35" t="str">
        <f>_xlfn.XLOOKUP($A737,PROPERTIES[VEHIDCODE],PROPERTIES[REGION1])</f>
        <v>REGIONTYPE1</v>
      </c>
      <c r="F737" s="35" t="str">
        <f>_xlfn.XLOOKUP($A737,PROPERTIES[VEHIDCODE],PROPERTIES[REGION2])</f>
        <v>OCEANIA</v>
      </c>
      <c r="G737" s="35" t="str">
        <f t="shared" si="73"/>
        <v>REGIONTYPE1_OCEANIA</v>
      </c>
      <c r="H737" t="b">
        <f t="shared" si="74"/>
        <v>1</v>
      </c>
      <c r="I737" t="b">
        <f t="shared" si="75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6"/>
        <v>1</v>
      </c>
      <c r="N737" t="b">
        <f t="shared" si="77"/>
        <v>0</v>
      </c>
      <c r="O737" t="b">
        <f t="shared" si="77"/>
        <v>0</v>
      </c>
      <c r="P737" t="b">
        <f t="shared" si="78"/>
        <v>1</v>
      </c>
    </row>
    <row r="738" spans="1:16">
      <c r="A738" t="str">
        <v>mu_Coach_Gen2_Steel_3_axle_Regional_Coach</v>
      </c>
      <c r="B738" t="b" cm="1">
        <f t="array" ref="B738">_xlfn.XLOOKUP(A738,CONTROL[VEHIDCODE],PROPERTIES[EXCLUDE])</f>
        <v>0</v>
      </c>
      <c r="C738">
        <f>FLOOR(_xlfn.XLOOKUP($A738,PROPERTIES[VEHIDCODE],PROPERTIES[INTRODUCTION_YEAR]),20)</f>
        <v>1920</v>
      </c>
      <c r="D738" t="str">
        <f>_xlfn.XLOOKUP($A738,PROPERTIES[VEHIDCODE],PROPERTIES[ROLE])</f>
        <v>Coach (Commuter)</v>
      </c>
      <c r="E738" s="35" t="str">
        <f>_xlfn.XLOOKUP($A738,PROPERTIES[VEHIDCODE],PROPERTIES[REGION1])</f>
        <v>REGIONTYPE1</v>
      </c>
      <c r="F738" s="35" t="str">
        <f>_xlfn.XLOOKUP($A738,PROPERTIES[VEHIDCODE],PROPERTIES[REGION2])</f>
        <v>OCEANIA</v>
      </c>
      <c r="G738" s="35" t="str">
        <f t="shared" si="73"/>
        <v>REGIONTYPE1_OCEANIA</v>
      </c>
      <c r="H738" t="b">
        <f t="shared" si="74"/>
        <v>1</v>
      </c>
      <c r="I738" t="b">
        <f t="shared" si="75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6"/>
        <v>1</v>
      </c>
      <c r="N738" t="b">
        <f t="shared" si="77"/>
        <v>0</v>
      </c>
      <c r="O738" t="b">
        <f t="shared" si="77"/>
        <v>0</v>
      </c>
      <c r="P738" t="b">
        <f t="shared" si="78"/>
        <v>1</v>
      </c>
    </row>
    <row r="739" spans="1:16">
      <c r="A739" t="str">
        <v>mu_Coach_Gen2_Steel_3_axle_Mail_Coach</v>
      </c>
      <c r="B739" t="b" cm="1">
        <f t="array" ref="B739">_xlfn.XLOOKUP(A739,CONTROL[VEHIDCODE],PROPERTIES[EXCLUDE])</f>
        <v>0</v>
      </c>
      <c r="C739">
        <f>FLOOR(_xlfn.XLOOKUP($A739,PROPERTIES[VEHIDCODE],PROPERTIES[INTRODUCTION_YEAR]),20)</f>
        <v>1920</v>
      </c>
      <c r="D739" t="str">
        <f>_xlfn.XLOOKUP($A739,PROPERTIES[VEHIDCODE],PROPERTIES[ROLE])</f>
        <v>Coach (Mail)</v>
      </c>
      <c r="E739" s="35" t="str">
        <f>_xlfn.XLOOKUP($A739,PROPERTIES[VEHIDCODE],PROPERTIES[REGION1])</f>
        <v>REGIONTYPE1</v>
      </c>
      <c r="F739" s="35" t="str">
        <f>_xlfn.XLOOKUP($A739,PROPERTIES[VEHIDCODE],PROPERTIES[REGION2])</f>
        <v>OCEANIA</v>
      </c>
      <c r="G739" s="35" t="str">
        <f t="shared" si="73"/>
        <v>REGIONTYPE1_OCEANIA</v>
      </c>
      <c r="H739" t="b">
        <f t="shared" si="74"/>
        <v>1</v>
      </c>
      <c r="I739" t="b">
        <f t="shared" si="75"/>
        <v>1</v>
      </c>
      <c r="J739" t="b">
        <f t="shared" ref="J739:M770" si="79">OR(ISNUMBER(SEARCH("ALL_REGION",$G739)),
ISNUMBER(SEARCH("ALL_EUROPE",$G739)),
ISNUMBER(SEARCH(J$1,$G739)),
ISNUMBER(SEARCH("REGIONTYPE1",$G739)))</f>
        <v>1</v>
      </c>
      <c r="K739" t="b">
        <f t="shared" si="79"/>
        <v>1</v>
      </c>
      <c r="L739" t="b">
        <f t="shared" si="79"/>
        <v>1</v>
      </c>
      <c r="M739" t="b">
        <f t="shared" si="79"/>
        <v>1</v>
      </c>
      <c r="N739" t="b">
        <f t="shared" ref="N739:O770" si="80">OR(ISNUMBER(SEARCH("ALL_REGION",$G739)),
ISNUMBER(SEARCH("ALL_AMERICA",$G739)),
ISNUMBER(SEARCH(N$1,$G739)),
ISNUMBER(SEARCH("REGIONTYPE2",$G739)))</f>
        <v>0</v>
      </c>
      <c r="O739" t="b">
        <f t="shared" si="80"/>
        <v>0</v>
      </c>
      <c r="P739" t="b">
        <f t="shared" si="78"/>
        <v>1</v>
      </c>
    </row>
    <row r="740" spans="1:16">
      <c r="A740" t="str">
        <v>mu_Coach_Gen3_Steel_Lightweight_Intercity_Coach</v>
      </c>
      <c r="B740" t="b" cm="1">
        <f t="array" ref="B740">_xlfn.XLOOKUP(A740,CONTROL[VEHIDCODE],PROPERTIES[EXCLUDE])</f>
        <v>0</v>
      </c>
      <c r="C740">
        <f>FLOOR(_xlfn.XLOOKUP($A740,PROPERTIES[VEHIDCODE],PROPERTIES[INTRODUCTION_YEAR]),20)</f>
        <v>1920</v>
      </c>
      <c r="D740" t="str">
        <f>_xlfn.XLOOKUP($A740,PROPERTIES[VEHIDCODE],PROPERTIES[ROLE])</f>
        <v>Coach (Commuter)</v>
      </c>
      <c r="E740" s="35" t="str">
        <f>_xlfn.XLOOKUP($A740,PROPERTIES[VEHIDCODE],PROPERTIES[REGION1])</f>
        <v>REGIONTYPE3</v>
      </c>
      <c r="F740" s="35" t="str">
        <f>_xlfn.XLOOKUP($A740,PROPERTIES[VEHIDCODE],PROPERTIES[REGION2])</f>
        <v>ALL_AMERICA</v>
      </c>
      <c r="G740" s="35" t="str">
        <f t="shared" si="73"/>
        <v>REGIONTYPE3_ALL_AMERICA</v>
      </c>
      <c r="H740" t="b">
        <f t="shared" si="74"/>
        <v>0</v>
      </c>
      <c r="I740" t="b">
        <f t="shared" si="75"/>
        <v>1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79"/>
        <v>0</v>
      </c>
      <c r="N740" t="b">
        <f t="shared" si="80"/>
        <v>1</v>
      </c>
      <c r="O740" t="b">
        <f t="shared" si="80"/>
        <v>1</v>
      </c>
      <c r="P740" t="b">
        <f t="shared" si="78"/>
        <v>1</v>
      </c>
    </row>
    <row r="741" spans="1:16">
      <c r="A741" t="str">
        <v>mu_Coach_Gen3_Steel_Lightweight_Regional_Coach</v>
      </c>
      <c r="B741" t="b" cm="1">
        <f t="array" ref="B741">_xlfn.XLOOKUP(A741,CONTROL[VEHIDCODE],PROPERTIES[EXCLUDE])</f>
        <v>0</v>
      </c>
      <c r="C741">
        <f>FLOOR(_xlfn.XLOOKUP($A741,PROPERTIES[VEHIDCODE],PROPERTIES[INTRODUCTION_YEAR]),20)</f>
        <v>1920</v>
      </c>
      <c r="D741" t="str">
        <f>_xlfn.XLOOKUP($A741,PROPERTIES[VEHIDCODE],PROPERTIES[ROLE])</f>
        <v>Coach (Commuter)</v>
      </c>
      <c r="E741" s="35" t="str">
        <f>_xlfn.XLOOKUP($A741,PROPERTIES[VEHIDCODE],PROPERTIES[REGION1])</f>
        <v>REGIONTYPE3</v>
      </c>
      <c r="F741" s="35" t="str">
        <f>_xlfn.XLOOKUP($A741,PROPERTIES[VEHIDCODE],PROPERTIES[REGION2])</f>
        <v>ALL_AMERICA</v>
      </c>
      <c r="G741" s="35" t="str">
        <f t="shared" si="73"/>
        <v>REGIONTYPE3_ALL_AMERICA</v>
      </c>
      <c r="H741" t="b">
        <f t="shared" si="74"/>
        <v>0</v>
      </c>
      <c r="I741" t="b">
        <f t="shared" si="75"/>
        <v>1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79"/>
        <v>0</v>
      </c>
      <c r="N741" t="b">
        <f t="shared" si="80"/>
        <v>1</v>
      </c>
      <c r="O741" t="b">
        <f t="shared" si="80"/>
        <v>1</v>
      </c>
      <c r="P741" t="b">
        <f t="shared" si="78"/>
        <v>1</v>
      </c>
    </row>
    <row r="742" spans="1:16">
      <c r="A742" t="str">
        <v>mu_Coach_Gen3_Steel_Lightweight_Mail_Coach</v>
      </c>
      <c r="B742" t="b" cm="1">
        <f t="array" ref="B742">_xlfn.XLOOKUP(A742,CONTROL[VEHIDCODE],PROPERTIES[EXCLUDE])</f>
        <v>0</v>
      </c>
      <c r="C742">
        <f>FLOOR(_xlfn.XLOOKUP($A742,PROPERTIES[VEHIDCODE],PROPERTIES[INTRODUCTION_YEAR]),20)</f>
        <v>1920</v>
      </c>
      <c r="D742" t="str">
        <f>_xlfn.XLOOKUP($A742,PROPERTIES[VEHIDCODE],PROPERTIES[ROLE])</f>
        <v>Coach (Mail)</v>
      </c>
      <c r="E742" s="35" t="str">
        <f>_xlfn.XLOOKUP($A742,PROPERTIES[VEHIDCODE],PROPERTIES[REGION1])</f>
        <v>REGIONTYPE3</v>
      </c>
      <c r="F742" s="35" t="str">
        <f>_xlfn.XLOOKUP($A742,PROPERTIES[VEHIDCODE],PROPERTIES[REGION2])</f>
        <v>ALL_AMERICA</v>
      </c>
      <c r="G742" s="35" t="str">
        <f t="shared" si="73"/>
        <v>REGIONTYPE3_ALL_AMERICA</v>
      </c>
      <c r="H742" t="b">
        <f t="shared" si="74"/>
        <v>0</v>
      </c>
      <c r="I742" t="b">
        <f t="shared" si="75"/>
        <v>1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79"/>
        <v>0</v>
      </c>
      <c r="N742" t="b">
        <f t="shared" si="80"/>
        <v>1</v>
      </c>
      <c r="O742" t="b">
        <f t="shared" si="80"/>
        <v>1</v>
      </c>
      <c r="P742" t="b">
        <f t="shared" si="78"/>
        <v>1</v>
      </c>
    </row>
    <row r="743" spans="1:16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>
        <f>FLOOR(_xlfn.XLOOKUP($A743,PROPERTIES[VEHIDCODE],PROPERTIES[INTRODUCTION_YEAR]),20)</f>
        <v>1940</v>
      </c>
      <c r="D743" t="str">
        <f>_xlfn.XLOOKUP($A743,PROPERTIES[VEHIDCODE],PROPERTIES[ROLE])</f>
        <v>Coach (Express)</v>
      </c>
      <c r="E743" s="35" t="str">
        <f>_xlfn.XLOOKUP($A743,PROPERTIES[VEHIDCODE],PROPERTIES[REGION1])</f>
        <v>REGIONTYPE1</v>
      </c>
      <c r="F743" s="35" t="str">
        <f>_xlfn.XLOOKUP($A743,PROPERTIES[VEHIDCODE],PROPERTIES[REGION2])</f>
        <v>OCEANIA</v>
      </c>
      <c r="G743" s="35" t="str">
        <f t="shared" si="73"/>
        <v>REGIONTYPE1_OCEANIA</v>
      </c>
      <c r="H743" t="b">
        <f t="shared" si="74"/>
        <v>1</v>
      </c>
      <c r="I743" t="b">
        <f t="shared" si="75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79"/>
        <v>1</v>
      </c>
      <c r="N743" t="b">
        <f t="shared" si="80"/>
        <v>0</v>
      </c>
      <c r="O743" t="b">
        <f t="shared" si="80"/>
        <v>0</v>
      </c>
      <c r="P743" t="b">
        <f t="shared" si="78"/>
        <v>1</v>
      </c>
    </row>
    <row r="744" spans="1:16">
      <c r="A744" t="str">
        <v>mu_Coach_Gen3_Aluminium_Lightweight_Regional_Coach</v>
      </c>
      <c r="B744" t="b" cm="1">
        <f t="array" ref="B744">_xlfn.XLOOKUP(A744,CONTROL[VEHIDCODE],PROPERTIES[EXCLUDE])</f>
        <v>0</v>
      </c>
      <c r="C744">
        <f>FLOOR(_xlfn.XLOOKUP($A744,PROPERTIES[VEHIDCODE],PROPERTIES[INTRODUCTION_YEAR]),20)</f>
        <v>1940</v>
      </c>
      <c r="D744" t="str">
        <f>_xlfn.XLOOKUP($A744,PROPERTIES[VEHIDCODE],PROPERTIES[ROLE])</f>
        <v>Coach (Commuter)</v>
      </c>
      <c r="E744" s="35" t="str">
        <f>_xlfn.XLOOKUP($A744,PROPERTIES[VEHIDCODE],PROPERTIES[REGION1])</f>
        <v>ALL_AMERICA</v>
      </c>
      <c r="F744" s="35" t="str">
        <f>_xlfn.XLOOKUP($A744,PROPERTIES[VEHIDCODE],PROPERTIES[REGION2])</f>
        <v>OCEANIA</v>
      </c>
      <c r="G744" s="35" t="str">
        <f t="shared" si="73"/>
        <v>ALL_AMERICA_OCEANIA</v>
      </c>
      <c r="H744" t="b">
        <f t="shared" si="74"/>
        <v>0</v>
      </c>
      <c r="I744" t="b">
        <f t="shared" si="75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79"/>
        <v>0</v>
      </c>
      <c r="N744" t="b">
        <f t="shared" si="80"/>
        <v>1</v>
      </c>
      <c r="O744" t="b">
        <f t="shared" si="80"/>
        <v>1</v>
      </c>
      <c r="P744" t="b">
        <f t="shared" si="78"/>
        <v>1</v>
      </c>
    </row>
    <row r="745" spans="1:16">
      <c r="A745" t="str">
        <v>mu_Coach_Gen3_Aluminium_Lightweight_Mail_Coach</v>
      </c>
      <c r="B745" t="b" cm="1">
        <f t="array" ref="B745">_xlfn.XLOOKUP(A745,CONTROL[VEHIDCODE],PROPERTIES[EXCLUDE])</f>
        <v>0</v>
      </c>
      <c r="C745">
        <f>FLOOR(_xlfn.XLOOKUP($A745,PROPERTIES[VEHIDCODE],PROPERTIES[INTRODUCTION_YEAR]),20)</f>
        <v>1940</v>
      </c>
      <c r="D745" t="str">
        <f>_xlfn.XLOOKUP($A745,PROPERTIES[VEHIDCODE],PROPERTIES[ROLE])</f>
        <v>Coach (Mail)</v>
      </c>
      <c r="E745" s="35" t="str">
        <f>_xlfn.XLOOKUP($A745,PROPERTIES[VEHIDCODE],PROPERTIES[REGION1])</f>
        <v>ALL_AMERICA</v>
      </c>
      <c r="F745" s="35" t="str">
        <f>_xlfn.XLOOKUP($A745,PROPERTIES[VEHIDCODE],PROPERTIES[REGION2])</f>
        <v>OCEANIA</v>
      </c>
      <c r="G745" s="35" t="str">
        <f t="shared" si="73"/>
        <v>ALL_AMERICA_OCEANIA</v>
      </c>
      <c r="H745" t="b">
        <f t="shared" si="74"/>
        <v>0</v>
      </c>
      <c r="I745" t="b">
        <f t="shared" si="75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79"/>
        <v>0</v>
      </c>
      <c r="N745" t="b">
        <f t="shared" si="80"/>
        <v>1</v>
      </c>
      <c r="O745" t="b">
        <f t="shared" si="80"/>
        <v>1</v>
      </c>
      <c r="P745" t="b">
        <f t="shared" si="78"/>
        <v>1</v>
      </c>
    </row>
    <row r="746" spans="1:16">
      <c r="A746" t="str">
        <v>mu_Coach_Gen3_Gallery_Car</v>
      </c>
      <c r="B746" t="b" cm="1">
        <f t="array" ref="B746">_xlfn.XLOOKUP(A746,CONTROL[VEHIDCODE],PROPERTIES[EXCLUDE])</f>
        <v>0</v>
      </c>
      <c r="C746">
        <f>FLOOR(_xlfn.XLOOKUP($A746,PROPERTIES[VEHIDCODE],PROPERTIES[INTRODUCTION_YEAR]),20)</f>
        <v>1940</v>
      </c>
      <c r="D746" t="str">
        <f>_xlfn.XLOOKUP($A746,PROPERTIES[VEHIDCODE],PROPERTIES[ROLE])</f>
        <v>Coach (Commuter)</v>
      </c>
      <c r="E746" s="35" t="str">
        <f>_xlfn.XLOOKUP($A746,PROPERTIES[VEHIDCODE],PROPERTIES[REGION1])</f>
        <v>ALL_AMERICA</v>
      </c>
      <c r="F746" s="35" t="str">
        <f>_xlfn.XLOOKUP($A746,PROPERTIES[VEHIDCODE],PROPERTIES[REGION2])</f>
        <v>OCEANIA</v>
      </c>
      <c r="G746" s="35" t="str">
        <f t="shared" si="73"/>
        <v>ALL_AMERICA_OCEANIA</v>
      </c>
      <c r="H746" t="b">
        <f t="shared" si="74"/>
        <v>0</v>
      </c>
      <c r="I746" t="b">
        <f t="shared" si="75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79"/>
        <v>0</v>
      </c>
      <c r="N746" t="b">
        <f t="shared" si="80"/>
        <v>1</v>
      </c>
      <c r="O746" t="b">
        <f t="shared" si="80"/>
        <v>1</v>
      </c>
      <c r="P746" t="b">
        <f t="shared" si="78"/>
        <v>1</v>
      </c>
    </row>
    <row r="747" spans="1:16">
      <c r="A747" t="str">
        <v>mu_Coach_Gen3_Mk1_Intercity_Coach</v>
      </c>
      <c r="B747" t="b" cm="1">
        <f t="array" ref="B747">_xlfn.XLOOKUP(A747,CONTROL[VEHIDCODE],PROPERTIES[EXCLUDE])</f>
        <v>0</v>
      </c>
      <c r="C747">
        <f>FLOOR(_xlfn.XLOOKUP($A747,PROPERTIES[VEHIDCODE],PROPERTIES[INTRODUCTION_YEAR]),20)</f>
        <v>1940</v>
      </c>
      <c r="D747" t="str">
        <f>_xlfn.XLOOKUP($A747,PROPERTIES[VEHIDCODE],PROPERTIES[ROLE])</f>
        <v>Coach (Commuter)</v>
      </c>
      <c r="E747" s="35" t="str">
        <f>_xlfn.XLOOKUP($A747,PROPERTIES[VEHIDCODE],PROPERTIES[REGION1])</f>
        <v>REGIONTYPE1</v>
      </c>
      <c r="F747" s="35" t="str">
        <f>_xlfn.XLOOKUP($A747,PROPERTIES[VEHIDCODE],PROPERTIES[REGION2])</f>
        <v>NO_REGION</v>
      </c>
      <c r="G747" s="35" t="str">
        <f t="shared" si="73"/>
        <v>REGIONTYPE1_NO_REGION</v>
      </c>
      <c r="H747" t="b">
        <f t="shared" si="74"/>
        <v>1</v>
      </c>
      <c r="I747" t="b">
        <f t="shared" si="75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79"/>
        <v>1</v>
      </c>
      <c r="N747" t="b">
        <f t="shared" si="80"/>
        <v>0</v>
      </c>
      <c r="O747" t="b">
        <f t="shared" si="80"/>
        <v>0</v>
      </c>
      <c r="P747" t="b">
        <f t="shared" si="78"/>
        <v>0</v>
      </c>
    </row>
    <row r="748" spans="1:16">
      <c r="A748" t="str">
        <v>mu_Coach_Gen3_Mk1_Regional_Coach</v>
      </c>
      <c r="B748" t="b" cm="1">
        <f t="array" ref="B748">_xlfn.XLOOKUP(A748,CONTROL[VEHIDCODE],PROPERTIES[EXCLUDE])</f>
        <v>0</v>
      </c>
      <c r="C748">
        <f>FLOOR(_xlfn.XLOOKUP($A748,PROPERTIES[VEHIDCODE],PROPERTIES[INTRODUCTION_YEAR]),20)</f>
        <v>1940</v>
      </c>
      <c r="D748" t="str">
        <f>_xlfn.XLOOKUP($A748,PROPERTIES[VEHIDCODE],PROPERTIES[ROLE])</f>
        <v>Coach (Commuter)</v>
      </c>
      <c r="E748" s="35" t="str">
        <f>_xlfn.XLOOKUP($A748,PROPERTIES[VEHIDCODE],PROPERTIES[REGION1])</f>
        <v>REGIONTYPE1</v>
      </c>
      <c r="F748" s="35" t="str">
        <f>_xlfn.XLOOKUP($A748,PROPERTIES[VEHIDCODE],PROPERTIES[REGION2])</f>
        <v>NO_REGION</v>
      </c>
      <c r="G748" s="35" t="str">
        <f t="shared" si="73"/>
        <v>REGIONTYPE1_NO_REGION</v>
      </c>
      <c r="H748" t="b">
        <f t="shared" si="74"/>
        <v>1</v>
      </c>
      <c r="I748" t="b">
        <f t="shared" si="75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79"/>
        <v>1</v>
      </c>
      <c r="N748" t="b">
        <f t="shared" si="80"/>
        <v>0</v>
      </c>
      <c r="O748" t="b">
        <f t="shared" si="80"/>
        <v>0</v>
      </c>
      <c r="P748" t="b">
        <f t="shared" si="78"/>
        <v>0</v>
      </c>
    </row>
    <row r="749" spans="1:16">
      <c r="A749" t="str">
        <v>mu_Coach_Gen3_Mk1_Mail_Coach</v>
      </c>
      <c r="B749" t="b" cm="1">
        <f t="array" ref="B749">_xlfn.XLOOKUP(A749,CONTROL[VEHIDCODE],PROPERTIES[EXCLUDE])</f>
        <v>0</v>
      </c>
      <c r="C749">
        <f>FLOOR(_xlfn.XLOOKUP($A749,PROPERTIES[VEHIDCODE],PROPERTIES[INTRODUCTION_YEAR]),20)</f>
        <v>1940</v>
      </c>
      <c r="D749" t="str">
        <f>_xlfn.XLOOKUP($A749,PROPERTIES[VEHIDCODE],PROPERTIES[ROLE])</f>
        <v>Coach (Mail)</v>
      </c>
      <c r="E749" s="35" t="str">
        <f>_xlfn.XLOOKUP($A749,PROPERTIES[VEHIDCODE],PROPERTIES[REGION1])</f>
        <v>REGIONTYPE1</v>
      </c>
      <c r="F749" s="35" t="str">
        <f>_xlfn.XLOOKUP($A749,PROPERTIES[VEHIDCODE],PROPERTIES[REGION2])</f>
        <v>NO_REGION</v>
      </c>
      <c r="G749" s="35" t="str">
        <f t="shared" si="73"/>
        <v>REGIONTYPE1_NO_REGION</v>
      </c>
      <c r="H749" t="b">
        <f t="shared" si="74"/>
        <v>1</v>
      </c>
      <c r="I749" t="b">
        <f t="shared" si="75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79"/>
        <v>1</v>
      </c>
      <c r="N749" t="b">
        <f t="shared" si="80"/>
        <v>0</v>
      </c>
      <c r="O749" t="b">
        <f t="shared" si="80"/>
        <v>0</v>
      </c>
      <c r="P749" t="b">
        <f t="shared" si="78"/>
        <v>0</v>
      </c>
    </row>
    <row r="750" spans="1:16">
      <c r="A750" t="str">
        <v>mu_Coach_Gen3_UIC_X_Intercity_Coach</v>
      </c>
      <c r="B750" t="b" cm="1">
        <f t="array" ref="B750">_xlfn.XLOOKUP(A750,CONTROL[VEHIDCODE],PROPERTIES[EXCLUDE])</f>
        <v>0</v>
      </c>
      <c r="C750">
        <f>FLOOR(_xlfn.XLOOKUP($A750,PROPERTIES[VEHIDCODE],PROPERTIES[INTRODUCTION_YEAR]),20)</f>
        <v>1940</v>
      </c>
      <c r="D750" t="str">
        <f>_xlfn.XLOOKUP($A750,PROPERTIES[VEHIDCODE],PROPERTIES[ROLE])</f>
        <v>Coach (Express)</v>
      </c>
      <c r="E750" s="35" t="str">
        <f>_xlfn.XLOOKUP($A750,PROPERTIES[VEHIDCODE],PROPERTIES[REGION1])</f>
        <v>REGIONTYPE1</v>
      </c>
      <c r="F750" s="35" t="str">
        <f>_xlfn.XLOOKUP($A750,PROPERTIES[VEHIDCODE],PROPERTIES[REGION2])</f>
        <v>NO_REGION</v>
      </c>
      <c r="G750" s="35" t="str">
        <f t="shared" si="73"/>
        <v>REGIONTYPE1_NO_REGION</v>
      </c>
      <c r="H750" t="b">
        <f t="shared" si="74"/>
        <v>1</v>
      </c>
      <c r="I750" t="b">
        <f t="shared" si="75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79"/>
        <v>1</v>
      </c>
      <c r="N750" t="b">
        <f t="shared" si="80"/>
        <v>0</v>
      </c>
      <c r="O750" t="b">
        <f t="shared" si="80"/>
        <v>0</v>
      </c>
      <c r="P750" t="b">
        <f t="shared" si="78"/>
        <v>0</v>
      </c>
    </row>
    <row r="751" spans="1:16">
      <c r="A751" t="str">
        <v>mu_Coach_Gen3_TEE_Intercity_Coach</v>
      </c>
      <c r="B751" t="b" cm="1">
        <f t="array" ref="B751">_xlfn.XLOOKUP(A751,CONTROL[VEHIDCODE],PROPERTIES[EXCLUDE])</f>
        <v>0</v>
      </c>
      <c r="C751">
        <f>FLOOR(_xlfn.XLOOKUP($A751,PROPERTIES[VEHIDCODE],PROPERTIES[INTRODUCTION_YEAR]),20)</f>
        <v>1940</v>
      </c>
      <c r="D751" t="str">
        <f>_xlfn.XLOOKUP($A751,PROPERTIES[VEHIDCODE],PROPERTIES[ROLE])</f>
        <v>Coach (Express)</v>
      </c>
      <c r="E751" s="35" t="str">
        <f>_xlfn.XLOOKUP($A751,PROPERTIES[VEHIDCODE],PROPERTIES[REGION1])</f>
        <v>ALL_EUROPE</v>
      </c>
      <c r="F751" s="35" t="str">
        <f>_xlfn.XLOOKUP($A751,PROPERTIES[VEHIDCODE],PROPERTIES[REGION2])</f>
        <v>NO_REGION</v>
      </c>
      <c r="G751" s="35" t="str">
        <f t="shared" si="73"/>
        <v>ALL_EUROPE_NO_REGION</v>
      </c>
      <c r="H751" t="b">
        <f t="shared" si="74"/>
        <v>0</v>
      </c>
      <c r="I751" t="b">
        <f t="shared" si="75"/>
        <v>0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79"/>
        <v>1</v>
      </c>
      <c r="N751" t="b">
        <f t="shared" si="80"/>
        <v>0</v>
      </c>
      <c r="O751" t="b">
        <f t="shared" si="80"/>
        <v>0</v>
      </c>
      <c r="P751" t="b">
        <f t="shared" si="78"/>
        <v>0</v>
      </c>
    </row>
    <row r="752" spans="1:16">
      <c r="A752" t="str">
        <v>mu_Coach_Gen3_UIC_X_Regional_Coach</v>
      </c>
      <c r="B752" t="b" cm="1">
        <f t="array" ref="B752">_xlfn.XLOOKUP(A752,CONTROL[VEHIDCODE],PROPERTIES[EXCLUDE])</f>
        <v>0</v>
      </c>
      <c r="C752">
        <f>FLOOR(_xlfn.XLOOKUP($A752,PROPERTIES[VEHIDCODE],PROPERTIES[INTRODUCTION_YEAR]),20)</f>
        <v>1940</v>
      </c>
      <c r="D752" t="str">
        <f>_xlfn.XLOOKUP($A752,PROPERTIES[VEHIDCODE],PROPERTIES[ROLE])</f>
        <v>Coach (Commuter)</v>
      </c>
      <c r="E752" s="35" t="str">
        <f>_xlfn.XLOOKUP($A752,PROPERTIES[VEHIDCODE],PROPERTIES[REGION1])</f>
        <v>REGIONTYPE1</v>
      </c>
      <c r="F752" s="35" t="str">
        <f>_xlfn.XLOOKUP($A752,PROPERTIES[VEHIDCODE],PROPERTIES[REGION2])</f>
        <v>NO_REGION</v>
      </c>
      <c r="G752" s="35" t="str">
        <f t="shared" si="73"/>
        <v>REGIONTYPE1_NO_REGION</v>
      </c>
      <c r="H752" t="b">
        <f t="shared" si="74"/>
        <v>1</v>
      </c>
      <c r="I752" t="b">
        <f t="shared" si="75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79"/>
        <v>1</v>
      </c>
      <c r="N752" t="b">
        <f t="shared" si="80"/>
        <v>0</v>
      </c>
      <c r="O752" t="b">
        <f t="shared" si="80"/>
        <v>0</v>
      </c>
      <c r="P752" t="b">
        <f t="shared" si="78"/>
        <v>0</v>
      </c>
    </row>
    <row r="753" spans="1:16">
      <c r="A753" t="str">
        <v>mu_Coach_Gen3_Umbauwagen_Local_Coach</v>
      </c>
      <c r="B753" t="b" cm="1">
        <f t="array" ref="B753">_xlfn.XLOOKUP(A753,CONTROL[VEHIDCODE],PROPERTIES[EXCLUDE])</f>
        <v>0</v>
      </c>
      <c r="C753">
        <f>FLOOR(_xlfn.XLOOKUP($A753,PROPERTIES[VEHIDCODE],PROPERTIES[INTRODUCTION_YEAR]),20)</f>
        <v>1940</v>
      </c>
      <c r="D753" t="str">
        <f>_xlfn.XLOOKUP($A753,PROPERTIES[VEHIDCODE],PROPERTIES[ROLE])</f>
        <v>Coach (Commuter)</v>
      </c>
      <c r="E753" s="35" t="str">
        <f>_xlfn.XLOOKUP($A753,PROPERTIES[VEHIDCODE],PROPERTIES[REGION1])</f>
        <v>REGIONTYPE1</v>
      </c>
      <c r="F753" s="35" t="str">
        <f>_xlfn.XLOOKUP($A753,PROPERTIES[VEHIDCODE],PROPERTIES[REGION2])</f>
        <v>NO_REGION</v>
      </c>
      <c r="G753" s="35" t="str">
        <f t="shared" si="73"/>
        <v>REGIONTYPE1_NO_REGION</v>
      </c>
      <c r="H753" t="b">
        <f t="shared" si="74"/>
        <v>1</v>
      </c>
      <c r="I753" t="b">
        <f t="shared" si="75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79"/>
        <v>1</v>
      </c>
      <c r="N753" t="b">
        <f t="shared" si="80"/>
        <v>0</v>
      </c>
      <c r="O753" t="b">
        <f t="shared" si="80"/>
        <v>0</v>
      </c>
      <c r="P753" t="b">
        <f t="shared" si="78"/>
        <v>0</v>
      </c>
    </row>
    <row r="754" spans="1:16">
      <c r="A754" t="str">
        <v>mu_Coach_Gen3_Doppelstockwagen_Local_Coach</v>
      </c>
      <c r="B754" t="b" cm="1">
        <f t="array" ref="B754">_xlfn.XLOOKUP(A754,CONTROL[VEHIDCODE],PROPERTIES[EXCLUDE])</f>
        <v>0</v>
      </c>
      <c r="C754">
        <f>FLOOR(_xlfn.XLOOKUP($A754,PROPERTIES[VEHIDCODE],PROPERTIES[INTRODUCTION_YEAR]),20)</f>
        <v>1940</v>
      </c>
      <c r="D754" t="str">
        <f>_xlfn.XLOOKUP($A754,PROPERTIES[VEHIDCODE],PROPERTIES[ROLE])</f>
        <v>Coach (Commuter)</v>
      </c>
      <c r="E754" s="35" t="str">
        <f>_xlfn.XLOOKUP($A754,PROPERTIES[VEHIDCODE],PROPERTIES[REGION1])</f>
        <v>REGIONTYPE1</v>
      </c>
      <c r="F754" s="35" t="str">
        <f>_xlfn.XLOOKUP($A754,PROPERTIES[VEHIDCODE],PROPERTIES[REGION2])</f>
        <v>NO_REGION</v>
      </c>
      <c r="G754" s="35" t="str">
        <f t="shared" si="73"/>
        <v>REGIONTYPE1_NO_REGION</v>
      </c>
      <c r="H754" t="b">
        <f t="shared" si="74"/>
        <v>1</v>
      </c>
      <c r="I754" t="b">
        <f t="shared" si="75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79"/>
        <v>1</v>
      </c>
      <c r="N754" t="b">
        <f t="shared" si="80"/>
        <v>0</v>
      </c>
      <c r="O754" t="b">
        <f t="shared" si="80"/>
        <v>0</v>
      </c>
      <c r="P754" t="b">
        <f t="shared" si="78"/>
        <v>0</v>
      </c>
    </row>
    <row r="755" spans="1:16">
      <c r="A755" t="str">
        <v>mu_Coach_Gen3_UIC_X_Mail_Coach</v>
      </c>
      <c r="B755" t="b" cm="1">
        <f t="array" ref="B755">_xlfn.XLOOKUP(A755,CONTROL[VEHIDCODE],PROPERTIES[EXCLUDE])</f>
        <v>0</v>
      </c>
      <c r="C755">
        <f>FLOOR(_xlfn.XLOOKUP($A755,PROPERTIES[VEHIDCODE],PROPERTIES[INTRODUCTION_YEAR]),20)</f>
        <v>1940</v>
      </c>
      <c r="D755" t="str">
        <f>_xlfn.XLOOKUP($A755,PROPERTIES[VEHIDCODE],PROPERTIES[ROLE])</f>
        <v>Coach (Mail)</v>
      </c>
      <c r="E755" s="35" t="str">
        <f>_xlfn.XLOOKUP($A755,PROPERTIES[VEHIDCODE],PROPERTIES[REGION1])</f>
        <v>REGIONTYPE1</v>
      </c>
      <c r="F755" s="35" t="str">
        <f>_xlfn.XLOOKUP($A755,PROPERTIES[VEHIDCODE],PROPERTIES[REGION2])</f>
        <v>NO_REGION</v>
      </c>
      <c r="G755" s="35" t="str">
        <f t="shared" si="73"/>
        <v>REGIONTYPE1_NO_REGION</v>
      </c>
      <c r="H755" t="b">
        <f t="shared" si="74"/>
        <v>1</v>
      </c>
      <c r="I755" t="b">
        <f t="shared" si="75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79"/>
        <v>1</v>
      </c>
      <c r="N755" t="b">
        <f t="shared" si="80"/>
        <v>0</v>
      </c>
      <c r="O755" t="b">
        <f t="shared" si="80"/>
        <v>0</v>
      </c>
      <c r="P755" t="b">
        <f t="shared" si="78"/>
        <v>0</v>
      </c>
    </row>
    <row r="756" spans="1:16">
      <c r="A756" t="str">
        <v>mu_Coach_Gen3_Indian_Intercity_Coach</v>
      </c>
      <c r="B756" t="b" cm="1">
        <f t="array" ref="B756">_xlfn.XLOOKUP(A756,CONTROL[VEHIDCODE],PROPERTIES[EXCLUDE])</f>
        <v>0</v>
      </c>
      <c r="C756">
        <f>FLOOR(_xlfn.XLOOKUP($A756,PROPERTIES[VEHIDCODE],PROPERTIES[INTRODUCTION_YEAR]),20)</f>
        <v>1940</v>
      </c>
      <c r="D756" t="str">
        <f>_xlfn.XLOOKUP($A756,PROPERTIES[VEHIDCODE],PROPERTIES[ROLE])</f>
        <v>Coach (Commuter)</v>
      </c>
      <c r="E756" s="35" t="str">
        <f>_xlfn.XLOOKUP($A756,PROPERTIES[VEHIDCODE],PROPERTIES[REGION1])</f>
        <v>ASIA</v>
      </c>
      <c r="F756" s="35" t="str">
        <f>_xlfn.XLOOKUP($A756,PROPERTIES[VEHIDCODE],PROPERTIES[REGION2])</f>
        <v>NO_REGION</v>
      </c>
      <c r="G756" s="35" t="str">
        <f t="shared" si="73"/>
        <v>ASIA_NO_REGION</v>
      </c>
      <c r="H756" t="b">
        <f t="shared" si="74"/>
        <v>0</v>
      </c>
      <c r="I756" t="b">
        <f t="shared" si="75"/>
        <v>1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79"/>
        <v>0</v>
      </c>
      <c r="N756" t="b">
        <f t="shared" si="80"/>
        <v>0</v>
      </c>
      <c r="O756" t="b">
        <f t="shared" si="80"/>
        <v>0</v>
      </c>
      <c r="P756" t="b">
        <f t="shared" si="78"/>
        <v>0</v>
      </c>
    </row>
    <row r="757" spans="1:16">
      <c r="A757" t="str">
        <v>mu_Coach_Gen3_Indian_Local_Coach</v>
      </c>
      <c r="B757" t="b" cm="1">
        <f t="array" ref="B757">_xlfn.XLOOKUP(A757,CONTROL[VEHIDCODE],PROPERTIES[EXCLUDE])</f>
        <v>0</v>
      </c>
      <c r="C757">
        <f>FLOOR(_xlfn.XLOOKUP($A757,PROPERTIES[VEHIDCODE],PROPERTIES[INTRODUCTION_YEAR]),20)</f>
        <v>1940</v>
      </c>
      <c r="D757" t="str">
        <f>_xlfn.XLOOKUP($A757,PROPERTIES[VEHIDCODE],PROPERTIES[ROLE])</f>
        <v>Coach (Commuter)</v>
      </c>
      <c r="E757" s="35" t="str">
        <f>_xlfn.XLOOKUP($A757,PROPERTIES[VEHIDCODE],PROPERTIES[REGION1])</f>
        <v>ASIA</v>
      </c>
      <c r="F757" s="35" t="str">
        <f>_xlfn.XLOOKUP($A757,PROPERTIES[VEHIDCODE],PROPERTIES[REGION2])</f>
        <v>NO_REGION</v>
      </c>
      <c r="G757" s="35" t="str">
        <f t="shared" si="73"/>
        <v>ASIA_NO_REGION</v>
      </c>
      <c r="H757" t="b">
        <f t="shared" si="74"/>
        <v>0</v>
      </c>
      <c r="I757" t="b">
        <f t="shared" si="75"/>
        <v>1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79"/>
        <v>0</v>
      </c>
      <c r="N757" t="b">
        <f t="shared" si="80"/>
        <v>0</v>
      </c>
      <c r="O757" t="b">
        <f t="shared" si="80"/>
        <v>0</v>
      </c>
      <c r="P757" t="b">
        <f t="shared" si="78"/>
        <v>0</v>
      </c>
    </row>
    <row r="758" spans="1:16">
      <c r="A758" t="str">
        <v>mu_Coach_Gen3_Indian_Regional_Coach</v>
      </c>
      <c r="B758" t="b" cm="1">
        <f t="array" ref="B758">_xlfn.XLOOKUP(A758,CONTROL[VEHIDCODE],PROPERTIES[EXCLUDE])</f>
        <v>0</v>
      </c>
      <c r="C758">
        <f>FLOOR(_xlfn.XLOOKUP($A758,PROPERTIES[VEHIDCODE],PROPERTIES[INTRODUCTION_YEAR]),20)</f>
        <v>1940</v>
      </c>
      <c r="D758" t="str">
        <f>_xlfn.XLOOKUP($A758,PROPERTIES[VEHIDCODE],PROPERTIES[ROLE])</f>
        <v>Coach (Commuter)</v>
      </c>
      <c r="E758" s="35" t="str">
        <f>_xlfn.XLOOKUP($A758,PROPERTIES[VEHIDCODE],PROPERTIES[REGION1])</f>
        <v>ASIA</v>
      </c>
      <c r="F758" s="35" t="str">
        <f>_xlfn.XLOOKUP($A758,PROPERTIES[VEHIDCODE],PROPERTIES[REGION2])</f>
        <v>NO_REGION</v>
      </c>
      <c r="G758" s="35" t="str">
        <f t="shared" si="73"/>
        <v>ASIA_NO_REGION</v>
      </c>
      <c r="H758" t="b">
        <f t="shared" si="74"/>
        <v>0</v>
      </c>
      <c r="I758" t="b">
        <f t="shared" si="75"/>
        <v>1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79"/>
        <v>0</v>
      </c>
      <c r="N758" t="b">
        <f t="shared" si="80"/>
        <v>0</v>
      </c>
      <c r="O758" t="b">
        <f t="shared" si="80"/>
        <v>0</v>
      </c>
      <c r="P758" t="b">
        <f t="shared" si="78"/>
        <v>0</v>
      </c>
    </row>
    <row r="759" spans="1:16">
      <c r="A759" t="str">
        <v>mu_Coach_Gen3_Indian_Mail_Coach</v>
      </c>
      <c r="B759" t="b" cm="1">
        <f t="array" ref="B759">_xlfn.XLOOKUP(A759,CONTROL[VEHIDCODE],PROPERTIES[EXCLUDE])</f>
        <v>0</v>
      </c>
      <c r="C759">
        <f>FLOOR(_xlfn.XLOOKUP($A759,PROPERTIES[VEHIDCODE],PROPERTIES[INTRODUCTION_YEAR]),20)</f>
        <v>1940</v>
      </c>
      <c r="D759" t="str">
        <f>_xlfn.XLOOKUP($A759,PROPERTIES[VEHIDCODE],PROPERTIES[ROLE])</f>
        <v>Coach (Mail)</v>
      </c>
      <c r="E759" s="35" t="str">
        <f>_xlfn.XLOOKUP($A759,PROPERTIES[VEHIDCODE],PROPERTIES[REGION1])</f>
        <v>ASIA</v>
      </c>
      <c r="F759" s="35" t="str">
        <f>_xlfn.XLOOKUP($A759,PROPERTIES[VEHIDCODE],PROPERTIES[REGION2])</f>
        <v>NO_REGION</v>
      </c>
      <c r="G759" s="35" t="str">
        <f t="shared" si="73"/>
        <v>ASIA_NO_REGION</v>
      </c>
      <c r="H759" t="b">
        <f t="shared" si="74"/>
        <v>0</v>
      </c>
      <c r="I759" t="b">
        <f t="shared" si="75"/>
        <v>1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79"/>
        <v>0</v>
      </c>
      <c r="N759" t="b">
        <f t="shared" si="80"/>
        <v>0</v>
      </c>
      <c r="O759" t="b">
        <f t="shared" si="80"/>
        <v>0</v>
      </c>
      <c r="P759" t="b">
        <f t="shared" si="78"/>
        <v>0</v>
      </c>
    </row>
    <row r="760" spans="1:16">
      <c r="A760" t="str">
        <v>mu_Coach_Gen4_Eurofima_Intercity_Coach</v>
      </c>
      <c r="B760" t="b" cm="1">
        <f t="array" ref="B760">_xlfn.XLOOKUP(A760,CONTROL[VEHIDCODE],PROPERTIES[EXCLUDE])</f>
        <v>0</v>
      </c>
      <c r="C760">
        <f>FLOOR(_xlfn.XLOOKUP($A760,PROPERTIES[VEHIDCODE],PROPERTIES[INTRODUCTION_YEAR]),20)</f>
        <v>1960</v>
      </c>
      <c r="D760" t="str">
        <f>_xlfn.XLOOKUP($A760,PROPERTIES[VEHIDCODE],PROPERTIES[ROLE])</f>
        <v>Coach (Express)</v>
      </c>
      <c r="E760" s="35" t="str">
        <f>_xlfn.XLOOKUP($A760,PROPERTIES[VEHIDCODE],PROPERTIES[REGION1])</f>
        <v>REGIONTYPE1</v>
      </c>
      <c r="F760" s="35" t="str">
        <f>_xlfn.XLOOKUP($A760,PROPERTIES[VEHIDCODE],PROPERTIES[REGION2])</f>
        <v>NO_REGION</v>
      </c>
      <c r="G760" s="35" t="str">
        <f t="shared" si="73"/>
        <v>REGIONTYPE1_NO_REGION</v>
      </c>
      <c r="H760" t="b">
        <f t="shared" si="74"/>
        <v>1</v>
      </c>
      <c r="I760" t="b">
        <f t="shared" si="75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79"/>
        <v>1</v>
      </c>
      <c r="N760" t="b">
        <f t="shared" si="80"/>
        <v>0</v>
      </c>
      <c r="O760" t="b">
        <f t="shared" si="80"/>
        <v>0</v>
      </c>
      <c r="P760" t="b">
        <f t="shared" si="78"/>
        <v>0</v>
      </c>
    </row>
    <row r="761" spans="1:16">
      <c r="A761" t="str">
        <v>mu_Coach_Gen4_InterRegio_Coach</v>
      </c>
      <c r="B761" t="b" cm="1">
        <f t="array" ref="B761">_xlfn.XLOOKUP(A761,CONTROL[VEHIDCODE],PROPERTIES[EXCLUDE])</f>
        <v>0</v>
      </c>
      <c r="C761">
        <f>FLOOR(_xlfn.XLOOKUP($A761,PROPERTIES[VEHIDCODE],PROPERTIES[INTRODUCTION_YEAR]),20)</f>
        <v>1960</v>
      </c>
      <c r="D761" t="str">
        <f>_xlfn.XLOOKUP($A761,PROPERTIES[VEHIDCODE],PROPERTIES[ROLE])</f>
        <v>Coach (Express)</v>
      </c>
      <c r="E761" s="35" t="str">
        <f>_xlfn.XLOOKUP($A761,PROPERTIES[VEHIDCODE],PROPERTIES[REGION1])</f>
        <v>REGIONTYPE1</v>
      </c>
      <c r="F761" s="35" t="str">
        <f>_xlfn.XLOOKUP($A761,PROPERTIES[VEHIDCODE],PROPERTIES[REGION2])</f>
        <v>NO_REGION</v>
      </c>
      <c r="G761" s="35" t="str">
        <f t="shared" si="73"/>
        <v>REGIONTYPE1_NO_REGION</v>
      </c>
      <c r="H761" t="b">
        <f t="shared" si="74"/>
        <v>1</v>
      </c>
      <c r="I761" t="b">
        <f t="shared" si="75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79"/>
        <v>1</v>
      </c>
      <c r="N761" t="b">
        <f t="shared" si="80"/>
        <v>0</v>
      </c>
      <c r="O761" t="b">
        <f t="shared" si="80"/>
        <v>0</v>
      </c>
      <c r="P761" t="b">
        <f t="shared" si="78"/>
        <v>0</v>
      </c>
    </row>
    <row r="762" spans="1:16">
      <c r="A762" t="str">
        <v>mu_Coach_Gen4_Silberling_Commuter_Coach</v>
      </c>
      <c r="B762" t="b" cm="1">
        <f t="array" ref="B762">_xlfn.XLOOKUP(A762,CONTROL[VEHIDCODE],PROPERTIES[EXCLUDE])</f>
        <v>0</v>
      </c>
      <c r="C762">
        <f>FLOOR(_xlfn.XLOOKUP($A762,PROPERTIES[VEHIDCODE],PROPERTIES[INTRODUCTION_YEAR]),20)</f>
        <v>1960</v>
      </c>
      <c r="D762" t="str">
        <f>_xlfn.XLOOKUP($A762,PROPERTIES[VEHIDCODE],PROPERTIES[ROLE])</f>
        <v>Coach (Commuter)</v>
      </c>
      <c r="E762" s="35" t="str">
        <f>_xlfn.XLOOKUP($A762,PROPERTIES[VEHIDCODE],PROPERTIES[REGION1])</f>
        <v>REGIONTYPE1</v>
      </c>
      <c r="F762" s="35" t="str">
        <f>_xlfn.XLOOKUP($A762,PROPERTIES[VEHIDCODE],PROPERTIES[REGION2])</f>
        <v>NO_REGION</v>
      </c>
      <c r="G762" s="35" t="str">
        <f t="shared" si="73"/>
        <v>REGIONTYPE1_NO_REGION</v>
      </c>
      <c r="H762" t="b">
        <f t="shared" si="74"/>
        <v>1</v>
      </c>
      <c r="I762" t="b">
        <f t="shared" si="75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79"/>
        <v>1</v>
      </c>
      <c r="N762" t="b">
        <f t="shared" si="80"/>
        <v>0</v>
      </c>
      <c r="O762" t="b">
        <f t="shared" si="80"/>
        <v>0</v>
      </c>
      <c r="P762" t="b">
        <f t="shared" si="78"/>
        <v>0</v>
      </c>
    </row>
    <row r="763" spans="1:16">
      <c r="A763" t="str">
        <v>mu_Coach_Gen4_Eurofima_Mail_Coach</v>
      </c>
      <c r="B763" t="b" cm="1">
        <f t="array" ref="B763">_xlfn.XLOOKUP(A763,CONTROL[VEHIDCODE],PROPERTIES[EXCLUDE])</f>
        <v>0</v>
      </c>
      <c r="C763">
        <f>FLOOR(_xlfn.XLOOKUP($A763,PROPERTIES[VEHIDCODE],PROPERTIES[INTRODUCTION_YEAR]),20)</f>
        <v>1960</v>
      </c>
      <c r="D763" t="str">
        <f>_xlfn.XLOOKUP($A763,PROPERTIES[VEHIDCODE],PROPERTIES[ROLE])</f>
        <v>Coach (Mail)</v>
      </c>
      <c r="E763" s="35" t="str">
        <f>_xlfn.XLOOKUP($A763,PROPERTIES[VEHIDCODE],PROPERTIES[REGION1])</f>
        <v>REGIONTYPE1</v>
      </c>
      <c r="F763" s="35" t="str">
        <f>_xlfn.XLOOKUP($A763,PROPERTIES[VEHIDCODE],PROPERTIES[REGION2])</f>
        <v>NO_REGION</v>
      </c>
      <c r="G763" s="35" t="str">
        <f t="shared" si="73"/>
        <v>REGIONTYPE1_NO_REGION</v>
      </c>
      <c r="H763" t="b">
        <f t="shared" si="74"/>
        <v>1</v>
      </c>
      <c r="I763" t="b">
        <f t="shared" si="75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79"/>
        <v>1</v>
      </c>
      <c r="N763" t="b">
        <f t="shared" si="80"/>
        <v>0</v>
      </c>
      <c r="O763" t="b">
        <f t="shared" si="80"/>
        <v>0</v>
      </c>
      <c r="P763" t="b">
        <f t="shared" si="78"/>
        <v>0</v>
      </c>
    </row>
    <row r="764" spans="1:16">
      <c r="A764" t="str">
        <v>mu_Coach_Gen4_Double_Decker_Coach</v>
      </c>
      <c r="B764" t="b" cm="1">
        <f t="array" ref="B764">_xlfn.XLOOKUP(A764,CONTROL[VEHIDCODE],PROPERTIES[EXCLUDE])</f>
        <v>0</v>
      </c>
      <c r="C764">
        <f>FLOOR(_xlfn.XLOOKUP($A764,PROPERTIES[VEHIDCODE],PROPERTIES[INTRODUCTION_YEAR]),20)</f>
        <v>1960</v>
      </c>
      <c r="D764" t="str">
        <f>_xlfn.XLOOKUP($A764,PROPERTIES[VEHIDCODE],PROPERTIES[ROLE])</f>
        <v>Coach (Commuter)</v>
      </c>
      <c r="E764" s="35" t="str">
        <f>_xlfn.XLOOKUP($A764,PROPERTIES[VEHIDCODE],PROPERTIES[REGION1])</f>
        <v>ALL_EUROPE</v>
      </c>
      <c r="F764" s="35" t="str">
        <f>_xlfn.XLOOKUP($A764,PROPERTIES[VEHIDCODE],PROPERTIES[REGION2])</f>
        <v>ASIA</v>
      </c>
      <c r="G764" s="35" t="str">
        <f t="shared" si="73"/>
        <v>ALL_EUROPE_ASIA</v>
      </c>
      <c r="H764" t="b">
        <f t="shared" si="74"/>
        <v>0</v>
      </c>
      <c r="I764" t="b">
        <f t="shared" si="75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79"/>
        <v>1</v>
      </c>
      <c r="N764" t="b">
        <f t="shared" si="80"/>
        <v>0</v>
      </c>
      <c r="O764" t="b">
        <f t="shared" si="80"/>
        <v>0</v>
      </c>
      <c r="P764" t="b">
        <f t="shared" si="78"/>
        <v>0</v>
      </c>
    </row>
    <row r="765" spans="1:16">
      <c r="A765" t="str">
        <v>mu_Coach_Gen4_Russian_Intercity_Coach</v>
      </c>
      <c r="B765" t="b" cm="1">
        <f t="array" ref="B765">_xlfn.XLOOKUP(A765,CONTROL[VEHIDCODE],PROPERTIES[EXCLUDE])</f>
        <v>0</v>
      </c>
      <c r="C765">
        <f>FLOOR(_xlfn.XLOOKUP($A765,PROPERTIES[VEHIDCODE],PROPERTIES[INTRODUCTION_YEAR]),20)</f>
        <v>1960</v>
      </c>
      <c r="D765" t="str">
        <f>_xlfn.XLOOKUP($A765,PROPERTIES[VEHIDCODE],PROPERTIES[ROLE])</f>
        <v>Coach (Commuter)</v>
      </c>
      <c r="E765" s="35" t="str">
        <f>_xlfn.XLOOKUP($A765,PROPERTIES[VEHIDCODE],PROPERTIES[REGION1])</f>
        <v>ALL_EUROPE</v>
      </c>
      <c r="F765" s="35" t="str">
        <f>_xlfn.XLOOKUP($A765,PROPERTIES[VEHIDCODE],PROPERTIES[REGION2])</f>
        <v>ASIA</v>
      </c>
      <c r="G765" s="35" t="str">
        <f t="shared" si="73"/>
        <v>ALL_EUROPE_ASIA</v>
      </c>
      <c r="H765" t="b">
        <f t="shared" si="74"/>
        <v>0</v>
      </c>
      <c r="I765" t="b">
        <f t="shared" si="75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79"/>
        <v>1</v>
      </c>
      <c r="N765" t="b">
        <f t="shared" si="80"/>
        <v>0</v>
      </c>
      <c r="O765" t="b">
        <f t="shared" si="80"/>
        <v>0</v>
      </c>
      <c r="P765" t="b">
        <f t="shared" si="78"/>
        <v>0</v>
      </c>
    </row>
    <row r="766" spans="1:16">
      <c r="A766" t="str">
        <v>mu_Coach_Gen4_Russian_Regional_Coach</v>
      </c>
      <c r="B766" t="b" cm="1">
        <f t="array" ref="B766">_xlfn.XLOOKUP(A766,CONTROL[VEHIDCODE],PROPERTIES[EXCLUDE])</f>
        <v>0</v>
      </c>
      <c r="C766">
        <f>FLOOR(_xlfn.XLOOKUP($A766,PROPERTIES[VEHIDCODE],PROPERTIES[INTRODUCTION_YEAR]),20)</f>
        <v>1960</v>
      </c>
      <c r="D766" t="str">
        <f>_xlfn.XLOOKUP($A766,PROPERTIES[VEHIDCODE],PROPERTIES[ROLE])</f>
        <v>Coach (Commuter)</v>
      </c>
      <c r="E766" s="35" t="str">
        <f>_xlfn.XLOOKUP($A766,PROPERTIES[VEHIDCODE],PROPERTIES[REGION1])</f>
        <v>ALL_EUROPE</v>
      </c>
      <c r="F766" s="35" t="str">
        <f>_xlfn.XLOOKUP($A766,PROPERTIES[VEHIDCODE],PROPERTIES[REGION2])</f>
        <v>ASIA</v>
      </c>
      <c r="G766" s="35" t="str">
        <f t="shared" si="73"/>
        <v>ALL_EUROPE_ASIA</v>
      </c>
      <c r="H766" t="b">
        <f t="shared" si="74"/>
        <v>0</v>
      </c>
      <c r="I766" t="b">
        <f t="shared" si="75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79"/>
        <v>1</v>
      </c>
      <c r="N766" t="b">
        <f t="shared" si="80"/>
        <v>0</v>
      </c>
      <c r="O766" t="b">
        <f t="shared" si="80"/>
        <v>0</v>
      </c>
      <c r="P766" t="b">
        <f t="shared" si="78"/>
        <v>0</v>
      </c>
    </row>
    <row r="767" spans="1:16">
      <c r="A767" t="str">
        <v>mu_Coach_Gen4_Russian_Mail_Coach</v>
      </c>
      <c r="B767" t="b" cm="1">
        <f t="array" ref="B767">_xlfn.XLOOKUP(A767,CONTROL[VEHIDCODE],PROPERTIES[EXCLUDE])</f>
        <v>0</v>
      </c>
      <c r="C767">
        <f>FLOOR(_xlfn.XLOOKUP($A767,PROPERTIES[VEHIDCODE],PROPERTIES[INTRODUCTION_YEAR]),20)</f>
        <v>1960</v>
      </c>
      <c r="D767" t="str">
        <f>_xlfn.XLOOKUP($A767,PROPERTIES[VEHIDCODE],PROPERTIES[ROLE])</f>
        <v>Coach (Mail)</v>
      </c>
      <c r="E767" s="35" t="str">
        <f>_xlfn.XLOOKUP($A767,PROPERTIES[VEHIDCODE],PROPERTIES[REGION1])</f>
        <v>ALL_EUROPE</v>
      </c>
      <c r="F767" s="35" t="str">
        <f>_xlfn.XLOOKUP($A767,PROPERTIES[VEHIDCODE],PROPERTIES[REGION2])</f>
        <v>ASIA</v>
      </c>
      <c r="G767" s="35" t="str">
        <f t="shared" si="73"/>
        <v>ALL_EUROPE_ASIA</v>
      </c>
      <c r="H767" t="b">
        <f t="shared" si="74"/>
        <v>0</v>
      </c>
      <c r="I767" t="b">
        <f t="shared" si="75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79"/>
        <v>1</v>
      </c>
      <c r="N767" t="b">
        <f t="shared" si="80"/>
        <v>0</v>
      </c>
      <c r="O767" t="b">
        <f t="shared" si="80"/>
        <v>0</v>
      </c>
      <c r="P767" t="b">
        <f t="shared" si="78"/>
        <v>0</v>
      </c>
    </row>
    <row r="768" spans="1:16">
      <c r="A768" t="str">
        <v>mu_Coach_Gen4_Superliner_Coach</v>
      </c>
      <c r="B768" t="b" cm="1">
        <f t="array" ref="B768">_xlfn.XLOOKUP(A768,CONTROL[VEHIDCODE],PROPERTIES[EXCLUDE])</f>
        <v>0</v>
      </c>
      <c r="C768">
        <f>FLOOR(_xlfn.XLOOKUP($A768,PROPERTIES[VEHIDCODE],PROPERTIES[INTRODUCTION_YEAR]),20)</f>
        <v>1980</v>
      </c>
      <c r="D768" t="str">
        <f>_xlfn.XLOOKUP($A768,PROPERTIES[VEHIDCODE],PROPERTIES[ROLE])</f>
        <v>Coach (Express)</v>
      </c>
      <c r="E768" s="35" t="str">
        <f>_xlfn.XLOOKUP($A768,PROPERTIES[VEHIDCODE],PROPERTIES[REGION1])</f>
        <v>ALL_AMERICA</v>
      </c>
      <c r="F768" s="35" t="str">
        <f>_xlfn.XLOOKUP($A768,PROPERTIES[VEHIDCODE],PROPERTIES[REGION2])</f>
        <v>OCEANIA</v>
      </c>
      <c r="G768" s="35" t="str">
        <f t="shared" si="73"/>
        <v>ALL_AMERICA_OCEANIA</v>
      </c>
      <c r="H768" t="b">
        <f t="shared" si="74"/>
        <v>0</v>
      </c>
      <c r="I768" t="b">
        <f t="shared" si="75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79"/>
        <v>0</v>
      </c>
      <c r="N768" t="b">
        <f t="shared" si="80"/>
        <v>1</v>
      </c>
      <c r="O768" t="b">
        <f t="shared" si="80"/>
        <v>1</v>
      </c>
      <c r="P768" t="b">
        <f t="shared" si="78"/>
        <v>1</v>
      </c>
    </row>
    <row r="769" spans="1:16">
      <c r="A769" t="str">
        <v>mu_Coach_Gen4_Superliner_California</v>
      </c>
      <c r="B769" t="b" cm="1">
        <f t="array" ref="B769">_xlfn.XLOOKUP(A769,CONTROL[VEHIDCODE],PROPERTIES[EXCLUDE])</f>
        <v>0</v>
      </c>
      <c r="C769">
        <f>FLOOR(_xlfn.XLOOKUP($A769,PROPERTIES[VEHIDCODE],PROPERTIES[INTRODUCTION_YEAR]),20)</f>
        <v>1980</v>
      </c>
      <c r="D769" t="str">
        <f>_xlfn.XLOOKUP($A769,PROPERTIES[VEHIDCODE],PROPERTIES[ROLE])</f>
        <v>Coach (Express)</v>
      </c>
      <c r="E769" s="35" t="str">
        <f>_xlfn.XLOOKUP($A769,PROPERTIES[VEHIDCODE],PROPERTIES[REGION1])</f>
        <v>ALL_AMERICA</v>
      </c>
      <c r="F769" s="35" t="str">
        <f>_xlfn.XLOOKUP($A769,PROPERTIES[VEHIDCODE],PROPERTIES[REGION2])</f>
        <v>OCEANIA</v>
      </c>
      <c r="G769" s="35" t="str">
        <f t="shared" si="73"/>
        <v>ALL_AMERICA_OCEANIA</v>
      </c>
      <c r="H769" t="b">
        <f t="shared" si="74"/>
        <v>0</v>
      </c>
      <c r="I769" t="b">
        <f t="shared" si="75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79"/>
        <v>0</v>
      </c>
      <c r="N769" t="b">
        <f t="shared" si="80"/>
        <v>1</v>
      </c>
      <c r="O769" t="b">
        <f t="shared" si="80"/>
        <v>1</v>
      </c>
      <c r="P769" t="b">
        <f t="shared" si="78"/>
        <v>1</v>
      </c>
    </row>
    <row r="770" spans="1:16">
      <c r="A770" t="str">
        <v>mu_Coach_Gen4_Amfleet_Regional_Coach</v>
      </c>
      <c r="B770" t="b" cm="1">
        <f t="array" ref="B770">_xlfn.XLOOKUP(A770,CONTROL[VEHIDCODE],PROPERTIES[EXCLUDE])</f>
        <v>0</v>
      </c>
      <c r="C770">
        <f>FLOOR(_xlfn.XLOOKUP($A770,PROPERTIES[VEHIDCODE],PROPERTIES[INTRODUCTION_YEAR]),20)</f>
        <v>1960</v>
      </c>
      <c r="D770" t="str">
        <f>_xlfn.XLOOKUP($A770,PROPERTIES[VEHIDCODE],PROPERTIES[ROLE])</f>
        <v>Coach (Express)</v>
      </c>
      <c r="E770" s="35" t="str">
        <f>_xlfn.XLOOKUP($A770,PROPERTIES[VEHIDCODE],PROPERTIES[REGION1])</f>
        <v>ALL_AMERICA</v>
      </c>
      <c r="F770" s="35" t="str">
        <f>_xlfn.XLOOKUP($A770,PROPERTIES[VEHIDCODE],PROPERTIES[REGION2])</f>
        <v>OCEANIA</v>
      </c>
      <c r="G770" s="35" t="str">
        <f t="shared" si="73"/>
        <v>ALL_AMERICA_OCEANIA</v>
      </c>
      <c r="H770" t="b">
        <f t="shared" si="74"/>
        <v>0</v>
      </c>
      <c r="I770" t="b">
        <f t="shared" si="75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79"/>
        <v>0</v>
      </c>
      <c r="N770" t="b">
        <f t="shared" si="80"/>
        <v>1</v>
      </c>
      <c r="O770" t="b">
        <f t="shared" si="80"/>
        <v>1</v>
      </c>
      <c r="P770" t="b">
        <f t="shared" si="78"/>
        <v>1</v>
      </c>
    </row>
    <row r="771" spans="1:16">
      <c r="A771" t="str">
        <v>mu_Coach_Gen4_Amfleet_Intercity_Coach</v>
      </c>
      <c r="B771" t="b" cm="1">
        <f t="array" ref="B771">_xlfn.XLOOKUP(A771,CONTROL[VEHIDCODE],PROPERTIES[EXCLUDE])</f>
        <v>0</v>
      </c>
      <c r="C771">
        <f>FLOOR(_xlfn.XLOOKUP($A771,PROPERTIES[VEHIDCODE],PROPERTIES[INTRODUCTION_YEAR]),20)</f>
        <v>1960</v>
      </c>
      <c r="D771" t="str">
        <f>_xlfn.XLOOKUP($A771,PROPERTIES[VEHIDCODE],PROPERTIES[ROLE])</f>
        <v>Coach (Express)</v>
      </c>
      <c r="E771" s="35" t="str">
        <f>_xlfn.XLOOKUP($A771,PROPERTIES[VEHIDCODE],PROPERTIES[REGION1])</f>
        <v>ALL_AMERICA</v>
      </c>
      <c r="F771" s="35" t="str">
        <f>_xlfn.XLOOKUP($A771,PROPERTIES[VEHIDCODE],PROPERTIES[REGION2])</f>
        <v>OCEANIA</v>
      </c>
      <c r="G771" s="35" t="str">
        <f t="shared" ref="G771:G851" si="81">_xlfn.CONCAT($E771,"_",$F771)</f>
        <v>ALL_AMERICA_OCEANIA</v>
      </c>
      <c r="H771" t="b">
        <f t="shared" ref="H771:H851" si="82">OR(ISNUMBER(SEARCH("ALL_REGION",$G771)),
ISNUMBER(SEARCH("AFRICA",$G771)),
ISNUMBER(SEARCH("REGIONTYPE1",$G771)),
ISNUMBER(SEARCH("REGIONTYPE2",$G771)))</f>
        <v>0</v>
      </c>
      <c r="I771" t="b">
        <f t="shared" ref="I771:I851" si="83">OR(ISNUMBER(SEARCH("ALL_REGION",$G771)),
ISNUMBER(SEARCH("ASIA",$G771)),
ISNUMBER(SEARCH("REGIONTYPE1",$G771)),
ISNUMBER(SEARCH("REGIONTYPE2",$G771)),
ISNUMBER(SEARCH("REGIONTYPE3",$G771)))</f>
        <v>0</v>
      </c>
      <c r="J771" t="b">
        <f t="shared" ref="J771:M795" si="84">OR(ISNUMBER(SEARCH("ALL_REGION",$G771)),
ISNUMBER(SEARCH("ALL_EUROPE",$G771)),
ISNUMBER(SEARCH(J$1,$G771)),
ISNUMBER(SEARCH("REGIONTYPE1",$G771)))</f>
        <v>0</v>
      </c>
      <c r="K771" t="b">
        <f t="shared" si="84"/>
        <v>0</v>
      </c>
      <c r="L771" t="b">
        <f t="shared" si="84"/>
        <v>0</v>
      </c>
      <c r="M771" t="b">
        <f t="shared" si="84"/>
        <v>0</v>
      </c>
      <c r="N771" t="b">
        <f t="shared" ref="N771:O795" si="85">OR(ISNUMBER(SEARCH("ALL_REGION",$G771)),
ISNUMBER(SEARCH("ALL_AMERICA",$G771)),
ISNUMBER(SEARCH(N$1,$G771)),
ISNUMBER(SEARCH("REGIONTYPE2",$G771)))</f>
        <v>1</v>
      </c>
      <c r="O771" t="b">
        <f t="shared" si="85"/>
        <v>1</v>
      </c>
      <c r="P771" t="b">
        <f t="shared" ref="P771:P851" si="86">OR(ISNUMBER(SEARCH("ALL_REGION",$G771)),
ISNUMBER(SEARCH(P$1,$G771)),
ISNUMBER(SEARCH("REGIONTYPE3",$G771)))</f>
        <v>1</v>
      </c>
    </row>
    <row r="772" spans="1:16">
      <c r="A772" t="str">
        <v>mu_Coach_Gen4_Comet_Commuter_Coach</v>
      </c>
      <c r="B772" t="b" cm="1">
        <f t="array" ref="B772">_xlfn.XLOOKUP(A772,CONTROL[VEHIDCODE],PROPERTIES[EXCLUDE])</f>
        <v>0</v>
      </c>
      <c r="C772">
        <f>FLOOR(_xlfn.XLOOKUP($A772,PROPERTIES[VEHIDCODE],PROPERTIES[INTRODUCTION_YEAR]),20)</f>
        <v>1960</v>
      </c>
      <c r="D772" t="str">
        <f>_xlfn.XLOOKUP($A772,PROPERTIES[VEHIDCODE],PROPERTIES[ROLE])</f>
        <v>Coach (Express)</v>
      </c>
      <c r="E772" s="35" t="str">
        <f>_xlfn.XLOOKUP($A772,PROPERTIES[VEHIDCODE],PROPERTIES[REGION1])</f>
        <v>ALL_AMERICA</v>
      </c>
      <c r="F772" s="35" t="str">
        <f>_xlfn.XLOOKUP($A772,PROPERTIES[VEHIDCODE],PROPERTIES[REGION2])</f>
        <v>OCEANIA</v>
      </c>
      <c r="G772" s="35" t="str">
        <f t="shared" si="81"/>
        <v>ALL_AMERICA_OCEANIA</v>
      </c>
      <c r="H772" t="b">
        <f t="shared" si="82"/>
        <v>0</v>
      </c>
      <c r="I772" t="b">
        <f t="shared" si="83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4"/>
        <v>0</v>
      </c>
      <c r="N772" t="b">
        <f t="shared" si="85"/>
        <v>1</v>
      </c>
      <c r="O772" t="b">
        <f t="shared" si="85"/>
        <v>1</v>
      </c>
      <c r="P772" t="b">
        <f t="shared" si="86"/>
        <v>1</v>
      </c>
    </row>
    <row r="773" spans="1:16">
      <c r="A773" t="str">
        <v>mu_Coach_Gen4_Horizon_Regional_Coach</v>
      </c>
      <c r="B773" t="b" cm="1">
        <f t="array" ref="B773">_xlfn.XLOOKUP(A773,CONTROL[VEHIDCODE],PROPERTIES[EXCLUDE])</f>
        <v>0</v>
      </c>
      <c r="C773">
        <f>FLOOR(_xlfn.XLOOKUP($A773,PROPERTIES[VEHIDCODE],PROPERTIES[INTRODUCTION_YEAR]),20)</f>
        <v>1960</v>
      </c>
      <c r="D773" t="str">
        <f>_xlfn.XLOOKUP($A773,PROPERTIES[VEHIDCODE],PROPERTIES[ROLE])</f>
        <v>Coach (Express)</v>
      </c>
      <c r="E773" s="35" t="str">
        <f>_xlfn.XLOOKUP($A773,PROPERTIES[VEHIDCODE],PROPERTIES[REGION1])</f>
        <v>ALL_AMERICA</v>
      </c>
      <c r="F773" s="35" t="str">
        <f>_xlfn.XLOOKUP($A773,PROPERTIES[VEHIDCODE],PROPERTIES[REGION2])</f>
        <v>OCEANIA</v>
      </c>
      <c r="G773" s="35" t="str">
        <f t="shared" si="81"/>
        <v>ALL_AMERICA_OCEANIA</v>
      </c>
      <c r="H773" t="b">
        <f t="shared" si="82"/>
        <v>0</v>
      </c>
      <c r="I773" t="b">
        <f t="shared" si="83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4"/>
        <v>0</v>
      </c>
      <c r="N773" t="b">
        <f t="shared" si="85"/>
        <v>1</v>
      </c>
      <c r="O773" t="b">
        <f t="shared" si="85"/>
        <v>1</v>
      </c>
      <c r="P773" t="b">
        <f t="shared" si="86"/>
        <v>1</v>
      </c>
    </row>
    <row r="774" spans="1:16">
      <c r="A774" t="str">
        <v>mu_Coach_Gen4_Horizon_Baggage_Coach</v>
      </c>
      <c r="B774" t="b" cm="1">
        <f t="array" ref="B774">_xlfn.XLOOKUP(A774,CONTROL[VEHIDCODE],PROPERTIES[EXCLUDE])</f>
        <v>0</v>
      </c>
      <c r="C774">
        <f>FLOOR(_xlfn.XLOOKUP($A774,PROPERTIES[VEHIDCODE],PROPERTIES[INTRODUCTION_YEAR]),20)</f>
        <v>1960</v>
      </c>
      <c r="D774" t="str">
        <f>_xlfn.XLOOKUP($A774,PROPERTIES[VEHIDCODE],PROPERTIES[ROLE])</f>
        <v>Coach (Mail)</v>
      </c>
      <c r="E774" s="35" t="str">
        <f>_xlfn.XLOOKUP($A774,PROPERTIES[VEHIDCODE],PROPERTIES[REGION1])</f>
        <v>ALL_AMERICA</v>
      </c>
      <c r="F774" s="35" t="str">
        <f>_xlfn.XLOOKUP($A774,PROPERTIES[VEHIDCODE],PROPERTIES[REGION2])</f>
        <v>OCEANIA</v>
      </c>
      <c r="G774" s="35" t="str">
        <f t="shared" si="81"/>
        <v>ALL_AMERICA_OCEANIA</v>
      </c>
      <c r="H774" t="b">
        <f t="shared" si="82"/>
        <v>0</v>
      </c>
      <c r="I774" t="b">
        <f t="shared" si="83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4"/>
        <v>0</v>
      </c>
      <c r="N774" t="b">
        <f t="shared" si="85"/>
        <v>1</v>
      </c>
      <c r="O774" t="b">
        <f t="shared" si="85"/>
        <v>1</v>
      </c>
      <c r="P774" t="b">
        <f t="shared" si="86"/>
        <v>1</v>
      </c>
    </row>
    <row r="775" spans="1:16">
      <c r="A775" t="str">
        <v>mu_Coach_Gen4_Bombardier_Bi_level</v>
      </c>
      <c r="B775" t="b" cm="1">
        <f t="array" ref="B775">_xlfn.XLOOKUP(A775,CONTROL[VEHIDCODE],PROPERTIES[EXCLUDE])</f>
        <v>0</v>
      </c>
      <c r="C775">
        <f>FLOOR(_xlfn.XLOOKUP($A775,PROPERTIES[VEHIDCODE],PROPERTIES[INTRODUCTION_YEAR]),20)</f>
        <v>1960</v>
      </c>
      <c r="D775" t="str">
        <f>_xlfn.XLOOKUP($A775,PROPERTIES[VEHIDCODE],PROPERTIES[ROLE])</f>
        <v>Coach (Express)</v>
      </c>
      <c r="E775" s="35" t="str">
        <f>_xlfn.XLOOKUP($A775,PROPERTIES[VEHIDCODE],PROPERTIES[REGION1])</f>
        <v>ALL_AMERICA</v>
      </c>
      <c r="F775" s="35" t="str">
        <f>_xlfn.XLOOKUP($A775,PROPERTIES[VEHIDCODE],PROPERTIES[REGION2])</f>
        <v>OCEANIA</v>
      </c>
      <c r="G775" s="35" t="str">
        <f t="shared" si="81"/>
        <v>ALL_AMERICA_OCEANIA</v>
      </c>
      <c r="H775" t="b">
        <f t="shared" si="82"/>
        <v>0</v>
      </c>
      <c r="I775" t="b">
        <f t="shared" si="83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4"/>
        <v>0</v>
      </c>
      <c r="N775" t="b">
        <f t="shared" si="85"/>
        <v>1</v>
      </c>
      <c r="O775" t="b">
        <f t="shared" si="85"/>
        <v>1</v>
      </c>
      <c r="P775" t="b">
        <f t="shared" si="86"/>
        <v>1</v>
      </c>
    </row>
    <row r="776" spans="1:16">
      <c r="A776" t="str">
        <v>mu_Coach_Gen5_High_Speed_Coach</v>
      </c>
      <c r="B776" t="b" cm="1">
        <f t="array" ref="B776">_xlfn.XLOOKUP(A776,CONTROL[VEHIDCODE],PROPERTIES[EXCLUDE])</f>
        <v>0</v>
      </c>
      <c r="C776">
        <f>FLOOR(_xlfn.XLOOKUP($A776,PROPERTIES[VEHIDCODE],PROPERTIES[INTRODUCTION_YEAR]),20)</f>
        <v>2000</v>
      </c>
      <c r="D776" t="str">
        <f>_xlfn.XLOOKUP($A776,PROPERTIES[VEHIDCODE],PROPERTIES[ROLE])</f>
        <v>Coach (HS)</v>
      </c>
      <c r="E776" s="35" t="str">
        <f>_xlfn.XLOOKUP($A776,PROPERTIES[VEHIDCODE],PROPERTIES[REGION1])</f>
        <v>ALL_REGION</v>
      </c>
      <c r="F776" s="35" t="str">
        <f>_xlfn.XLOOKUP($A776,PROPERTIES[VEHIDCODE],PROPERTIES[REGION2])</f>
        <v>NO_REGION</v>
      </c>
      <c r="G776" s="35" t="str">
        <f t="shared" si="81"/>
        <v>ALL_REGION_NO_REGION</v>
      </c>
      <c r="H776" t="b">
        <f t="shared" si="82"/>
        <v>1</v>
      </c>
      <c r="I776" t="b">
        <f t="shared" si="83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4"/>
        <v>1</v>
      </c>
      <c r="N776" t="b">
        <f t="shared" si="85"/>
        <v>1</v>
      </c>
      <c r="O776" t="b">
        <f t="shared" si="85"/>
        <v>1</v>
      </c>
      <c r="P776" t="b">
        <f t="shared" si="86"/>
        <v>1</v>
      </c>
    </row>
    <row r="777" spans="1:16">
      <c r="A777" t="str">
        <v>mu_Coach_Gen5_Modern_Regional_Coach</v>
      </c>
      <c r="B777" t="b" cm="1">
        <f t="array" ref="B777">_xlfn.XLOOKUP(A777,CONTROL[VEHIDCODE],PROPERTIES[EXCLUDE])</f>
        <v>0</v>
      </c>
      <c r="C777">
        <f>FLOOR(_xlfn.XLOOKUP($A777,PROPERTIES[VEHIDCODE],PROPERTIES[INTRODUCTION_YEAR]),20)</f>
        <v>2000</v>
      </c>
      <c r="D777" t="str">
        <f>_xlfn.XLOOKUP($A777,PROPERTIES[VEHIDCODE],PROPERTIES[ROLE])</f>
        <v>Coach (Express)</v>
      </c>
      <c r="E777" s="35" t="str">
        <f>_xlfn.XLOOKUP($A777,PROPERTIES[VEHIDCODE],PROPERTIES[REGION1])</f>
        <v>ALL_REGION</v>
      </c>
      <c r="F777" s="35" t="str">
        <f>_xlfn.XLOOKUP($A777,PROPERTIES[VEHIDCODE],PROPERTIES[REGION2])</f>
        <v>NO_REGION</v>
      </c>
      <c r="G777" s="35" t="str">
        <f t="shared" si="81"/>
        <v>ALL_REGION_NO_REGION</v>
      </c>
      <c r="H777" t="b">
        <f t="shared" si="82"/>
        <v>1</v>
      </c>
      <c r="I777" t="b">
        <f t="shared" si="83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4"/>
        <v>1</v>
      </c>
      <c r="N777" t="b">
        <f t="shared" si="85"/>
        <v>1</v>
      </c>
      <c r="O777" t="b">
        <f t="shared" si="85"/>
        <v>1</v>
      </c>
      <c r="P777" t="b">
        <f t="shared" si="86"/>
        <v>1</v>
      </c>
    </row>
    <row r="778" spans="1:16">
      <c r="A778" t="str">
        <v>mu_Coach_Gen5_Modern_Commuter_Coach</v>
      </c>
      <c r="B778" t="b" cm="1">
        <f t="array" ref="B778">_xlfn.XLOOKUP(A778,CONTROL[VEHIDCODE],PROPERTIES[EXCLUDE])</f>
        <v>0</v>
      </c>
      <c r="C778">
        <f>FLOOR(_xlfn.XLOOKUP($A778,PROPERTIES[VEHIDCODE],PROPERTIES[INTRODUCTION_YEAR]),20)</f>
        <v>2000</v>
      </c>
      <c r="D778" t="str">
        <f>_xlfn.XLOOKUP($A778,PROPERTIES[VEHIDCODE],PROPERTIES[ROLE])</f>
        <v>Coach (Express)</v>
      </c>
      <c r="E778" s="35" t="str">
        <f>_xlfn.XLOOKUP($A778,PROPERTIES[VEHIDCODE],PROPERTIES[REGION1])</f>
        <v>ALL_REGION</v>
      </c>
      <c r="F778" s="35" t="str">
        <f>_xlfn.XLOOKUP($A778,PROPERTIES[VEHIDCODE],PROPERTIES[REGION2])</f>
        <v>NO_REGION</v>
      </c>
      <c r="G778" s="35" t="str">
        <f t="shared" si="81"/>
        <v>ALL_REGION_NO_REGION</v>
      </c>
      <c r="H778" t="b">
        <f t="shared" si="82"/>
        <v>1</v>
      </c>
      <c r="I778" t="b">
        <f t="shared" si="83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4"/>
        <v>1</v>
      </c>
      <c r="N778" t="b">
        <f t="shared" si="85"/>
        <v>1</v>
      </c>
      <c r="O778" t="b">
        <f t="shared" si="85"/>
        <v>1</v>
      </c>
      <c r="P778" t="b">
        <f t="shared" si="86"/>
        <v>1</v>
      </c>
    </row>
    <row r="779" spans="1:16">
      <c r="A779" t="str">
        <v>mu_Coach_Gen5_Modern_Double_Decker_Coach</v>
      </c>
      <c r="B779" t="b" cm="1">
        <f t="array" ref="B779">_xlfn.XLOOKUP(A779,CONTROL[VEHIDCODE],PROPERTIES[EXCLUDE])</f>
        <v>0</v>
      </c>
      <c r="C779">
        <f>FLOOR(_xlfn.XLOOKUP($A779,PROPERTIES[VEHIDCODE],PROPERTIES[INTRODUCTION_YEAR]),20)</f>
        <v>2000</v>
      </c>
      <c r="D779" t="str">
        <f>_xlfn.XLOOKUP($A779,PROPERTIES[VEHIDCODE],PROPERTIES[ROLE])</f>
        <v>Coach (Express)</v>
      </c>
      <c r="E779" s="35" t="str">
        <f>_xlfn.XLOOKUP($A779,PROPERTIES[VEHIDCODE],PROPERTIES[REGION1])</f>
        <v>ALL_REGION</v>
      </c>
      <c r="F779" s="35" t="str">
        <f>_xlfn.XLOOKUP($A779,PROPERTIES[VEHIDCODE],PROPERTIES[REGION2])</f>
        <v>NO_REGION</v>
      </c>
      <c r="G779" s="35" t="str">
        <f t="shared" si="81"/>
        <v>ALL_REGION_NO_REGION</v>
      </c>
      <c r="H779" t="b">
        <f t="shared" si="82"/>
        <v>1</v>
      </c>
      <c r="I779" t="b">
        <f t="shared" si="83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4"/>
        <v>1</v>
      </c>
      <c r="N779" t="b">
        <f t="shared" si="85"/>
        <v>1</v>
      </c>
      <c r="O779" t="b">
        <f t="shared" si="85"/>
        <v>1</v>
      </c>
      <c r="P779" t="b">
        <f t="shared" si="86"/>
        <v>1</v>
      </c>
    </row>
    <row r="780" spans="1:16">
      <c r="A780" t="str">
        <v>mu_Coach_Gen5_High_Speed_Double_Decker_IC2000</v>
      </c>
      <c r="B780" t="b" cm="1">
        <f t="array" ref="B780">_xlfn.XLOOKUP(A780,CONTROL[VEHIDCODE],PROPERTIES[EXCLUDE])</f>
        <v>0</v>
      </c>
      <c r="C780">
        <f>FLOOR(_xlfn.XLOOKUP($A780,PROPERTIES[VEHIDCODE],PROPERTIES[INTRODUCTION_YEAR]),20)</f>
        <v>2000</v>
      </c>
      <c r="D780" t="str">
        <f>_xlfn.XLOOKUP($A780,PROPERTIES[VEHIDCODE],PROPERTIES[ROLE])</f>
        <v>Coach (Express)</v>
      </c>
      <c r="E780" s="35" t="str">
        <f>_xlfn.XLOOKUP($A780,PROPERTIES[VEHIDCODE],PROPERTIES[REGION1])</f>
        <v>ALL_REGION</v>
      </c>
      <c r="F780" s="35" t="str">
        <f>_xlfn.XLOOKUP($A780,PROPERTIES[VEHIDCODE],PROPERTIES[REGION2])</f>
        <v>NO_REGION</v>
      </c>
      <c r="G780" s="35" t="str">
        <f t="shared" si="81"/>
        <v>ALL_REGION_NO_REGION</v>
      </c>
      <c r="H780" t="b">
        <f t="shared" si="82"/>
        <v>1</v>
      </c>
      <c r="I780" t="b">
        <f t="shared" si="83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4"/>
        <v>1</v>
      </c>
      <c r="N780" t="b">
        <f t="shared" si="85"/>
        <v>1</v>
      </c>
      <c r="O780" t="b">
        <f t="shared" si="85"/>
        <v>1</v>
      </c>
      <c r="P780" t="b">
        <f t="shared" si="86"/>
        <v>1</v>
      </c>
    </row>
    <row r="781" spans="1:16">
      <c r="A781" t="str">
        <v>mu_Coach_Gen5_High_Speed_Mail_Coach</v>
      </c>
      <c r="B781" t="b" cm="1">
        <f t="array" ref="B781">_xlfn.XLOOKUP(A781,CONTROL[VEHIDCODE],PROPERTIES[EXCLUDE])</f>
        <v>0</v>
      </c>
      <c r="C781">
        <f>FLOOR(_xlfn.XLOOKUP($A781,PROPERTIES[VEHIDCODE],PROPERTIES[INTRODUCTION_YEAR]),20)</f>
        <v>2000</v>
      </c>
      <c r="D781" t="str">
        <f>_xlfn.XLOOKUP($A781,PROPERTIES[VEHIDCODE],PROPERTIES[ROLE])</f>
        <v>Coach (Mail)</v>
      </c>
      <c r="E781" s="35" t="str">
        <f>_xlfn.XLOOKUP($A781,PROPERTIES[VEHIDCODE],PROPERTIES[REGION1])</f>
        <v>ALL_REGION</v>
      </c>
      <c r="F781" s="35" t="str">
        <f>_xlfn.XLOOKUP($A781,PROPERTIES[VEHIDCODE],PROPERTIES[REGION2])</f>
        <v>NO_REGION</v>
      </c>
      <c r="G781" s="35" t="str">
        <f t="shared" si="81"/>
        <v>ALL_REGION_NO_REGION</v>
      </c>
      <c r="H781" t="b">
        <f t="shared" si="82"/>
        <v>1</v>
      </c>
      <c r="I781" t="b">
        <f t="shared" si="83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4"/>
        <v>1</v>
      </c>
      <c r="N781" t="b">
        <f t="shared" si="85"/>
        <v>1</v>
      </c>
      <c r="O781" t="b">
        <f t="shared" si="85"/>
        <v>1</v>
      </c>
      <c r="P781" t="b">
        <f t="shared" si="86"/>
        <v>1</v>
      </c>
    </row>
    <row r="782" spans="1:16">
      <c r="A782" t="str">
        <v>mu_Coach_Gen5_Talgo_Pendular</v>
      </c>
      <c r="B782" t="b" cm="1">
        <f t="array" ref="B782">_xlfn.XLOOKUP(A782,CONTROL[VEHIDCODE],PROPERTIES[EXCLUDE])</f>
        <v>0</v>
      </c>
      <c r="C782">
        <f>FLOOR(_xlfn.XLOOKUP($A782,PROPERTIES[VEHIDCODE],PROPERTIES[INTRODUCTION_YEAR]),20)</f>
        <v>1980</v>
      </c>
      <c r="D782" t="str">
        <f>_xlfn.XLOOKUP($A782,PROPERTIES[VEHIDCODE],PROPERTIES[ROLE])</f>
        <v>Coach (Express)</v>
      </c>
      <c r="E782" s="35" t="str">
        <f>_xlfn.XLOOKUP($A782,PROPERTIES[VEHIDCODE],PROPERTIES[REGION1])</f>
        <v>ALL_REGION</v>
      </c>
      <c r="F782" s="35" t="str">
        <f>_xlfn.XLOOKUP($A782,PROPERTIES[VEHIDCODE],PROPERTIES[REGION2])</f>
        <v>NO_REGION</v>
      </c>
      <c r="G782" s="35" t="str">
        <f t="shared" si="81"/>
        <v>ALL_REGION_NO_REGION</v>
      </c>
      <c r="H782" t="b">
        <f t="shared" si="82"/>
        <v>1</v>
      </c>
      <c r="I782" t="b">
        <f t="shared" si="83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4"/>
        <v>1</v>
      </c>
      <c r="N782" t="b">
        <f t="shared" si="85"/>
        <v>1</v>
      </c>
      <c r="O782" t="b">
        <f t="shared" si="85"/>
        <v>1</v>
      </c>
      <c r="P782" t="b">
        <f t="shared" si="86"/>
        <v>1</v>
      </c>
    </row>
    <row r="783" spans="1:16">
      <c r="A783" t="str">
        <v>mu_Coach_Gen5_Talgo_Pendular_Mail</v>
      </c>
      <c r="B783" t="b" cm="1">
        <f t="array" ref="B783">_xlfn.XLOOKUP(A783,CONTROL[VEHIDCODE],PROPERTIES[EXCLUDE])</f>
        <v>0</v>
      </c>
      <c r="C783">
        <f>FLOOR(_xlfn.XLOOKUP($A783,PROPERTIES[VEHIDCODE],PROPERTIES[INTRODUCTION_YEAR]),20)</f>
        <v>1980</v>
      </c>
      <c r="D783" t="str">
        <f>_xlfn.XLOOKUP($A783,PROPERTIES[VEHIDCODE],PROPERTIES[ROLE])</f>
        <v>Coach (Mail)</v>
      </c>
      <c r="E783" s="35" t="str">
        <f>_xlfn.XLOOKUP($A783,PROPERTIES[VEHIDCODE],PROPERTIES[REGION1])</f>
        <v>ALL_REGION</v>
      </c>
      <c r="F783" s="35" t="str">
        <f>_xlfn.XLOOKUP($A783,PROPERTIES[VEHIDCODE],PROPERTIES[REGION2])</f>
        <v>NO_REGION</v>
      </c>
      <c r="G783" s="35" t="str">
        <f t="shared" si="81"/>
        <v>ALL_REGION_NO_REGION</v>
      </c>
      <c r="H783" t="b">
        <f t="shared" si="82"/>
        <v>1</v>
      </c>
      <c r="I783" t="b">
        <f t="shared" si="83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4"/>
        <v>1</v>
      </c>
      <c r="N783" t="b">
        <f t="shared" si="85"/>
        <v>1</v>
      </c>
      <c r="O783" t="b">
        <f t="shared" si="85"/>
        <v>1</v>
      </c>
      <c r="P783" t="b">
        <f t="shared" si="86"/>
        <v>1</v>
      </c>
    </row>
    <row r="784" spans="1:16">
      <c r="A784" t="str">
        <v>mu_Coach_Gen6_Grand_Voyager_Coach</v>
      </c>
      <c r="B784" t="b" cm="1">
        <f t="array" ref="B784">_xlfn.XLOOKUP(A784,CONTROL[VEHIDCODE],PROPERTIES[EXCLUDE])</f>
        <v>0</v>
      </c>
      <c r="C784">
        <f>FLOOR(_xlfn.XLOOKUP($A784,PROPERTIES[VEHIDCODE],PROPERTIES[INTRODUCTION_YEAR]),20)</f>
        <v>2020</v>
      </c>
      <c r="D784" t="str">
        <f>_xlfn.XLOOKUP($A784,PROPERTIES[VEHIDCODE],PROPERTIES[ROLE])</f>
        <v>Coach (HS)</v>
      </c>
      <c r="E784" s="35" t="str">
        <f>_xlfn.XLOOKUP($A784,PROPERTIES[VEHIDCODE],PROPERTIES[REGION1])</f>
        <v>ALL_REGION</v>
      </c>
      <c r="F784" s="35" t="str">
        <f>_xlfn.XLOOKUP($A784,PROPERTIES[VEHIDCODE],PROPERTIES[REGION2])</f>
        <v>NO_REGION</v>
      </c>
      <c r="G784" s="35" t="str">
        <f t="shared" si="81"/>
        <v>ALL_REGION_NO_REGION</v>
      </c>
      <c r="H784" t="b">
        <f t="shared" si="82"/>
        <v>1</v>
      </c>
      <c r="I784" t="b">
        <f t="shared" si="83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4"/>
        <v>1</v>
      </c>
      <c r="N784" t="b">
        <f t="shared" si="85"/>
        <v>1</v>
      </c>
      <c r="O784" t="b">
        <f t="shared" si="85"/>
        <v>1</v>
      </c>
      <c r="P784" t="b">
        <f t="shared" si="86"/>
        <v>1</v>
      </c>
    </row>
    <row r="785" spans="1:16">
      <c r="A785" t="str">
        <v>mu_Coach_Gen6_Grand_Regio_Coach</v>
      </c>
      <c r="B785" t="b" cm="1">
        <f t="array" ref="B785">_xlfn.XLOOKUP(A785,CONTROL[VEHIDCODE],PROPERTIES[EXCLUDE])</f>
        <v>0</v>
      </c>
      <c r="C785">
        <f>FLOOR(_xlfn.XLOOKUP($A785,PROPERTIES[VEHIDCODE],PROPERTIES[INTRODUCTION_YEAR]),20)</f>
        <v>2020</v>
      </c>
      <c r="D785" t="str">
        <f>_xlfn.XLOOKUP($A785,PROPERTIES[VEHIDCODE],PROPERTIES[ROLE])</f>
        <v>Coach (HS)</v>
      </c>
      <c r="E785" s="35" t="str">
        <f>_xlfn.XLOOKUP($A785,PROPERTIES[VEHIDCODE],PROPERTIES[REGION1])</f>
        <v>ALL_REGION</v>
      </c>
      <c r="F785" s="35" t="str">
        <f>_xlfn.XLOOKUP($A785,PROPERTIES[VEHIDCODE],PROPERTIES[REGION2])</f>
        <v>NO_REGION</v>
      </c>
      <c r="G785" s="35" t="str">
        <f t="shared" si="81"/>
        <v>ALL_REGION_NO_REGION</v>
      </c>
      <c r="H785" t="b">
        <f t="shared" si="82"/>
        <v>1</v>
      </c>
      <c r="I785" t="b">
        <f t="shared" si="83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4"/>
        <v>1</v>
      </c>
      <c r="N785" t="b">
        <f t="shared" si="85"/>
        <v>1</v>
      </c>
      <c r="O785" t="b">
        <f t="shared" si="85"/>
        <v>1</v>
      </c>
      <c r="P785" t="b">
        <f t="shared" si="86"/>
        <v>1</v>
      </c>
    </row>
    <row r="786" spans="1:16">
      <c r="A786" t="str">
        <v>mu_Coach_Gen6_Metropolis_Coach</v>
      </c>
      <c r="B786" t="b" cm="1">
        <f t="array" ref="B786">_xlfn.XLOOKUP(A786,CONTROL[VEHIDCODE],PROPERTIES[EXCLUDE])</f>
        <v>0</v>
      </c>
      <c r="C786">
        <f>FLOOR(_xlfn.XLOOKUP($A786,PROPERTIES[VEHIDCODE],PROPERTIES[INTRODUCTION_YEAR]),20)</f>
        <v>2020</v>
      </c>
      <c r="D786" t="str">
        <f>_xlfn.XLOOKUP($A786,PROPERTIES[VEHIDCODE],PROPERTIES[ROLE])</f>
        <v>Coach (Commuter)</v>
      </c>
      <c r="E786" s="35" t="str">
        <f>_xlfn.XLOOKUP($A786,PROPERTIES[VEHIDCODE],PROPERTIES[REGION1])</f>
        <v>ALL_REGION</v>
      </c>
      <c r="F786" s="35" t="str">
        <f>_xlfn.XLOOKUP($A786,PROPERTIES[VEHIDCODE],PROPERTIES[REGION2])</f>
        <v>NO_REGION</v>
      </c>
      <c r="G786" s="35" t="str">
        <f t="shared" si="81"/>
        <v>ALL_REGION_NO_REGION</v>
      </c>
      <c r="H786" t="b">
        <f t="shared" si="82"/>
        <v>1</v>
      </c>
      <c r="I786" t="b">
        <f t="shared" si="83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4"/>
        <v>1</v>
      </c>
      <c r="N786" t="b">
        <f t="shared" si="85"/>
        <v>1</v>
      </c>
      <c r="O786" t="b">
        <f t="shared" si="85"/>
        <v>1</v>
      </c>
      <c r="P786" t="b">
        <f t="shared" si="86"/>
        <v>1</v>
      </c>
    </row>
    <row r="787" spans="1:16">
      <c r="A787" t="str">
        <v>mu_Coach_Gen6_Speedmail_Coach</v>
      </c>
      <c r="B787" t="b" cm="1">
        <f t="array" ref="B787">_xlfn.XLOOKUP(A787,CONTROL[VEHIDCODE],PROPERTIES[EXCLUDE])</f>
        <v>0</v>
      </c>
      <c r="C787">
        <f>FLOOR(_xlfn.XLOOKUP($A787,PROPERTIES[VEHIDCODE],PROPERTIES[INTRODUCTION_YEAR]),20)</f>
        <v>2020</v>
      </c>
      <c r="D787" t="str">
        <f>_xlfn.XLOOKUP($A787,PROPERTIES[VEHIDCODE],PROPERTIES[ROLE])</f>
        <v>Coach (Mail)</v>
      </c>
      <c r="E787" s="35" t="str">
        <f>_xlfn.XLOOKUP($A787,PROPERTIES[VEHIDCODE],PROPERTIES[REGION1])</f>
        <v>ALL_REGION</v>
      </c>
      <c r="F787" s="35" t="str">
        <f>_xlfn.XLOOKUP($A787,PROPERTIES[VEHIDCODE],PROPERTIES[REGION2])</f>
        <v>NO_REGION</v>
      </c>
      <c r="G787" s="35" t="str">
        <f t="shared" si="81"/>
        <v>ALL_REGION_NO_REGION</v>
      </c>
      <c r="H787" t="b">
        <f t="shared" si="82"/>
        <v>1</v>
      </c>
      <c r="I787" t="b">
        <f t="shared" si="83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4"/>
        <v>1</v>
      </c>
      <c r="N787" t="b">
        <f t="shared" si="85"/>
        <v>1</v>
      </c>
      <c r="O787" t="b">
        <f t="shared" si="85"/>
        <v>1</v>
      </c>
      <c r="P787" t="b">
        <f t="shared" si="86"/>
        <v>1</v>
      </c>
    </row>
    <row r="788" spans="1:16">
      <c r="A788" t="str">
        <v>mu_Coach_Gen6_Super_Regio_Coach</v>
      </c>
      <c r="B788" t="b" cm="1">
        <f t="array" ref="B788">_xlfn.XLOOKUP(A788,CONTROL[VEHIDCODE],PROPERTIES[EXCLUDE])</f>
        <v>0</v>
      </c>
      <c r="C788">
        <f>FLOOR(_xlfn.XLOOKUP($A788,PROPERTIES[VEHIDCODE],PROPERTIES[INTRODUCTION_YEAR]),20)</f>
        <v>2020</v>
      </c>
      <c r="D788" t="str">
        <f>_xlfn.XLOOKUP($A788,PROPERTIES[VEHIDCODE],PROPERTIES[ROLE])</f>
        <v>Coach (Express)</v>
      </c>
      <c r="E788" s="35" t="str">
        <f>_xlfn.XLOOKUP($A788,PROPERTIES[VEHIDCODE],PROPERTIES[REGION1])</f>
        <v>ALL_REGION</v>
      </c>
      <c r="F788" s="35" t="str">
        <f>_xlfn.XLOOKUP($A788,PROPERTIES[VEHIDCODE],PROPERTIES[REGION2])</f>
        <v>NO_REGION</v>
      </c>
      <c r="G788" s="35" t="str">
        <f t="shared" si="81"/>
        <v>ALL_REGION_NO_REGION</v>
      </c>
      <c r="H788" t="b">
        <f t="shared" si="82"/>
        <v>1</v>
      </c>
      <c r="I788" t="b">
        <f t="shared" si="83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4"/>
        <v>1</v>
      </c>
      <c r="N788" t="b">
        <f t="shared" si="85"/>
        <v>1</v>
      </c>
      <c r="O788" t="b">
        <f t="shared" si="85"/>
        <v>1</v>
      </c>
      <c r="P788" t="b">
        <f t="shared" si="86"/>
        <v>1</v>
      </c>
    </row>
    <row r="789" spans="1:16">
      <c r="A789" t="str">
        <v>mu_Coach_Gen6_Super_Voyager_Coach</v>
      </c>
      <c r="B789" t="b" cm="1">
        <f t="array" ref="B789">_xlfn.XLOOKUP(A789,CONTROL[VEHIDCODE],PROPERTIES[EXCLUDE])</f>
        <v>0</v>
      </c>
      <c r="C789">
        <f>FLOOR(_xlfn.XLOOKUP($A789,PROPERTIES[VEHIDCODE],PROPERTIES[INTRODUCTION_YEAR]),20)</f>
        <v>2020</v>
      </c>
      <c r="D789" t="str">
        <f>_xlfn.XLOOKUP($A789,PROPERTIES[VEHIDCODE],PROPERTIES[ROLE])</f>
        <v>Coach (HS)</v>
      </c>
      <c r="E789" s="35" t="str">
        <f>_xlfn.XLOOKUP($A789,PROPERTIES[VEHIDCODE],PROPERTIES[REGION1])</f>
        <v>ALL_REGION</v>
      </c>
      <c r="F789" s="35" t="str">
        <f>_xlfn.XLOOKUP($A789,PROPERTIES[VEHIDCODE],PROPERTIES[REGION2])</f>
        <v>NO_REGION</v>
      </c>
      <c r="G789" s="35" t="str">
        <f t="shared" si="81"/>
        <v>ALL_REGION_NO_REGION</v>
      </c>
      <c r="H789" t="b">
        <f t="shared" si="82"/>
        <v>1</v>
      </c>
      <c r="I789" t="b">
        <f t="shared" si="83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4"/>
        <v>1</v>
      </c>
      <c r="N789" t="b">
        <f t="shared" si="85"/>
        <v>1</v>
      </c>
      <c r="O789" t="b">
        <f t="shared" si="85"/>
        <v>1</v>
      </c>
      <c r="P789" t="b">
        <f t="shared" si="86"/>
        <v>1</v>
      </c>
    </row>
    <row r="790" spans="1:16">
      <c r="A790" t="str">
        <v>diesel_Gabon_Alsthom_AD30B</v>
      </c>
      <c r="B790" t="b" cm="1">
        <f t="array" ref="B790">_xlfn.XLOOKUP(A790,CONTROL[VEHIDCODE],PROPERTIES[EXCLUDE])</f>
        <v>0</v>
      </c>
      <c r="C790">
        <f>FLOOR(_xlfn.XLOOKUP($A790,PROPERTIES[VEHIDCODE],PROPERTIES[INTRODUCTION_YEAR]),20)</f>
        <v>1960</v>
      </c>
      <c r="D790" t="str">
        <f>_xlfn.XLOOKUP($A790,PROPERTIES[VEHIDCODE],PROPERTIES[ROLE])</f>
        <v>Universal</v>
      </c>
      <c r="E790" s="35" t="str">
        <f>_xlfn.XLOOKUP($A790,PROPERTIES[VEHIDCODE],PROPERTIES[REGION1])</f>
        <v>AFRICA</v>
      </c>
      <c r="F790" s="35" t="str">
        <f>_xlfn.XLOOKUP($A790,PROPERTIES[VEHIDCODE],PROPERTIES[REGION2])</f>
        <v>NO_REGION</v>
      </c>
      <c r="G790" s="35" t="str">
        <f t="shared" si="81"/>
        <v>AFRICA_NO_REGION</v>
      </c>
      <c r="H790" t="b">
        <f t="shared" si="82"/>
        <v>1</v>
      </c>
      <c r="I790" t="b">
        <f t="shared" si="83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4"/>
        <v>0</v>
      </c>
      <c r="N790" t="b">
        <f t="shared" si="85"/>
        <v>0</v>
      </c>
      <c r="O790" t="b">
        <f t="shared" si="85"/>
        <v>0</v>
      </c>
      <c r="P790" t="b">
        <f t="shared" si="86"/>
        <v>0</v>
      </c>
    </row>
    <row r="791" spans="1:16">
      <c r="A791" t="str">
        <v>steam_South_Africa_Katanga_Mikado_2_8_2</v>
      </c>
      <c r="B791" t="b" cm="1">
        <f t="array" ref="B791">_xlfn.XLOOKUP(A791,CONTROL[VEHIDCODE],PROPERTIES[EXCLUDE])</f>
        <v>0</v>
      </c>
      <c r="C791">
        <f>FLOOR(_xlfn.XLOOKUP($A791,PROPERTIES[VEHIDCODE],PROPERTIES[INTRODUCTION_YEAR]),20)</f>
        <v>1900</v>
      </c>
      <c r="D791" t="str">
        <f>_xlfn.XLOOKUP($A791,PROPERTIES[VEHIDCODE],PROPERTIES[ROLE])</f>
        <v>Shunting</v>
      </c>
      <c r="E791" s="35" t="str">
        <f>_xlfn.XLOOKUP($A791,PROPERTIES[VEHIDCODE],PROPERTIES[REGION1])</f>
        <v>AFRICA</v>
      </c>
      <c r="F791" s="35" t="str">
        <f>_xlfn.XLOOKUP($A791,PROPERTIES[VEHIDCODE],PROPERTIES[REGION2])</f>
        <v>NO_REGION</v>
      </c>
      <c r="G791" s="35" t="str">
        <f t="shared" si="81"/>
        <v>AFRICA_NO_REGION</v>
      </c>
      <c r="H791" t="b">
        <f t="shared" si="82"/>
        <v>1</v>
      </c>
      <c r="I791" t="b">
        <f t="shared" si="83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4"/>
        <v>0</v>
      </c>
      <c r="N791" t="b">
        <f t="shared" si="85"/>
        <v>0</v>
      </c>
      <c r="O791" t="b">
        <f t="shared" si="85"/>
        <v>0</v>
      </c>
      <c r="P791" t="b">
        <f t="shared" si="86"/>
        <v>0</v>
      </c>
    </row>
    <row r="792" spans="1:16">
      <c r="A792" t="str">
        <v>cargoemu_Japan_JR_Freight_M250</v>
      </c>
      <c r="B792" t="b" cm="1">
        <f t="array" ref="B792">_xlfn.XLOOKUP(A792,CONTROL[VEHIDCODE],PROPERTIES[EXCLUDE])</f>
        <v>0</v>
      </c>
      <c r="C792">
        <f>FLOOR(_xlfn.XLOOKUP($A792,PROPERTIES[VEHIDCODE],PROPERTIES[INTRODUCTION_YEAR]),20)</f>
        <v>2000</v>
      </c>
      <c r="D792" t="str">
        <f>_xlfn.XLOOKUP($A792,PROPERTIES[VEHIDCODE],PROPERTIES[ROLE])</f>
        <v>Freight</v>
      </c>
      <c r="E792" s="35" t="str">
        <f>_xlfn.XLOOKUP($A792,PROPERTIES[VEHIDCODE],PROPERTIES[REGION1])</f>
        <v>ASIA</v>
      </c>
      <c r="F792" s="35" t="str">
        <f>_xlfn.XLOOKUP($A792,PROPERTIES[VEHIDCODE],PROPERTIES[REGION2])</f>
        <v>NO_REGION</v>
      </c>
      <c r="G792" s="35" t="str">
        <f t="shared" si="81"/>
        <v>ASIA_NO_REGION</v>
      </c>
      <c r="H792" t="b">
        <f t="shared" si="82"/>
        <v>0</v>
      </c>
      <c r="I792" t="b">
        <f t="shared" si="83"/>
        <v>1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4"/>
        <v>0</v>
      </c>
      <c r="N792" t="b">
        <f t="shared" si="85"/>
        <v>0</v>
      </c>
      <c r="O792" t="b">
        <f t="shared" si="85"/>
        <v>0</v>
      </c>
      <c r="P792" t="b">
        <f t="shared" si="86"/>
        <v>0</v>
      </c>
    </row>
    <row r="793" spans="1:16">
      <c r="A793" t="str">
        <v>rbs_Gemany_Hessian_Ludwig_Railway_Type_Thomas</v>
      </c>
      <c r="B793" t="b" cm="1">
        <f t="array" ref="B793">_xlfn.XLOOKUP(A793,CONTROL[VEHIDCODE],PROPERTIES[EXCLUDE])</f>
        <v>0</v>
      </c>
      <c r="C793">
        <f>FLOOR(_xlfn.XLOOKUP($A793,PROPERTIES[VEHIDCODE],PROPERTIES[INTRODUCTION_YEAR]),20)</f>
        <v>1880</v>
      </c>
      <c r="D793" t="str">
        <f>_xlfn.XLOOKUP($A793,PROPERTIES[VEHIDCODE],PROPERTIES[ROLE])</f>
        <v>Commuter/Urban</v>
      </c>
      <c r="E793" s="35" t="str">
        <f>_xlfn.XLOOKUP($A793,PROPERTIES[VEHIDCODE],PROPERTIES[REGION1])</f>
        <v>WESTERN_EUROPE</v>
      </c>
      <c r="F793" s="35" t="str">
        <f>_xlfn.XLOOKUP($A793,PROPERTIES[VEHIDCODE],PROPERTIES[REGION2])</f>
        <v>NORTHERN_EUROPE</v>
      </c>
      <c r="G793" s="35" t="str">
        <f t="shared" si="81"/>
        <v>WESTERN_EUROPE_NORTHERN_EUROPE</v>
      </c>
      <c r="H793" t="b">
        <f t="shared" si="82"/>
        <v>0</v>
      </c>
      <c r="I793" t="b">
        <f t="shared" si="83"/>
        <v>0</v>
      </c>
      <c r="J793" t="b">
        <f t="shared" si="84"/>
        <v>0</v>
      </c>
      <c r="K793" t="b">
        <f t="shared" si="84"/>
        <v>0</v>
      </c>
      <c r="L793" t="b">
        <f t="shared" si="84"/>
        <v>1</v>
      </c>
      <c r="M793" t="b">
        <f t="shared" si="84"/>
        <v>1</v>
      </c>
      <c r="N793" t="b">
        <f t="shared" si="85"/>
        <v>0</v>
      </c>
      <c r="O793" t="b">
        <f t="shared" si="85"/>
        <v>0</v>
      </c>
      <c r="P793" t="b">
        <f t="shared" si="86"/>
        <v>0</v>
      </c>
    </row>
    <row r="794" spans="1:16">
      <c r="A794" t="str">
        <v>rbs_Austria_NOLB_30_33</v>
      </c>
      <c r="B794" t="b" cm="1">
        <f t="array" ref="B794">_xlfn.XLOOKUP(A794,CONTROL[VEHIDCODE],PROPERTIES[EXCLUDE])</f>
        <v>0</v>
      </c>
      <c r="C794">
        <f>FLOOR(_xlfn.XLOOKUP($A794,PROPERTIES[VEHIDCODE],PROPERTIES[INTRODUCTION_YEAR]),20)</f>
        <v>1900</v>
      </c>
      <c r="D794" t="str">
        <f>_xlfn.XLOOKUP($A794,PROPERTIES[VEHIDCODE],PROPERTIES[ROLE])</f>
        <v>Commuter/Urban</v>
      </c>
      <c r="E794" s="35" t="str">
        <f>_xlfn.XLOOKUP($A794,PROPERTIES[VEHIDCODE],PROPERTIES[REGION1])</f>
        <v>WESTERN_EUROPE</v>
      </c>
      <c r="F794" s="35" t="str">
        <f>_xlfn.XLOOKUP($A794,PROPERTIES[VEHIDCODE],PROPERTIES[REGION2])</f>
        <v>NO_REGION</v>
      </c>
      <c r="G794" s="35" t="str">
        <f t="shared" si="81"/>
        <v>WESTERN_EUROPE_NO_REGION</v>
      </c>
      <c r="H794" t="b">
        <f t="shared" si="82"/>
        <v>0</v>
      </c>
      <c r="I794" t="b">
        <f t="shared" si="83"/>
        <v>0</v>
      </c>
      <c r="J794" t="b">
        <f t="shared" si="84"/>
        <v>0</v>
      </c>
      <c r="K794" t="b">
        <f t="shared" si="84"/>
        <v>0</v>
      </c>
      <c r="L794" t="b">
        <f t="shared" si="84"/>
        <v>1</v>
      </c>
      <c r="M794" t="b">
        <f t="shared" si="84"/>
        <v>0</v>
      </c>
      <c r="N794" t="b">
        <f t="shared" si="85"/>
        <v>0</v>
      </c>
      <c r="O794" t="b">
        <f t="shared" si="85"/>
        <v>0</v>
      </c>
      <c r="P794" t="b">
        <f t="shared" si="86"/>
        <v>0</v>
      </c>
    </row>
    <row r="795" spans="1:16">
      <c r="A795" t="str">
        <v>steam_Mozambique_Mozambique_Railways_No_101</v>
      </c>
      <c r="B795" t="b" cm="1">
        <f t="array" ref="B795">_xlfn.XLOOKUP(A795,CONTROL[VEHIDCODE],PROPERTIES[EXCLUDE])</f>
        <v>0</v>
      </c>
      <c r="C795">
        <f>FLOOR(_xlfn.XLOOKUP($A795,PROPERTIES[VEHIDCODE],PROPERTIES[INTRODUCTION_YEAR]),20)</f>
        <v>1920</v>
      </c>
      <c r="D795" t="str">
        <f>_xlfn.XLOOKUP($A795,PROPERTIES[VEHIDCODE],PROPERTIES[ROLE])</f>
        <v>Universal</v>
      </c>
      <c r="E795" s="35" t="str">
        <f>_xlfn.XLOOKUP($A795,PROPERTIES[VEHIDCODE],PROPERTIES[REGION1])</f>
        <v>AFRICA</v>
      </c>
      <c r="F795" s="35" t="str">
        <f>_xlfn.XLOOKUP($A795,PROPERTIES[VEHIDCODE],PROPERTIES[REGION2])</f>
        <v>NO_REGION</v>
      </c>
      <c r="G795" s="35" t="str">
        <f t="shared" si="81"/>
        <v>AFRICA_NO_REGION</v>
      </c>
      <c r="H795" t="b">
        <f t="shared" si="82"/>
        <v>1</v>
      </c>
      <c r="I795" t="b">
        <f t="shared" si="83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4"/>
        <v>0</v>
      </c>
      <c r="N795" t="b">
        <f t="shared" si="85"/>
        <v>0</v>
      </c>
      <c r="O795" t="b">
        <f t="shared" si="85"/>
        <v>0</v>
      </c>
      <c r="P795" t="b">
        <f t="shared" si="86"/>
        <v>0</v>
      </c>
    </row>
    <row r="796" spans="1:16">
      <c r="A796" t="str">
        <v>steam_Ivory_Coast_Golwe_2_6_0_0_6_2T</v>
      </c>
      <c r="B796" t="b" cm="1">
        <f t="array" ref="B796">_xlfn.XLOOKUP(A796,CONTROL[VEHIDCODE],PROPERTIES[EXCLUDE])</f>
        <v>0</v>
      </c>
      <c r="C796">
        <f>FLOOR(_xlfn.XLOOKUP($A796,PROPERTIES[VEHIDCODE],PROPERTIES[INTRODUCTION_YEAR]),20)</f>
        <v>1920</v>
      </c>
      <c r="D796" t="str">
        <f>_xlfn.XLOOKUP($A796,PROPERTIES[VEHIDCODE],PROPERTIES[ROLE])</f>
        <v>Shunting</v>
      </c>
      <c r="E796" s="35" t="str">
        <f>_xlfn.XLOOKUP($A796,PROPERTIES[VEHIDCODE],PROPERTIES[REGION1])</f>
        <v>AFRICA</v>
      </c>
      <c r="F796" s="35" t="str">
        <f>_xlfn.XLOOKUP($A796,PROPERTIES[VEHIDCODE],PROPERTIES[REGION2])</f>
        <v>NO_REGION</v>
      </c>
      <c r="G796" s="35" t="str">
        <f t="shared" si="81"/>
        <v>AFRICA_NO_REGION</v>
      </c>
      <c r="H796" t="b">
        <f t="shared" si="82"/>
        <v>1</v>
      </c>
      <c r="I796" t="b">
        <f t="shared" si="83"/>
        <v>0</v>
      </c>
      <c r="J796" t="b">
        <f t="shared" ref="J796:M811" si="87">OR(ISNUMBER(SEARCH("ALL_REGION",$G796)),
ISNUMBER(SEARCH("ALL_EUROPE",$G796)),
ISNUMBER(SEARCH(J$1,$G796)),
ISNUMBER(SEARCH("REGIONTYPE1",$G796)))</f>
        <v>0</v>
      </c>
      <c r="K796" t="b">
        <f t="shared" si="87"/>
        <v>0</v>
      </c>
      <c r="L796" t="b">
        <f t="shared" si="87"/>
        <v>0</v>
      </c>
      <c r="M796" t="b">
        <f t="shared" si="87"/>
        <v>0</v>
      </c>
      <c r="N796" t="b">
        <f t="shared" ref="N796:O811" si="88">OR(ISNUMBER(SEARCH("ALL_REGION",$G796)),
ISNUMBER(SEARCH("ALL_AMERICA",$G796)),
ISNUMBER(SEARCH(N$1,$G796)),
ISNUMBER(SEARCH("REGIONTYPE2",$G796)))</f>
        <v>0</v>
      </c>
      <c r="O796" t="b">
        <f t="shared" si="88"/>
        <v>0</v>
      </c>
      <c r="P796" t="b">
        <f t="shared" si="86"/>
        <v>0</v>
      </c>
    </row>
    <row r="797" spans="1:16">
      <c r="A797" t="str">
        <v>diesel_Ghana_Railway_Corporation_Class_TT12</v>
      </c>
      <c r="B797" t="b" cm="1">
        <f t="array" ref="B797">_xlfn.XLOOKUP(A797,CONTROL[VEHIDCODE],PROPERTIES[EXCLUDE])</f>
        <v>0</v>
      </c>
      <c r="C797">
        <f>FLOOR(_xlfn.XLOOKUP($A797,PROPERTIES[VEHIDCODE],PROPERTIES[INTRODUCTION_YEAR]),20)</f>
        <v>1940</v>
      </c>
      <c r="D797" t="str">
        <f>_xlfn.XLOOKUP($A797,PROPERTIES[VEHIDCODE],PROPERTIES[ROLE])</f>
        <v>Express</v>
      </c>
      <c r="E797" s="35" t="str">
        <f>_xlfn.XLOOKUP($A797,PROPERTIES[VEHIDCODE],PROPERTIES[REGION1])</f>
        <v>AFRICA</v>
      </c>
      <c r="F797" s="35" t="str">
        <f>_xlfn.XLOOKUP($A797,PROPERTIES[VEHIDCODE],PROPERTIES[REGION2])</f>
        <v>NO_REGION</v>
      </c>
      <c r="G797" s="35" t="str">
        <f t="shared" si="81"/>
        <v>AFRICA_NO_REGION</v>
      </c>
      <c r="H797" t="b">
        <f t="shared" si="82"/>
        <v>1</v>
      </c>
      <c r="I797" t="b">
        <f t="shared" si="83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7"/>
        <v>0</v>
      </c>
      <c r="N797" t="b">
        <f t="shared" si="88"/>
        <v>0</v>
      </c>
      <c r="O797" t="b">
        <f t="shared" si="88"/>
        <v>0</v>
      </c>
      <c r="P797" t="b">
        <f t="shared" si="86"/>
        <v>0</v>
      </c>
    </row>
    <row r="798" spans="1:16">
      <c r="A798" t="str">
        <v>diesel_Sierra_Leone_LAMCO_301_Series</v>
      </c>
      <c r="B798" t="b" cm="1">
        <f t="array" ref="B798">_xlfn.XLOOKUP(A798,CONTROL[VEHIDCODE],PROPERTIES[EXCLUDE])</f>
        <v>0</v>
      </c>
      <c r="C798">
        <f>FLOOR(_xlfn.XLOOKUP($A798,PROPERTIES[VEHIDCODE],PROPERTIES[INTRODUCTION_YEAR]),20)</f>
        <v>1960</v>
      </c>
      <c r="D798" t="str">
        <f>_xlfn.XLOOKUP($A798,PROPERTIES[VEHIDCODE],PROPERTIES[ROLE])</f>
        <v>Heavy Freight</v>
      </c>
      <c r="E798" s="35" t="str">
        <f>_xlfn.XLOOKUP($A798,PROPERTIES[VEHIDCODE],PROPERTIES[REGION1])</f>
        <v>AFRICA</v>
      </c>
      <c r="F798" s="35" t="str">
        <f>_xlfn.XLOOKUP($A798,PROPERTIES[VEHIDCODE],PROPERTIES[REGION2])</f>
        <v>NO_REGION</v>
      </c>
      <c r="G798" s="35" t="str">
        <f t="shared" si="81"/>
        <v>AFRICA_NO_REGION</v>
      </c>
      <c r="H798" t="b">
        <f t="shared" si="82"/>
        <v>1</v>
      </c>
      <c r="I798" t="b">
        <f t="shared" si="83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7"/>
        <v>0</v>
      </c>
      <c r="N798" t="b">
        <f t="shared" si="88"/>
        <v>0</v>
      </c>
      <c r="O798" t="b">
        <f t="shared" si="88"/>
        <v>0</v>
      </c>
      <c r="P798" t="b">
        <f t="shared" si="86"/>
        <v>0</v>
      </c>
    </row>
    <row r="799" spans="1:16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>
        <f>FLOOR(_xlfn.XLOOKUP($A799,PROPERTIES[VEHIDCODE],PROPERTIES[INTRODUCTION_YEAR]),20)</f>
        <v>1960</v>
      </c>
      <c r="D799" t="str">
        <f>_xlfn.XLOOKUP($A799,PROPERTIES[VEHIDCODE],PROPERTIES[ROLE])</f>
        <v>Universal</v>
      </c>
      <c r="E799" s="35" t="str">
        <f>_xlfn.XLOOKUP($A799,PROPERTIES[VEHIDCODE],PROPERTIES[REGION1])</f>
        <v>AFRICA</v>
      </c>
      <c r="F799" s="35" t="str">
        <f>_xlfn.XLOOKUP($A799,PROPERTIES[VEHIDCODE],PROPERTIES[REGION2])</f>
        <v>NO_REGION</v>
      </c>
      <c r="G799" s="35" t="str">
        <f t="shared" si="81"/>
        <v>AFRICA_NO_REGION</v>
      </c>
      <c r="H799" t="b">
        <f t="shared" si="82"/>
        <v>1</v>
      </c>
      <c r="I799" t="b">
        <f t="shared" si="83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7"/>
        <v>0</v>
      </c>
      <c r="N799" t="b">
        <f t="shared" si="88"/>
        <v>0</v>
      </c>
      <c r="O799" t="b">
        <f t="shared" si="88"/>
        <v>0</v>
      </c>
      <c r="P799" t="b">
        <f t="shared" si="86"/>
        <v>0</v>
      </c>
    </row>
    <row r="800" spans="1:16">
      <c r="A800" t="str">
        <v>diesel_Congo_Alstom_BB_BB</v>
      </c>
      <c r="B800" t="b" cm="1">
        <f t="array" ref="B800">_xlfn.XLOOKUP(A800,CONTROL[VEHIDCODE],PROPERTIES[EXCLUDE])</f>
        <v>0</v>
      </c>
      <c r="C800">
        <f>FLOOR(_xlfn.XLOOKUP($A800,PROPERTIES[VEHIDCODE],PROPERTIES[INTRODUCTION_YEAR]),20)</f>
        <v>1960</v>
      </c>
      <c r="D800" t="str">
        <f>_xlfn.XLOOKUP($A800,PROPERTIES[VEHIDCODE],PROPERTIES[ROLE])</f>
        <v>Universal</v>
      </c>
      <c r="E800" s="35" t="str">
        <f>_xlfn.XLOOKUP($A800,PROPERTIES[VEHIDCODE],PROPERTIES[REGION1])</f>
        <v>AFRICA</v>
      </c>
      <c r="F800" s="35" t="str">
        <f>_xlfn.XLOOKUP($A800,PROPERTIES[VEHIDCODE],PROPERTIES[REGION2])</f>
        <v>NO_REGION</v>
      </c>
      <c r="G800" s="35" t="str">
        <f t="shared" si="81"/>
        <v>AFRICA_NO_REGION</v>
      </c>
      <c r="H800" t="b">
        <f t="shared" si="82"/>
        <v>1</v>
      </c>
      <c r="I800" t="b">
        <f t="shared" si="83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7"/>
        <v>0</v>
      </c>
      <c r="N800" t="b">
        <f t="shared" si="88"/>
        <v>0</v>
      </c>
      <c r="O800" t="b">
        <f t="shared" si="88"/>
        <v>0</v>
      </c>
      <c r="P800" t="b">
        <f t="shared" si="86"/>
        <v>0</v>
      </c>
    </row>
    <row r="801" spans="1:16">
      <c r="A801" t="str">
        <v>diesel_Zimbabwe_Sorefame_DE8</v>
      </c>
      <c r="B801" t="b" cm="1">
        <f t="array" ref="B801">_xlfn.XLOOKUP(A801,CONTROL[VEHIDCODE],PROPERTIES[EXCLUDE])</f>
        <v>0</v>
      </c>
      <c r="C801">
        <f>FLOOR(_xlfn.XLOOKUP($A801,PROPERTIES[VEHIDCODE],PROPERTIES[INTRODUCTION_YEAR]),20)</f>
        <v>1960</v>
      </c>
      <c r="D801" t="str">
        <f>_xlfn.XLOOKUP($A801,PROPERTIES[VEHIDCODE],PROPERTIES[ROLE])</f>
        <v>Express</v>
      </c>
      <c r="E801" s="35" t="str">
        <f>_xlfn.XLOOKUP($A801,PROPERTIES[VEHIDCODE],PROPERTIES[REGION1])</f>
        <v>AFRICA</v>
      </c>
      <c r="F801" s="35" t="str">
        <f>_xlfn.XLOOKUP($A801,PROPERTIES[VEHIDCODE],PROPERTIES[REGION2])</f>
        <v>NO_REGION</v>
      </c>
      <c r="G801" s="35" t="str">
        <f t="shared" si="81"/>
        <v>AFRICA_NO_REGION</v>
      </c>
      <c r="H801" t="b">
        <f t="shared" si="82"/>
        <v>1</v>
      </c>
      <c r="I801" t="b">
        <f t="shared" si="83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7"/>
        <v>0</v>
      </c>
      <c r="N801" t="b">
        <f t="shared" si="88"/>
        <v>0</v>
      </c>
      <c r="O801" t="b">
        <f t="shared" si="88"/>
        <v>0</v>
      </c>
      <c r="P801" t="b">
        <f t="shared" si="86"/>
        <v>0</v>
      </c>
    </row>
    <row r="802" spans="1:16">
      <c r="A802" t="str">
        <v>diesel_Ivory_Coast_GMD_GT22LC2</v>
      </c>
      <c r="B802" t="b" cm="1">
        <f t="array" ref="B802">_xlfn.XLOOKUP(A802,CONTROL[VEHIDCODE],PROPERTIES[EXCLUDE])</f>
        <v>0</v>
      </c>
      <c r="C802">
        <f>FLOOR(_xlfn.XLOOKUP($A802,PROPERTIES[VEHIDCODE],PROPERTIES[INTRODUCTION_YEAR]),20)</f>
        <v>1980</v>
      </c>
      <c r="D802" t="str">
        <f>_xlfn.XLOOKUP($A802,PROPERTIES[VEHIDCODE],PROPERTIES[ROLE])</f>
        <v>Express</v>
      </c>
      <c r="E802" s="35" t="str">
        <f>_xlfn.XLOOKUP($A802,PROPERTIES[VEHIDCODE],PROPERTIES[REGION1])</f>
        <v>AFRICA</v>
      </c>
      <c r="F802" s="35" t="str">
        <f>_xlfn.XLOOKUP($A802,PROPERTIES[VEHIDCODE],PROPERTIES[REGION2])</f>
        <v>NO_REGION</v>
      </c>
      <c r="G802" s="35" t="str">
        <f t="shared" si="81"/>
        <v>AFRICA_NO_REGION</v>
      </c>
      <c r="H802" t="b">
        <f t="shared" si="82"/>
        <v>1</v>
      </c>
      <c r="I802" t="b">
        <f t="shared" si="83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7"/>
        <v>0</v>
      </c>
      <c r="N802" t="b">
        <f t="shared" si="88"/>
        <v>0</v>
      </c>
      <c r="O802" t="b">
        <f t="shared" si="88"/>
        <v>0</v>
      </c>
      <c r="P802" t="b">
        <f t="shared" si="86"/>
        <v>0</v>
      </c>
    </row>
    <row r="803" spans="1:16">
      <c r="A803" t="str">
        <v>electric_Tanzania_TRC_E6800</v>
      </c>
      <c r="B803" t="b" cm="1">
        <f t="array" ref="B803">_xlfn.XLOOKUP(A803,CONTROL[VEHIDCODE],PROPERTIES[EXCLUDE])</f>
        <v>0</v>
      </c>
      <c r="C803">
        <f>FLOOR(_xlfn.XLOOKUP($A803,PROPERTIES[VEHIDCODE],PROPERTIES[INTRODUCTION_YEAR]),20)</f>
        <v>2020</v>
      </c>
      <c r="D803" t="str">
        <f>_xlfn.XLOOKUP($A803,PROPERTIES[VEHIDCODE],PROPERTIES[ROLE])</f>
        <v>Express</v>
      </c>
      <c r="E803" s="35" t="str">
        <f>_xlfn.XLOOKUP($A803,PROPERTIES[VEHIDCODE],PROPERTIES[REGION1])</f>
        <v>AFRICA</v>
      </c>
      <c r="F803" s="35" t="str">
        <f>_xlfn.XLOOKUP($A803,PROPERTIES[VEHIDCODE],PROPERTIES[REGION2])</f>
        <v>NO_REGION</v>
      </c>
      <c r="G803" s="35" t="str">
        <f t="shared" si="81"/>
        <v>AFRICA_NO_REGION</v>
      </c>
      <c r="H803" t="b">
        <f t="shared" si="82"/>
        <v>1</v>
      </c>
      <c r="I803" t="b">
        <f t="shared" si="83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7"/>
        <v>0</v>
      </c>
      <c r="N803" t="b">
        <f t="shared" si="88"/>
        <v>0</v>
      </c>
      <c r="O803" t="b">
        <f t="shared" si="88"/>
        <v>0</v>
      </c>
      <c r="P803" t="b">
        <f t="shared" si="86"/>
        <v>0</v>
      </c>
    </row>
    <row r="804" spans="1:16">
      <c r="A804" t="str">
        <v>mtro_USA_Brooklyn_Union_Gate_Car</v>
      </c>
      <c r="B804" t="b" cm="1">
        <f t="array" ref="B804">_xlfn.XLOOKUP(A804,CONTROL[VEHIDCODE],PROPERTIES[EXCLUDE])</f>
        <v>0</v>
      </c>
      <c r="C804">
        <f>FLOOR(_xlfn.XLOOKUP($A804,PROPERTIES[VEHIDCODE],PROPERTIES[INTRODUCTION_YEAR]),20)</f>
        <v>1880</v>
      </c>
      <c r="D804" t="str">
        <f>_xlfn.XLOOKUP($A804,PROPERTIES[VEHIDCODE],PROPERTIES[ROLE])</f>
        <v>Metro</v>
      </c>
      <c r="E804" s="35" t="str">
        <f>_xlfn.XLOOKUP($A804,PROPERTIES[VEHIDCODE],PROPERTIES[REGION1])</f>
        <v>NORTH_AMERICA</v>
      </c>
      <c r="F804" s="35" t="str">
        <f>_xlfn.XLOOKUP($A804,PROPERTIES[VEHIDCODE],PROPERTIES[REGION2])</f>
        <v>NO_REGION</v>
      </c>
      <c r="G804" s="35" t="str">
        <f t="shared" si="81"/>
        <v>NORTH_AMERICA_NO_REGION</v>
      </c>
      <c r="H804" t="b">
        <f t="shared" si="82"/>
        <v>0</v>
      </c>
      <c r="I804" t="b">
        <f t="shared" si="83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7"/>
        <v>0</v>
      </c>
      <c r="N804" t="b">
        <f t="shared" si="88"/>
        <v>1</v>
      </c>
      <c r="O804" t="b">
        <f t="shared" si="88"/>
        <v>0</v>
      </c>
      <c r="P804" t="b">
        <f t="shared" si="86"/>
        <v>0</v>
      </c>
    </row>
    <row r="805" spans="1:16">
      <c r="A805" t="str">
        <v>mu_Coach_Gen5_CityNightLine_Sleeper</v>
      </c>
      <c r="B805" t="b" cm="1">
        <f t="array" ref="B805">_xlfn.XLOOKUP(A805,CONTROL[VEHIDCODE],PROPERTIES[EXCLUDE])</f>
        <v>0</v>
      </c>
      <c r="C805">
        <f>FLOOR(_xlfn.XLOOKUP($A805,PROPERTIES[VEHIDCODE],PROPERTIES[INTRODUCTION_YEAR]),20)</f>
        <v>1980</v>
      </c>
      <c r="D805" t="str">
        <f>_xlfn.XLOOKUP($A805,PROPERTIES[VEHIDCODE],PROPERTIES[ROLE])</f>
        <v>Coach (Express)</v>
      </c>
      <c r="E805" s="35" t="str">
        <f>_xlfn.XLOOKUP($A805,PROPERTIES[VEHIDCODE],PROPERTIES[REGION1])</f>
        <v>ALL_REGION</v>
      </c>
      <c r="F805" s="35" t="str">
        <f>_xlfn.XLOOKUP($A805,PROPERTIES[VEHIDCODE],PROPERTIES[REGION2])</f>
        <v>NO_REGION</v>
      </c>
      <c r="G805" s="35" t="str">
        <f t="shared" si="81"/>
        <v>ALL_REGION_NO_REGION</v>
      </c>
      <c r="H805" t="b">
        <f t="shared" si="82"/>
        <v>1</v>
      </c>
      <c r="I805" t="b">
        <f t="shared" si="83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7"/>
        <v>1</v>
      </c>
      <c r="N805" t="b">
        <f t="shared" si="88"/>
        <v>1</v>
      </c>
      <c r="O805" t="b">
        <f t="shared" si="88"/>
        <v>1</v>
      </c>
      <c r="P805" t="b">
        <f t="shared" si="86"/>
        <v>1</v>
      </c>
    </row>
    <row r="806" spans="1:16">
      <c r="A806" t="str">
        <v>mu_Coach_Gen4_Trans_Euro_Night_Sleeper</v>
      </c>
      <c r="B806" t="b" cm="1">
        <f t="array" ref="B806">_xlfn.XLOOKUP(A806,CONTROL[VEHIDCODE],PROPERTIES[EXCLUDE])</f>
        <v>0</v>
      </c>
      <c r="C806">
        <f>FLOOR(_xlfn.XLOOKUP($A806,PROPERTIES[VEHIDCODE],PROPERTIES[INTRODUCTION_YEAR]),20)</f>
        <v>1960</v>
      </c>
      <c r="D806" t="str">
        <f>_xlfn.XLOOKUP($A806,PROPERTIES[VEHIDCODE],PROPERTIES[ROLE])</f>
        <v>Coach (Commuter)</v>
      </c>
      <c r="E806" s="35" t="str">
        <f>_xlfn.XLOOKUP($A806,PROPERTIES[VEHIDCODE],PROPERTIES[REGION1])</f>
        <v>ALL_REGION</v>
      </c>
      <c r="F806" s="35" t="str">
        <f>_xlfn.XLOOKUP($A806,PROPERTIES[VEHIDCODE],PROPERTIES[REGION2])</f>
        <v>NO_REGION</v>
      </c>
      <c r="G806" s="35" t="str">
        <f t="shared" si="81"/>
        <v>ALL_REGION_NO_REGION</v>
      </c>
      <c r="H806" t="b">
        <f t="shared" si="82"/>
        <v>1</v>
      </c>
      <c r="I806" t="b">
        <f t="shared" si="83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7"/>
        <v>1</v>
      </c>
      <c r="N806" t="b">
        <f t="shared" si="88"/>
        <v>1</v>
      </c>
      <c r="O806" t="b">
        <f t="shared" si="88"/>
        <v>1</v>
      </c>
      <c r="P806" t="b">
        <f t="shared" si="86"/>
        <v>1</v>
      </c>
    </row>
    <row r="807" spans="1:16">
      <c r="A807" t="str">
        <v>mu_Wagon_Gen1_Livestock_Van</v>
      </c>
      <c r="B807" t="b" cm="1">
        <f t="array" ref="B807">_xlfn.XLOOKUP(A807,CONTROL[VEHIDCODE],PROPERTIES[EXCLUDE])</f>
        <v>0</v>
      </c>
      <c r="C807">
        <f>FLOOR(_xlfn.XLOOKUP($A807,PROPERTIES[VEHIDCODE],PROPERTIES[INTRODUCTION_YEAR]),20)</f>
        <v>1820</v>
      </c>
      <c r="D807" t="str">
        <f>_xlfn.XLOOKUP($A807,PROPERTIES[VEHIDCODE],PROPERTIES[ROLE])</f>
        <v>Wagon</v>
      </c>
      <c r="E807" s="35" t="str">
        <f>_xlfn.XLOOKUP($A807,PROPERTIES[VEHIDCODE],PROPERTIES[REGION1])</f>
        <v>ALL_REGION</v>
      </c>
      <c r="F807" s="35" t="str">
        <f>_xlfn.XLOOKUP($A807,PROPERTIES[VEHIDCODE],PROPERTIES[REGION2])</f>
        <v>NO_REGION</v>
      </c>
      <c r="G807" s="35" t="str">
        <f t="shared" si="81"/>
        <v>ALL_REGION_NO_REGION</v>
      </c>
      <c r="H807" t="b">
        <f t="shared" si="82"/>
        <v>1</v>
      </c>
      <c r="I807" t="b">
        <f t="shared" si="83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7"/>
        <v>1</v>
      </c>
      <c r="N807" t="b">
        <f t="shared" si="88"/>
        <v>1</v>
      </c>
      <c r="O807" t="b">
        <f t="shared" si="88"/>
        <v>1</v>
      </c>
      <c r="P807" t="b">
        <f t="shared" si="86"/>
        <v>1</v>
      </c>
    </row>
    <row r="808" spans="1:16">
      <c r="A808" t="str">
        <v>mu_Wagon_Gen2_Livestock_Van</v>
      </c>
      <c r="B808" t="b" cm="1">
        <f t="array" ref="B808">_xlfn.XLOOKUP(A808,CONTROL[VEHIDCODE],PROPERTIES[EXCLUDE])</f>
        <v>0</v>
      </c>
      <c r="C808">
        <f>FLOOR(_xlfn.XLOOKUP($A808,PROPERTIES[VEHIDCODE],PROPERTIES[INTRODUCTION_YEAR]),20)</f>
        <v>1880</v>
      </c>
      <c r="D808" t="str">
        <f>_xlfn.XLOOKUP($A808,PROPERTIES[VEHIDCODE],PROPERTIES[ROLE])</f>
        <v>Wagon</v>
      </c>
      <c r="E808" s="35" t="str">
        <f>_xlfn.XLOOKUP($A808,PROPERTIES[VEHIDCODE],PROPERTIES[REGION1])</f>
        <v>ALL_REGION</v>
      </c>
      <c r="F808" s="35" t="str">
        <f>_xlfn.XLOOKUP($A808,PROPERTIES[VEHIDCODE],PROPERTIES[REGION2])</f>
        <v>NO_REGION</v>
      </c>
      <c r="G808" s="35" t="str">
        <f t="shared" si="81"/>
        <v>ALL_REGION_NO_REGION</v>
      </c>
      <c r="H808" t="b">
        <f t="shared" si="82"/>
        <v>1</v>
      </c>
      <c r="I808" t="b">
        <f t="shared" si="83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7"/>
        <v>1</v>
      </c>
      <c r="N808" t="b">
        <f t="shared" si="88"/>
        <v>1</v>
      </c>
      <c r="O808" t="b">
        <f t="shared" si="88"/>
        <v>1</v>
      </c>
      <c r="P808" t="b">
        <f t="shared" si="86"/>
        <v>1</v>
      </c>
    </row>
    <row r="809" spans="1:16">
      <c r="A809" t="str">
        <v>mu_Wagon_Gen3_Livestock_Van</v>
      </c>
      <c r="B809" t="b" cm="1">
        <f t="array" ref="B809">_xlfn.XLOOKUP(A809,CONTROL[VEHIDCODE],PROPERTIES[EXCLUDE])</f>
        <v>0</v>
      </c>
      <c r="C809">
        <f>FLOOR(_xlfn.XLOOKUP($A809,PROPERTIES[VEHIDCODE],PROPERTIES[INTRODUCTION_YEAR]),20)</f>
        <v>1920</v>
      </c>
      <c r="D809" t="str">
        <f>_xlfn.XLOOKUP($A809,PROPERTIES[VEHIDCODE],PROPERTIES[ROLE])</f>
        <v>Wagon</v>
      </c>
      <c r="E809" s="35" t="str">
        <f>_xlfn.XLOOKUP($A809,PROPERTIES[VEHIDCODE],PROPERTIES[REGION1])</f>
        <v>ALL_REGION</v>
      </c>
      <c r="F809" s="35" t="str">
        <f>_xlfn.XLOOKUP($A809,PROPERTIES[VEHIDCODE],PROPERTIES[REGION2])</f>
        <v>NO_REGION</v>
      </c>
      <c r="G809" s="35" t="str">
        <f t="shared" si="81"/>
        <v>ALL_REGION_NO_REGION</v>
      </c>
      <c r="H809" t="b">
        <f t="shared" si="82"/>
        <v>1</v>
      </c>
      <c r="I809" t="b">
        <f t="shared" si="83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7"/>
        <v>1</v>
      </c>
      <c r="N809" t="b">
        <f t="shared" si="88"/>
        <v>1</v>
      </c>
      <c r="O809" t="b">
        <f t="shared" si="88"/>
        <v>1</v>
      </c>
      <c r="P809" t="b">
        <f t="shared" si="86"/>
        <v>1</v>
      </c>
    </row>
    <row r="810" spans="1:16">
      <c r="A810" t="str">
        <v>mu_Wagon_Gen4_Livestock_Van</v>
      </c>
      <c r="B810" t="b" cm="1">
        <f t="array" ref="B810">_xlfn.XLOOKUP(A810,CONTROL[VEHIDCODE],PROPERTIES[EXCLUDE])</f>
        <v>0</v>
      </c>
      <c r="C810">
        <f>FLOOR(_xlfn.XLOOKUP($A810,PROPERTIES[VEHIDCODE],PROPERTIES[INTRODUCTION_YEAR]),20)</f>
        <v>1940</v>
      </c>
      <c r="D810" t="str">
        <f>_xlfn.XLOOKUP($A810,PROPERTIES[VEHIDCODE],PROPERTIES[ROLE])</f>
        <v>Wagon</v>
      </c>
      <c r="E810" s="35" t="str">
        <f>_xlfn.XLOOKUP($A810,PROPERTIES[VEHIDCODE],PROPERTIES[REGION1])</f>
        <v>ALL_REGION</v>
      </c>
      <c r="F810" s="35" t="str">
        <f>_xlfn.XLOOKUP($A810,PROPERTIES[VEHIDCODE],PROPERTIES[REGION2])</f>
        <v>NO_REGION</v>
      </c>
      <c r="G810" s="35" t="str">
        <f t="shared" si="81"/>
        <v>ALL_REGION_NO_REGION</v>
      </c>
      <c r="H810" t="b">
        <f t="shared" si="82"/>
        <v>1</v>
      </c>
      <c r="I810" t="b">
        <f t="shared" si="83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7"/>
        <v>1</v>
      </c>
      <c r="N810" t="b">
        <f t="shared" si="88"/>
        <v>1</v>
      </c>
      <c r="O810" t="b">
        <f t="shared" si="88"/>
        <v>1</v>
      </c>
      <c r="P810" t="b">
        <f t="shared" si="86"/>
        <v>1</v>
      </c>
    </row>
    <row r="811" spans="1:16">
      <c r="A811" t="str">
        <v>mu_Wagon_Gen5_Livestock_Van</v>
      </c>
      <c r="B811" t="b" cm="1">
        <f t="array" ref="B811">_xlfn.XLOOKUP(A811,CONTROL[VEHIDCODE],PROPERTIES[EXCLUDE])</f>
        <v>0</v>
      </c>
      <c r="C811">
        <f>FLOOR(_xlfn.XLOOKUP($A811,PROPERTIES[VEHIDCODE],PROPERTIES[INTRODUCTION_YEAR]),20)</f>
        <v>1980</v>
      </c>
      <c r="D811" t="str">
        <f>_xlfn.XLOOKUP($A811,PROPERTIES[VEHIDCODE],PROPERTIES[ROLE])</f>
        <v>Wagon</v>
      </c>
      <c r="E811" s="35" t="str">
        <f>_xlfn.XLOOKUP($A811,PROPERTIES[VEHIDCODE],PROPERTIES[REGION1])</f>
        <v>ALL_REGION</v>
      </c>
      <c r="F811" s="35" t="str">
        <f>_xlfn.XLOOKUP($A811,PROPERTIES[VEHIDCODE],PROPERTIES[REGION2])</f>
        <v>NO_REGION</v>
      </c>
      <c r="G811" s="35" t="str">
        <f t="shared" si="81"/>
        <v>ALL_REGION_NO_REGION</v>
      </c>
      <c r="H811" t="b">
        <f t="shared" si="82"/>
        <v>1</v>
      </c>
      <c r="I811" t="b">
        <f t="shared" si="83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7"/>
        <v>1</v>
      </c>
      <c r="N811" t="b">
        <f t="shared" si="88"/>
        <v>1</v>
      </c>
      <c r="O811" t="b">
        <f t="shared" si="88"/>
        <v>1</v>
      </c>
      <c r="P811" t="b">
        <f t="shared" si="86"/>
        <v>1</v>
      </c>
    </row>
    <row r="812" spans="1:16">
      <c r="A812" t="str">
        <v>mu_Wagon_Gen6_Livestock_Van</v>
      </c>
      <c r="B812" t="b" cm="1">
        <f t="array" ref="B812">_xlfn.XLOOKUP(A812,CONTROL[VEHIDCODE],PROPERTIES[EXCLUDE])</f>
        <v>0</v>
      </c>
      <c r="C812">
        <f>FLOOR(_xlfn.XLOOKUP($A812,PROPERTIES[VEHIDCODE],PROPERTIES[INTRODUCTION_YEAR]),20)</f>
        <v>2000</v>
      </c>
      <c r="D812" t="str">
        <f>_xlfn.XLOOKUP($A812,PROPERTIES[VEHIDCODE],PROPERTIES[ROLE])</f>
        <v>Wagon</v>
      </c>
      <c r="E812" s="35" t="str">
        <f>_xlfn.XLOOKUP($A812,PROPERTIES[VEHIDCODE],PROPERTIES[REGION1])</f>
        <v>ALL_REGION</v>
      </c>
      <c r="F812" s="35" t="str">
        <f>_xlfn.XLOOKUP($A812,PROPERTIES[VEHIDCODE],PROPERTIES[REGION2])</f>
        <v>NO_REGION</v>
      </c>
      <c r="G812" s="35" t="str">
        <f t="shared" si="81"/>
        <v>ALL_REGION_NO_REGION</v>
      </c>
      <c r="H812" t="b">
        <f t="shared" si="82"/>
        <v>1</v>
      </c>
      <c r="I812" t="b">
        <f t="shared" si="83"/>
        <v>1</v>
      </c>
      <c r="J812" t="b">
        <f t="shared" ref="J812:M851" si="89">OR(ISNUMBER(SEARCH("ALL_REGION",$G812)),
ISNUMBER(SEARCH("ALL_EUROPE",$G812)),
ISNUMBER(SEARCH(J$1,$G812)),
ISNUMBER(SEARCH("REGIONTYPE1",$G812)))</f>
        <v>1</v>
      </c>
      <c r="K812" t="b">
        <f t="shared" si="89"/>
        <v>1</v>
      </c>
      <c r="L812" t="b">
        <f t="shared" si="89"/>
        <v>1</v>
      </c>
      <c r="M812" t="b">
        <f t="shared" si="89"/>
        <v>1</v>
      </c>
      <c r="N812" t="b">
        <f t="shared" ref="N812:O851" si="90">OR(ISNUMBER(SEARCH("ALL_REGION",$G812)),
ISNUMBER(SEARCH("ALL_AMERICA",$G812)),
ISNUMBER(SEARCH(N$1,$G812)),
ISNUMBER(SEARCH("REGIONTYPE2",$G812)))</f>
        <v>1</v>
      </c>
      <c r="O812" t="b">
        <f t="shared" si="90"/>
        <v>1</v>
      </c>
      <c r="P812" t="b">
        <f t="shared" si="86"/>
        <v>1</v>
      </c>
    </row>
    <row r="813" spans="1:16">
      <c r="A813" t="str">
        <v>mglv_Wagon_Gen7M_Livestock_Van</v>
      </c>
      <c r="B813" t="b" cm="1">
        <f t="array" ref="B813">_xlfn.XLOOKUP(A813,CONTROL[VEHIDCODE],PROPERTIES[EXCLUDE])</f>
        <v>0</v>
      </c>
      <c r="C813">
        <f>FLOOR(_xlfn.XLOOKUP($A813,PROPERTIES[VEHIDCODE],PROPERTIES[INTRODUCTION_YEAR]),20)</f>
        <v>2000</v>
      </c>
      <c r="D813" t="str">
        <f>_xlfn.XLOOKUP($A813,PROPERTIES[VEHIDCODE],PROPERTIES[ROLE])</f>
        <v>Wagon</v>
      </c>
      <c r="E813" s="35" t="str">
        <f>_xlfn.XLOOKUP($A813,PROPERTIES[VEHIDCODE],PROPERTIES[REGION1])</f>
        <v>ALL_REGION</v>
      </c>
      <c r="F813" s="35" t="str">
        <f>_xlfn.XLOOKUP($A813,PROPERTIES[VEHIDCODE],PROPERTIES[REGION2])</f>
        <v>NO_REGION</v>
      </c>
      <c r="G813" s="35" t="str">
        <f t="shared" si="81"/>
        <v>ALL_REGION_NO_REGION</v>
      </c>
      <c r="H813" t="b">
        <f t="shared" si="82"/>
        <v>1</v>
      </c>
      <c r="I813" t="b">
        <f t="shared" si="83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89"/>
        <v>1</v>
      </c>
      <c r="N813" t="b">
        <f t="shared" si="90"/>
        <v>1</v>
      </c>
      <c r="O813" t="b">
        <f t="shared" si="90"/>
        <v>1</v>
      </c>
      <c r="P813" t="b">
        <f t="shared" si="86"/>
        <v>1</v>
      </c>
    </row>
    <row r="814" spans="1:16">
      <c r="A814" t="str">
        <v>electric_Hungary_MAV_Class_V63</v>
      </c>
      <c r="B814" t="b" cm="1">
        <f t="array" ref="B814">_xlfn.XLOOKUP(A814,CONTROL[VEHIDCODE],PROPERTIES[EXCLUDE])</f>
        <v>0</v>
      </c>
      <c r="C814">
        <f>FLOOR(_xlfn.XLOOKUP($A814,PROPERTIES[VEHIDCODE],PROPERTIES[INTRODUCTION_YEAR]),20)</f>
        <v>1960</v>
      </c>
      <c r="D814" t="str">
        <f>_xlfn.XLOOKUP($A814,PROPERTIES[VEHIDCODE],PROPERTIES[ROLE])</f>
        <v>Universal</v>
      </c>
      <c r="E814" s="35" t="str">
        <f>_xlfn.XLOOKUP($A814,PROPERTIES[VEHIDCODE],PROPERTIES[REGION1])</f>
        <v>EASTERN_EUROPE</v>
      </c>
      <c r="F814" s="35" t="str">
        <f>_xlfn.XLOOKUP($A814,PROPERTIES[VEHIDCODE],PROPERTIES[REGION2])</f>
        <v>NO_REGION</v>
      </c>
      <c r="G814" s="35" t="str">
        <f t="shared" si="81"/>
        <v>EASTERN_EUROPE_NO_REGION</v>
      </c>
      <c r="H814" t="b">
        <f t="shared" si="82"/>
        <v>0</v>
      </c>
      <c r="I814" t="b">
        <f t="shared" si="83"/>
        <v>0</v>
      </c>
      <c r="J814" t="b">
        <f t="shared" si="89"/>
        <v>0</v>
      </c>
      <c r="K814" t="b">
        <f t="shared" si="89"/>
        <v>1</v>
      </c>
      <c r="L814" t="b">
        <f t="shared" si="89"/>
        <v>0</v>
      </c>
      <c r="M814" t="b">
        <f t="shared" si="89"/>
        <v>0</v>
      </c>
      <c r="N814" t="b">
        <f t="shared" si="90"/>
        <v>0</v>
      </c>
      <c r="O814" t="b">
        <f t="shared" si="90"/>
        <v>0</v>
      </c>
      <c r="P814" t="b">
        <f t="shared" si="86"/>
        <v>0</v>
      </c>
    </row>
    <row r="815" spans="1:16">
      <c r="A815" t="str">
        <v>mtro_UK_London_1992_Stock</v>
      </c>
      <c r="B815" t="b" cm="1">
        <f t="array" ref="B815">_xlfn.XLOOKUP(A815,CONTROL[VEHIDCODE],PROPERTIES[EXCLUDE])</f>
        <v>0</v>
      </c>
      <c r="C815">
        <f>FLOOR(_xlfn.XLOOKUP($A815,PROPERTIES[VEHIDCODE],PROPERTIES[INTRODUCTION_YEAR]),20)</f>
        <v>1980</v>
      </c>
      <c r="D815" t="str">
        <f>_xlfn.XLOOKUP($A815,PROPERTIES[VEHIDCODE],PROPERTIES[ROLE])</f>
        <v>Metro</v>
      </c>
      <c r="E815" s="35" t="str">
        <f>_xlfn.XLOOKUP($A815,PROPERTIES[VEHIDCODE],PROPERTIES[REGION1])</f>
        <v>NORTHERN_EUROPE</v>
      </c>
      <c r="F815" s="35" t="str">
        <f>_xlfn.XLOOKUP($A815,PROPERTIES[VEHIDCODE],PROPERTIES[REGION2])</f>
        <v>NO_REGION</v>
      </c>
      <c r="G815" s="35" t="str">
        <f t="shared" si="81"/>
        <v>NORTHERN_EUROPE_NO_REGION</v>
      </c>
      <c r="H815" t="b">
        <f t="shared" si="82"/>
        <v>0</v>
      </c>
      <c r="I815" t="b">
        <f t="shared" si="83"/>
        <v>0</v>
      </c>
      <c r="J815" t="b">
        <f t="shared" si="89"/>
        <v>0</v>
      </c>
      <c r="K815" t="b">
        <f t="shared" si="89"/>
        <v>0</v>
      </c>
      <c r="L815" t="b">
        <f t="shared" si="89"/>
        <v>0</v>
      </c>
      <c r="M815" t="b">
        <f t="shared" si="89"/>
        <v>1</v>
      </c>
      <c r="N815" t="b">
        <f t="shared" si="90"/>
        <v>0</v>
      </c>
      <c r="O815" t="b">
        <f t="shared" si="90"/>
        <v>0</v>
      </c>
      <c r="P815" t="b">
        <f t="shared" si="86"/>
        <v>0</v>
      </c>
    </row>
    <row r="816" spans="1:16">
      <c r="A816" t="str">
        <v>mtro_UK_London_S_Stock</v>
      </c>
      <c r="B816" t="b" cm="1">
        <f t="array" ref="B816">_xlfn.XLOOKUP(A816,CONTROL[VEHIDCODE],PROPERTIES[EXCLUDE])</f>
        <v>0</v>
      </c>
      <c r="C816">
        <f>FLOOR(_xlfn.XLOOKUP($A816,PROPERTIES[VEHIDCODE],PROPERTIES[INTRODUCTION_YEAR]),20)</f>
        <v>2000</v>
      </c>
      <c r="D816" t="str">
        <f>_xlfn.XLOOKUP($A816,PROPERTIES[VEHIDCODE],PROPERTIES[ROLE])</f>
        <v>Metro</v>
      </c>
      <c r="E816" s="35" t="str">
        <f>_xlfn.XLOOKUP($A816,PROPERTIES[VEHIDCODE],PROPERTIES[REGION1])</f>
        <v>NORTHERN_EUROPE</v>
      </c>
      <c r="F816" s="35" t="str">
        <f>_xlfn.XLOOKUP($A816,PROPERTIES[VEHIDCODE],PROPERTIES[REGION2])</f>
        <v>NO_REGION</v>
      </c>
      <c r="G816" s="35" t="str">
        <f t="shared" si="81"/>
        <v>NORTHERN_EUROPE_NO_REGION</v>
      </c>
      <c r="H816" t="b">
        <f t="shared" si="82"/>
        <v>0</v>
      </c>
      <c r="I816" t="b">
        <f t="shared" si="83"/>
        <v>0</v>
      </c>
      <c r="J816" t="b">
        <f t="shared" si="89"/>
        <v>0</v>
      </c>
      <c r="K816" t="b">
        <f t="shared" si="89"/>
        <v>0</v>
      </c>
      <c r="L816" t="b">
        <f t="shared" si="89"/>
        <v>0</v>
      </c>
      <c r="M816" t="b">
        <f t="shared" si="89"/>
        <v>1</v>
      </c>
      <c r="N816" t="b">
        <f t="shared" si="90"/>
        <v>0</v>
      </c>
      <c r="O816" t="b">
        <f t="shared" si="90"/>
        <v>0</v>
      </c>
      <c r="P816" t="b">
        <f t="shared" si="86"/>
        <v>0</v>
      </c>
    </row>
    <row r="817" spans="1:16">
      <c r="A817" t="str">
        <v>mtro_UK_London_1972_Stock</v>
      </c>
      <c r="B817" t="b" cm="1">
        <f t="array" ref="B817">_xlfn.XLOOKUP(A817,CONTROL[VEHIDCODE],PROPERTIES[EXCLUDE])</f>
        <v>0</v>
      </c>
      <c r="C817">
        <f>FLOOR(_xlfn.XLOOKUP($A817,PROPERTIES[VEHIDCODE],PROPERTIES[INTRODUCTION_YEAR]),20)</f>
        <v>1960</v>
      </c>
      <c r="D817" t="str">
        <f>_xlfn.XLOOKUP($A817,PROPERTIES[VEHIDCODE],PROPERTIES[ROLE])</f>
        <v>Metro</v>
      </c>
      <c r="E817" s="35" t="str">
        <f>_xlfn.XLOOKUP($A817,PROPERTIES[VEHIDCODE],PROPERTIES[REGION1])</f>
        <v>NORTHERN_EUROPE</v>
      </c>
      <c r="F817" s="35" t="str">
        <f>_xlfn.XLOOKUP($A817,PROPERTIES[VEHIDCODE],PROPERTIES[REGION2])</f>
        <v>NO_REGION</v>
      </c>
      <c r="G817" s="35" t="str">
        <f t="shared" si="81"/>
        <v>NORTHERN_EUROPE_NO_REGION</v>
      </c>
      <c r="H817" t="b">
        <f t="shared" si="82"/>
        <v>0</v>
      </c>
      <c r="I817" t="b">
        <f t="shared" si="83"/>
        <v>0</v>
      </c>
      <c r="J817" t="b">
        <f t="shared" si="89"/>
        <v>0</v>
      </c>
      <c r="K817" t="b">
        <f t="shared" si="89"/>
        <v>0</v>
      </c>
      <c r="L817" t="b">
        <f t="shared" si="89"/>
        <v>0</v>
      </c>
      <c r="M817" t="b">
        <f t="shared" si="89"/>
        <v>1</v>
      </c>
      <c r="N817" t="b">
        <f t="shared" si="90"/>
        <v>0</v>
      </c>
      <c r="O817" t="b">
        <f t="shared" si="90"/>
        <v>0</v>
      </c>
      <c r="P817" t="b">
        <f t="shared" si="86"/>
        <v>0</v>
      </c>
    </row>
    <row r="818" spans="1:16">
      <c r="A818" t="str">
        <v>mtro_UK_London_1959_Stock</v>
      </c>
      <c r="B818" t="b" cm="1">
        <f t="array" ref="B818">_xlfn.XLOOKUP(A818,CONTROL[VEHIDCODE],PROPERTIES[EXCLUDE])</f>
        <v>0</v>
      </c>
      <c r="C818">
        <f>FLOOR(_xlfn.XLOOKUP($A818,PROPERTIES[VEHIDCODE],PROPERTIES[INTRODUCTION_YEAR]),20)</f>
        <v>1940</v>
      </c>
      <c r="D818" t="str">
        <f>_xlfn.XLOOKUP($A818,PROPERTIES[VEHIDCODE],PROPERTIES[ROLE])</f>
        <v>Metro</v>
      </c>
      <c r="E818" s="35" t="str">
        <f>_xlfn.XLOOKUP($A818,PROPERTIES[VEHIDCODE],PROPERTIES[REGION1])</f>
        <v>NORTHERN_EUROPE</v>
      </c>
      <c r="F818" s="35" t="str">
        <f>_xlfn.XLOOKUP($A818,PROPERTIES[VEHIDCODE],PROPERTIES[REGION2])</f>
        <v>NO_REGION</v>
      </c>
      <c r="G818" s="35" t="str">
        <f t="shared" si="81"/>
        <v>NORTHERN_EUROPE_NO_REGION</v>
      </c>
      <c r="H818" t="b">
        <f t="shared" si="82"/>
        <v>0</v>
      </c>
      <c r="I818" t="b">
        <f t="shared" si="83"/>
        <v>0</v>
      </c>
      <c r="J818" t="b">
        <f t="shared" si="89"/>
        <v>0</v>
      </c>
      <c r="K818" t="b">
        <f t="shared" si="89"/>
        <v>0</v>
      </c>
      <c r="L818" t="b">
        <f t="shared" si="89"/>
        <v>0</v>
      </c>
      <c r="M818" t="b">
        <f t="shared" si="89"/>
        <v>1</v>
      </c>
      <c r="N818" t="b">
        <f t="shared" si="90"/>
        <v>0</v>
      </c>
      <c r="O818" t="b">
        <f t="shared" si="90"/>
        <v>0</v>
      </c>
      <c r="P818" t="b">
        <f t="shared" si="86"/>
        <v>0</v>
      </c>
    </row>
    <row r="819" spans="1:16">
      <c r="A819" t="str">
        <v>mtro_Singapore_Kawasaki_Heavy_Industries_C151</v>
      </c>
      <c r="B819" t="b" cm="1">
        <f t="array" ref="B819">_xlfn.XLOOKUP(A819,CONTROL[VEHIDCODE],PROPERTIES[EXCLUDE])</f>
        <v>0</v>
      </c>
      <c r="C819">
        <f>FLOOR(_xlfn.XLOOKUP($A819,PROPERTIES[VEHIDCODE],PROPERTIES[INTRODUCTION_YEAR]),20)</f>
        <v>1980</v>
      </c>
      <c r="D819" t="str">
        <f>_xlfn.XLOOKUP($A819,PROPERTIES[VEHIDCODE],PROPERTIES[ROLE])</f>
        <v>Metro</v>
      </c>
      <c r="E819" s="35" t="str">
        <f>_xlfn.XLOOKUP($A819,PROPERTIES[VEHIDCODE],PROPERTIES[REGION1])</f>
        <v>ASIA</v>
      </c>
      <c r="F819" s="35" t="str">
        <f>_xlfn.XLOOKUP($A819,PROPERTIES[VEHIDCODE],PROPERTIES[REGION2])</f>
        <v>NO_REGION</v>
      </c>
      <c r="G819" s="35" t="str">
        <f t="shared" si="81"/>
        <v>ASIA_NO_REGION</v>
      </c>
      <c r="H819" t="b">
        <f t="shared" si="82"/>
        <v>0</v>
      </c>
      <c r="I819" t="b">
        <f t="shared" si="83"/>
        <v>1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89"/>
        <v>0</v>
      </c>
      <c r="N819" t="b">
        <f t="shared" si="90"/>
        <v>0</v>
      </c>
      <c r="O819" t="b">
        <f t="shared" si="90"/>
        <v>0</v>
      </c>
      <c r="P819" t="b">
        <f t="shared" si="86"/>
        <v>0</v>
      </c>
    </row>
    <row r="820" spans="1:16">
      <c r="A820" t="str">
        <v>mtro_Singapore_Kawasaki_Heavy_Industries_C751B</v>
      </c>
      <c r="B820" t="b" cm="1">
        <f t="array" ref="B820">_xlfn.XLOOKUP(A820,CONTROL[VEHIDCODE],PROPERTIES[EXCLUDE])</f>
        <v>0</v>
      </c>
      <c r="C820">
        <f>FLOOR(_xlfn.XLOOKUP($A820,PROPERTIES[VEHIDCODE],PROPERTIES[INTRODUCTION_YEAR]),20)</f>
        <v>2000</v>
      </c>
      <c r="D820" t="str">
        <f>_xlfn.XLOOKUP($A820,PROPERTIES[VEHIDCODE],PROPERTIES[ROLE])</f>
        <v>Metro</v>
      </c>
      <c r="E820" s="35" t="str">
        <f>_xlfn.XLOOKUP($A820,PROPERTIES[VEHIDCODE],PROPERTIES[REGION1])</f>
        <v>ASIA</v>
      </c>
      <c r="F820" s="35" t="str">
        <f>_xlfn.XLOOKUP($A820,PROPERTIES[VEHIDCODE],PROPERTIES[REGION2])</f>
        <v>NO_REGION</v>
      </c>
      <c r="G820" s="35" t="str">
        <f t="shared" si="81"/>
        <v>ASIA_NO_REGION</v>
      </c>
      <c r="H820" t="b">
        <f t="shared" si="82"/>
        <v>0</v>
      </c>
      <c r="I820" t="b">
        <f t="shared" si="83"/>
        <v>1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89"/>
        <v>0</v>
      </c>
      <c r="N820" t="b">
        <f t="shared" si="90"/>
        <v>0</v>
      </c>
      <c r="O820" t="b">
        <f t="shared" si="90"/>
        <v>0</v>
      </c>
      <c r="P820" t="b">
        <f t="shared" si="86"/>
        <v>0</v>
      </c>
    </row>
    <row r="821" spans="1:16">
      <c r="A821" t="str">
        <v>mtro_Australia_Comeng_Light_Metro_MK1</v>
      </c>
      <c r="B821" t="b" cm="1">
        <f t="array" ref="B821">_xlfn.XLOOKUP(A821,CONTROL[VEHIDCODE],PROPERTIES[EXCLUDE])</f>
        <v>0</v>
      </c>
      <c r="C821">
        <f>FLOOR(_xlfn.XLOOKUP($A821,PROPERTIES[VEHIDCODE],PROPERTIES[INTRODUCTION_YEAR]),20)</f>
        <v>1960</v>
      </c>
      <c r="D821" t="str">
        <f>_xlfn.XLOOKUP($A821,PROPERTIES[VEHIDCODE],PROPERTIES[ROLE])</f>
        <v>Metro</v>
      </c>
      <c r="E821" s="35" t="str">
        <f>_xlfn.XLOOKUP($A821,PROPERTIES[VEHIDCODE],PROPERTIES[REGION1])</f>
        <v>OCEANIA</v>
      </c>
      <c r="F821" s="35" t="str">
        <f>_xlfn.XLOOKUP($A821,PROPERTIES[VEHIDCODE],PROPERTIES[REGION2])</f>
        <v>NO_REGION</v>
      </c>
      <c r="G821" s="35" t="str">
        <f t="shared" si="81"/>
        <v>OCEANIA_NO_REGION</v>
      </c>
      <c r="H821" t="b">
        <f t="shared" si="82"/>
        <v>0</v>
      </c>
      <c r="I821" t="b">
        <f t="shared" si="83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89"/>
        <v>0</v>
      </c>
      <c r="N821" t="b">
        <f t="shared" si="90"/>
        <v>0</v>
      </c>
      <c r="O821" t="b">
        <f t="shared" si="90"/>
        <v>0</v>
      </c>
      <c r="P821" t="b">
        <f t="shared" si="86"/>
        <v>1</v>
      </c>
    </row>
    <row r="822" spans="1:16">
      <c r="A822" t="str">
        <v>emu_Australia_Comeng_EMU</v>
      </c>
      <c r="B822" t="b" cm="1">
        <f t="array" ref="B822">_xlfn.XLOOKUP(A822,CONTROL[VEHIDCODE],PROPERTIES[EXCLUDE])</f>
        <v>0</v>
      </c>
      <c r="C822">
        <f>FLOOR(_xlfn.XLOOKUP($A822,PROPERTIES[VEHIDCODE],PROPERTIES[INTRODUCTION_YEAR]),20)</f>
        <v>1980</v>
      </c>
      <c r="D822" t="str">
        <f>_xlfn.XLOOKUP($A822,PROPERTIES[VEHIDCODE],PROPERTIES[ROLE])</f>
        <v>Commuter/Urban</v>
      </c>
      <c r="E822" s="35" t="str">
        <f>_xlfn.XLOOKUP($A822,PROPERTIES[VEHIDCODE],PROPERTIES[REGION1])</f>
        <v>OCEANIA</v>
      </c>
      <c r="F822" s="35" t="str">
        <f>_xlfn.XLOOKUP($A822,PROPERTIES[VEHIDCODE],PROPERTIES[REGION2])</f>
        <v>NO_REGION</v>
      </c>
      <c r="G822" s="35" t="str">
        <f t="shared" si="81"/>
        <v>OCEANIA_NO_REGION</v>
      </c>
      <c r="H822" t="b">
        <f t="shared" si="82"/>
        <v>0</v>
      </c>
      <c r="I822" t="b">
        <f t="shared" si="83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89"/>
        <v>0</v>
      </c>
      <c r="N822" t="b">
        <f t="shared" si="90"/>
        <v>0</v>
      </c>
      <c r="O822" t="b">
        <f t="shared" si="90"/>
        <v>0</v>
      </c>
      <c r="P822" t="b">
        <f t="shared" si="86"/>
        <v>1</v>
      </c>
    </row>
    <row r="823" spans="1:16">
      <c r="A823" t="str">
        <v>emu_Australia_Melbourne_HCMT_Munnel</v>
      </c>
      <c r="B823" t="b" cm="1">
        <f t="array" ref="B823">_xlfn.XLOOKUP(A823,CONTROL[VEHIDCODE],PROPERTIES[EXCLUDE])</f>
        <v>0</v>
      </c>
      <c r="C823">
        <f>FLOOR(_xlfn.XLOOKUP($A823,PROPERTIES[VEHIDCODE],PROPERTIES[INTRODUCTION_YEAR]),20)</f>
        <v>2020</v>
      </c>
      <c r="D823" t="str">
        <f>_xlfn.XLOOKUP($A823,PROPERTIES[VEHIDCODE],PROPERTIES[ROLE])</f>
        <v>Commuter/Urban</v>
      </c>
      <c r="E823" s="35" t="str">
        <f>_xlfn.XLOOKUP($A823,PROPERTIES[VEHIDCODE],PROPERTIES[REGION1])</f>
        <v>OCEANIA</v>
      </c>
      <c r="F823" s="35" t="str">
        <f>_xlfn.XLOOKUP($A823,PROPERTIES[VEHIDCODE],PROPERTIES[REGION2])</f>
        <v>NO_REGION</v>
      </c>
      <c r="G823" s="35" t="str">
        <f t="shared" si="81"/>
        <v>OCEANIA_NO_REGION</v>
      </c>
      <c r="H823" t="b">
        <f t="shared" si="82"/>
        <v>0</v>
      </c>
      <c r="I823" t="b">
        <f t="shared" si="83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89"/>
        <v>0</v>
      </c>
      <c r="N823" t="b">
        <f t="shared" si="90"/>
        <v>0</v>
      </c>
      <c r="O823" t="b">
        <f t="shared" si="90"/>
        <v>0</v>
      </c>
      <c r="P823" t="b">
        <f t="shared" si="86"/>
        <v>1</v>
      </c>
    </row>
    <row r="824" spans="1:16">
      <c r="A824" t="str">
        <v>diesel_Germany_DR_130_DBAG_230</v>
      </c>
      <c r="B824" t="b" cm="1">
        <f t="array" ref="B824">_xlfn.XLOOKUP(A824,CONTROL[VEHIDCODE],PROPERTIES[EXCLUDE])</f>
        <v>0</v>
      </c>
      <c r="C824">
        <f>FLOOR(_xlfn.XLOOKUP($A824,PROPERTIES[VEHIDCODE],PROPERTIES[INTRODUCTION_YEAR]),20)</f>
        <v>1960</v>
      </c>
      <c r="D824" t="str">
        <f>_xlfn.XLOOKUP($A824,PROPERTIES[VEHIDCODE],PROPERTIES[ROLE])</f>
        <v>Universal</v>
      </c>
      <c r="E824" s="35" t="str">
        <f>_xlfn.XLOOKUP($A824,PROPERTIES[VEHIDCODE],PROPERTIES[REGION1])</f>
        <v>WESTERN_EUROPE</v>
      </c>
      <c r="F824" s="35" t="str">
        <f>_xlfn.XLOOKUP($A824,PROPERTIES[VEHIDCODE],PROPERTIES[REGION2])</f>
        <v>NO_REGION</v>
      </c>
      <c r="G824" s="35" t="str">
        <f t="shared" si="81"/>
        <v>WESTERN_EUROPE_NO_REGION</v>
      </c>
      <c r="H824" t="b">
        <f t="shared" si="82"/>
        <v>0</v>
      </c>
      <c r="I824" t="b">
        <f t="shared" si="83"/>
        <v>0</v>
      </c>
      <c r="J824" t="b">
        <f t="shared" si="89"/>
        <v>0</v>
      </c>
      <c r="K824" t="b">
        <f t="shared" si="89"/>
        <v>0</v>
      </c>
      <c r="L824" t="b">
        <f t="shared" si="89"/>
        <v>1</v>
      </c>
      <c r="M824" t="b">
        <f t="shared" si="89"/>
        <v>0</v>
      </c>
      <c r="N824" t="b">
        <f t="shared" si="90"/>
        <v>0</v>
      </c>
      <c r="O824" t="b">
        <f t="shared" si="90"/>
        <v>0</v>
      </c>
      <c r="P824" t="b">
        <f t="shared" si="86"/>
        <v>0</v>
      </c>
    </row>
    <row r="825" spans="1:16">
      <c r="A825" t="str">
        <v>diesel_USA_UP_7000_GE_AC6000CW</v>
      </c>
      <c r="B825" t="b" cm="1">
        <f t="array" ref="B825">_xlfn.XLOOKUP(A825,CONTROL[VEHIDCODE],PROPERTIES[EXCLUDE])</f>
        <v>0</v>
      </c>
      <c r="C825">
        <f>FLOOR(_xlfn.XLOOKUP($A825,PROPERTIES[VEHIDCODE],PROPERTIES[INTRODUCTION_YEAR]),20)</f>
        <v>1980</v>
      </c>
      <c r="D825" t="str">
        <f>_xlfn.XLOOKUP($A825,PROPERTIES[VEHIDCODE],PROPERTIES[ROLE])</f>
        <v>Heavy Freight</v>
      </c>
      <c r="E825" s="35" t="str">
        <f>_xlfn.XLOOKUP($A825,PROPERTIES[VEHIDCODE],PROPERTIES[REGION1])</f>
        <v>NORTH_AMERICA</v>
      </c>
      <c r="F825" s="35" t="str">
        <f>_xlfn.XLOOKUP($A825,PROPERTIES[VEHIDCODE],PROPERTIES[REGION2])</f>
        <v>NO_REGION</v>
      </c>
      <c r="G825" s="35" t="str">
        <f t="shared" si="81"/>
        <v>NORTH_AMERICA_NO_REGION</v>
      </c>
      <c r="H825" t="b">
        <f t="shared" si="82"/>
        <v>0</v>
      </c>
      <c r="I825" t="b">
        <f t="shared" si="83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89"/>
        <v>0</v>
      </c>
      <c r="N825" t="b">
        <f t="shared" si="90"/>
        <v>1</v>
      </c>
      <c r="O825" t="b">
        <f t="shared" si="90"/>
        <v>0</v>
      </c>
      <c r="P825" t="b">
        <f t="shared" si="86"/>
        <v>0</v>
      </c>
    </row>
    <row r="826" spans="1:16">
      <c r="A826" t="str">
        <v>diesel_Australia_BHP_6071_GE_AC6000CW</v>
      </c>
      <c r="B826" t="b" cm="1">
        <f t="array" ref="B826">_xlfn.XLOOKUP(A826,CONTROL[VEHIDCODE],PROPERTIES[EXCLUDE])</f>
        <v>0</v>
      </c>
      <c r="C826">
        <f>FLOOR(_xlfn.XLOOKUP($A826,PROPERTIES[VEHIDCODE],PROPERTIES[INTRODUCTION_YEAR]),20)</f>
        <v>1980</v>
      </c>
      <c r="D826" t="str">
        <f>_xlfn.XLOOKUP($A826,PROPERTIES[VEHIDCODE],PROPERTIES[ROLE])</f>
        <v>Heavy Freight</v>
      </c>
      <c r="E826" s="35" t="str">
        <f>_xlfn.XLOOKUP($A826,PROPERTIES[VEHIDCODE],PROPERTIES[REGION1])</f>
        <v>OCEANIA</v>
      </c>
      <c r="F826" s="35" t="str">
        <f>_xlfn.XLOOKUP($A826,PROPERTIES[VEHIDCODE],PROPERTIES[REGION2])</f>
        <v>NO_REGION</v>
      </c>
      <c r="G826" s="35" t="str">
        <f t="shared" si="81"/>
        <v>OCEANIA_NO_REGION</v>
      </c>
      <c r="H826" t="b">
        <f t="shared" si="82"/>
        <v>0</v>
      </c>
      <c r="I826" t="b">
        <f t="shared" si="83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89"/>
        <v>0</v>
      </c>
      <c r="N826" t="b">
        <f t="shared" si="90"/>
        <v>0</v>
      </c>
      <c r="O826" t="b">
        <f t="shared" si="90"/>
        <v>0</v>
      </c>
      <c r="P826" t="b">
        <f t="shared" si="86"/>
        <v>1</v>
      </c>
    </row>
    <row r="827" spans="1:16">
      <c r="A827" t="str">
        <v>steam_Egypt_Stephenson_Class_192</v>
      </c>
      <c r="B827" t="b" cm="1">
        <f t="array" ref="B827">_xlfn.XLOOKUP(A827,CONTROL[VEHIDCODE],PROPERTIES[EXCLUDE])</f>
        <v>0</v>
      </c>
      <c r="C827">
        <f>FLOOR(_xlfn.XLOOKUP($A827,PROPERTIES[VEHIDCODE],PROPERTIES[INTRODUCTION_YEAR]),20)</f>
        <v>1860</v>
      </c>
      <c r="D827" t="str">
        <f>_xlfn.XLOOKUP($A827,PROPERTIES[VEHIDCODE],PROPERTIES[ROLE])</f>
        <v>Universal</v>
      </c>
      <c r="E827" s="35" t="str">
        <f>_xlfn.XLOOKUP($A827,PROPERTIES[VEHIDCODE],PROPERTIES[REGION1])</f>
        <v>AFRICA</v>
      </c>
      <c r="F827" s="35" t="str">
        <f>_xlfn.XLOOKUP($A827,PROPERTIES[VEHIDCODE],PROPERTIES[REGION2])</f>
        <v>NO_REGION</v>
      </c>
      <c r="G827" s="35" t="str">
        <f t="shared" si="81"/>
        <v>AFRICA_NO_REGION</v>
      </c>
      <c r="H827" t="b">
        <f t="shared" si="82"/>
        <v>1</v>
      </c>
      <c r="I827" t="b">
        <f t="shared" si="83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89"/>
        <v>0</v>
      </c>
      <c r="N827" t="b">
        <f t="shared" si="90"/>
        <v>0</v>
      </c>
      <c r="O827" t="b">
        <f t="shared" si="90"/>
        <v>0</v>
      </c>
      <c r="P827" t="b">
        <f t="shared" si="86"/>
        <v>0</v>
      </c>
    </row>
    <row r="828" spans="1:16">
      <c r="A828" t="str">
        <v>emu_Australia_Melbourne_Hitachi</v>
      </c>
      <c r="B828" t="b" cm="1">
        <f t="array" ref="B828">_xlfn.XLOOKUP(A828,CONTROL[VEHIDCODE],PROPERTIES[EXCLUDE])</f>
        <v>0</v>
      </c>
      <c r="C828">
        <f>FLOOR(_xlfn.XLOOKUP($A828,PROPERTIES[VEHIDCODE],PROPERTIES[INTRODUCTION_YEAR]),20)</f>
        <v>1960</v>
      </c>
      <c r="D828" t="str">
        <f>_xlfn.XLOOKUP($A828,PROPERTIES[VEHIDCODE],PROPERTIES[ROLE])</f>
        <v>Commuter/Urban</v>
      </c>
      <c r="E828" s="35" t="str">
        <f>_xlfn.XLOOKUP($A828,PROPERTIES[VEHIDCODE],PROPERTIES[REGION1])</f>
        <v>OCEANIA</v>
      </c>
      <c r="F828" s="35" t="str">
        <f>_xlfn.XLOOKUP($A828,PROPERTIES[VEHIDCODE],PROPERTIES[REGION2])</f>
        <v>NO_REGION</v>
      </c>
      <c r="G828" s="35" t="str">
        <f t="shared" si="81"/>
        <v>OCEANIA_NO_REGION</v>
      </c>
      <c r="H828" t="b">
        <f t="shared" si="82"/>
        <v>0</v>
      </c>
      <c r="I828" t="b">
        <f t="shared" si="83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89"/>
        <v>0</v>
      </c>
      <c r="N828" t="b">
        <f t="shared" si="90"/>
        <v>0</v>
      </c>
      <c r="O828" t="b">
        <f t="shared" si="90"/>
        <v>0</v>
      </c>
      <c r="P828" t="b">
        <f t="shared" si="86"/>
        <v>1</v>
      </c>
    </row>
    <row r="829" spans="1:16">
      <c r="A829" t="str">
        <v>emu_Australia_Melbourne_Harris</v>
      </c>
      <c r="B829" t="b" cm="1">
        <f t="array" ref="B829">_xlfn.XLOOKUP(A829,CONTROL[VEHIDCODE],PROPERTIES[EXCLUDE])</f>
        <v>0</v>
      </c>
      <c r="C829">
        <f>FLOOR(_xlfn.XLOOKUP($A829,PROPERTIES[VEHIDCODE],PROPERTIES[INTRODUCTION_YEAR]),20)</f>
        <v>1940</v>
      </c>
      <c r="D829" t="str">
        <f>_xlfn.XLOOKUP($A829,PROPERTIES[VEHIDCODE],PROPERTIES[ROLE])</f>
        <v>Commuter/Urban</v>
      </c>
      <c r="E829" s="35" t="str">
        <f>_xlfn.XLOOKUP($A829,PROPERTIES[VEHIDCODE],PROPERTIES[REGION1])</f>
        <v>OCEANIA</v>
      </c>
      <c r="F829" s="35" t="str">
        <f>_xlfn.XLOOKUP($A829,PROPERTIES[VEHIDCODE],PROPERTIES[REGION2])</f>
        <v>NO_REGION</v>
      </c>
      <c r="G829" s="35" t="str">
        <f t="shared" si="81"/>
        <v>OCEANIA_NO_REGION</v>
      </c>
      <c r="H829" t="b">
        <f t="shared" si="82"/>
        <v>0</v>
      </c>
      <c r="I829" t="b">
        <f t="shared" si="83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89"/>
        <v>0</v>
      </c>
      <c r="N829" t="b">
        <f t="shared" si="90"/>
        <v>0</v>
      </c>
      <c r="O829" t="b">
        <f t="shared" si="90"/>
        <v>0</v>
      </c>
      <c r="P829" t="b">
        <f t="shared" si="86"/>
        <v>1</v>
      </c>
    </row>
    <row r="830" spans="1:16">
      <c r="A830" t="str">
        <v>emu_Australia_Melbourne_Nexas</v>
      </c>
      <c r="B830" t="b" cm="1">
        <f t="array" ref="B830">_xlfn.XLOOKUP(A830,CONTROL[VEHIDCODE],PROPERTIES[EXCLUDE])</f>
        <v>0</v>
      </c>
      <c r="C830">
        <f>FLOOR(_xlfn.XLOOKUP($A830,PROPERTIES[VEHIDCODE],PROPERTIES[INTRODUCTION_YEAR]),20)</f>
        <v>2020</v>
      </c>
      <c r="D830" t="str">
        <f>_xlfn.XLOOKUP($A830,PROPERTIES[VEHIDCODE],PROPERTIES[ROLE])</f>
        <v>Commuter/Urban</v>
      </c>
      <c r="E830" s="35" t="str">
        <f>_xlfn.XLOOKUP($A830,PROPERTIES[VEHIDCODE],PROPERTIES[REGION1])</f>
        <v>OCEANIA</v>
      </c>
      <c r="F830" s="35" t="str">
        <f>_xlfn.XLOOKUP($A830,PROPERTIES[VEHIDCODE],PROPERTIES[REGION2])</f>
        <v>NO_REGION</v>
      </c>
      <c r="G830" s="35" t="str">
        <f t="shared" si="81"/>
        <v>OCEANIA_NO_REGION</v>
      </c>
      <c r="H830" t="b">
        <f t="shared" si="82"/>
        <v>0</v>
      </c>
      <c r="I830" t="b">
        <f t="shared" si="83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89"/>
        <v>0</v>
      </c>
      <c r="N830" t="b">
        <f t="shared" si="90"/>
        <v>0</v>
      </c>
      <c r="O830" t="b">
        <f t="shared" si="90"/>
        <v>0</v>
      </c>
      <c r="P830" t="b">
        <f t="shared" si="86"/>
        <v>1</v>
      </c>
    </row>
    <row r="831" spans="1:16">
      <c r="A831" t="str">
        <v>emu_Australia_Melbourne_Tait</v>
      </c>
      <c r="B831" t="b" cm="1">
        <f t="array" ref="B831">_xlfn.XLOOKUP(A831,CONTROL[VEHIDCODE],PROPERTIES[EXCLUDE])</f>
        <v>0</v>
      </c>
      <c r="C831">
        <f>FLOOR(_xlfn.XLOOKUP($A831,PROPERTIES[VEHIDCODE],PROPERTIES[INTRODUCTION_YEAR]),20)</f>
        <v>1900</v>
      </c>
      <c r="D831" t="str">
        <f>_xlfn.XLOOKUP($A831,PROPERTIES[VEHIDCODE],PROPERTIES[ROLE])</f>
        <v>Commuter/Urban</v>
      </c>
      <c r="E831" s="35" t="str">
        <f>_xlfn.XLOOKUP($A831,PROPERTIES[VEHIDCODE],PROPERTIES[REGION1])</f>
        <v>OCEANIA</v>
      </c>
      <c r="F831" s="35" t="str">
        <f>_xlfn.XLOOKUP($A831,PROPERTIES[VEHIDCODE],PROPERTIES[REGION2])</f>
        <v>NO_REGION</v>
      </c>
      <c r="G831" s="35" t="str">
        <f t="shared" si="81"/>
        <v>OCEANIA_NO_REGION</v>
      </c>
      <c r="H831" t="b">
        <f t="shared" si="82"/>
        <v>0</v>
      </c>
      <c r="I831" t="b">
        <f t="shared" si="83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89"/>
        <v>0</v>
      </c>
      <c r="N831" t="b">
        <f t="shared" si="90"/>
        <v>0</v>
      </c>
      <c r="O831" t="b">
        <f t="shared" si="90"/>
        <v>0</v>
      </c>
      <c r="P831" t="b">
        <f t="shared" si="86"/>
        <v>1</v>
      </c>
    </row>
    <row r="832" spans="1:16">
      <c r="A832" t="str">
        <v>mtro_Germany_Berlin_BVG_F</v>
      </c>
      <c r="B832" t="b" cm="1">
        <f t="array" ref="B832">_xlfn.XLOOKUP(A832,CONTROL[VEHIDCODE],PROPERTIES[EXCLUDE])</f>
        <v>0</v>
      </c>
      <c r="C832">
        <f>FLOOR(_xlfn.XLOOKUP($A832,PROPERTIES[VEHIDCODE],PROPERTIES[INTRODUCTION_YEAR]),20)</f>
        <v>1960</v>
      </c>
      <c r="D832" t="str">
        <f>_xlfn.XLOOKUP($A832,PROPERTIES[VEHIDCODE],PROPERTIES[ROLE])</f>
        <v>Metro</v>
      </c>
      <c r="E832" s="35" t="str">
        <f>_xlfn.XLOOKUP($A832,PROPERTIES[VEHIDCODE],PROPERTIES[REGION1])</f>
        <v>WESTERN_EUROPE</v>
      </c>
      <c r="F832" s="35" t="str">
        <f>_xlfn.XLOOKUP($A832,PROPERTIES[VEHIDCODE],PROPERTIES[REGION2])</f>
        <v>NO_REGION</v>
      </c>
      <c r="G832" s="35" t="str">
        <f t="shared" si="81"/>
        <v>WESTERN_EUROPE_NO_REGION</v>
      </c>
      <c r="H832" t="b">
        <f t="shared" si="82"/>
        <v>0</v>
      </c>
      <c r="I832" t="b">
        <f t="shared" si="83"/>
        <v>0</v>
      </c>
      <c r="J832" t="b">
        <f t="shared" si="89"/>
        <v>0</v>
      </c>
      <c r="K832" t="b">
        <f t="shared" si="89"/>
        <v>0</v>
      </c>
      <c r="L832" t="b">
        <f t="shared" si="89"/>
        <v>1</v>
      </c>
      <c r="M832" t="b">
        <f t="shared" si="89"/>
        <v>0</v>
      </c>
      <c r="N832" t="b">
        <f t="shared" si="90"/>
        <v>0</v>
      </c>
      <c r="O832" t="b">
        <f t="shared" si="90"/>
        <v>0</v>
      </c>
      <c r="P832" t="b">
        <f t="shared" si="86"/>
        <v>0</v>
      </c>
    </row>
    <row r="833" spans="1:16">
      <c r="A833" t="str">
        <v>mtro_Germany_Berlin_BVG_H</v>
      </c>
      <c r="B833" t="b" cm="1">
        <f t="array" ref="B833">_xlfn.XLOOKUP(A833,CONTROL[VEHIDCODE],PROPERTIES[EXCLUDE])</f>
        <v>0</v>
      </c>
      <c r="C833">
        <f>FLOOR(_xlfn.XLOOKUP($A833,PROPERTIES[VEHIDCODE],PROPERTIES[INTRODUCTION_YEAR]),20)</f>
        <v>1980</v>
      </c>
      <c r="D833" t="str">
        <f>_xlfn.XLOOKUP($A833,PROPERTIES[VEHIDCODE],PROPERTIES[ROLE])</f>
        <v>Metro</v>
      </c>
      <c r="E833" s="35" t="str">
        <f>_xlfn.XLOOKUP($A833,PROPERTIES[VEHIDCODE],PROPERTIES[REGION1])</f>
        <v>WESTERN_EUROPE</v>
      </c>
      <c r="F833" s="35" t="str">
        <f>_xlfn.XLOOKUP($A833,PROPERTIES[VEHIDCODE],PROPERTIES[REGION2])</f>
        <v>NO_REGION</v>
      </c>
      <c r="G833" s="35" t="str">
        <f t="shared" si="81"/>
        <v>WESTERN_EUROPE_NO_REGION</v>
      </c>
      <c r="H833" t="b">
        <f t="shared" si="82"/>
        <v>0</v>
      </c>
      <c r="I833" t="b">
        <f t="shared" si="83"/>
        <v>0</v>
      </c>
      <c r="J833" t="b">
        <f t="shared" si="89"/>
        <v>0</v>
      </c>
      <c r="K833" t="b">
        <f t="shared" si="89"/>
        <v>0</v>
      </c>
      <c r="L833" t="b">
        <f t="shared" si="89"/>
        <v>1</v>
      </c>
      <c r="M833" t="b">
        <f t="shared" si="89"/>
        <v>0</v>
      </c>
      <c r="N833" t="b">
        <f t="shared" si="90"/>
        <v>0</v>
      </c>
      <c r="O833" t="b">
        <f t="shared" si="90"/>
        <v>0</v>
      </c>
      <c r="P833" t="b">
        <f t="shared" si="86"/>
        <v>0</v>
      </c>
    </row>
    <row r="834" spans="1:16">
      <c r="A834" t="str">
        <v>steam_Australia_NSW_N67_0_6_0T_Terrier</v>
      </c>
      <c r="B834" t="b" cm="1">
        <f t="array" ref="B834">_xlfn.XLOOKUP(A834,CONTROL[VEHIDCODE],PROPERTIES[EXCLUDE])</f>
        <v>0</v>
      </c>
      <c r="C834">
        <f>FLOOR(_xlfn.XLOOKUP($A834,PROPERTIES[VEHIDCODE],PROPERTIES[INTRODUCTION_YEAR]),20)</f>
        <v>1860</v>
      </c>
      <c r="D834" t="str">
        <f>_xlfn.XLOOKUP($A834,PROPERTIES[VEHIDCODE],PROPERTIES[ROLE])</f>
        <v>Universal</v>
      </c>
      <c r="E834" s="35" t="str">
        <f>_xlfn.XLOOKUP($A834,PROPERTIES[VEHIDCODE],PROPERTIES[REGION1])</f>
        <v>NORTHERN_EUROPE</v>
      </c>
      <c r="F834" s="35" t="str">
        <f>_xlfn.XLOOKUP($A834,PROPERTIES[VEHIDCODE],PROPERTIES[REGION2])</f>
        <v>OCEANIA</v>
      </c>
      <c r="G834" s="35" t="str">
        <f t="shared" si="81"/>
        <v>NORTHERN_EUROPE_OCEANIA</v>
      </c>
      <c r="H834" t="b">
        <f t="shared" si="82"/>
        <v>0</v>
      </c>
      <c r="I834" t="b">
        <f t="shared" si="83"/>
        <v>0</v>
      </c>
      <c r="J834" t="b">
        <f t="shared" si="89"/>
        <v>0</v>
      </c>
      <c r="K834" t="b">
        <f t="shared" si="89"/>
        <v>0</v>
      </c>
      <c r="L834" t="b">
        <f t="shared" si="89"/>
        <v>0</v>
      </c>
      <c r="M834" t="b">
        <f t="shared" si="89"/>
        <v>1</v>
      </c>
      <c r="N834" t="b">
        <f t="shared" si="90"/>
        <v>0</v>
      </c>
      <c r="O834" t="b">
        <f t="shared" si="90"/>
        <v>0</v>
      </c>
      <c r="P834" t="b">
        <f t="shared" si="86"/>
        <v>1</v>
      </c>
    </row>
    <row r="835" spans="1:16">
      <c r="A835" t="str">
        <v>steam_Australia_NSW_C30</v>
      </c>
      <c r="B835" t="b" cm="1">
        <f t="array" ref="B835">_xlfn.XLOOKUP(A835,CONTROL[VEHIDCODE],PROPERTIES[EXCLUDE])</f>
        <v>0</v>
      </c>
      <c r="C835">
        <f>FLOOR(_xlfn.XLOOKUP($A835,PROPERTIES[VEHIDCODE],PROPERTIES[INTRODUCTION_YEAR]),20)</f>
        <v>1900</v>
      </c>
      <c r="D835" t="str">
        <f>_xlfn.XLOOKUP($A835,PROPERTIES[VEHIDCODE],PROPERTIES[ROLE])</f>
        <v>Universal</v>
      </c>
      <c r="E835" s="35" t="str">
        <f>_xlfn.XLOOKUP($A835,PROPERTIES[VEHIDCODE],PROPERTIES[REGION1])</f>
        <v>OCEANIA</v>
      </c>
      <c r="F835" s="35" t="str">
        <f>_xlfn.XLOOKUP($A835,PROPERTIES[VEHIDCODE],PROPERTIES[REGION2])</f>
        <v>NO_REGION</v>
      </c>
      <c r="G835" s="35" t="str">
        <f t="shared" si="81"/>
        <v>OCEANIA_NO_REGION</v>
      </c>
      <c r="H835" t="b">
        <f t="shared" si="82"/>
        <v>0</v>
      </c>
      <c r="I835" t="b">
        <f t="shared" si="83"/>
        <v>0</v>
      </c>
      <c r="J835" t="b">
        <f t="shared" si="89"/>
        <v>0</v>
      </c>
      <c r="K835" t="b">
        <f t="shared" si="89"/>
        <v>0</v>
      </c>
      <c r="L835" t="b">
        <f t="shared" si="89"/>
        <v>0</v>
      </c>
      <c r="M835" t="b">
        <f t="shared" si="89"/>
        <v>0</v>
      </c>
      <c r="N835" t="b">
        <f t="shared" si="90"/>
        <v>0</v>
      </c>
      <c r="O835" t="b">
        <f t="shared" si="90"/>
        <v>0</v>
      </c>
      <c r="P835" t="b">
        <f t="shared" si="86"/>
        <v>1</v>
      </c>
    </row>
    <row r="836" spans="1:16">
      <c r="A836" t="str">
        <v>steam_Australia_NSW_C32</v>
      </c>
      <c r="B836" t="b" cm="1">
        <f t="array" ref="B836">_xlfn.XLOOKUP(A836,CONTROL[VEHIDCODE],PROPERTIES[EXCLUDE])</f>
        <v>0</v>
      </c>
      <c r="C836">
        <f>FLOOR(_xlfn.XLOOKUP($A836,PROPERTIES[VEHIDCODE],PROPERTIES[INTRODUCTION_YEAR]),20)</f>
        <v>1880</v>
      </c>
      <c r="D836" t="str">
        <f>_xlfn.XLOOKUP($A836,PROPERTIES[VEHIDCODE],PROPERTIES[ROLE])</f>
        <v>Universal</v>
      </c>
      <c r="E836" s="35" t="str">
        <f>_xlfn.XLOOKUP($A836,PROPERTIES[VEHIDCODE],PROPERTIES[REGION1])</f>
        <v>OCEANIA</v>
      </c>
      <c r="F836" s="35" t="str">
        <f>_xlfn.XLOOKUP($A836,PROPERTIES[VEHIDCODE],PROPERTIES[REGION2])</f>
        <v>NO_REGION</v>
      </c>
      <c r="G836" s="35" t="str">
        <f t="shared" si="81"/>
        <v>OCEANIA_NO_REGION</v>
      </c>
      <c r="H836" t="b">
        <f t="shared" si="82"/>
        <v>0</v>
      </c>
      <c r="I836" t="b">
        <f t="shared" si="83"/>
        <v>0</v>
      </c>
      <c r="J836" t="b">
        <f t="shared" si="89"/>
        <v>0</v>
      </c>
      <c r="K836" t="b">
        <f t="shared" si="89"/>
        <v>0</v>
      </c>
      <c r="L836" t="b">
        <f t="shared" si="89"/>
        <v>0</v>
      </c>
      <c r="M836" t="b">
        <f t="shared" si="89"/>
        <v>0</v>
      </c>
      <c r="N836" t="b">
        <f t="shared" si="90"/>
        <v>0</v>
      </c>
      <c r="O836" t="b">
        <f t="shared" si="90"/>
        <v>0</v>
      </c>
      <c r="P836" t="b">
        <f t="shared" si="86"/>
        <v>1</v>
      </c>
    </row>
    <row r="837" spans="1:16">
      <c r="A837" t="str">
        <v>steam_Australia_NSW_D50</v>
      </c>
      <c r="B837" t="b" cm="1">
        <f t="array" ref="B837">_xlfn.XLOOKUP(A837,CONTROL[VEHIDCODE],PROPERTIES[EXCLUDE])</f>
        <v>0</v>
      </c>
      <c r="C837">
        <f>FLOOR(_xlfn.XLOOKUP($A837,PROPERTIES[VEHIDCODE],PROPERTIES[INTRODUCTION_YEAR]),20)</f>
        <v>1880</v>
      </c>
      <c r="D837" t="str">
        <f>_xlfn.XLOOKUP($A837,PROPERTIES[VEHIDCODE],PROPERTIES[ROLE])</f>
        <v>Universal</v>
      </c>
      <c r="E837" s="35" t="str">
        <f>_xlfn.XLOOKUP($A837,PROPERTIES[VEHIDCODE],PROPERTIES[REGION1])</f>
        <v>OCEANIA</v>
      </c>
      <c r="F837" s="35" t="str">
        <f>_xlfn.XLOOKUP($A837,PROPERTIES[VEHIDCODE],PROPERTIES[REGION2])</f>
        <v>NO_REGION</v>
      </c>
      <c r="G837" s="35" t="str">
        <f t="shared" si="81"/>
        <v>OCEANIA_NO_REGION</v>
      </c>
      <c r="H837" t="b">
        <f t="shared" si="82"/>
        <v>0</v>
      </c>
      <c r="I837" t="b">
        <f t="shared" si="83"/>
        <v>0</v>
      </c>
      <c r="J837" t="b">
        <f t="shared" si="89"/>
        <v>0</v>
      </c>
      <c r="K837" t="b">
        <f t="shared" si="89"/>
        <v>0</v>
      </c>
      <c r="L837" t="b">
        <f t="shared" si="89"/>
        <v>0</v>
      </c>
      <c r="M837" t="b">
        <f t="shared" si="89"/>
        <v>0</v>
      </c>
      <c r="N837" t="b">
        <f t="shared" si="90"/>
        <v>0</v>
      </c>
      <c r="O837" t="b">
        <f t="shared" si="90"/>
        <v>0</v>
      </c>
      <c r="P837" t="b">
        <f t="shared" si="86"/>
        <v>1</v>
      </c>
    </row>
    <row r="838" spans="1:16">
      <c r="A838" t="str">
        <v>steam_Australia_NSW_Z12</v>
      </c>
      <c r="B838" t="b" cm="1">
        <f t="array" ref="B838">_xlfn.XLOOKUP(A838,CONTROL[VEHIDCODE],PROPERTIES[EXCLUDE])</f>
        <v>0</v>
      </c>
      <c r="C838">
        <f>FLOOR(_xlfn.XLOOKUP($A838,PROPERTIES[VEHIDCODE],PROPERTIES[INTRODUCTION_YEAR]),20)</f>
        <v>1860</v>
      </c>
      <c r="D838" t="str">
        <f>_xlfn.XLOOKUP($A838,PROPERTIES[VEHIDCODE],PROPERTIES[ROLE])</f>
        <v>Universal</v>
      </c>
      <c r="E838" s="35" t="str">
        <f>_xlfn.XLOOKUP($A838,PROPERTIES[VEHIDCODE],PROPERTIES[REGION1])</f>
        <v>OCEANIA</v>
      </c>
      <c r="F838" s="35" t="str">
        <f>_xlfn.XLOOKUP($A838,PROPERTIES[VEHIDCODE],PROPERTIES[REGION2])</f>
        <v>NO_REGION</v>
      </c>
      <c r="G838" s="35" t="str">
        <f t="shared" si="81"/>
        <v>OCEANIA_NO_REGION</v>
      </c>
      <c r="H838" t="b">
        <f t="shared" si="82"/>
        <v>0</v>
      </c>
      <c r="I838" t="b">
        <f t="shared" si="83"/>
        <v>0</v>
      </c>
      <c r="J838" t="b">
        <f t="shared" si="89"/>
        <v>0</v>
      </c>
      <c r="K838" t="b">
        <f t="shared" si="89"/>
        <v>0</v>
      </c>
      <c r="L838" t="b">
        <f t="shared" si="89"/>
        <v>0</v>
      </c>
      <c r="M838" t="b">
        <f t="shared" si="89"/>
        <v>0</v>
      </c>
      <c r="N838" t="b">
        <f t="shared" si="90"/>
        <v>0</v>
      </c>
      <c r="O838" t="b">
        <f t="shared" si="90"/>
        <v>0</v>
      </c>
      <c r="P838" t="b">
        <f t="shared" si="86"/>
        <v>1</v>
      </c>
    </row>
    <row r="839" spans="1:16">
      <c r="A839" t="str">
        <v>steam_Australia_NSW_Z19</v>
      </c>
      <c r="B839" t="b" cm="1">
        <f t="array" ref="B839">_xlfn.XLOOKUP(A839,CONTROL[VEHIDCODE],PROPERTIES[EXCLUDE])</f>
        <v>0</v>
      </c>
      <c r="C839">
        <f>FLOOR(_xlfn.XLOOKUP($A839,PROPERTIES[VEHIDCODE],PROPERTIES[INTRODUCTION_YEAR]),20)</f>
        <v>1860</v>
      </c>
      <c r="D839" t="str">
        <f>_xlfn.XLOOKUP($A839,PROPERTIES[VEHIDCODE],PROPERTIES[ROLE])</f>
        <v>Shunting</v>
      </c>
      <c r="E839" s="35" t="str">
        <f>_xlfn.XLOOKUP($A839,PROPERTIES[VEHIDCODE],PROPERTIES[REGION1])</f>
        <v>OCEANIA</v>
      </c>
      <c r="F839" s="35" t="str">
        <f>_xlfn.XLOOKUP($A839,PROPERTIES[VEHIDCODE],PROPERTIES[REGION2])</f>
        <v>NO_REGION</v>
      </c>
      <c r="G839" s="35" t="str">
        <f t="shared" si="81"/>
        <v>OCEANIA_NO_REGION</v>
      </c>
      <c r="H839" t="b">
        <f t="shared" si="82"/>
        <v>0</v>
      </c>
      <c r="I839" t="b">
        <f t="shared" si="83"/>
        <v>0</v>
      </c>
      <c r="J839" t="b">
        <f t="shared" si="89"/>
        <v>0</v>
      </c>
      <c r="K839" t="b">
        <f t="shared" si="89"/>
        <v>0</v>
      </c>
      <c r="L839" t="b">
        <f t="shared" si="89"/>
        <v>0</v>
      </c>
      <c r="M839" t="b">
        <f t="shared" si="89"/>
        <v>0</v>
      </c>
      <c r="N839" t="b">
        <f t="shared" si="90"/>
        <v>0</v>
      </c>
      <c r="O839" t="b">
        <f t="shared" si="90"/>
        <v>0</v>
      </c>
      <c r="P839" t="b">
        <f t="shared" si="86"/>
        <v>1</v>
      </c>
    </row>
    <row r="840" spans="1:16">
      <c r="A840" t="str">
        <v>steam_Australia_NSW_Z26</v>
      </c>
      <c r="B840" t="b" cm="1">
        <f t="array" ref="B840">_xlfn.XLOOKUP(A840,CONTROL[VEHIDCODE],PROPERTIES[EXCLUDE])</f>
        <v>0</v>
      </c>
      <c r="C840">
        <f>FLOOR(_xlfn.XLOOKUP($A840,PROPERTIES[VEHIDCODE],PROPERTIES[INTRODUCTION_YEAR]),20)</f>
        <v>1880</v>
      </c>
      <c r="D840" t="str">
        <f>_xlfn.XLOOKUP($A840,PROPERTIES[VEHIDCODE],PROPERTIES[ROLE])</f>
        <v>Universal</v>
      </c>
      <c r="E840" s="35" t="str">
        <f>_xlfn.XLOOKUP($A840,PROPERTIES[VEHIDCODE],PROPERTIES[REGION1])</f>
        <v>OCEANIA</v>
      </c>
      <c r="F840" s="35" t="str">
        <f>_xlfn.XLOOKUP($A840,PROPERTIES[VEHIDCODE],PROPERTIES[REGION2])</f>
        <v>NO_REGION</v>
      </c>
      <c r="G840" s="35" t="str">
        <f t="shared" si="81"/>
        <v>OCEANIA_NO_REGION</v>
      </c>
      <c r="H840" t="b">
        <f t="shared" si="82"/>
        <v>0</v>
      </c>
      <c r="I840" t="b">
        <f t="shared" si="83"/>
        <v>0</v>
      </c>
      <c r="J840" t="b">
        <f t="shared" si="89"/>
        <v>0</v>
      </c>
      <c r="K840" t="b">
        <f t="shared" si="89"/>
        <v>0</v>
      </c>
      <c r="L840" t="b">
        <f t="shared" si="89"/>
        <v>0</v>
      </c>
      <c r="M840" t="b">
        <f t="shared" si="89"/>
        <v>0</v>
      </c>
      <c r="N840" t="b">
        <f t="shared" si="90"/>
        <v>0</v>
      </c>
      <c r="O840" t="b">
        <f t="shared" si="90"/>
        <v>0</v>
      </c>
      <c r="P840" t="b">
        <f t="shared" si="86"/>
        <v>1</v>
      </c>
    </row>
    <row r="841" spans="1:16">
      <c r="A841" t="str">
        <v>steam_Australia_JA_Brown_ROD_280</v>
      </c>
      <c r="B841" t="b" cm="1">
        <f t="array" ref="B841">_xlfn.XLOOKUP(A841,CONTROL[VEHIDCODE],PROPERTIES[EXCLUDE])</f>
        <v>0</v>
      </c>
      <c r="C841">
        <f>FLOOR(_xlfn.XLOOKUP($A841,PROPERTIES[VEHIDCODE],PROPERTIES[INTRODUCTION_YEAR]),20)</f>
        <v>1920</v>
      </c>
      <c r="D841" t="str">
        <f>_xlfn.XLOOKUP($A841,PROPERTIES[VEHIDCODE],PROPERTIES[ROLE])</f>
        <v>Universal</v>
      </c>
      <c r="E841" s="35" t="str">
        <f>_xlfn.XLOOKUP($A841,PROPERTIES[VEHIDCODE],PROPERTIES[REGION1])</f>
        <v>NORTHERN_EUROPE</v>
      </c>
      <c r="F841" s="35" t="str">
        <f>_xlfn.XLOOKUP($A841,PROPERTIES[VEHIDCODE],PROPERTIES[REGION2])</f>
        <v>OCEANIA</v>
      </c>
      <c r="G841" s="35" t="str">
        <f t="shared" si="81"/>
        <v>NORTHERN_EUROPE_OCEANIA</v>
      </c>
      <c r="H841" t="b">
        <f t="shared" si="82"/>
        <v>0</v>
      </c>
      <c r="I841" t="b">
        <f t="shared" si="83"/>
        <v>0</v>
      </c>
      <c r="J841" t="b">
        <f t="shared" si="89"/>
        <v>0</v>
      </c>
      <c r="K841" t="b">
        <f t="shared" si="89"/>
        <v>0</v>
      </c>
      <c r="L841" t="b">
        <f t="shared" si="89"/>
        <v>0</v>
      </c>
      <c r="M841" t="b">
        <f t="shared" si="89"/>
        <v>1</v>
      </c>
      <c r="N841" t="b">
        <f t="shared" si="90"/>
        <v>0</v>
      </c>
      <c r="O841" t="b">
        <f t="shared" si="90"/>
        <v>0</v>
      </c>
      <c r="P841" t="b">
        <f t="shared" si="86"/>
        <v>1</v>
      </c>
    </row>
    <row r="842" spans="1:16">
      <c r="A842" t="str">
        <v>steam_Australia_SAR_600</v>
      </c>
      <c r="B842" t="b" cm="1">
        <f t="array" ref="B842">_xlfn.XLOOKUP(A842,CONTROL[VEHIDCODE],PROPERTIES[EXCLUDE])</f>
        <v>0</v>
      </c>
      <c r="C842">
        <f>FLOOR(_xlfn.XLOOKUP($A842,PROPERTIES[VEHIDCODE],PROPERTIES[INTRODUCTION_YEAR]),20)</f>
        <v>1920</v>
      </c>
      <c r="D842" t="str">
        <f>_xlfn.XLOOKUP($A842,PROPERTIES[VEHIDCODE],PROPERTIES[ROLE])</f>
        <v>Heavy Freight</v>
      </c>
      <c r="E842" s="35" t="str">
        <f>_xlfn.XLOOKUP($A842,PROPERTIES[VEHIDCODE],PROPERTIES[REGION1])</f>
        <v>OCEANIA</v>
      </c>
      <c r="F842" s="35" t="str">
        <f>_xlfn.XLOOKUP($A842,PROPERTIES[VEHIDCODE],PROPERTIES[REGION2])</f>
        <v>NO_REGION</v>
      </c>
      <c r="G842" s="35" t="str">
        <f t="shared" si="81"/>
        <v>OCEANIA_NO_REGION</v>
      </c>
      <c r="H842" t="b">
        <f t="shared" si="82"/>
        <v>0</v>
      </c>
      <c r="I842" t="b">
        <f t="shared" si="83"/>
        <v>0</v>
      </c>
      <c r="J842" t="b">
        <f t="shared" si="89"/>
        <v>0</v>
      </c>
      <c r="K842" t="b">
        <f t="shared" si="89"/>
        <v>0</v>
      </c>
      <c r="L842" t="b">
        <f t="shared" si="89"/>
        <v>0</v>
      </c>
      <c r="M842" t="b">
        <f t="shared" si="89"/>
        <v>0</v>
      </c>
      <c r="N842" t="b">
        <f t="shared" si="90"/>
        <v>0</v>
      </c>
      <c r="O842" t="b">
        <f t="shared" si="90"/>
        <v>0</v>
      </c>
      <c r="P842" t="b">
        <f t="shared" si="86"/>
        <v>1</v>
      </c>
    </row>
    <row r="843" spans="1:16">
      <c r="A843" t="str">
        <v>steam_Australia_SMR_10</v>
      </c>
      <c r="B843" t="b" cm="1">
        <f t="array" ref="B843">_xlfn.XLOOKUP(A843,CONTROL[VEHIDCODE],PROPERTIES[EXCLUDE])</f>
        <v>0</v>
      </c>
      <c r="C843">
        <f>FLOOR(_xlfn.XLOOKUP($A843,PROPERTIES[VEHIDCODE],PROPERTIES[INTRODUCTION_YEAR]),20)</f>
        <v>1900</v>
      </c>
      <c r="D843" t="str">
        <f>_xlfn.XLOOKUP($A843,PROPERTIES[VEHIDCODE],PROPERTIES[ROLE])</f>
        <v>Universal</v>
      </c>
      <c r="E843" s="35" t="str">
        <f>_xlfn.XLOOKUP($A843,PROPERTIES[VEHIDCODE],PROPERTIES[REGION1])</f>
        <v>OCEANIA</v>
      </c>
      <c r="F843" s="35" t="str">
        <f>_xlfn.XLOOKUP($A843,PROPERTIES[VEHIDCODE],PROPERTIES[REGION2])</f>
        <v>NO_REGION</v>
      </c>
      <c r="G843" s="35" t="str">
        <f t="shared" si="81"/>
        <v>OCEANIA_NO_REGION</v>
      </c>
      <c r="H843" t="b">
        <f t="shared" si="82"/>
        <v>0</v>
      </c>
      <c r="I843" t="b">
        <f t="shared" si="83"/>
        <v>0</v>
      </c>
      <c r="J843" t="b">
        <f t="shared" si="89"/>
        <v>0</v>
      </c>
      <c r="K843" t="b">
        <f t="shared" si="89"/>
        <v>0</v>
      </c>
      <c r="L843" t="b">
        <f t="shared" si="89"/>
        <v>0</v>
      </c>
      <c r="M843" t="b">
        <f t="shared" si="89"/>
        <v>0</v>
      </c>
      <c r="N843" t="b">
        <f t="shared" si="90"/>
        <v>0</v>
      </c>
      <c r="O843" t="b">
        <f t="shared" si="90"/>
        <v>0</v>
      </c>
      <c r="P843" t="b">
        <f t="shared" si="86"/>
        <v>1</v>
      </c>
    </row>
    <row r="844" spans="1:16">
      <c r="A844" t="str">
        <v>steam_Australia_VR_H</v>
      </c>
      <c r="B844" t="b" cm="1">
        <f t="array" ref="B844">_xlfn.XLOOKUP(A844,CONTROL[VEHIDCODE],PROPERTIES[EXCLUDE])</f>
        <v>0</v>
      </c>
      <c r="C844">
        <f>FLOOR(_xlfn.XLOOKUP($A844,PROPERTIES[VEHIDCODE],PROPERTIES[INTRODUCTION_YEAR]),20)</f>
        <v>1940</v>
      </c>
      <c r="D844" t="str">
        <f>_xlfn.XLOOKUP($A844,PROPERTIES[VEHIDCODE],PROPERTIES[ROLE])</f>
        <v>Heavy Freight</v>
      </c>
      <c r="E844" s="35" t="str">
        <f>_xlfn.XLOOKUP($A844,PROPERTIES[VEHIDCODE],PROPERTIES[REGION1])</f>
        <v>OCEANIA</v>
      </c>
      <c r="F844" s="35" t="str">
        <f>_xlfn.XLOOKUP($A844,PROPERTIES[VEHIDCODE],PROPERTIES[REGION2])</f>
        <v>NO_REGION</v>
      </c>
      <c r="G844" s="35" t="str">
        <f t="shared" si="81"/>
        <v>OCEANIA_NO_REGION</v>
      </c>
      <c r="H844" t="b">
        <f t="shared" si="82"/>
        <v>0</v>
      </c>
      <c r="I844" t="b">
        <f t="shared" si="83"/>
        <v>0</v>
      </c>
      <c r="J844" t="b">
        <f t="shared" si="89"/>
        <v>0</v>
      </c>
      <c r="K844" t="b">
        <f t="shared" si="89"/>
        <v>0</v>
      </c>
      <c r="L844" t="b">
        <f t="shared" si="89"/>
        <v>0</v>
      </c>
      <c r="M844" t="b">
        <f t="shared" si="89"/>
        <v>0</v>
      </c>
      <c r="N844" t="b">
        <f t="shared" si="90"/>
        <v>0</v>
      </c>
      <c r="O844" t="b">
        <f t="shared" si="90"/>
        <v>0</v>
      </c>
      <c r="P844" t="b">
        <f t="shared" si="86"/>
        <v>1</v>
      </c>
    </row>
    <row r="845" spans="1:16">
      <c r="A845" t="str">
        <v>diesel_Australia_NSW_41</v>
      </c>
      <c r="B845" t="b" cm="1">
        <f t="array" ref="B845">_xlfn.XLOOKUP(A845,CONTROL[VEHIDCODE],PROPERTIES[EXCLUDE])</f>
        <v>0</v>
      </c>
      <c r="C845">
        <f>FLOOR(_xlfn.XLOOKUP($A845,PROPERTIES[VEHIDCODE],PROPERTIES[INTRODUCTION_YEAR]),20)</f>
        <v>1940</v>
      </c>
      <c r="D845" t="str">
        <f>_xlfn.XLOOKUP($A845,PROPERTIES[VEHIDCODE],PROPERTIES[ROLE])</f>
        <v>Universal</v>
      </c>
      <c r="E845" s="35" t="str">
        <f>_xlfn.XLOOKUP($A845,PROPERTIES[VEHIDCODE],PROPERTIES[REGION1])</f>
        <v>OCEANIA</v>
      </c>
      <c r="F845" s="35" t="str">
        <f>_xlfn.XLOOKUP($A845,PROPERTIES[VEHIDCODE],PROPERTIES[REGION2])</f>
        <v>NO_REGION</v>
      </c>
      <c r="G845" s="35" t="str">
        <f t="shared" si="81"/>
        <v>OCEANIA_NO_REGION</v>
      </c>
      <c r="H845" t="b">
        <f t="shared" si="82"/>
        <v>0</v>
      </c>
      <c r="I845" t="b">
        <f t="shared" si="83"/>
        <v>0</v>
      </c>
      <c r="J845" t="b">
        <f t="shared" si="89"/>
        <v>0</v>
      </c>
      <c r="K845" t="b">
        <f t="shared" si="89"/>
        <v>0</v>
      </c>
      <c r="L845" t="b">
        <f t="shared" si="89"/>
        <v>0</v>
      </c>
      <c r="M845" t="b">
        <f t="shared" si="89"/>
        <v>0</v>
      </c>
      <c r="N845" t="b">
        <f t="shared" si="90"/>
        <v>0</v>
      </c>
      <c r="O845" t="b">
        <f t="shared" si="90"/>
        <v>0</v>
      </c>
      <c r="P845" t="b">
        <f t="shared" si="86"/>
        <v>1</v>
      </c>
    </row>
    <row r="846" spans="1:16">
      <c r="A846" t="str">
        <v>diesel_Australia_NSW_48</v>
      </c>
      <c r="B846" t="b" cm="1">
        <f t="array" ref="B846">_xlfn.XLOOKUP(A846,CONTROL[VEHIDCODE],PROPERTIES[EXCLUDE])</f>
        <v>0</v>
      </c>
      <c r="C846">
        <f>FLOOR(_xlfn.XLOOKUP($A846,PROPERTIES[VEHIDCODE],PROPERTIES[INTRODUCTION_YEAR]),20)</f>
        <v>1940</v>
      </c>
      <c r="D846" t="str">
        <f>_xlfn.XLOOKUP($A846,PROPERTIES[VEHIDCODE],PROPERTIES[ROLE])</f>
        <v>Universal</v>
      </c>
      <c r="E846" s="35" t="str">
        <f>_xlfn.XLOOKUP($A846,PROPERTIES[VEHIDCODE],PROPERTIES[REGION1])</f>
        <v>OCEANIA</v>
      </c>
      <c r="F846" s="35" t="str">
        <f>_xlfn.XLOOKUP($A846,PROPERTIES[VEHIDCODE],PROPERTIES[REGION2])</f>
        <v>NO_REGION</v>
      </c>
      <c r="G846" s="35" t="str">
        <f t="shared" si="81"/>
        <v>OCEANIA_NO_REGION</v>
      </c>
      <c r="H846" t="b">
        <f t="shared" si="82"/>
        <v>0</v>
      </c>
      <c r="I846" t="b">
        <f t="shared" si="83"/>
        <v>0</v>
      </c>
      <c r="J846" t="b">
        <f t="shared" si="89"/>
        <v>0</v>
      </c>
      <c r="K846" t="b">
        <f t="shared" si="89"/>
        <v>0</v>
      </c>
      <c r="L846" t="b">
        <f t="shared" si="89"/>
        <v>0</v>
      </c>
      <c r="M846" t="b">
        <f t="shared" si="89"/>
        <v>0</v>
      </c>
      <c r="N846" t="b">
        <f t="shared" si="90"/>
        <v>0</v>
      </c>
      <c r="O846" t="b">
        <f t="shared" si="90"/>
        <v>0</v>
      </c>
      <c r="P846" t="b">
        <f t="shared" si="86"/>
        <v>1</v>
      </c>
    </row>
    <row r="847" spans="1:16">
      <c r="A847" t="str">
        <v>diesel_Australia_SAR_930</v>
      </c>
      <c r="B847" t="b" cm="1">
        <f t="array" ref="B847">_xlfn.XLOOKUP(A847,CONTROL[VEHIDCODE],PROPERTIES[EXCLUDE])</f>
        <v>0</v>
      </c>
      <c r="C847">
        <f>FLOOR(_xlfn.XLOOKUP($A847,PROPERTIES[VEHIDCODE],PROPERTIES[INTRODUCTION_YEAR]),20)</f>
        <v>1940</v>
      </c>
      <c r="D847" t="str">
        <f>_xlfn.XLOOKUP($A847,PROPERTIES[VEHIDCODE],PROPERTIES[ROLE])</f>
        <v>Universal</v>
      </c>
      <c r="E847" s="35" t="str">
        <f>_xlfn.XLOOKUP($A847,PROPERTIES[VEHIDCODE],PROPERTIES[REGION1])</f>
        <v>OCEANIA</v>
      </c>
      <c r="F847" s="35" t="str">
        <f>_xlfn.XLOOKUP($A847,PROPERTIES[VEHIDCODE],PROPERTIES[REGION2])</f>
        <v>NO_REGION</v>
      </c>
      <c r="G847" s="35" t="str">
        <f t="shared" si="81"/>
        <v>OCEANIA_NO_REGION</v>
      </c>
      <c r="H847" t="b">
        <f t="shared" si="82"/>
        <v>0</v>
      </c>
      <c r="I847" t="b">
        <f t="shared" si="83"/>
        <v>0</v>
      </c>
      <c r="J847" t="b">
        <f t="shared" si="89"/>
        <v>0</v>
      </c>
      <c r="K847" t="b">
        <f t="shared" si="89"/>
        <v>0</v>
      </c>
      <c r="L847" t="b">
        <f t="shared" si="89"/>
        <v>0</v>
      </c>
      <c r="M847" t="b">
        <f t="shared" si="89"/>
        <v>0</v>
      </c>
      <c r="N847" t="b">
        <f t="shared" si="90"/>
        <v>0</v>
      </c>
      <c r="O847" t="b">
        <f t="shared" si="90"/>
        <v>0</v>
      </c>
      <c r="P847" t="b">
        <f t="shared" si="86"/>
        <v>1</v>
      </c>
    </row>
    <row r="848" spans="1:16">
      <c r="A848" t="str">
        <v>diesel_Australia_Commonwealth_GM</v>
      </c>
      <c r="B848" t="b" cm="1">
        <f t="array" ref="B848">_xlfn.XLOOKUP(A848,CONTROL[VEHIDCODE],PROPERTIES[EXCLUDE])</f>
        <v>0</v>
      </c>
      <c r="C848">
        <f>FLOOR(_xlfn.XLOOKUP($A848,PROPERTIES[VEHIDCODE],PROPERTIES[INTRODUCTION_YEAR]),20)</f>
        <v>1940</v>
      </c>
      <c r="D848" t="str">
        <f>_xlfn.XLOOKUP($A848,PROPERTIES[VEHIDCODE],PROPERTIES[ROLE])</f>
        <v>Universal</v>
      </c>
      <c r="E848" s="35" t="str">
        <f>_xlfn.XLOOKUP($A848,PROPERTIES[VEHIDCODE],PROPERTIES[REGION1])</f>
        <v>OCEANIA</v>
      </c>
      <c r="F848" s="35" t="str">
        <f>_xlfn.XLOOKUP($A848,PROPERTIES[VEHIDCODE],PROPERTIES[REGION2])</f>
        <v>NO_REGION</v>
      </c>
      <c r="G848" s="35" t="str">
        <f t="shared" si="81"/>
        <v>OCEANIA_NO_REGION</v>
      </c>
      <c r="H848" t="b">
        <f t="shared" si="82"/>
        <v>0</v>
      </c>
      <c r="I848" t="b">
        <f t="shared" si="83"/>
        <v>0</v>
      </c>
      <c r="J848" t="b">
        <f t="shared" si="89"/>
        <v>0</v>
      </c>
      <c r="K848" t="b">
        <f t="shared" si="89"/>
        <v>0</v>
      </c>
      <c r="L848" t="b">
        <f t="shared" si="89"/>
        <v>0</v>
      </c>
      <c r="M848" t="b">
        <f t="shared" si="89"/>
        <v>0</v>
      </c>
      <c r="N848" t="b">
        <f t="shared" si="90"/>
        <v>0</v>
      </c>
      <c r="O848" t="b">
        <f t="shared" si="90"/>
        <v>0</v>
      </c>
      <c r="P848" t="b">
        <f t="shared" si="86"/>
        <v>1</v>
      </c>
    </row>
    <row r="849" spans="1:16">
      <c r="A849" t="str">
        <v>diesel_Australia_V_Line_A</v>
      </c>
      <c r="B849" t="b" cm="1">
        <f t="array" ref="B849">_xlfn.XLOOKUP(A849,CONTROL[VEHIDCODE],PROPERTIES[EXCLUDE])</f>
        <v>1</v>
      </c>
      <c r="C849">
        <f>FLOOR(_xlfn.XLOOKUP($A849,PROPERTIES[VEHIDCODE],PROPERTIES[INTRODUCTION_YEAR]),20)</f>
        <v>1980</v>
      </c>
      <c r="D849" t="str">
        <f>_xlfn.XLOOKUP($A849,PROPERTIES[VEHIDCODE],PROPERTIES[ROLE])</f>
        <v>Universal</v>
      </c>
      <c r="E849" s="35" t="str">
        <f>_xlfn.XLOOKUP($A849,PROPERTIES[VEHIDCODE],PROPERTIES[REGION1])</f>
        <v>OCEANIA</v>
      </c>
      <c r="F849" s="35" t="str">
        <f>_xlfn.XLOOKUP($A849,PROPERTIES[VEHIDCODE],PROPERTIES[REGION2])</f>
        <v>NO_REGION</v>
      </c>
      <c r="G849" s="35" t="str">
        <f t="shared" si="81"/>
        <v>OCEANIA_NO_REGION</v>
      </c>
      <c r="H849" t="b">
        <f t="shared" si="82"/>
        <v>0</v>
      </c>
      <c r="I849" t="b">
        <f t="shared" si="83"/>
        <v>0</v>
      </c>
      <c r="J849" t="b">
        <f t="shared" si="89"/>
        <v>0</v>
      </c>
      <c r="K849" t="b">
        <f t="shared" si="89"/>
        <v>0</v>
      </c>
      <c r="L849" t="b">
        <f t="shared" si="89"/>
        <v>0</v>
      </c>
      <c r="M849" t="b">
        <f t="shared" si="89"/>
        <v>0</v>
      </c>
      <c r="N849" t="b">
        <f t="shared" si="90"/>
        <v>0</v>
      </c>
      <c r="O849" t="b">
        <f t="shared" si="90"/>
        <v>0</v>
      </c>
      <c r="P849" t="b">
        <f t="shared" si="86"/>
        <v>1</v>
      </c>
    </row>
    <row r="850" spans="1:16">
      <c r="A850" t="str">
        <v>diesel_Australia_NSW_42</v>
      </c>
      <c r="B850" t="b" cm="1">
        <f t="array" ref="B850">_xlfn.XLOOKUP(A850,CONTROL[VEHIDCODE],PROPERTIES[EXCLUDE])</f>
        <v>0</v>
      </c>
      <c r="C850">
        <f>FLOOR(_xlfn.XLOOKUP($A850,PROPERTIES[VEHIDCODE],PROPERTIES[INTRODUCTION_YEAR]),20)</f>
        <v>1940</v>
      </c>
      <c r="D850" t="str">
        <f>_xlfn.XLOOKUP($A850,PROPERTIES[VEHIDCODE],PROPERTIES[ROLE])</f>
        <v>Universal</v>
      </c>
      <c r="E850" s="35" t="str">
        <f>_xlfn.XLOOKUP($A850,PROPERTIES[VEHIDCODE],PROPERTIES[REGION1])</f>
        <v>OCEANIA</v>
      </c>
      <c r="F850" s="35" t="str">
        <f>_xlfn.XLOOKUP($A850,PROPERTIES[VEHIDCODE],PROPERTIES[REGION2])</f>
        <v>NO_REGION</v>
      </c>
      <c r="G850" s="35" t="str">
        <f t="shared" si="81"/>
        <v>OCEANIA_NO_REGION</v>
      </c>
      <c r="H850" t="b">
        <f t="shared" si="82"/>
        <v>0</v>
      </c>
      <c r="I850" t="b">
        <f t="shared" si="83"/>
        <v>0</v>
      </c>
      <c r="J850" t="b">
        <f t="shared" si="89"/>
        <v>0</v>
      </c>
      <c r="K850" t="b">
        <f t="shared" si="89"/>
        <v>0</v>
      </c>
      <c r="L850" t="b">
        <f t="shared" si="89"/>
        <v>0</v>
      </c>
      <c r="M850" t="b">
        <f t="shared" si="89"/>
        <v>0</v>
      </c>
      <c r="N850" t="b">
        <f t="shared" si="90"/>
        <v>0</v>
      </c>
      <c r="O850" t="b">
        <f t="shared" si="90"/>
        <v>0</v>
      </c>
      <c r="P850" t="b">
        <f t="shared" si="86"/>
        <v>1</v>
      </c>
    </row>
    <row r="851" spans="1:16">
      <c r="A851" t="str">
        <v>diesel_Australia_AN_D</v>
      </c>
      <c r="B851" t="b" cm="1">
        <f t="array" ref="B851">_xlfn.XLOOKUP(A851,CONTROL[VEHIDCODE],PROPERTIES[EXCLUDE])</f>
        <v>0</v>
      </c>
      <c r="C851">
        <f>FLOOR(_xlfn.XLOOKUP($A851,PROPERTIES[VEHIDCODE],PROPERTIES[INTRODUCTION_YEAR]),20)</f>
        <v>1980</v>
      </c>
      <c r="D851" t="str">
        <f>_xlfn.XLOOKUP($A851,PROPERTIES[VEHIDCODE],PROPERTIES[ROLE])</f>
        <v>Universal</v>
      </c>
      <c r="E851" s="35" t="str">
        <f>_xlfn.XLOOKUP($A851,PROPERTIES[VEHIDCODE],PROPERTIES[REGION1])</f>
        <v>OCEANIA</v>
      </c>
      <c r="F851" s="35" t="str">
        <f>_xlfn.XLOOKUP($A851,PROPERTIES[VEHIDCODE],PROPERTIES[REGION2])</f>
        <v>NO_REGION</v>
      </c>
      <c r="G851" s="35" t="str">
        <f t="shared" si="81"/>
        <v>OCEANIA_NO_REGION</v>
      </c>
      <c r="H851" t="b">
        <f t="shared" si="82"/>
        <v>0</v>
      </c>
      <c r="I851" t="b">
        <f t="shared" si="83"/>
        <v>0</v>
      </c>
      <c r="J851" t="b">
        <f t="shared" si="89"/>
        <v>0</v>
      </c>
      <c r="K851" t="b">
        <f t="shared" si="89"/>
        <v>0</v>
      </c>
      <c r="L851" t="b">
        <f t="shared" si="89"/>
        <v>0</v>
      </c>
      <c r="M851" t="b">
        <f t="shared" si="89"/>
        <v>0</v>
      </c>
      <c r="N851" t="b">
        <f t="shared" si="90"/>
        <v>0</v>
      </c>
      <c r="O851" t="b">
        <f t="shared" si="90"/>
        <v>0</v>
      </c>
      <c r="P851" t="b">
        <f t="shared" si="86"/>
        <v>1</v>
      </c>
    </row>
    <row r="852" spans="1:16">
      <c r="A852" t="str">
        <v>electric_Australia_QR_3500</v>
      </c>
      <c r="B852" t="b" cm="1">
        <f t="array" ref="B852">_xlfn.XLOOKUP(A852,CONTROL[VEHIDCODE],PROPERTIES[EXCLUDE])</f>
        <v>0</v>
      </c>
      <c r="C852">
        <f>FLOOR(_xlfn.XLOOKUP($A852,PROPERTIES[VEHIDCODE],PROPERTIES[INTRODUCTION_YEAR]),20)</f>
        <v>1980</v>
      </c>
      <c r="D852" t="str">
        <f>_xlfn.XLOOKUP($A852,PROPERTIES[VEHIDCODE],PROPERTIES[ROLE])</f>
        <v>Universal</v>
      </c>
      <c r="E852" s="35" t="str">
        <f>_xlfn.XLOOKUP($A852,PROPERTIES[VEHIDCODE],PROPERTIES[REGION1])</f>
        <v>OCEANIA</v>
      </c>
      <c r="F852" s="35" t="str">
        <f>_xlfn.XLOOKUP($A852,PROPERTIES[VEHIDCODE],PROPERTIES[REGION2])</f>
        <v>NO_REGION</v>
      </c>
      <c r="G852" s="35" t="str">
        <f t="shared" ref="G852:G915" si="91">_xlfn.CONCAT($E852,"_",$F852)</f>
        <v>OCEANIA_NO_REGION</v>
      </c>
      <c r="H852" t="b">
        <f t="shared" ref="H852:H915" si="92">OR(ISNUMBER(SEARCH("ALL_REGION",$G852)),
ISNUMBER(SEARCH("AFRICA",$G852)),
ISNUMBER(SEARCH("REGIONTYPE1",$G852)),
ISNUMBER(SEARCH("REGIONTYPE2",$G852)))</f>
        <v>0</v>
      </c>
      <c r="I852" t="b">
        <f t="shared" ref="I852:I915" si="93">OR(ISNUMBER(SEARCH("ALL_REGION",$G852)),
ISNUMBER(SEARCH("ASIA",$G852)),
ISNUMBER(SEARCH("REGIONTYPE1",$G852)),
ISNUMBER(SEARCH("REGIONTYPE2",$G852)),
ISNUMBER(SEARCH("REGIONTYPE3",$G852)))</f>
        <v>0</v>
      </c>
      <c r="J852" t="b">
        <f t="shared" ref="J852:M915" si="94">OR(ISNUMBER(SEARCH("ALL_REGION",$G852)),
ISNUMBER(SEARCH("ALL_EUROPE",$G852)),
ISNUMBER(SEARCH(J$1,$G852)),
ISNUMBER(SEARCH("REGIONTYPE1",$G852)))</f>
        <v>0</v>
      </c>
      <c r="K852" t="b">
        <f t="shared" si="94"/>
        <v>0</v>
      </c>
      <c r="L852" t="b">
        <f t="shared" si="94"/>
        <v>0</v>
      </c>
      <c r="M852" t="b">
        <f t="shared" si="94"/>
        <v>0</v>
      </c>
      <c r="N852" t="b">
        <f t="shared" ref="N852:O915" si="95">OR(ISNUMBER(SEARCH("ALL_REGION",$G852)),
ISNUMBER(SEARCH("ALL_AMERICA",$G852)),
ISNUMBER(SEARCH(N$1,$G852)),
ISNUMBER(SEARCH("REGIONTYPE2",$G852)))</f>
        <v>0</v>
      </c>
      <c r="O852" t="b">
        <f t="shared" si="95"/>
        <v>0</v>
      </c>
      <c r="P852" t="b">
        <f t="shared" ref="P852:P915" si="96">OR(ISNUMBER(SEARCH("ALL_REGION",$G852)),
ISNUMBER(SEARCH(P$1,$G852)),
ISNUMBER(SEARCH("REGIONTYPE3",$G852)))</f>
        <v>1</v>
      </c>
    </row>
    <row r="853" spans="1:16">
      <c r="A853" t="str">
        <v>diesel_Australia_NSW_90</v>
      </c>
      <c r="B853" t="b" cm="1">
        <f t="array" ref="B853">_xlfn.XLOOKUP(A853,CONTROL[VEHIDCODE],PROPERTIES[EXCLUDE])</f>
        <v>0</v>
      </c>
      <c r="C853">
        <f>FLOOR(_xlfn.XLOOKUP($A853,PROPERTIES[VEHIDCODE],PROPERTIES[INTRODUCTION_YEAR]),20)</f>
        <v>1980</v>
      </c>
      <c r="D853" t="str">
        <f>_xlfn.XLOOKUP($A853,PROPERTIES[VEHIDCODE],PROPERTIES[ROLE])</f>
        <v>Heavy Freight</v>
      </c>
      <c r="E853" s="35" t="str">
        <f>_xlfn.XLOOKUP($A853,PROPERTIES[VEHIDCODE],PROPERTIES[REGION1])</f>
        <v>OCEANIA</v>
      </c>
      <c r="F853" s="35" t="str">
        <f>_xlfn.XLOOKUP($A853,PROPERTIES[VEHIDCODE],PROPERTIES[REGION2])</f>
        <v>NO_REGION</v>
      </c>
      <c r="G853" s="35" t="str">
        <f t="shared" si="91"/>
        <v>OCEANIA_NO_REGION</v>
      </c>
      <c r="H853" t="b">
        <f t="shared" si="92"/>
        <v>0</v>
      </c>
      <c r="I853" t="b">
        <f t="shared" si="93"/>
        <v>0</v>
      </c>
      <c r="J853" t="b">
        <f t="shared" si="94"/>
        <v>0</v>
      </c>
      <c r="K853" t="b">
        <f t="shared" si="94"/>
        <v>0</v>
      </c>
      <c r="L853" t="b">
        <f t="shared" si="94"/>
        <v>0</v>
      </c>
      <c r="M853" t="b">
        <f t="shared" si="94"/>
        <v>0</v>
      </c>
      <c r="N853" t="b">
        <f t="shared" si="95"/>
        <v>0</v>
      </c>
      <c r="O853" t="b">
        <f t="shared" si="95"/>
        <v>0</v>
      </c>
      <c r="P853" t="b">
        <f t="shared" si="96"/>
        <v>1</v>
      </c>
    </row>
    <row r="854" spans="1:16">
      <c r="A854" t="str">
        <v>diesel_Australia_EMD_NR_Class</v>
      </c>
      <c r="B854" t="b" cm="1">
        <f t="array" ref="B854">_xlfn.XLOOKUP(A854,CONTROL[VEHIDCODE],PROPERTIES[EXCLUDE])</f>
        <v>0</v>
      </c>
      <c r="C854">
        <f>FLOOR(_xlfn.XLOOKUP($A854,PROPERTIES[VEHIDCODE],PROPERTIES[INTRODUCTION_YEAR]),20)</f>
        <v>1980</v>
      </c>
      <c r="D854" t="str">
        <f>_xlfn.XLOOKUP($A854,PROPERTIES[VEHIDCODE],PROPERTIES[ROLE])</f>
        <v>Universal</v>
      </c>
      <c r="E854" s="35" t="str">
        <f>_xlfn.XLOOKUP($A854,PROPERTIES[VEHIDCODE],PROPERTIES[REGION1])</f>
        <v>OCEANIA</v>
      </c>
      <c r="F854" s="35" t="str">
        <f>_xlfn.XLOOKUP($A854,PROPERTIES[VEHIDCODE],PROPERTIES[REGION2])</f>
        <v>NO_REGION</v>
      </c>
      <c r="G854" s="35" t="str">
        <f t="shared" si="91"/>
        <v>OCEANIA_NO_REGION</v>
      </c>
      <c r="H854" t="b">
        <f t="shared" si="92"/>
        <v>0</v>
      </c>
      <c r="I854" t="b">
        <f t="shared" si="93"/>
        <v>0</v>
      </c>
      <c r="J854" t="b">
        <f t="shared" si="94"/>
        <v>0</v>
      </c>
      <c r="K854" t="b">
        <f t="shared" si="94"/>
        <v>0</v>
      </c>
      <c r="L854" t="b">
        <f t="shared" si="94"/>
        <v>0</v>
      </c>
      <c r="M854" t="b">
        <f t="shared" si="94"/>
        <v>0</v>
      </c>
      <c r="N854" t="b">
        <f t="shared" si="95"/>
        <v>0</v>
      </c>
      <c r="O854" t="b">
        <f t="shared" si="95"/>
        <v>0</v>
      </c>
      <c r="P854" t="b">
        <f t="shared" si="96"/>
        <v>1</v>
      </c>
    </row>
    <row r="855" spans="1:16">
      <c r="A855" t="str">
        <v>diesel_Australia_NSW_PTC_73</v>
      </c>
      <c r="B855" t="b" cm="1">
        <f t="array" ref="B855">_xlfn.XLOOKUP(A855,CONTROL[VEHIDCODE],PROPERTIES[EXCLUDE])</f>
        <v>0</v>
      </c>
      <c r="C855">
        <f>FLOOR(_xlfn.XLOOKUP($A855,PROPERTIES[VEHIDCODE],PROPERTIES[INTRODUCTION_YEAR]),20)</f>
        <v>1960</v>
      </c>
      <c r="D855" t="str">
        <f>_xlfn.XLOOKUP($A855,PROPERTIES[VEHIDCODE],PROPERTIES[ROLE])</f>
        <v>Universal</v>
      </c>
      <c r="E855" s="35" t="str">
        <f>_xlfn.XLOOKUP($A855,PROPERTIES[VEHIDCODE],PROPERTIES[REGION1])</f>
        <v>OCEANIA</v>
      </c>
      <c r="F855" s="35" t="str">
        <f>_xlfn.XLOOKUP($A855,PROPERTIES[VEHIDCODE],PROPERTIES[REGION2])</f>
        <v>NO_REGION</v>
      </c>
      <c r="G855" s="35" t="str">
        <f t="shared" si="91"/>
        <v>OCEANIA_NO_REGION</v>
      </c>
      <c r="H855" t="b">
        <f t="shared" si="92"/>
        <v>0</v>
      </c>
      <c r="I855" t="b">
        <f t="shared" si="93"/>
        <v>0</v>
      </c>
      <c r="J855" t="b">
        <f t="shared" si="94"/>
        <v>0</v>
      </c>
      <c r="K855" t="b">
        <f t="shared" si="94"/>
        <v>0</v>
      </c>
      <c r="L855" t="b">
        <f t="shared" si="94"/>
        <v>0</v>
      </c>
      <c r="M855" t="b">
        <f t="shared" si="94"/>
        <v>0</v>
      </c>
      <c r="N855" t="b">
        <f t="shared" si="95"/>
        <v>0</v>
      </c>
      <c r="O855" t="b">
        <f t="shared" si="95"/>
        <v>0</v>
      </c>
      <c r="P855" t="b">
        <f t="shared" si="96"/>
        <v>1</v>
      </c>
    </row>
    <row r="856" spans="1:16">
      <c r="A856" t="str">
        <v>diesel_Australia_V_Line_N</v>
      </c>
      <c r="B856" t="b" cm="1">
        <f t="array" ref="B856">_xlfn.XLOOKUP(A856,CONTROL[VEHIDCODE],PROPERTIES[EXCLUDE])</f>
        <v>0</v>
      </c>
      <c r="C856">
        <f>FLOOR(_xlfn.XLOOKUP($A856,PROPERTIES[VEHIDCODE],PROPERTIES[INTRODUCTION_YEAR]),20)</f>
        <v>1980</v>
      </c>
      <c r="D856" t="str">
        <f>_xlfn.XLOOKUP($A856,PROPERTIES[VEHIDCODE],PROPERTIES[ROLE])</f>
        <v>Universal</v>
      </c>
      <c r="E856" s="35" t="str">
        <f>_xlfn.XLOOKUP($A856,PROPERTIES[VEHIDCODE],PROPERTIES[REGION1])</f>
        <v>OCEANIA</v>
      </c>
      <c r="F856" s="35" t="str">
        <f>_xlfn.XLOOKUP($A856,PROPERTIES[VEHIDCODE],PROPERTIES[REGION2])</f>
        <v>NO_REGION</v>
      </c>
      <c r="G856" s="35" t="str">
        <f t="shared" si="91"/>
        <v>OCEANIA_NO_REGION</v>
      </c>
      <c r="H856" t="b">
        <f t="shared" si="92"/>
        <v>0</v>
      </c>
      <c r="I856" t="b">
        <f t="shared" si="93"/>
        <v>0</v>
      </c>
      <c r="J856" t="b">
        <f t="shared" si="94"/>
        <v>0</v>
      </c>
      <c r="K856" t="b">
        <f t="shared" si="94"/>
        <v>0</v>
      </c>
      <c r="L856" t="b">
        <f t="shared" si="94"/>
        <v>0</v>
      </c>
      <c r="M856" t="b">
        <f t="shared" si="94"/>
        <v>0</v>
      </c>
      <c r="N856" t="b">
        <f t="shared" si="95"/>
        <v>0</v>
      </c>
      <c r="O856" t="b">
        <f t="shared" si="95"/>
        <v>0</v>
      </c>
      <c r="P856" t="b">
        <f t="shared" si="96"/>
        <v>1</v>
      </c>
    </row>
    <row r="857" spans="1:16">
      <c r="A857" t="str">
        <v>diesel_Australia_NSW_81</v>
      </c>
      <c r="B857" t="b" cm="1">
        <f t="array" ref="B857">_xlfn.XLOOKUP(A857,CONTROL[VEHIDCODE],PROPERTIES[EXCLUDE])</f>
        <v>1</v>
      </c>
      <c r="C857">
        <f>FLOOR(_xlfn.XLOOKUP($A857,PROPERTIES[VEHIDCODE],PROPERTIES[INTRODUCTION_YEAR]),20)</f>
        <v>1980</v>
      </c>
      <c r="D857" t="str">
        <f>_xlfn.XLOOKUP($A857,PROPERTIES[VEHIDCODE],PROPERTIES[ROLE])</f>
        <v>Universal</v>
      </c>
      <c r="E857" s="35" t="str">
        <f>_xlfn.XLOOKUP($A857,PROPERTIES[VEHIDCODE],PROPERTIES[REGION1])</f>
        <v>OCEANIA</v>
      </c>
      <c r="F857" s="35" t="str">
        <f>_xlfn.XLOOKUP($A857,PROPERTIES[VEHIDCODE],PROPERTIES[REGION2])</f>
        <v>NO_REGION</v>
      </c>
      <c r="G857" s="35" t="str">
        <f t="shared" si="91"/>
        <v>OCEANIA_NO_REGION</v>
      </c>
      <c r="H857" t="b">
        <f t="shared" si="92"/>
        <v>0</v>
      </c>
      <c r="I857" t="b">
        <f t="shared" si="93"/>
        <v>0</v>
      </c>
      <c r="J857" t="b">
        <f t="shared" si="94"/>
        <v>0</v>
      </c>
      <c r="K857" t="b">
        <f t="shared" si="94"/>
        <v>0</v>
      </c>
      <c r="L857" t="b">
        <f t="shared" si="94"/>
        <v>0</v>
      </c>
      <c r="M857" t="b">
        <f t="shared" si="94"/>
        <v>0</v>
      </c>
      <c r="N857" t="b">
        <f t="shared" si="95"/>
        <v>0</v>
      </c>
      <c r="O857" t="b">
        <f t="shared" si="95"/>
        <v>0</v>
      </c>
      <c r="P857" t="b">
        <f t="shared" si="96"/>
        <v>1</v>
      </c>
    </row>
    <row r="858" spans="1:16">
      <c r="A858" t="str">
        <v>diesel_Australia_V_Line_G</v>
      </c>
      <c r="B858" t="b" cm="1">
        <f t="array" ref="B858">_xlfn.XLOOKUP(A858,CONTROL[VEHIDCODE],PROPERTIES[EXCLUDE])</f>
        <v>0</v>
      </c>
      <c r="C858">
        <f>FLOOR(_xlfn.XLOOKUP($A858,PROPERTIES[VEHIDCODE],PROPERTIES[INTRODUCTION_YEAR]),20)</f>
        <v>1980</v>
      </c>
      <c r="D858" t="str">
        <f>_xlfn.XLOOKUP($A858,PROPERTIES[VEHIDCODE],PROPERTIES[ROLE])</f>
        <v>Universal</v>
      </c>
      <c r="E858" s="35" t="str">
        <f>_xlfn.XLOOKUP($A858,PROPERTIES[VEHIDCODE],PROPERTIES[REGION1])</f>
        <v>OCEANIA</v>
      </c>
      <c r="F858" s="35" t="str">
        <f>_xlfn.XLOOKUP($A858,PROPERTIES[VEHIDCODE],PROPERTIES[REGION2])</f>
        <v>NO_REGION</v>
      </c>
      <c r="G858" s="35" t="str">
        <f t="shared" si="91"/>
        <v>OCEANIA_NO_REGION</v>
      </c>
      <c r="H858" t="b">
        <f t="shared" si="92"/>
        <v>0</v>
      </c>
      <c r="I858" t="b">
        <f t="shared" si="93"/>
        <v>0</v>
      </c>
      <c r="J858" t="b">
        <f t="shared" si="94"/>
        <v>0</v>
      </c>
      <c r="K858" t="b">
        <f t="shared" si="94"/>
        <v>0</v>
      </c>
      <c r="L858" t="b">
        <f t="shared" si="94"/>
        <v>0</v>
      </c>
      <c r="M858" t="b">
        <f t="shared" si="94"/>
        <v>0</v>
      </c>
      <c r="N858" t="b">
        <f t="shared" si="95"/>
        <v>0</v>
      </c>
      <c r="O858" t="b">
        <f t="shared" si="95"/>
        <v>0</v>
      </c>
      <c r="P858" t="b">
        <f t="shared" si="96"/>
        <v>1</v>
      </c>
    </row>
    <row r="859" spans="1:16">
      <c r="A859" t="str">
        <v>diesel_Australia_NSW_82</v>
      </c>
      <c r="B859" t="b" cm="1">
        <f t="array" ref="B859">_xlfn.XLOOKUP(A859,CONTROL[VEHIDCODE],PROPERTIES[EXCLUDE])</f>
        <v>0</v>
      </c>
      <c r="C859">
        <f>FLOOR(_xlfn.XLOOKUP($A859,PROPERTIES[VEHIDCODE],PROPERTIES[INTRODUCTION_YEAR]),20)</f>
        <v>1980</v>
      </c>
      <c r="D859" t="str">
        <f>_xlfn.XLOOKUP($A859,PROPERTIES[VEHIDCODE],PROPERTIES[ROLE])</f>
        <v>Universal</v>
      </c>
      <c r="E859" s="35" t="str">
        <f>_xlfn.XLOOKUP($A859,PROPERTIES[VEHIDCODE],PROPERTIES[REGION1])</f>
        <v>OCEANIA</v>
      </c>
      <c r="F859" s="35" t="str">
        <f>_xlfn.XLOOKUP($A859,PROPERTIES[VEHIDCODE],PROPERTIES[REGION2])</f>
        <v>NO_REGION</v>
      </c>
      <c r="G859" s="35" t="str">
        <f t="shared" si="91"/>
        <v>OCEANIA_NO_REGION</v>
      </c>
      <c r="H859" t="b">
        <f t="shared" si="92"/>
        <v>0</v>
      </c>
      <c r="I859" t="b">
        <f t="shared" si="93"/>
        <v>0</v>
      </c>
      <c r="J859" t="b">
        <f t="shared" si="94"/>
        <v>0</v>
      </c>
      <c r="K859" t="b">
        <f t="shared" si="94"/>
        <v>0</v>
      </c>
      <c r="L859" t="b">
        <f t="shared" si="94"/>
        <v>0</v>
      </c>
      <c r="M859" t="b">
        <f t="shared" si="94"/>
        <v>0</v>
      </c>
      <c r="N859" t="b">
        <f t="shared" si="95"/>
        <v>0</v>
      </c>
      <c r="O859" t="b">
        <f t="shared" si="95"/>
        <v>0</v>
      </c>
      <c r="P859" t="b">
        <f t="shared" si="96"/>
        <v>1</v>
      </c>
    </row>
    <row r="860" spans="1:16">
      <c r="A860" t="str">
        <v>diesel_Australia_GML_10</v>
      </c>
      <c r="B860" t="b" cm="1">
        <f t="array" ref="B860">_xlfn.XLOOKUP(A860,CONTROL[VEHIDCODE],PROPERTIES[EXCLUDE])</f>
        <v>0</v>
      </c>
      <c r="C860">
        <f>FLOOR(_xlfn.XLOOKUP($A860,PROPERTIES[VEHIDCODE],PROPERTIES[INTRODUCTION_YEAR]),20)</f>
        <v>1980</v>
      </c>
      <c r="D860" t="str">
        <f>_xlfn.XLOOKUP($A860,PROPERTIES[VEHIDCODE],PROPERTIES[ROLE])</f>
        <v>Universal</v>
      </c>
      <c r="E860" s="35" t="str">
        <f>_xlfn.XLOOKUP($A860,PROPERTIES[VEHIDCODE],PROPERTIES[REGION1])</f>
        <v>OCEANIA</v>
      </c>
      <c r="F860" s="35" t="str">
        <f>_xlfn.XLOOKUP($A860,PROPERTIES[VEHIDCODE],PROPERTIES[REGION2])</f>
        <v>NO_REGION</v>
      </c>
      <c r="G860" s="35" t="str">
        <f t="shared" si="91"/>
        <v>OCEANIA_NO_REGION</v>
      </c>
      <c r="H860" t="b">
        <f t="shared" si="92"/>
        <v>0</v>
      </c>
      <c r="I860" t="b">
        <f t="shared" si="93"/>
        <v>0</v>
      </c>
      <c r="J860" t="b">
        <f t="shared" si="94"/>
        <v>0</v>
      </c>
      <c r="K860" t="b">
        <f t="shared" si="94"/>
        <v>0</v>
      </c>
      <c r="L860" t="b">
        <f t="shared" si="94"/>
        <v>0</v>
      </c>
      <c r="M860" t="b">
        <f t="shared" si="94"/>
        <v>0</v>
      </c>
      <c r="N860" t="b">
        <f t="shared" si="95"/>
        <v>0</v>
      </c>
      <c r="O860" t="b">
        <f t="shared" si="95"/>
        <v>0</v>
      </c>
      <c r="P860" t="b">
        <f t="shared" si="96"/>
        <v>1</v>
      </c>
    </row>
    <row r="861" spans="1:16">
      <c r="A861" t="str">
        <v>diesel_Australia_Westrail_S</v>
      </c>
      <c r="B861" t="b" cm="1">
        <f t="array" ref="B861">_xlfn.XLOOKUP(A861,CONTROL[VEHIDCODE],PROPERTIES[EXCLUDE])</f>
        <v>0</v>
      </c>
      <c r="C861">
        <f>FLOOR(_xlfn.XLOOKUP($A861,PROPERTIES[VEHIDCODE],PROPERTIES[INTRODUCTION_YEAR]),20)</f>
        <v>1980</v>
      </c>
      <c r="D861" t="str">
        <f>_xlfn.XLOOKUP($A861,PROPERTIES[VEHIDCODE],PROPERTIES[ROLE])</f>
        <v>Express</v>
      </c>
      <c r="E861" s="35" t="str">
        <f>_xlfn.XLOOKUP($A861,PROPERTIES[VEHIDCODE],PROPERTIES[REGION1])</f>
        <v>OCEANIA</v>
      </c>
      <c r="F861" s="35" t="str">
        <f>_xlfn.XLOOKUP($A861,PROPERTIES[VEHIDCODE],PROPERTIES[REGION2])</f>
        <v>NO_REGION</v>
      </c>
      <c r="G861" s="35" t="str">
        <f t="shared" si="91"/>
        <v>OCEANIA_NO_REGION</v>
      </c>
      <c r="H861" t="b">
        <f t="shared" si="92"/>
        <v>0</v>
      </c>
      <c r="I861" t="b">
        <f t="shared" si="93"/>
        <v>0</v>
      </c>
      <c r="J861" t="b">
        <f t="shared" si="94"/>
        <v>0</v>
      </c>
      <c r="K861" t="b">
        <f t="shared" si="94"/>
        <v>0</v>
      </c>
      <c r="L861" t="b">
        <f t="shared" si="94"/>
        <v>0</v>
      </c>
      <c r="M861" t="b">
        <f t="shared" si="94"/>
        <v>0</v>
      </c>
      <c r="N861" t="b">
        <f t="shared" si="95"/>
        <v>0</v>
      </c>
      <c r="O861" t="b">
        <f t="shared" si="95"/>
        <v>0</v>
      </c>
      <c r="P861" t="b">
        <f t="shared" si="96"/>
        <v>1</v>
      </c>
    </row>
    <row r="862" spans="1:16">
      <c r="A862" t="str">
        <v>diesel_Australia_VR_B</v>
      </c>
      <c r="B862" t="b" cm="1">
        <f t="array" ref="B862">_xlfn.XLOOKUP(A862,CONTROL[VEHIDCODE],PROPERTIES[EXCLUDE])</f>
        <v>0</v>
      </c>
      <c r="C862">
        <f>FLOOR(_xlfn.XLOOKUP($A862,PROPERTIES[VEHIDCODE],PROPERTIES[INTRODUCTION_YEAR]),20)</f>
        <v>1940</v>
      </c>
      <c r="D862" t="str">
        <f>_xlfn.XLOOKUP($A862,PROPERTIES[VEHIDCODE],PROPERTIES[ROLE])</f>
        <v>Universal</v>
      </c>
      <c r="E862" s="35" t="str">
        <f>_xlfn.XLOOKUP($A862,PROPERTIES[VEHIDCODE],PROPERTIES[REGION1])</f>
        <v>OCEANIA</v>
      </c>
      <c r="F862" s="35" t="str">
        <f>_xlfn.XLOOKUP($A862,PROPERTIES[VEHIDCODE],PROPERTIES[REGION2])</f>
        <v>NO_REGION</v>
      </c>
      <c r="G862" s="35" t="str">
        <f t="shared" si="91"/>
        <v>OCEANIA_NO_REGION</v>
      </c>
      <c r="H862" t="b">
        <f t="shared" si="92"/>
        <v>0</v>
      </c>
      <c r="I862" t="b">
        <f t="shared" si="93"/>
        <v>0</v>
      </c>
      <c r="J862" t="b">
        <f t="shared" si="94"/>
        <v>0</v>
      </c>
      <c r="K862" t="b">
        <f t="shared" si="94"/>
        <v>0</v>
      </c>
      <c r="L862" t="b">
        <f t="shared" si="94"/>
        <v>0</v>
      </c>
      <c r="M862" t="b">
        <f t="shared" si="94"/>
        <v>0</v>
      </c>
      <c r="N862" t="b">
        <f t="shared" si="95"/>
        <v>0</v>
      </c>
      <c r="O862" t="b">
        <f t="shared" si="95"/>
        <v>0</v>
      </c>
      <c r="P862" t="b">
        <f t="shared" si="96"/>
        <v>1</v>
      </c>
    </row>
    <row r="863" spans="1:16">
      <c r="A863" t="str">
        <v>diesel_Australia_Victoria_X1</v>
      </c>
      <c r="B863" t="b" cm="1">
        <f t="array" ref="B863">_xlfn.XLOOKUP(A863,CONTROL[VEHIDCODE],PROPERTIES[EXCLUDE])</f>
        <v>0</v>
      </c>
      <c r="C863">
        <f>FLOOR(_xlfn.XLOOKUP($A863,PROPERTIES[VEHIDCODE],PROPERTIES[INTRODUCTION_YEAR]),20)</f>
        <v>1960</v>
      </c>
      <c r="D863" t="str">
        <f>_xlfn.XLOOKUP($A863,PROPERTIES[VEHIDCODE],PROPERTIES[ROLE])</f>
        <v>Universal</v>
      </c>
      <c r="E863" s="35" t="str">
        <f>_xlfn.XLOOKUP($A863,PROPERTIES[VEHIDCODE],PROPERTIES[REGION1])</f>
        <v>OCEANIA</v>
      </c>
      <c r="F863" s="35" t="str">
        <f>_xlfn.XLOOKUP($A863,PROPERTIES[VEHIDCODE],PROPERTIES[REGION2])</f>
        <v>NO_REGION</v>
      </c>
      <c r="G863" s="35" t="str">
        <f t="shared" si="91"/>
        <v>OCEANIA_NO_REGION</v>
      </c>
      <c r="H863" t="b">
        <f t="shared" si="92"/>
        <v>0</v>
      </c>
      <c r="I863" t="b">
        <f t="shared" si="93"/>
        <v>0</v>
      </c>
      <c r="J863" t="b">
        <f t="shared" si="94"/>
        <v>0</v>
      </c>
      <c r="K863" t="b">
        <f t="shared" si="94"/>
        <v>0</v>
      </c>
      <c r="L863" t="b">
        <f t="shared" si="94"/>
        <v>0</v>
      </c>
      <c r="M863" t="b">
        <f t="shared" si="94"/>
        <v>0</v>
      </c>
      <c r="N863" t="b">
        <f t="shared" si="95"/>
        <v>0</v>
      </c>
      <c r="O863" t="b">
        <f t="shared" si="95"/>
        <v>0</v>
      </c>
      <c r="P863" t="b">
        <f t="shared" si="96"/>
        <v>1</v>
      </c>
    </row>
    <row r="864" spans="1:16">
      <c r="A864" t="str">
        <v>diesel_Australia_Victoria_X2</v>
      </c>
      <c r="B864" t="b" cm="1">
        <f t="array" ref="B864">_xlfn.XLOOKUP(A864,CONTROL[VEHIDCODE],PROPERTIES[EXCLUDE])</f>
        <v>1</v>
      </c>
      <c r="C864">
        <f>FLOOR(_xlfn.XLOOKUP($A864,PROPERTIES[VEHIDCODE],PROPERTIES[INTRODUCTION_YEAR]),20)</f>
        <v>1960</v>
      </c>
      <c r="D864" t="str">
        <f>_xlfn.XLOOKUP($A864,PROPERTIES[VEHIDCODE],PROPERTIES[ROLE])</f>
        <v>Universal</v>
      </c>
      <c r="E864" s="35" t="str">
        <f>_xlfn.XLOOKUP($A864,PROPERTIES[VEHIDCODE],PROPERTIES[REGION1])</f>
        <v>OCEANIA</v>
      </c>
      <c r="F864" s="35" t="str">
        <f>_xlfn.XLOOKUP($A864,PROPERTIES[VEHIDCODE],PROPERTIES[REGION2])</f>
        <v>NO_REGION</v>
      </c>
      <c r="G864" s="35" t="str">
        <f t="shared" si="91"/>
        <v>OCEANIA_NO_REGION</v>
      </c>
      <c r="H864" t="b">
        <f t="shared" si="92"/>
        <v>0</v>
      </c>
      <c r="I864" t="b">
        <f t="shared" si="93"/>
        <v>0</v>
      </c>
      <c r="J864" t="b">
        <f t="shared" si="94"/>
        <v>0</v>
      </c>
      <c r="K864" t="b">
        <f t="shared" si="94"/>
        <v>0</v>
      </c>
      <c r="L864" t="b">
        <f t="shared" si="94"/>
        <v>0</v>
      </c>
      <c r="M864" t="b">
        <f t="shared" si="94"/>
        <v>0</v>
      </c>
      <c r="N864" t="b">
        <f t="shared" si="95"/>
        <v>0</v>
      </c>
      <c r="O864" t="b">
        <f t="shared" si="95"/>
        <v>0</v>
      </c>
      <c r="P864" t="b">
        <f t="shared" si="96"/>
        <v>1</v>
      </c>
    </row>
    <row r="865" spans="1:16">
      <c r="A865" t="str">
        <v>diesel_Australia_Victoria_X3</v>
      </c>
      <c r="B865" t="b" cm="1">
        <f t="array" ref="B865">_xlfn.XLOOKUP(A865,CONTROL[VEHIDCODE],PROPERTIES[EXCLUDE])</f>
        <v>1</v>
      </c>
      <c r="C865">
        <f>FLOOR(_xlfn.XLOOKUP($A865,PROPERTIES[VEHIDCODE],PROPERTIES[INTRODUCTION_YEAR]),20)</f>
        <v>1960</v>
      </c>
      <c r="D865" t="str">
        <f>_xlfn.XLOOKUP($A865,PROPERTIES[VEHIDCODE],PROPERTIES[ROLE])</f>
        <v>Universal</v>
      </c>
      <c r="E865" s="35" t="str">
        <f>_xlfn.XLOOKUP($A865,PROPERTIES[VEHIDCODE],PROPERTIES[REGION1])</f>
        <v>OCEANIA</v>
      </c>
      <c r="F865" s="35" t="str">
        <f>_xlfn.XLOOKUP($A865,PROPERTIES[VEHIDCODE],PROPERTIES[REGION2])</f>
        <v>NO_REGION</v>
      </c>
      <c r="G865" s="35" t="str">
        <f t="shared" si="91"/>
        <v>OCEANIA_NO_REGION</v>
      </c>
      <c r="H865" t="b">
        <f t="shared" si="92"/>
        <v>0</v>
      </c>
      <c r="I865" t="b">
        <f t="shared" si="93"/>
        <v>0</v>
      </c>
      <c r="J865" t="b">
        <f t="shared" si="94"/>
        <v>0</v>
      </c>
      <c r="K865" t="b">
        <f t="shared" si="94"/>
        <v>0</v>
      </c>
      <c r="L865" t="b">
        <f t="shared" si="94"/>
        <v>0</v>
      </c>
      <c r="M865" t="b">
        <f t="shared" si="94"/>
        <v>0</v>
      </c>
      <c r="N865" t="b">
        <f t="shared" si="95"/>
        <v>0</v>
      </c>
      <c r="O865" t="b">
        <f t="shared" si="95"/>
        <v>0</v>
      </c>
      <c r="P865" t="b">
        <f t="shared" si="96"/>
        <v>1</v>
      </c>
    </row>
    <row r="866" spans="1:16">
      <c r="A866" t="str">
        <v>diesel_Australia_NSW_80</v>
      </c>
      <c r="B866" t="b" cm="1">
        <f t="array" ref="B866">_xlfn.XLOOKUP(A866,CONTROL[VEHIDCODE],PROPERTIES[EXCLUDE])</f>
        <v>0</v>
      </c>
      <c r="C866">
        <f>FLOOR(_xlfn.XLOOKUP($A866,PROPERTIES[VEHIDCODE],PROPERTIES[INTRODUCTION_YEAR]),20)</f>
        <v>1960</v>
      </c>
      <c r="D866" t="str">
        <f>_xlfn.XLOOKUP($A866,PROPERTIES[VEHIDCODE],PROPERTIES[ROLE])</f>
        <v>Universal</v>
      </c>
      <c r="E866" s="35" t="str">
        <f>_xlfn.XLOOKUP($A866,PROPERTIES[VEHIDCODE],PROPERTIES[REGION1])</f>
        <v>OCEANIA</v>
      </c>
      <c r="F866" s="35" t="str">
        <f>_xlfn.XLOOKUP($A866,PROPERTIES[VEHIDCODE],PROPERTIES[REGION2])</f>
        <v>NO_REGION</v>
      </c>
      <c r="G866" s="35" t="str">
        <f t="shared" si="91"/>
        <v>OCEANIA_NO_REGION</v>
      </c>
      <c r="H866" t="b">
        <f t="shared" si="92"/>
        <v>0</v>
      </c>
      <c r="I866" t="b">
        <f t="shared" si="93"/>
        <v>0</v>
      </c>
      <c r="J866" t="b">
        <f t="shared" si="94"/>
        <v>0</v>
      </c>
      <c r="K866" t="b">
        <f t="shared" si="94"/>
        <v>0</v>
      </c>
      <c r="L866" t="b">
        <f t="shared" si="94"/>
        <v>0</v>
      </c>
      <c r="M866" t="b">
        <f t="shared" si="94"/>
        <v>0</v>
      </c>
      <c r="N866" t="b">
        <f t="shared" si="95"/>
        <v>0</v>
      </c>
      <c r="O866" t="b">
        <f t="shared" si="95"/>
        <v>0</v>
      </c>
      <c r="P866" t="b">
        <f t="shared" si="96"/>
        <v>1</v>
      </c>
    </row>
    <row r="867" spans="1:16">
      <c r="A867" t="str">
        <v>electric_Australia_NSW_85</v>
      </c>
      <c r="B867" t="b" cm="1">
        <f t="array" ref="B867">_xlfn.XLOOKUP(A867,CONTROL[VEHIDCODE],PROPERTIES[EXCLUDE])</f>
        <v>0</v>
      </c>
      <c r="C867">
        <f>FLOOR(_xlfn.XLOOKUP($A867,PROPERTIES[VEHIDCODE],PROPERTIES[INTRODUCTION_YEAR]),20)</f>
        <v>1960</v>
      </c>
      <c r="D867" t="str">
        <f>_xlfn.XLOOKUP($A867,PROPERTIES[VEHIDCODE],PROPERTIES[ROLE])</f>
        <v>Universal</v>
      </c>
      <c r="E867" s="35" t="str">
        <f>_xlfn.XLOOKUP($A867,PROPERTIES[VEHIDCODE],PROPERTIES[REGION1])</f>
        <v>OCEANIA</v>
      </c>
      <c r="F867" s="35" t="str">
        <f>_xlfn.XLOOKUP($A867,PROPERTIES[VEHIDCODE],PROPERTIES[REGION2])</f>
        <v>NO_REGION</v>
      </c>
      <c r="G867" s="35" t="str">
        <f t="shared" si="91"/>
        <v>OCEANIA_NO_REGION</v>
      </c>
      <c r="H867" t="b">
        <f t="shared" si="92"/>
        <v>0</v>
      </c>
      <c r="I867" t="b">
        <f t="shared" si="93"/>
        <v>0</v>
      </c>
      <c r="J867" t="b">
        <f t="shared" si="94"/>
        <v>0</v>
      </c>
      <c r="K867" t="b">
        <f t="shared" si="94"/>
        <v>0</v>
      </c>
      <c r="L867" t="b">
        <f t="shared" si="94"/>
        <v>0</v>
      </c>
      <c r="M867" t="b">
        <f t="shared" si="94"/>
        <v>0</v>
      </c>
      <c r="N867" t="b">
        <f t="shared" si="95"/>
        <v>0</v>
      </c>
      <c r="O867" t="b">
        <f t="shared" si="95"/>
        <v>0</v>
      </c>
      <c r="P867" t="b">
        <f t="shared" si="96"/>
        <v>1</v>
      </c>
    </row>
    <row r="868" spans="1:16">
      <c r="A868" t="str">
        <v>electric_Australia_SRA_8650</v>
      </c>
      <c r="B868" t="b" cm="1">
        <f t="array" ref="B868">_xlfn.XLOOKUP(A868,CONTROL[VEHIDCODE],PROPERTIES[EXCLUDE])</f>
        <v>0</v>
      </c>
      <c r="C868">
        <f>FLOOR(_xlfn.XLOOKUP($A868,PROPERTIES[VEHIDCODE],PROPERTIES[INTRODUCTION_YEAR]),20)</f>
        <v>1980</v>
      </c>
      <c r="D868" t="str">
        <f>_xlfn.XLOOKUP($A868,PROPERTIES[VEHIDCODE],PROPERTIES[ROLE])</f>
        <v>Universal</v>
      </c>
      <c r="E868" s="35" t="str">
        <f>_xlfn.XLOOKUP($A868,PROPERTIES[VEHIDCODE],PROPERTIES[REGION1])</f>
        <v>OCEANIA</v>
      </c>
      <c r="F868" s="35" t="str">
        <f>_xlfn.XLOOKUP($A868,PROPERTIES[VEHIDCODE],PROPERTIES[REGION2])</f>
        <v>NO_REGION</v>
      </c>
      <c r="G868" s="35" t="str">
        <f t="shared" si="91"/>
        <v>OCEANIA_NO_REGION</v>
      </c>
      <c r="H868" t="b">
        <f t="shared" si="92"/>
        <v>0</v>
      </c>
      <c r="I868" t="b">
        <f t="shared" si="93"/>
        <v>0</v>
      </c>
      <c r="J868" t="b">
        <f t="shared" si="94"/>
        <v>0</v>
      </c>
      <c r="K868" t="b">
        <f t="shared" si="94"/>
        <v>0</v>
      </c>
      <c r="L868" t="b">
        <f t="shared" si="94"/>
        <v>0</v>
      </c>
      <c r="M868" t="b">
        <f t="shared" si="94"/>
        <v>0</v>
      </c>
      <c r="N868" t="b">
        <f t="shared" si="95"/>
        <v>0</v>
      </c>
      <c r="O868" t="b">
        <f t="shared" si="95"/>
        <v>0</v>
      </c>
      <c r="P868" t="b">
        <f t="shared" si="96"/>
        <v>1</v>
      </c>
    </row>
    <row r="869" spans="1:16">
      <c r="A869" t="str">
        <v>diesel_Australia_IRA_DSB_MZ_III</v>
      </c>
      <c r="B869" t="b" cm="1">
        <f t="array" ref="B869">_xlfn.XLOOKUP(A869,CONTROL[VEHIDCODE],PROPERTIES[EXCLUDE])</f>
        <v>0</v>
      </c>
      <c r="C869">
        <f>FLOOR(_xlfn.XLOOKUP($A869,PROPERTIES[VEHIDCODE],PROPERTIES[INTRODUCTION_YEAR]),20)</f>
        <v>2000</v>
      </c>
      <c r="D869" t="str">
        <f>_xlfn.XLOOKUP($A869,PROPERTIES[VEHIDCODE],PROPERTIES[ROLE])</f>
        <v>Express</v>
      </c>
      <c r="E869" s="35" t="str">
        <f>_xlfn.XLOOKUP($A869,PROPERTIES[VEHIDCODE],PROPERTIES[REGION1])</f>
        <v>OCEANIA</v>
      </c>
      <c r="F869" s="35" t="str">
        <f>_xlfn.XLOOKUP($A869,PROPERTIES[VEHIDCODE],PROPERTIES[REGION2])</f>
        <v>NO_REGION</v>
      </c>
      <c r="G869" s="35" t="str">
        <f t="shared" si="91"/>
        <v>OCEANIA_NO_REGION</v>
      </c>
      <c r="H869" t="b">
        <f t="shared" si="92"/>
        <v>0</v>
      </c>
      <c r="I869" t="b">
        <f t="shared" si="93"/>
        <v>0</v>
      </c>
      <c r="J869" t="b">
        <f t="shared" si="94"/>
        <v>0</v>
      </c>
      <c r="K869" t="b">
        <f t="shared" si="94"/>
        <v>0</v>
      </c>
      <c r="L869" t="b">
        <f t="shared" si="94"/>
        <v>0</v>
      </c>
      <c r="M869" t="b">
        <f t="shared" si="94"/>
        <v>0</v>
      </c>
      <c r="N869" t="b">
        <f t="shared" si="95"/>
        <v>0</v>
      </c>
      <c r="O869" t="b">
        <f t="shared" si="95"/>
        <v>0</v>
      </c>
      <c r="P869" t="b">
        <f t="shared" si="96"/>
        <v>1</v>
      </c>
    </row>
    <row r="870" spans="1:16">
      <c r="A870" t="str">
        <v>diesel_Australia_Commonwealth_Twin_16_645</v>
      </c>
      <c r="B870" t="b" cm="1">
        <f t="array" ref="B870">_xlfn.XLOOKUP(A870,CONTROL[VEHIDCODE],PROPERTIES[EXCLUDE])</f>
        <v>0</v>
      </c>
      <c r="C870">
        <f>FLOOR(_xlfn.XLOOKUP($A870,PROPERTIES[VEHIDCODE],PROPERTIES[INTRODUCTION_YEAR]),20)</f>
        <v>1960</v>
      </c>
      <c r="D870" t="str">
        <f>_xlfn.XLOOKUP($A870,PROPERTIES[VEHIDCODE],PROPERTIES[ROLE])</f>
        <v>Heavy Freight</v>
      </c>
      <c r="E870" s="35" t="str">
        <f>_xlfn.XLOOKUP($A870,PROPERTIES[VEHIDCODE],PROPERTIES[REGION1])</f>
        <v>OCEANIA</v>
      </c>
      <c r="F870" s="35" t="str">
        <f>_xlfn.XLOOKUP($A870,PROPERTIES[VEHIDCODE],PROPERTIES[REGION2])</f>
        <v>NO_REGION</v>
      </c>
      <c r="G870" s="35" t="str">
        <f t="shared" si="91"/>
        <v>OCEANIA_NO_REGION</v>
      </c>
      <c r="H870" t="b">
        <f t="shared" si="92"/>
        <v>0</v>
      </c>
      <c r="I870" t="b">
        <f t="shared" si="93"/>
        <v>0</v>
      </c>
      <c r="J870" t="b">
        <f t="shared" si="94"/>
        <v>0</v>
      </c>
      <c r="K870" t="b">
        <f t="shared" si="94"/>
        <v>0</v>
      </c>
      <c r="L870" t="b">
        <f t="shared" si="94"/>
        <v>0</v>
      </c>
      <c r="M870" t="b">
        <f t="shared" si="94"/>
        <v>0</v>
      </c>
      <c r="N870" t="b">
        <f t="shared" si="95"/>
        <v>0</v>
      </c>
      <c r="O870" t="b">
        <f t="shared" si="95"/>
        <v>0</v>
      </c>
      <c r="P870" t="b">
        <f t="shared" si="96"/>
        <v>1</v>
      </c>
    </row>
    <row r="871" spans="1:16">
      <c r="A871" t="str">
        <v>diesel_Australia_QR_2170</v>
      </c>
      <c r="B871" t="b" cm="1">
        <f t="array" ref="B871">_xlfn.XLOOKUP(A871,CONTROL[VEHIDCODE],PROPERTIES[EXCLUDE])</f>
        <v>0</v>
      </c>
      <c r="C871">
        <f>FLOOR(_xlfn.XLOOKUP($A871,PROPERTIES[VEHIDCODE],PROPERTIES[INTRODUCTION_YEAR]),20)</f>
        <v>1980</v>
      </c>
      <c r="D871" t="str">
        <f>_xlfn.XLOOKUP($A871,PROPERTIES[VEHIDCODE],PROPERTIES[ROLE])</f>
        <v>Express</v>
      </c>
      <c r="E871" s="35" t="str">
        <f>_xlfn.XLOOKUP($A871,PROPERTIES[VEHIDCODE],PROPERTIES[REGION1])</f>
        <v>OCEANIA</v>
      </c>
      <c r="F871" s="35" t="str">
        <f>_xlfn.XLOOKUP($A871,PROPERTIES[VEHIDCODE],PROPERTIES[REGION2])</f>
        <v>NO_REGION</v>
      </c>
      <c r="G871" s="35" t="str">
        <f t="shared" si="91"/>
        <v>OCEANIA_NO_REGION</v>
      </c>
      <c r="H871" t="b">
        <f t="shared" si="92"/>
        <v>0</v>
      </c>
      <c r="I871" t="b">
        <f t="shared" si="93"/>
        <v>0</v>
      </c>
      <c r="J871" t="b">
        <f t="shared" si="94"/>
        <v>0</v>
      </c>
      <c r="K871" t="b">
        <f t="shared" si="94"/>
        <v>0</v>
      </c>
      <c r="L871" t="b">
        <f t="shared" si="94"/>
        <v>0</v>
      </c>
      <c r="M871" t="b">
        <f t="shared" si="94"/>
        <v>0</v>
      </c>
      <c r="N871" t="b">
        <f t="shared" si="95"/>
        <v>0</v>
      </c>
      <c r="O871" t="b">
        <f t="shared" si="95"/>
        <v>0</v>
      </c>
      <c r="P871" t="b">
        <f t="shared" si="96"/>
        <v>1</v>
      </c>
    </row>
    <row r="872" spans="1:16">
      <c r="A872" t="str">
        <v>diesel_Australia_TGR_Z</v>
      </c>
      <c r="B872" t="b" cm="1">
        <f t="array" ref="B872">_xlfn.XLOOKUP(A872,CONTROL[VEHIDCODE],PROPERTIES[EXCLUDE])</f>
        <v>0</v>
      </c>
      <c r="C872">
        <f>FLOOR(_xlfn.XLOOKUP($A872,PROPERTIES[VEHIDCODE],PROPERTIES[INTRODUCTION_YEAR]),20)</f>
        <v>1960</v>
      </c>
      <c r="D872" t="str">
        <f>_xlfn.XLOOKUP($A872,PROPERTIES[VEHIDCODE],PROPERTIES[ROLE])</f>
        <v>Universal</v>
      </c>
      <c r="E872" s="35" t="str">
        <f>_xlfn.XLOOKUP($A872,PROPERTIES[VEHIDCODE],PROPERTIES[REGION1])</f>
        <v>OCEANIA</v>
      </c>
      <c r="F872" s="35" t="str">
        <f>_xlfn.XLOOKUP($A872,PROPERTIES[VEHIDCODE],PROPERTIES[REGION2])</f>
        <v>NO_REGION</v>
      </c>
      <c r="G872" s="35" t="str">
        <f t="shared" si="91"/>
        <v>OCEANIA_NO_REGION</v>
      </c>
      <c r="H872" t="b">
        <f t="shared" si="92"/>
        <v>0</v>
      </c>
      <c r="I872" t="b">
        <f t="shared" si="93"/>
        <v>0</v>
      </c>
      <c r="J872" t="b">
        <f t="shared" si="94"/>
        <v>0</v>
      </c>
      <c r="K872" t="b">
        <f t="shared" si="94"/>
        <v>0</v>
      </c>
      <c r="L872" t="b">
        <f t="shared" si="94"/>
        <v>0</v>
      </c>
      <c r="M872" t="b">
        <f t="shared" si="94"/>
        <v>0</v>
      </c>
      <c r="N872" t="b">
        <f t="shared" si="95"/>
        <v>0</v>
      </c>
      <c r="O872" t="b">
        <f t="shared" si="95"/>
        <v>0</v>
      </c>
      <c r="P872" t="b">
        <f t="shared" si="96"/>
        <v>1</v>
      </c>
    </row>
    <row r="873" spans="1:16">
      <c r="A873" t="str">
        <v>diesel_Australia_QR_2350</v>
      </c>
      <c r="B873" t="b" cm="1">
        <f t="array" ref="B873">_xlfn.XLOOKUP(A873,CONTROL[VEHIDCODE],PROPERTIES[EXCLUDE])</f>
        <v>0</v>
      </c>
      <c r="C873">
        <f>FLOOR(_xlfn.XLOOKUP($A873,PROPERTIES[VEHIDCODE],PROPERTIES[INTRODUCTION_YEAR]),20)</f>
        <v>1960</v>
      </c>
      <c r="D873" t="str">
        <f>_xlfn.XLOOKUP($A873,PROPERTIES[VEHIDCODE],PROPERTIES[ROLE])</f>
        <v>Universal</v>
      </c>
      <c r="E873" s="35" t="str">
        <f>_xlfn.XLOOKUP($A873,PROPERTIES[VEHIDCODE],PROPERTIES[REGION1])</f>
        <v>OCEANIA</v>
      </c>
      <c r="F873" s="35" t="str">
        <f>_xlfn.XLOOKUP($A873,PROPERTIES[VEHIDCODE],PROPERTIES[REGION2])</f>
        <v>NO_REGION</v>
      </c>
      <c r="G873" s="35" t="str">
        <f t="shared" si="91"/>
        <v>OCEANIA_NO_REGION</v>
      </c>
      <c r="H873" t="b">
        <f t="shared" si="92"/>
        <v>0</v>
      </c>
      <c r="I873" t="b">
        <f t="shared" si="93"/>
        <v>0</v>
      </c>
      <c r="J873" t="b">
        <f t="shared" si="94"/>
        <v>0</v>
      </c>
      <c r="K873" t="b">
        <f t="shared" si="94"/>
        <v>0</v>
      </c>
      <c r="L873" t="b">
        <f t="shared" si="94"/>
        <v>0</v>
      </c>
      <c r="M873" t="b">
        <f t="shared" si="94"/>
        <v>0</v>
      </c>
      <c r="N873" t="b">
        <f t="shared" si="95"/>
        <v>0</v>
      </c>
      <c r="O873" t="b">
        <f t="shared" si="95"/>
        <v>0</v>
      </c>
      <c r="P873" t="b">
        <f t="shared" si="96"/>
        <v>1</v>
      </c>
    </row>
    <row r="874" spans="1:16">
      <c r="A874" t="str">
        <v>diesel_New_Zealand_DX_Class</v>
      </c>
      <c r="B874" t="b" cm="1">
        <f t="array" ref="B874">_xlfn.XLOOKUP(A874,CONTROL[VEHIDCODE],PROPERTIES[EXCLUDE])</f>
        <v>0</v>
      </c>
      <c r="C874">
        <f>FLOOR(_xlfn.XLOOKUP($A874,PROPERTIES[VEHIDCODE],PROPERTIES[INTRODUCTION_YEAR]),20)</f>
        <v>1960</v>
      </c>
      <c r="D874" t="str">
        <f>_xlfn.XLOOKUP($A874,PROPERTIES[VEHIDCODE],PROPERTIES[ROLE])</f>
        <v>Express</v>
      </c>
      <c r="E874" s="35" t="str">
        <f>_xlfn.XLOOKUP($A874,PROPERTIES[VEHIDCODE],PROPERTIES[REGION1])</f>
        <v>OCEANIA</v>
      </c>
      <c r="F874" s="35" t="str">
        <f>_xlfn.XLOOKUP($A874,PROPERTIES[VEHIDCODE],PROPERTIES[REGION2])</f>
        <v>NO_REGION</v>
      </c>
      <c r="G874" s="35" t="str">
        <f t="shared" si="91"/>
        <v>OCEANIA_NO_REGION</v>
      </c>
      <c r="H874" t="b">
        <f t="shared" si="92"/>
        <v>0</v>
      </c>
      <c r="I874" t="b">
        <f t="shared" si="93"/>
        <v>0</v>
      </c>
      <c r="J874" t="b">
        <f t="shared" si="94"/>
        <v>0</v>
      </c>
      <c r="K874" t="b">
        <f t="shared" si="94"/>
        <v>0</v>
      </c>
      <c r="L874" t="b">
        <f t="shared" si="94"/>
        <v>0</v>
      </c>
      <c r="M874" t="b">
        <f t="shared" si="94"/>
        <v>0</v>
      </c>
      <c r="N874" t="b">
        <f t="shared" si="95"/>
        <v>0</v>
      </c>
      <c r="O874" t="b">
        <f t="shared" si="95"/>
        <v>0</v>
      </c>
      <c r="P874" t="b">
        <f t="shared" si="96"/>
        <v>1</v>
      </c>
    </row>
    <row r="875" spans="1:16">
      <c r="A875" t="str">
        <v>electric_Australia_NSW_46</v>
      </c>
      <c r="B875" t="b" cm="1">
        <f t="array" ref="B875">_xlfn.XLOOKUP(A875,CONTROL[VEHIDCODE],PROPERTIES[EXCLUDE])</f>
        <v>0</v>
      </c>
      <c r="C875">
        <f>FLOOR(_xlfn.XLOOKUP($A875,PROPERTIES[VEHIDCODE],PROPERTIES[INTRODUCTION_YEAR]),20)</f>
        <v>1940</v>
      </c>
      <c r="D875" t="str">
        <f>_xlfn.XLOOKUP($A875,PROPERTIES[VEHIDCODE],PROPERTIES[ROLE])</f>
        <v>Universal</v>
      </c>
      <c r="E875" s="35" t="str">
        <f>_xlfn.XLOOKUP($A875,PROPERTIES[VEHIDCODE],PROPERTIES[REGION1])</f>
        <v>OCEANIA</v>
      </c>
      <c r="F875" s="35" t="str">
        <f>_xlfn.XLOOKUP($A875,PROPERTIES[VEHIDCODE],PROPERTIES[REGION2])</f>
        <v>NO_REGION</v>
      </c>
      <c r="G875" s="35" t="str">
        <f t="shared" si="91"/>
        <v>OCEANIA_NO_REGION</v>
      </c>
      <c r="H875" t="b">
        <f t="shared" si="92"/>
        <v>0</v>
      </c>
      <c r="I875" t="b">
        <f t="shared" si="93"/>
        <v>0</v>
      </c>
      <c r="J875" t="b">
        <f t="shared" si="94"/>
        <v>0</v>
      </c>
      <c r="K875" t="b">
        <f t="shared" si="94"/>
        <v>0</v>
      </c>
      <c r="L875" t="b">
        <f t="shared" si="94"/>
        <v>0</v>
      </c>
      <c r="M875" t="b">
        <f t="shared" si="94"/>
        <v>0</v>
      </c>
      <c r="N875" t="b">
        <f t="shared" si="95"/>
        <v>0</v>
      </c>
      <c r="O875" t="b">
        <f t="shared" si="95"/>
        <v>0</v>
      </c>
      <c r="P875" t="b">
        <f t="shared" si="96"/>
        <v>1</v>
      </c>
    </row>
    <row r="876" spans="1:16">
      <c r="A876" t="str">
        <v>diesel_Australia_NSW_40</v>
      </c>
      <c r="B876" t="b" cm="1">
        <f t="array" ref="B876">_xlfn.XLOOKUP(A876,CONTROL[VEHIDCODE],PROPERTIES[EXCLUDE])</f>
        <v>1</v>
      </c>
      <c r="C876">
        <f>FLOOR(_xlfn.XLOOKUP($A876,PROPERTIES[VEHIDCODE],PROPERTIES[INTRODUCTION_YEAR]),20)</f>
        <v>1940</v>
      </c>
      <c r="D876" t="str">
        <f>_xlfn.XLOOKUP($A876,PROPERTIES[VEHIDCODE],PROPERTIES[ROLE])</f>
        <v>Universal</v>
      </c>
      <c r="E876" s="35" t="str">
        <f>_xlfn.XLOOKUP($A876,PROPERTIES[VEHIDCODE],PROPERTIES[REGION1])</f>
        <v>OCEANIA</v>
      </c>
      <c r="F876" s="35" t="str">
        <f>_xlfn.XLOOKUP($A876,PROPERTIES[VEHIDCODE],PROPERTIES[REGION2])</f>
        <v>NO_REGION</v>
      </c>
      <c r="G876" s="35" t="str">
        <f t="shared" si="91"/>
        <v>OCEANIA_NO_REGION</v>
      </c>
      <c r="H876" t="b">
        <f t="shared" si="92"/>
        <v>0</v>
      </c>
      <c r="I876" t="b">
        <f t="shared" si="93"/>
        <v>0</v>
      </c>
      <c r="J876" t="b">
        <f t="shared" si="94"/>
        <v>0</v>
      </c>
      <c r="K876" t="b">
        <f t="shared" si="94"/>
        <v>0</v>
      </c>
      <c r="L876" t="b">
        <f t="shared" si="94"/>
        <v>0</v>
      </c>
      <c r="M876" t="b">
        <f t="shared" si="94"/>
        <v>0</v>
      </c>
      <c r="N876" t="b">
        <f t="shared" si="95"/>
        <v>0</v>
      </c>
      <c r="O876" t="b">
        <f t="shared" si="95"/>
        <v>0</v>
      </c>
      <c r="P876" t="b">
        <f t="shared" si="96"/>
        <v>1</v>
      </c>
    </row>
    <row r="877" spans="1:16">
      <c r="A877" t="str">
        <v>diesel_Australia_NSW_49</v>
      </c>
      <c r="B877" t="b" cm="1">
        <f t="array" ref="B877">_xlfn.XLOOKUP(A877,CONTROL[VEHIDCODE],PROPERTIES[EXCLUDE])</f>
        <v>0</v>
      </c>
      <c r="C877">
        <f>FLOOR(_xlfn.XLOOKUP($A877,PROPERTIES[VEHIDCODE],PROPERTIES[INTRODUCTION_YEAR]),20)</f>
        <v>1960</v>
      </c>
      <c r="D877" t="str">
        <f>_xlfn.XLOOKUP($A877,PROPERTIES[VEHIDCODE],PROPERTIES[ROLE])</f>
        <v>Universal</v>
      </c>
      <c r="E877" s="35" t="str">
        <f>_xlfn.XLOOKUP($A877,PROPERTIES[VEHIDCODE],PROPERTIES[REGION1])</f>
        <v>OCEANIA</v>
      </c>
      <c r="F877" s="35" t="str">
        <f>_xlfn.XLOOKUP($A877,PROPERTIES[VEHIDCODE],PROPERTIES[REGION2])</f>
        <v>NO_REGION</v>
      </c>
      <c r="G877" s="35" t="str">
        <f t="shared" si="91"/>
        <v>OCEANIA_NO_REGION</v>
      </c>
      <c r="H877" t="b">
        <f t="shared" si="92"/>
        <v>0</v>
      </c>
      <c r="I877" t="b">
        <f t="shared" si="93"/>
        <v>0</v>
      </c>
      <c r="J877" t="b">
        <f t="shared" si="94"/>
        <v>0</v>
      </c>
      <c r="K877" t="b">
        <f t="shared" si="94"/>
        <v>0</v>
      </c>
      <c r="L877" t="b">
        <f t="shared" si="94"/>
        <v>0</v>
      </c>
      <c r="M877" t="b">
        <f t="shared" si="94"/>
        <v>0</v>
      </c>
      <c r="N877" t="b">
        <f t="shared" si="95"/>
        <v>0</v>
      </c>
      <c r="O877" t="b">
        <f t="shared" si="95"/>
        <v>0</v>
      </c>
      <c r="P877" t="b">
        <f t="shared" si="96"/>
        <v>1</v>
      </c>
    </row>
    <row r="878" spans="1:16">
      <c r="A878" t="str">
        <v>diesel_New_Zealand_DA_Class</v>
      </c>
      <c r="B878" t="b" cm="1">
        <f t="array" ref="B878">_xlfn.XLOOKUP(A878,CONTROL[VEHIDCODE],PROPERTIES[EXCLUDE])</f>
        <v>0</v>
      </c>
      <c r="C878">
        <f>FLOOR(_xlfn.XLOOKUP($A878,PROPERTIES[VEHIDCODE],PROPERTIES[INTRODUCTION_YEAR]),20)</f>
        <v>1940</v>
      </c>
      <c r="D878" t="str">
        <f>_xlfn.XLOOKUP($A878,PROPERTIES[VEHIDCODE],PROPERTIES[ROLE])</f>
        <v>Express</v>
      </c>
      <c r="E878" s="35" t="str">
        <f>_xlfn.XLOOKUP($A878,PROPERTIES[VEHIDCODE],PROPERTIES[REGION1])</f>
        <v>OCEANIA</v>
      </c>
      <c r="F878" s="35" t="str">
        <f>_xlfn.XLOOKUP($A878,PROPERTIES[VEHIDCODE],PROPERTIES[REGION2])</f>
        <v>NO_REGION</v>
      </c>
      <c r="G878" s="35" t="str">
        <f t="shared" si="91"/>
        <v>OCEANIA_NO_REGION</v>
      </c>
      <c r="H878" t="b">
        <f t="shared" si="92"/>
        <v>0</v>
      </c>
      <c r="I878" t="b">
        <f t="shared" si="93"/>
        <v>0</v>
      </c>
      <c r="J878" t="b">
        <f t="shared" si="94"/>
        <v>0</v>
      </c>
      <c r="K878" t="b">
        <f t="shared" si="94"/>
        <v>0</v>
      </c>
      <c r="L878" t="b">
        <f t="shared" si="94"/>
        <v>0</v>
      </c>
      <c r="M878" t="b">
        <f t="shared" si="94"/>
        <v>0</v>
      </c>
      <c r="N878" t="b">
        <f t="shared" si="95"/>
        <v>0</v>
      </c>
      <c r="O878" t="b">
        <f t="shared" si="95"/>
        <v>0</v>
      </c>
      <c r="P878" t="b">
        <f t="shared" si="96"/>
        <v>1</v>
      </c>
    </row>
    <row r="879" spans="1:16">
      <c r="A879" t="str">
        <v>diesel_New_Zealand_DB_Class</v>
      </c>
      <c r="B879" t="b" cm="1">
        <f t="array" ref="B879">_xlfn.XLOOKUP(A879,CONTROL[VEHIDCODE],PROPERTIES[EXCLUDE])</f>
        <v>0</v>
      </c>
      <c r="C879">
        <f>FLOOR(_xlfn.XLOOKUP($A879,PROPERTIES[VEHIDCODE],PROPERTIES[INTRODUCTION_YEAR]),20)</f>
        <v>1960</v>
      </c>
      <c r="D879" t="str">
        <f>_xlfn.XLOOKUP($A879,PROPERTIES[VEHIDCODE],PROPERTIES[ROLE])</f>
        <v>Express</v>
      </c>
      <c r="E879" s="35" t="str">
        <f>_xlfn.XLOOKUP($A879,PROPERTIES[VEHIDCODE],PROPERTIES[REGION1])</f>
        <v>OCEANIA</v>
      </c>
      <c r="F879" s="35" t="str">
        <f>_xlfn.XLOOKUP($A879,PROPERTIES[VEHIDCODE],PROPERTIES[REGION2])</f>
        <v>NO_REGION</v>
      </c>
      <c r="G879" s="35" t="str">
        <f t="shared" si="91"/>
        <v>OCEANIA_NO_REGION</v>
      </c>
      <c r="H879" t="b">
        <f t="shared" si="92"/>
        <v>0</v>
      </c>
      <c r="I879" t="b">
        <f t="shared" si="93"/>
        <v>0</v>
      </c>
      <c r="J879" t="b">
        <f t="shared" si="94"/>
        <v>0</v>
      </c>
      <c r="K879" t="b">
        <f t="shared" si="94"/>
        <v>0</v>
      </c>
      <c r="L879" t="b">
        <f t="shared" si="94"/>
        <v>0</v>
      </c>
      <c r="M879" t="b">
        <f t="shared" si="94"/>
        <v>0</v>
      </c>
      <c r="N879" t="b">
        <f t="shared" si="95"/>
        <v>0</v>
      </c>
      <c r="O879" t="b">
        <f t="shared" si="95"/>
        <v>0</v>
      </c>
      <c r="P879" t="b">
        <f t="shared" si="96"/>
        <v>1</v>
      </c>
    </row>
    <row r="880" spans="1:16">
      <c r="A880" t="str">
        <v>diesel_Australia_NSW_47</v>
      </c>
      <c r="B880" t="b" cm="1">
        <f t="array" ref="B880">_xlfn.XLOOKUP(A880,CONTROL[VEHIDCODE],PROPERTIES[EXCLUDE])</f>
        <v>0</v>
      </c>
      <c r="C880">
        <f>FLOOR(_xlfn.XLOOKUP($A880,PROPERTIES[VEHIDCODE],PROPERTIES[INTRODUCTION_YEAR]),20)</f>
        <v>1960</v>
      </c>
      <c r="D880" t="str">
        <f>_xlfn.XLOOKUP($A880,PROPERTIES[VEHIDCODE],PROPERTIES[ROLE])</f>
        <v>Universal</v>
      </c>
      <c r="E880" s="35" t="str">
        <f>_xlfn.XLOOKUP($A880,PROPERTIES[VEHIDCODE],PROPERTIES[REGION1])</f>
        <v>OCEANIA</v>
      </c>
      <c r="F880" s="35" t="str">
        <f>_xlfn.XLOOKUP($A880,PROPERTIES[VEHIDCODE],PROPERTIES[REGION2])</f>
        <v>NO_REGION</v>
      </c>
      <c r="G880" s="35" t="str">
        <f t="shared" si="91"/>
        <v>OCEANIA_NO_REGION</v>
      </c>
      <c r="H880" t="b">
        <f t="shared" si="92"/>
        <v>0</v>
      </c>
      <c r="I880" t="b">
        <f t="shared" si="93"/>
        <v>0</v>
      </c>
      <c r="J880" t="b">
        <f t="shared" si="94"/>
        <v>0</v>
      </c>
      <c r="K880" t="b">
        <f t="shared" si="94"/>
        <v>0</v>
      </c>
      <c r="L880" t="b">
        <f t="shared" si="94"/>
        <v>0</v>
      </c>
      <c r="M880" t="b">
        <f t="shared" si="94"/>
        <v>0</v>
      </c>
      <c r="N880" t="b">
        <f t="shared" si="95"/>
        <v>0</v>
      </c>
      <c r="O880" t="b">
        <f t="shared" si="95"/>
        <v>0</v>
      </c>
      <c r="P880" t="b">
        <f t="shared" si="96"/>
        <v>1</v>
      </c>
    </row>
    <row r="881" spans="1:16">
      <c r="A881" t="str">
        <v>steam_Brazil_Baroneza</v>
      </c>
      <c r="B881" t="b" cm="1">
        <f t="array" ref="B881">_xlfn.XLOOKUP(A881,CONTROL[VEHIDCODE],PROPERTIES[EXCLUDE])</f>
        <v>0</v>
      </c>
      <c r="C881">
        <f>FLOOR(_xlfn.XLOOKUP($A881,PROPERTIES[VEHIDCODE],PROPERTIES[INTRODUCTION_YEAR]),20)</f>
        <v>1840</v>
      </c>
      <c r="D881" t="str">
        <f>_xlfn.XLOOKUP($A881,PROPERTIES[VEHIDCODE],PROPERTIES[ROLE])</f>
        <v>Shunting</v>
      </c>
      <c r="E881" s="35" t="str">
        <f>_xlfn.XLOOKUP($A881,PROPERTIES[VEHIDCODE],PROPERTIES[REGION1])</f>
        <v>SOUTH_AMERICA</v>
      </c>
      <c r="F881" s="35" t="str">
        <f>_xlfn.XLOOKUP($A881,PROPERTIES[VEHIDCODE],PROPERTIES[REGION2])</f>
        <v>NO_REGION</v>
      </c>
      <c r="G881" s="35" t="str">
        <f t="shared" si="91"/>
        <v>SOUTH_AMERICA_NO_REGION</v>
      </c>
      <c r="H881" t="b">
        <f t="shared" si="92"/>
        <v>0</v>
      </c>
      <c r="I881" t="b">
        <f t="shared" si="93"/>
        <v>0</v>
      </c>
      <c r="J881" t="b">
        <f t="shared" si="94"/>
        <v>0</v>
      </c>
      <c r="K881" t="b">
        <f t="shared" si="94"/>
        <v>0</v>
      </c>
      <c r="L881" t="b">
        <f t="shared" si="94"/>
        <v>0</v>
      </c>
      <c r="M881" t="b">
        <f t="shared" si="94"/>
        <v>0</v>
      </c>
      <c r="N881" t="b">
        <f t="shared" si="95"/>
        <v>0</v>
      </c>
      <c r="O881" t="b">
        <f t="shared" si="95"/>
        <v>1</v>
      </c>
      <c r="P881" t="b">
        <f t="shared" si="96"/>
        <v>0</v>
      </c>
    </row>
    <row r="882" spans="1:16">
      <c r="A882" t="str">
        <v>steam_Argentina_La_Portena</v>
      </c>
      <c r="B882" t="b" cm="1">
        <f t="array" ref="B882">_xlfn.XLOOKUP(A882,CONTROL[VEHIDCODE],PROPERTIES[EXCLUDE])</f>
        <v>0</v>
      </c>
      <c r="C882">
        <f>FLOOR(_xlfn.XLOOKUP($A882,PROPERTIES[VEHIDCODE],PROPERTIES[INTRODUCTION_YEAR]),20)</f>
        <v>1840</v>
      </c>
      <c r="D882" t="str">
        <f>_xlfn.XLOOKUP($A882,PROPERTIES[VEHIDCODE],PROPERTIES[ROLE])</f>
        <v>Shunting</v>
      </c>
      <c r="E882" s="35" t="str">
        <f>_xlfn.XLOOKUP($A882,PROPERTIES[VEHIDCODE],PROPERTIES[REGION1])</f>
        <v>SOUTH_AMERICA</v>
      </c>
      <c r="F882" s="35" t="str">
        <f>_xlfn.XLOOKUP($A882,PROPERTIES[VEHIDCODE],PROPERTIES[REGION2])</f>
        <v>NO_REGION</v>
      </c>
      <c r="G882" s="35" t="str">
        <f t="shared" si="91"/>
        <v>SOUTH_AMERICA_NO_REGION</v>
      </c>
      <c r="H882" t="b">
        <f t="shared" si="92"/>
        <v>0</v>
      </c>
      <c r="I882" t="b">
        <f t="shared" si="93"/>
        <v>0</v>
      </c>
      <c r="J882" t="b">
        <f t="shared" si="94"/>
        <v>0</v>
      </c>
      <c r="K882" t="b">
        <f t="shared" si="94"/>
        <v>0</v>
      </c>
      <c r="L882" t="b">
        <f t="shared" si="94"/>
        <v>0</v>
      </c>
      <c r="M882" t="b">
        <f t="shared" si="94"/>
        <v>0</v>
      </c>
      <c r="N882" t="b">
        <f t="shared" si="95"/>
        <v>0</v>
      </c>
      <c r="O882" t="b">
        <f t="shared" si="95"/>
        <v>1</v>
      </c>
      <c r="P882" t="b">
        <f t="shared" si="96"/>
        <v>0</v>
      </c>
    </row>
    <row r="883" spans="1:16">
      <c r="A883" t="str">
        <v>steam_Brazil_Dom_Pedro_Segundo_119</v>
      </c>
      <c r="B883" t="b" cm="1">
        <f t="array" ref="B883">_xlfn.XLOOKUP(A883,CONTROL[VEHIDCODE],PROPERTIES[EXCLUDE])</f>
        <v>0</v>
      </c>
      <c r="C883">
        <f>FLOOR(_xlfn.XLOOKUP($A883,PROPERTIES[VEHIDCODE],PROPERTIES[INTRODUCTION_YEAR]),20)</f>
        <v>1880</v>
      </c>
      <c r="D883" t="str">
        <f>_xlfn.XLOOKUP($A883,PROPERTIES[VEHIDCODE],PROPERTIES[ROLE])</f>
        <v>Universal</v>
      </c>
      <c r="E883" s="35" t="str">
        <f>_xlfn.XLOOKUP($A883,PROPERTIES[VEHIDCODE],PROPERTIES[REGION1])</f>
        <v>SOUTH_AMERICA</v>
      </c>
      <c r="F883" s="35" t="str">
        <f>_xlfn.XLOOKUP($A883,PROPERTIES[VEHIDCODE],PROPERTIES[REGION2])</f>
        <v>NO_REGION</v>
      </c>
      <c r="G883" s="35" t="str">
        <f t="shared" si="91"/>
        <v>SOUTH_AMERICA_NO_REGION</v>
      </c>
      <c r="H883" t="b">
        <f t="shared" si="92"/>
        <v>0</v>
      </c>
      <c r="I883" t="b">
        <f t="shared" si="93"/>
        <v>0</v>
      </c>
      <c r="J883" t="b">
        <f t="shared" si="94"/>
        <v>0</v>
      </c>
      <c r="K883" t="b">
        <f t="shared" si="94"/>
        <v>0</v>
      </c>
      <c r="L883" t="b">
        <f t="shared" si="94"/>
        <v>0</v>
      </c>
      <c r="M883" t="b">
        <f t="shared" si="94"/>
        <v>0</v>
      </c>
      <c r="N883" t="b">
        <f t="shared" si="95"/>
        <v>0</v>
      </c>
      <c r="O883" t="b">
        <f t="shared" si="95"/>
        <v>1</v>
      </c>
      <c r="P883" t="b">
        <f t="shared" si="96"/>
        <v>0</v>
      </c>
    </row>
    <row r="884" spans="1:16">
      <c r="A884" t="str">
        <v>steam_Peru_No8_Monsefu</v>
      </c>
      <c r="B884" t="b" cm="1">
        <f t="array" ref="B884">_xlfn.XLOOKUP(A884,CONTROL[VEHIDCODE],PROPERTIES[EXCLUDE])</f>
        <v>0</v>
      </c>
      <c r="C884">
        <f>FLOOR(_xlfn.XLOOKUP($A884,PROPERTIES[VEHIDCODE],PROPERTIES[INTRODUCTION_YEAR]),20)</f>
        <v>1900</v>
      </c>
      <c r="D884" t="str">
        <f>_xlfn.XLOOKUP($A884,PROPERTIES[VEHIDCODE],PROPERTIES[ROLE])</f>
        <v>Universal</v>
      </c>
      <c r="E884" s="35" t="str">
        <f>_xlfn.XLOOKUP($A884,PROPERTIES[VEHIDCODE],PROPERTIES[REGION1])</f>
        <v>SOUTH_AMERICA</v>
      </c>
      <c r="F884" s="35" t="str">
        <f>_xlfn.XLOOKUP($A884,PROPERTIES[VEHIDCODE],PROPERTIES[REGION2])</f>
        <v>NO_REGION</v>
      </c>
      <c r="G884" s="35" t="str">
        <f t="shared" si="91"/>
        <v>SOUTH_AMERICA_NO_REGION</v>
      </c>
      <c r="H884" t="b">
        <f t="shared" si="92"/>
        <v>0</v>
      </c>
      <c r="I884" t="b">
        <f t="shared" si="93"/>
        <v>0</v>
      </c>
      <c r="J884" t="b">
        <f t="shared" si="94"/>
        <v>0</v>
      </c>
      <c r="K884" t="b">
        <f t="shared" si="94"/>
        <v>0</v>
      </c>
      <c r="L884" t="b">
        <f t="shared" si="94"/>
        <v>0</v>
      </c>
      <c r="M884" t="b">
        <f t="shared" si="94"/>
        <v>0</v>
      </c>
      <c r="N884" t="b">
        <f t="shared" si="95"/>
        <v>0</v>
      </c>
      <c r="O884" t="b">
        <f t="shared" si="95"/>
        <v>1</v>
      </c>
      <c r="P884" t="b">
        <f t="shared" si="96"/>
        <v>0</v>
      </c>
    </row>
    <row r="885" spans="1:16">
      <c r="A885" t="str">
        <v>steam_Paraguay_FCCP_Q_Class</v>
      </c>
      <c r="B885" t="b" cm="1">
        <f t="array" ref="B885">_xlfn.XLOOKUP(A885,CONTROL[VEHIDCODE],PROPERTIES[EXCLUDE])</f>
        <v>0</v>
      </c>
      <c r="C885">
        <f>FLOOR(_xlfn.XLOOKUP($A885,PROPERTIES[VEHIDCODE],PROPERTIES[INTRODUCTION_YEAR]),20)</f>
        <v>1900</v>
      </c>
      <c r="D885" t="str">
        <f>_xlfn.XLOOKUP($A885,PROPERTIES[VEHIDCODE],PROPERTIES[ROLE])</f>
        <v>Universal</v>
      </c>
      <c r="E885" s="35" t="str">
        <f>_xlfn.XLOOKUP($A885,PROPERTIES[VEHIDCODE],PROPERTIES[REGION1])</f>
        <v>SOUTH_AMERICA</v>
      </c>
      <c r="F885" s="35" t="str">
        <f>_xlfn.XLOOKUP($A885,PROPERTIES[VEHIDCODE],PROPERTIES[REGION2])</f>
        <v>NO_REGION</v>
      </c>
      <c r="G885" s="35" t="str">
        <f t="shared" si="91"/>
        <v>SOUTH_AMERICA_NO_REGION</v>
      </c>
      <c r="H885" t="b">
        <f t="shared" si="92"/>
        <v>0</v>
      </c>
      <c r="I885" t="b">
        <f t="shared" si="93"/>
        <v>0</v>
      </c>
      <c r="J885" t="b">
        <f t="shared" si="94"/>
        <v>0</v>
      </c>
      <c r="K885" t="b">
        <f t="shared" si="94"/>
        <v>0</v>
      </c>
      <c r="L885" t="b">
        <f t="shared" si="94"/>
        <v>0</v>
      </c>
      <c r="M885" t="b">
        <f t="shared" si="94"/>
        <v>0</v>
      </c>
      <c r="N885" t="b">
        <f t="shared" si="95"/>
        <v>0</v>
      </c>
      <c r="O885" t="b">
        <f t="shared" si="95"/>
        <v>1</v>
      </c>
      <c r="P885" t="b">
        <f t="shared" si="96"/>
        <v>0</v>
      </c>
    </row>
    <row r="886" spans="1:16">
      <c r="A886" t="str">
        <v>steam_Argentina_FCCA_PS10_Class</v>
      </c>
      <c r="B886" t="b" cm="1">
        <f t="array" ref="B886">_xlfn.XLOOKUP(A886,CONTROL[VEHIDCODE],PROPERTIES[EXCLUDE])</f>
        <v>0</v>
      </c>
      <c r="C886">
        <f>FLOOR(_xlfn.XLOOKUP($A886,PROPERTIES[VEHIDCODE],PROPERTIES[INTRODUCTION_YEAR]),20)</f>
        <v>1900</v>
      </c>
      <c r="D886" t="str">
        <f>_xlfn.XLOOKUP($A886,PROPERTIES[VEHIDCODE],PROPERTIES[ROLE])</f>
        <v>Express</v>
      </c>
      <c r="E886" s="35" t="str">
        <f>_xlfn.XLOOKUP($A886,PROPERTIES[VEHIDCODE],PROPERTIES[REGION1])</f>
        <v>SOUTH_AMERICA</v>
      </c>
      <c r="F886" s="35" t="str">
        <f>_xlfn.XLOOKUP($A886,PROPERTIES[VEHIDCODE],PROPERTIES[REGION2])</f>
        <v>NO_REGION</v>
      </c>
      <c r="G886" s="35" t="str">
        <f t="shared" si="91"/>
        <v>SOUTH_AMERICA_NO_REGION</v>
      </c>
      <c r="H886" t="b">
        <f t="shared" si="92"/>
        <v>0</v>
      </c>
      <c r="I886" t="b">
        <f t="shared" si="93"/>
        <v>0</v>
      </c>
      <c r="J886" t="b">
        <f t="shared" si="94"/>
        <v>0</v>
      </c>
      <c r="K886" t="b">
        <f t="shared" si="94"/>
        <v>0</v>
      </c>
      <c r="L886" t="b">
        <f t="shared" si="94"/>
        <v>0</v>
      </c>
      <c r="M886" t="b">
        <f t="shared" si="94"/>
        <v>0</v>
      </c>
      <c r="N886" t="b">
        <f t="shared" si="95"/>
        <v>0</v>
      </c>
      <c r="O886" t="b">
        <f t="shared" si="95"/>
        <v>1</v>
      </c>
      <c r="P886" t="b">
        <f t="shared" si="96"/>
        <v>0</v>
      </c>
    </row>
    <row r="887" spans="1:16">
      <c r="A887" t="str">
        <v>steam_Chile_Anglo_Chilean_Nitrate_No_97</v>
      </c>
      <c r="B887" t="b" cm="1">
        <f t="array" ref="B887">_xlfn.XLOOKUP(A887,CONTROL[VEHIDCODE],PROPERTIES[EXCLUDE])</f>
        <v>0</v>
      </c>
      <c r="C887">
        <f>FLOOR(_xlfn.XLOOKUP($A887,PROPERTIES[VEHIDCODE],PROPERTIES[INTRODUCTION_YEAR]),20)</f>
        <v>1920</v>
      </c>
      <c r="D887" t="str">
        <f>_xlfn.XLOOKUP($A887,PROPERTIES[VEHIDCODE],PROPERTIES[ROLE])</f>
        <v>Universal</v>
      </c>
      <c r="E887" s="35" t="str">
        <f>_xlfn.XLOOKUP($A887,PROPERTIES[VEHIDCODE],PROPERTIES[REGION1])</f>
        <v>SOUTH_AMERICA</v>
      </c>
      <c r="F887" s="35" t="str">
        <f>_xlfn.XLOOKUP($A887,PROPERTIES[VEHIDCODE],PROPERTIES[REGION2])</f>
        <v>NO_REGION</v>
      </c>
      <c r="G887" s="35" t="str">
        <f t="shared" si="91"/>
        <v>SOUTH_AMERICA_NO_REGION</v>
      </c>
      <c r="H887" t="b">
        <f t="shared" si="92"/>
        <v>0</v>
      </c>
      <c r="I887" t="b">
        <f t="shared" si="93"/>
        <v>0</v>
      </c>
      <c r="J887" t="b">
        <f t="shared" si="94"/>
        <v>0</v>
      </c>
      <c r="K887" t="b">
        <f t="shared" si="94"/>
        <v>0</v>
      </c>
      <c r="L887" t="b">
        <f t="shared" si="94"/>
        <v>0</v>
      </c>
      <c r="M887" t="b">
        <f t="shared" si="94"/>
        <v>0</v>
      </c>
      <c r="N887" t="b">
        <f t="shared" si="95"/>
        <v>0</v>
      </c>
      <c r="O887" t="b">
        <f t="shared" si="95"/>
        <v>1</v>
      </c>
      <c r="P887" t="b">
        <f t="shared" si="96"/>
        <v>0</v>
      </c>
    </row>
    <row r="888" spans="1:16">
      <c r="A888" t="str">
        <v>electric_Brazil_SLM_Winterthur_BBC_1D1</v>
      </c>
      <c r="B888" t="b" cm="1">
        <f t="array" ref="B888">_xlfn.XLOOKUP(A888,CONTROL[VEHIDCODE],PROPERTIES[EXCLUDE])</f>
        <v>0</v>
      </c>
      <c r="C888">
        <f>FLOOR(_xlfn.XLOOKUP($A888,PROPERTIES[VEHIDCODE],PROPERTIES[INTRODUCTION_YEAR]),20)</f>
        <v>1920</v>
      </c>
      <c r="D888" t="str">
        <f>_xlfn.XLOOKUP($A888,PROPERTIES[VEHIDCODE],PROPERTIES[ROLE])</f>
        <v>Universal</v>
      </c>
      <c r="E888" s="35" t="str">
        <f>_xlfn.XLOOKUP($A888,PROPERTIES[VEHIDCODE],PROPERTIES[REGION1])</f>
        <v>SOUTH_AMERICA</v>
      </c>
      <c r="F888" s="35" t="str">
        <f>_xlfn.XLOOKUP($A888,PROPERTIES[VEHIDCODE],PROPERTIES[REGION2])</f>
        <v>NO_REGION</v>
      </c>
      <c r="G888" s="35" t="str">
        <f t="shared" si="91"/>
        <v>SOUTH_AMERICA_NO_REGION</v>
      </c>
      <c r="H888" t="b">
        <f t="shared" si="92"/>
        <v>0</v>
      </c>
      <c r="I888" t="b">
        <f t="shared" si="93"/>
        <v>0</v>
      </c>
      <c r="J888" t="b">
        <f t="shared" si="94"/>
        <v>0</v>
      </c>
      <c r="K888" t="b">
        <f t="shared" si="94"/>
        <v>0</v>
      </c>
      <c r="L888" t="b">
        <f t="shared" si="94"/>
        <v>0</v>
      </c>
      <c r="M888" t="b">
        <f t="shared" si="94"/>
        <v>0</v>
      </c>
      <c r="N888" t="b">
        <f t="shared" si="95"/>
        <v>0</v>
      </c>
      <c r="O888" t="b">
        <f t="shared" si="95"/>
        <v>1</v>
      </c>
      <c r="P888" t="b">
        <f t="shared" si="96"/>
        <v>0</v>
      </c>
    </row>
    <row r="889" spans="1:16">
      <c r="A889" t="str">
        <v>electric_Brazil_GE_2CC2</v>
      </c>
      <c r="B889" t="b" cm="1">
        <f t="array" ref="B889">_xlfn.XLOOKUP(A889,CONTROL[VEHIDCODE],PROPERTIES[EXCLUDE])</f>
        <v>0</v>
      </c>
      <c r="C889">
        <f>FLOOR(_xlfn.XLOOKUP($A889,PROPERTIES[VEHIDCODE],PROPERTIES[INTRODUCTION_YEAR]),20)</f>
        <v>1940</v>
      </c>
      <c r="D889" t="str">
        <f>_xlfn.XLOOKUP($A889,PROPERTIES[VEHIDCODE],PROPERTIES[ROLE])</f>
        <v>Universal</v>
      </c>
      <c r="E889" s="35" t="str">
        <f>_xlfn.XLOOKUP($A889,PROPERTIES[VEHIDCODE],PROPERTIES[REGION1])</f>
        <v>SOUTH_AMERICA</v>
      </c>
      <c r="F889" s="35" t="str">
        <f>_xlfn.XLOOKUP($A889,PROPERTIES[VEHIDCODE],PROPERTIES[REGION2])</f>
        <v>NO_REGION</v>
      </c>
      <c r="G889" s="35" t="str">
        <f t="shared" si="91"/>
        <v>SOUTH_AMERICA_NO_REGION</v>
      </c>
      <c r="H889" t="b">
        <f t="shared" si="92"/>
        <v>0</v>
      </c>
      <c r="I889" t="b">
        <f t="shared" si="93"/>
        <v>0</v>
      </c>
      <c r="J889" t="b">
        <f t="shared" si="94"/>
        <v>0</v>
      </c>
      <c r="K889" t="b">
        <f t="shared" si="94"/>
        <v>0</v>
      </c>
      <c r="L889" t="b">
        <f t="shared" si="94"/>
        <v>0</v>
      </c>
      <c r="M889" t="b">
        <f t="shared" si="94"/>
        <v>0</v>
      </c>
      <c r="N889" t="b">
        <f t="shared" si="95"/>
        <v>0</v>
      </c>
      <c r="O889" t="b">
        <f t="shared" si="95"/>
        <v>1</v>
      </c>
      <c r="P889" t="b">
        <f t="shared" si="96"/>
        <v>0</v>
      </c>
    </row>
    <row r="890" spans="1:16">
      <c r="A890" t="str">
        <v>steam_Chile_La_Copiapo</v>
      </c>
      <c r="B890" t="b" cm="1">
        <f t="array" ref="B890">_xlfn.XLOOKUP(A890,CONTROL[VEHIDCODE],PROPERTIES[EXCLUDE])</f>
        <v>0</v>
      </c>
      <c r="C890">
        <f>FLOOR(_xlfn.XLOOKUP($A890,PROPERTIES[VEHIDCODE],PROPERTIES[INTRODUCTION_YEAR]),20)</f>
        <v>1840</v>
      </c>
      <c r="D890" t="str">
        <f>_xlfn.XLOOKUP($A890,PROPERTIES[VEHIDCODE],PROPERTIES[ROLE])</f>
        <v>Shunting</v>
      </c>
      <c r="E890" s="35" t="str">
        <f>_xlfn.XLOOKUP($A890,PROPERTIES[VEHIDCODE],PROPERTIES[REGION1])</f>
        <v>SOUTH_AMERICA</v>
      </c>
      <c r="F890" s="35" t="str">
        <f>_xlfn.XLOOKUP($A890,PROPERTIES[VEHIDCODE],PROPERTIES[REGION2])</f>
        <v>NO_REGION</v>
      </c>
      <c r="G890" s="35" t="str">
        <f t="shared" si="91"/>
        <v>SOUTH_AMERICA_NO_REGION</v>
      </c>
      <c r="H890" t="b">
        <f t="shared" si="92"/>
        <v>0</v>
      </c>
      <c r="I890" t="b">
        <f t="shared" si="93"/>
        <v>0</v>
      </c>
      <c r="J890" t="b">
        <f t="shared" si="94"/>
        <v>0</v>
      </c>
      <c r="K890" t="b">
        <f t="shared" si="94"/>
        <v>0</v>
      </c>
      <c r="L890" t="b">
        <f t="shared" si="94"/>
        <v>0</v>
      </c>
      <c r="M890" t="b">
        <f t="shared" si="94"/>
        <v>0</v>
      </c>
      <c r="N890" t="b">
        <f t="shared" si="95"/>
        <v>0</v>
      </c>
      <c r="O890" t="b">
        <f t="shared" si="95"/>
        <v>1</v>
      </c>
      <c r="P890" t="b">
        <f t="shared" si="96"/>
        <v>0</v>
      </c>
    </row>
    <row r="891" spans="1:16">
      <c r="A891" t="str">
        <v>electric_Costa_Rica_AEG_Pacific_A1A_A1A</v>
      </c>
      <c r="B891" t="b" cm="1">
        <f t="array" ref="B891">_xlfn.XLOOKUP(A891,CONTROL[VEHIDCODE],PROPERTIES[EXCLUDE])</f>
        <v>0</v>
      </c>
      <c r="C891">
        <f>FLOOR(_xlfn.XLOOKUP($A891,PROPERTIES[VEHIDCODE],PROPERTIES[INTRODUCTION_YEAR]),20)</f>
        <v>1920</v>
      </c>
      <c r="D891" t="str">
        <f>_xlfn.XLOOKUP($A891,PROPERTIES[VEHIDCODE],PROPERTIES[ROLE])</f>
        <v>Shunting</v>
      </c>
      <c r="E891" s="35" t="str">
        <f>_xlfn.XLOOKUP($A891,PROPERTIES[VEHIDCODE],PROPERTIES[REGION1])</f>
        <v>NORTH_AMERICA</v>
      </c>
      <c r="F891" s="35" t="str">
        <f>_xlfn.XLOOKUP($A891,PROPERTIES[VEHIDCODE],PROPERTIES[REGION2])</f>
        <v>NO_REGION</v>
      </c>
      <c r="G891" s="35" t="str">
        <f t="shared" si="91"/>
        <v>NORTH_AMERICA_NO_REGION</v>
      </c>
      <c r="H891" t="b">
        <f t="shared" si="92"/>
        <v>0</v>
      </c>
      <c r="I891" t="b">
        <f t="shared" si="93"/>
        <v>0</v>
      </c>
      <c r="J891" t="b">
        <f t="shared" si="94"/>
        <v>0</v>
      </c>
      <c r="K891" t="b">
        <f t="shared" si="94"/>
        <v>0</v>
      </c>
      <c r="L891" t="b">
        <f t="shared" si="94"/>
        <v>0</v>
      </c>
      <c r="M891" t="b">
        <f t="shared" si="94"/>
        <v>0</v>
      </c>
      <c r="N891" t="b">
        <f t="shared" si="95"/>
        <v>1</v>
      </c>
      <c r="O891" t="b">
        <f t="shared" si="95"/>
        <v>0</v>
      </c>
      <c r="P891" t="b">
        <f t="shared" si="96"/>
        <v>0</v>
      </c>
    </row>
    <row r="892" spans="1:16">
      <c r="A892" t="str">
        <v>dmu_Argentina_Ganz_Arpad_Bariloche</v>
      </c>
      <c r="B892" t="b" cm="1">
        <f t="array" ref="B892">_xlfn.XLOOKUP(A892,CONTROL[VEHIDCODE],PROPERTIES[EXCLUDE])</f>
        <v>0</v>
      </c>
      <c r="C892">
        <f>FLOOR(_xlfn.XLOOKUP($A892,PROPERTIES[VEHIDCODE],PROPERTIES[INTRODUCTION_YEAR]),20)</f>
        <v>1920</v>
      </c>
      <c r="D892" t="str">
        <f>_xlfn.XLOOKUP($A892,PROPERTIES[VEHIDCODE],PROPERTIES[ROLE])</f>
        <v>Commuter/Urban</v>
      </c>
      <c r="E892" s="35" t="str">
        <f>_xlfn.XLOOKUP($A892,PROPERTIES[VEHIDCODE],PROPERTIES[REGION1])</f>
        <v>SOUTH_AMERICA</v>
      </c>
      <c r="F892" s="35" t="str">
        <f>_xlfn.XLOOKUP($A892,PROPERTIES[VEHIDCODE],PROPERTIES[REGION2])</f>
        <v>NO_REGION</v>
      </c>
      <c r="G892" s="35" t="str">
        <f t="shared" si="91"/>
        <v>SOUTH_AMERICA_NO_REGION</v>
      </c>
      <c r="H892" t="b">
        <f t="shared" si="92"/>
        <v>0</v>
      </c>
      <c r="I892" t="b">
        <f t="shared" si="93"/>
        <v>0</v>
      </c>
      <c r="J892" t="b">
        <f t="shared" si="94"/>
        <v>0</v>
      </c>
      <c r="K892" t="b">
        <f t="shared" si="94"/>
        <v>0</v>
      </c>
      <c r="L892" t="b">
        <f t="shared" si="94"/>
        <v>0</v>
      </c>
      <c r="M892" t="b">
        <f t="shared" si="94"/>
        <v>0</v>
      </c>
      <c r="N892" t="b">
        <f t="shared" si="95"/>
        <v>0</v>
      </c>
      <c r="O892" t="b">
        <f t="shared" si="95"/>
        <v>1</v>
      </c>
      <c r="P892" t="b">
        <f t="shared" si="96"/>
        <v>0</v>
      </c>
    </row>
    <row r="893" spans="1:16">
      <c r="A893" t="str">
        <v>steam_Brazil_Sao_Paulo_Railway_13</v>
      </c>
      <c r="B893" t="b" cm="1">
        <f t="array" ref="B893">_xlfn.XLOOKUP(A893,CONTROL[VEHIDCODE],PROPERTIES[EXCLUDE])</f>
        <v>0</v>
      </c>
      <c r="C893">
        <f>FLOOR(_xlfn.XLOOKUP($A893,PROPERTIES[VEHIDCODE],PROPERTIES[INTRODUCTION_YEAR]),20)</f>
        <v>1860</v>
      </c>
      <c r="D893" t="str">
        <f>_xlfn.XLOOKUP($A893,PROPERTIES[VEHIDCODE],PROPERTIES[ROLE])</f>
        <v>Shunting</v>
      </c>
      <c r="E893" s="35" t="str">
        <f>_xlfn.XLOOKUP($A893,PROPERTIES[VEHIDCODE],PROPERTIES[REGION1])</f>
        <v>SOUTH_AMERICA</v>
      </c>
      <c r="F893" s="35" t="str">
        <f>_xlfn.XLOOKUP($A893,PROPERTIES[VEHIDCODE],PROPERTIES[REGION2])</f>
        <v>NO_REGION</v>
      </c>
      <c r="G893" s="35" t="str">
        <f t="shared" si="91"/>
        <v>SOUTH_AMERICA_NO_REGION</v>
      </c>
      <c r="H893" t="b">
        <f t="shared" si="92"/>
        <v>0</v>
      </c>
      <c r="I893" t="b">
        <f t="shared" si="93"/>
        <v>0</v>
      </c>
      <c r="J893" t="b">
        <f t="shared" si="94"/>
        <v>0</v>
      </c>
      <c r="K893" t="b">
        <f t="shared" si="94"/>
        <v>0</v>
      </c>
      <c r="L893" t="b">
        <f t="shared" si="94"/>
        <v>0</v>
      </c>
      <c r="M893" t="b">
        <f t="shared" si="94"/>
        <v>0</v>
      </c>
      <c r="N893" t="b">
        <f t="shared" si="95"/>
        <v>0</v>
      </c>
      <c r="O893" t="b">
        <f t="shared" si="95"/>
        <v>1</v>
      </c>
      <c r="P893" t="b">
        <f t="shared" si="96"/>
        <v>0</v>
      </c>
    </row>
    <row r="894" spans="1:16">
      <c r="A894" t="str">
        <v>dmu_Argentina_Ganz_Arpad_CMU_4701_Transandino</v>
      </c>
      <c r="B894" t="b" cm="1">
        <f t="array" ref="B894">_xlfn.XLOOKUP(A894,CONTROL[VEHIDCODE],PROPERTIES[EXCLUDE])</f>
        <v>0</v>
      </c>
      <c r="C894">
        <f>FLOOR(_xlfn.XLOOKUP($A894,PROPERTIES[VEHIDCODE],PROPERTIES[INTRODUCTION_YEAR]),20)</f>
        <v>1960</v>
      </c>
      <c r="D894" t="str">
        <f>_xlfn.XLOOKUP($A894,PROPERTIES[VEHIDCODE],PROPERTIES[ROLE])</f>
        <v>Commuter/Urban</v>
      </c>
      <c r="E894" s="35" t="str">
        <f>_xlfn.XLOOKUP($A894,PROPERTIES[VEHIDCODE],PROPERTIES[REGION1])</f>
        <v>SOUTH_AMERICA</v>
      </c>
      <c r="F894" s="35" t="str">
        <f>_xlfn.XLOOKUP($A894,PROPERTIES[VEHIDCODE],PROPERTIES[REGION2])</f>
        <v>NO_REGION</v>
      </c>
      <c r="G894" s="35" t="str">
        <f t="shared" si="91"/>
        <v>SOUTH_AMERICA_NO_REGION</v>
      </c>
      <c r="H894" t="b">
        <f t="shared" si="92"/>
        <v>0</v>
      </c>
      <c r="I894" t="b">
        <f t="shared" si="93"/>
        <v>0</v>
      </c>
      <c r="J894" t="b">
        <f t="shared" si="94"/>
        <v>0</v>
      </c>
      <c r="K894" t="b">
        <f t="shared" si="94"/>
        <v>0</v>
      </c>
      <c r="L894" t="b">
        <f t="shared" si="94"/>
        <v>0</v>
      </c>
      <c r="M894" t="b">
        <f t="shared" si="94"/>
        <v>0</v>
      </c>
      <c r="N894" t="b">
        <f t="shared" si="95"/>
        <v>0</v>
      </c>
      <c r="O894" t="b">
        <f t="shared" si="95"/>
        <v>1</v>
      </c>
      <c r="P894" t="b">
        <f t="shared" si="96"/>
        <v>0</v>
      </c>
    </row>
    <row r="895" spans="1:16">
      <c r="A895" t="str">
        <v>emu_Chile_EFE_AEZ_Railcar</v>
      </c>
      <c r="B895" t="b" cm="1">
        <f t="array" ref="B895">_xlfn.XLOOKUP(A895,CONTROL[VEHIDCODE],PROPERTIES[EXCLUDE])</f>
        <v>0</v>
      </c>
      <c r="C895">
        <f>FLOOR(_xlfn.XLOOKUP($A895,PROPERTIES[VEHIDCODE],PROPERTIES[INTRODUCTION_YEAR]),20)</f>
        <v>1960</v>
      </c>
      <c r="D895" t="str">
        <f>_xlfn.XLOOKUP($A895,PROPERTIES[VEHIDCODE],PROPERTIES[ROLE])</f>
        <v>Express Passenger</v>
      </c>
      <c r="E895" s="35" t="str">
        <f>_xlfn.XLOOKUP($A895,PROPERTIES[VEHIDCODE],PROPERTIES[REGION1])</f>
        <v>SOUTH_AMERICA</v>
      </c>
      <c r="F895" s="35" t="str">
        <f>_xlfn.XLOOKUP($A895,PROPERTIES[VEHIDCODE],PROPERTIES[REGION2])</f>
        <v>NO_REGION</v>
      </c>
      <c r="G895" s="35" t="str">
        <f t="shared" si="91"/>
        <v>SOUTH_AMERICA_NO_REGION</v>
      </c>
      <c r="H895" t="b">
        <f t="shared" si="92"/>
        <v>0</v>
      </c>
      <c r="I895" t="b">
        <f t="shared" si="93"/>
        <v>0</v>
      </c>
      <c r="J895" t="b">
        <f t="shared" si="94"/>
        <v>0</v>
      </c>
      <c r="K895" t="b">
        <f t="shared" si="94"/>
        <v>0</v>
      </c>
      <c r="L895" t="b">
        <f t="shared" si="94"/>
        <v>0</v>
      </c>
      <c r="M895" t="b">
        <f t="shared" si="94"/>
        <v>0</v>
      </c>
      <c r="N895" t="b">
        <f t="shared" si="95"/>
        <v>0</v>
      </c>
      <c r="O895" t="b">
        <f t="shared" si="95"/>
        <v>1</v>
      </c>
      <c r="P895" t="b">
        <f t="shared" si="96"/>
        <v>0</v>
      </c>
    </row>
    <row r="896" spans="1:16">
      <c r="A896" t="str">
        <v>emu_New_Zealand_BREL_GEC_Auckland_ART_Concept</v>
      </c>
      <c r="B896" t="b" cm="1">
        <f t="array" ref="B896">_xlfn.XLOOKUP(A896,CONTROL[VEHIDCODE],PROPERTIES[EXCLUDE])</f>
        <v>0</v>
      </c>
      <c r="C896">
        <f>FLOOR(_xlfn.XLOOKUP($A896,PROPERTIES[VEHIDCODE],PROPERTIES[INTRODUCTION_YEAR]),20)</f>
        <v>1960</v>
      </c>
      <c r="D896" t="str">
        <f>_xlfn.XLOOKUP($A896,PROPERTIES[VEHIDCODE],PROPERTIES[ROLE])</f>
        <v>Express Passenger</v>
      </c>
      <c r="E896" s="35" t="str">
        <f>_xlfn.XLOOKUP($A896,PROPERTIES[VEHIDCODE],PROPERTIES[REGION1])</f>
        <v>OCEANIA</v>
      </c>
      <c r="F896" s="35" t="str">
        <f>_xlfn.XLOOKUP($A896,PROPERTIES[VEHIDCODE],PROPERTIES[REGION2])</f>
        <v>NO_REGION</v>
      </c>
      <c r="G896" s="35" t="str">
        <f t="shared" si="91"/>
        <v>OCEANIA_NO_REGION</v>
      </c>
      <c r="H896" t="b">
        <f t="shared" si="92"/>
        <v>0</v>
      </c>
      <c r="I896" t="b">
        <f t="shared" si="93"/>
        <v>0</v>
      </c>
      <c r="J896" t="b">
        <f t="shared" si="94"/>
        <v>0</v>
      </c>
      <c r="K896" t="b">
        <f t="shared" si="94"/>
        <v>0</v>
      </c>
      <c r="L896" t="b">
        <f t="shared" si="94"/>
        <v>0</v>
      </c>
      <c r="M896" t="b">
        <f t="shared" si="94"/>
        <v>0</v>
      </c>
      <c r="N896" t="b">
        <f t="shared" si="95"/>
        <v>0</v>
      </c>
      <c r="O896" t="b">
        <f t="shared" si="95"/>
        <v>0</v>
      </c>
      <c r="P896" t="b">
        <f t="shared" si="96"/>
        <v>1</v>
      </c>
    </row>
    <row r="897" spans="1:16">
      <c r="A897" t="str">
        <v>dmu_Australia_NSW_1100</v>
      </c>
      <c r="B897" t="b" cm="1">
        <f t="array" ref="B897">_xlfn.XLOOKUP(A897,CONTROL[VEHIDCODE],PROPERTIES[EXCLUDE])</f>
        <v>0</v>
      </c>
      <c r="C897">
        <f>FLOOR(_xlfn.XLOOKUP($A897,PROPERTIES[VEHIDCODE],PROPERTIES[INTRODUCTION_YEAR]),20)</f>
        <v>1960</v>
      </c>
      <c r="D897" t="str">
        <f>_xlfn.XLOOKUP($A897,PROPERTIES[VEHIDCODE],PROPERTIES[ROLE])</f>
        <v>Commuter/Urban</v>
      </c>
      <c r="E897" s="35" t="str">
        <f>_xlfn.XLOOKUP($A897,PROPERTIES[VEHIDCODE],PROPERTIES[REGION1])</f>
        <v>OCEANIA</v>
      </c>
      <c r="F897" s="35" t="str">
        <f>_xlfn.XLOOKUP($A897,PROPERTIES[VEHIDCODE],PROPERTIES[REGION2])</f>
        <v>NO_REGION</v>
      </c>
      <c r="G897" s="35" t="str">
        <f t="shared" si="91"/>
        <v>OCEANIA_NO_REGION</v>
      </c>
      <c r="H897" t="b">
        <f t="shared" si="92"/>
        <v>0</v>
      </c>
      <c r="I897" t="b">
        <f t="shared" si="93"/>
        <v>0</v>
      </c>
      <c r="J897" t="b">
        <f t="shared" si="94"/>
        <v>0</v>
      </c>
      <c r="K897" t="b">
        <f t="shared" si="94"/>
        <v>0</v>
      </c>
      <c r="L897" t="b">
        <f t="shared" si="94"/>
        <v>0</v>
      </c>
      <c r="M897" t="b">
        <f t="shared" si="94"/>
        <v>0</v>
      </c>
      <c r="N897" t="b">
        <f t="shared" si="95"/>
        <v>0</v>
      </c>
      <c r="O897" t="b">
        <f t="shared" si="95"/>
        <v>0</v>
      </c>
      <c r="P897" t="b">
        <f t="shared" si="96"/>
        <v>1</v>
      </c>
    </row>
    <row r="898" spans="1:16">
      <c r="A898" t="str">
        <v>dmu_Thailand_Comeng_XPT_Concept</v>
      </c>
      <c r="B898" t="b" cm="1">
        <f t="array" ref="B898">_xlfn.XLOOKUP(A898,CONTROL[VEHIDCODE],PROPERTIES[EXCLUDE])</f>
        <v>0</v>
      </c>
      <c r="C898">
        <f>FLOOR(_xlfn.XLOOKUP($A898,PROPERTIES[VEHIDCODE],PROPERTIES[INTRODUCTION_YEAR]),20)</f>
        <v>1980</v>
      </c>
      <c r="D898" t="str">
        <f>_xlfn.XLOOKUP($A898,PROPERTIES[VEHIDCODE],PROPERTIES[ROLE])</f>
        <v>Ultra-High-Speed (Universal)</v>
      </c>
      <c r="E898" s="35" t="str">
        <f>_xlfn.XLOOKUP($A898,PROPERTIES[VEHIDCODE],PROPERTIES[REGION1])</f>
        <v>ASIA</v>
      </c>
      <c r="F898" s="35" t="str">
        <f>_xlfn.XLOOKUP($A898,PROPERTIES[VEHIDCODE],PROPERTIES[REGION2])</f>
        <v>NO_REGION</v>
      </c>
      <c r="G898" s="35" t="str">
        <f t="shared" si="91"/>
        <v>ASIA_NO_REGION</v>
      </c>
      <c r="H898" t="b">
        <f t="shared" si="92"/>
        <v>0</v>
      </c>
      <c r="I898" t="b">
        <f t="shared" si="93"/>
        <v>1</v>
      </c>
      <c r="J898" t="b">
        <f t="shared" si="94"/>
        <v>0</v>
      </c>
      <c r="K898" t="b">
        <f t="shared" si="94"/>
        <v>0</v>
      </c>
      <c r="L898" t="b">
        <f t="shared" si="94"/>
        <v>0</v>
      </c>
      <c r="M898" t="b">
        <f t="shared" si="94"/>
        <v>0</v>
      </c>
      <c r="N898" t="b">
        <f t="shared" si="95"/>
        <v>0</v>
      </c>
      <c r="O898" t="b">
        <f t="shared" si="95"/>
        <v>0</v>
      </c>
      <c r="P898" t="b">
        <f t="shared" si="96"/>
        <v>0</v>
      </c>
    </row>
    <row r="899" spans="1:16">
      <c r="A899" t="str">
        <v>dmu_Australia_Comeng_XPT</v>
      </c>
      <c r="B899" t="b" cm="1">
        <f t="array" ref="B899">_xlfn.XLOOKUP(A899,CONTROL[VEHIDCODE],PROPERTIES[EXCLUDE])</f>
        <v>0</v>
      </c>
      <c r="C899">
        <f>FLOOR(_xlfn.XLOOKUP($A899,PROPERTIES[VEHIDCODE],PROPERTIES[INTRODUCTION_YEAR]),20)</f>
        <v>1980</v>
      </c>
      <c r="D899" t="str">
        <f>_xlfn.XLOOKUP($A899,PROPERTIES[VEHIDCODE],PROPERTIES[ROLE])</f>
        <v>Express</v>
      </c>
      <c r="E899" s="35" t="str">
        <f>_xlfn.XLOOKUP($A899,PROPERTIES[VEHIDCODE],PROPERTIES[REGION1])</f>
        <v>OCEANIA</v>
      </c>
      <c r="F899" s="35" t="str">
        <f>_xlfn.XLOOKUP($A899,PROPERTIES[VEHIDCODE],PROPERTIES[REGION2])</f>
        <v>NO_REGION</v>
      </c>
      <c r="G899" s="35" t="str">
        <f t="shared" si="91"/>
        <v>OCEANIA_NO_REGION</v>
      </c>
      <c r="H899" t="b">
        <f t="shared" si="92"/>
        <v>0</v>
      </c>
      <c r="I899" t="b">
        <f t="shared" si="93"/>
        <v>0</v>
      </c>
      <c r="J899" t="b">
        <f t="shared" si="94"/>
        <v>0</v>
      </c>
      <c r="K899" t="b">
        <f t="shared" si="94"/>
        <v>0</v>
      </c>
      <c r="L899" t="b">
        <f t="shared" si="94"/>
        <v>0</v>
      </c>
      <c r="M899" t="b">
        <f t="shared" si="94"/>
        <v>0</v>
      </c>
      <c r="N899" t="b">
        <f t="shared" si="95"/>
        <v>0</v>
      </c>
      <c r="O899" t="b">
        <f t="shared" si="95"/>
        <v>0</v>
      </c>
      <c r="P899" t="b">
        <f t="shared" si="96"/>
        <v>1</v>
      </c>
    </row>
    <row r="900" spans="1:16">
      <c r="A900" t="str">
        <v>emu_Australia_Tangara_V_Set_Hybrid</v>
      </c>
      <c r="B900" t="b" cm="1">
        <f t="array" ref="B900">_xlfn.XLOOKUP(A900,CONTROL[VEHIDCODE],PROPERTIES[EXCLUDE])</f>
        <v>0</v>
      </c>
      <c r="C900">
        <f>FLOOR(_xlfn.XLOOKUP($A900,PROPERTIES[VEHIDCODE],PROPERTIES[INTRODUCTION_YEAR]),20)</f>
        <v>1980</v>
      </c>
      <c r="D900" t="str">
        <f>_xlfn.XLOOKUP($A900,PROPERTIES[VEHIDCODE],PROPERTIES[ROLE])</f>
        <v>Commuter/Urban</v>
      </c>
      <c r="E900" s="35" t="str">
        <f>_xlfn.XLOOKUP($A900,PROPERTIES[VEHIDCODE],PROPERTIES[REGION1])</f>
        <v>OCEANIA</v>
      </c>
      <c r="F900" s="35" t="str">
        <f>_xlfn.XLOOKUP($A900,PROPERTIES[VEHIDCODE],PROPERTIES[REGION2])</f>
        <v>NO_REGION</v>
      </c>
      <c r="G900" s="35" t="str">
        <f t="shared" si="91"/>
        <v>OCEANIA_NO_REGION</v>
      </c>
      <c r="H900" t="b">
        <f t="shared" si="92"/>
        <v>0</v>
      </c>
      <c r="I900" t="b">
        <f t="shared" si="93"/>
        <v>0</v>
      </c>
      <c r="J900" t="b">
        <f t="shared" si="94"/>
        <v>0</v>
      </c>
      <c r="K900" t="b">
        <f t="shared" si="94"/>
        <v>0</v>
      </c>
      <c r="L900" t="b">
        <f t="shared" si="94"/>
        <v>0</v>
      </c>
      <c r="M900" t="b">
        <f t="shared" si="94"/>
        <v>0</v>
      </c>
      <c r="N900" t="b">
        <f t="shared" si="95"/>
        <v>0</v>
      </c>
      <c r="O900" t="b">
        <f t="shared" si="95"/>
        <v>0</v>
      </c>
      <c r="P900" t="b">
        <f t="shared" si="96"/>
        <v>1</v>
      </c>
    </row>
    <row r="901" spans="1:16">
      <c r="A901" t="str">
        <v>dmu_Australia_NSW_900</v>
      </c>
      <c r="B901" t="b" cm="1">
        <f t="array" ref="B901">_xlfn.XLOOKUP(A901,CONTROL[VEHIDCODE],PROPERTIES[EXCLUDE])</f>
        <v>0</v>
      </c>
      <c r="C901">
        <f>FLOOR(_xlfn.XLOOKUP($A901,PROPERTIES[VEHIDCODE],PROPERTIES[INTRODUCTION_YEAR]),20)</f>
        <v>1940</v>
      </c>
      <c r="D901" t="str">
        <f>_xlfn.XLOOKUP($A901,PROPERTIES[VEHIDCODE],PROPERTIES[ROLE])</f>
        <v>Commuter/Urban</v>
      </c>
      <c r="E901" s="35" t="str">
        <f>_xlfn.XLOOKUP($A901,PROPERTIES[VEHIDCODE],PROPERTIES[REGION1])</f>
        <v>OCEANIA</v>
      </c>
      <c r="F901" s="35" t="str">
        <f>_xlfn.XLOOKUP($A901,PROPERTIES[VEHIDCODE],PROPERTIES[REGION2])</f>
        <v>NO_REGION</v>
      </c>
      <c r="G901" s="35" t="str">
        <f t="shared" si="91"/>
        <v>OCEANIA_NO_REGION</v>
      </c>
      <c r="H901" t="b">
        <f t="shared" si="92"/>
        <v>0</v>
      </c>
      <c r="I901" t="b">
        <f t="shared" si="93"/>
        <v>0</v>
      </c>
      <c r="J901" t="b">
        <f t="shared" si="94"/>
        <v>0</v>
      </c>
      <c r="K901" t="b">
        <f t="shared" si="94"/>
        <v>0</v>
      </c>
      <c r="L901" t="b">
        <f t="shared" si="94"/>
        <v>0</v>
      </c>
      <c r="M901" t="b">
        <f t="shared" si="94"/>
        <v>0</v>
      </c>
      <c r="N901" t="b">
        <f t="shared" si="95"/>
        <v>0</v>
      </c>
      <c r="O901" t="b">
        <f t="shared" si="95"/>
        <v>0</v>
      </c>
      <c r="P901" t="b">
        <f t="shared" si="96"/>
        <v>1</v>
      </c>
    </row>
    <row r="902" spans="1:16">
      <c r="A902" t="str">
        <v>emu_Australia_4D_Train</v>
      </c>
      <c r="B902" t="b" cm="1">
        <f t="array" ref="B902">_xlfn.XLOOKUP(A902,CONTROL[VEHIDCODE],PROPERTIES[EXCLUDE])</f>
        <v>0</v>
      </c>
      <c r="C902">
        <f>FLOOR(_xlfn.XLOOKUP($A902,PROPERTIES[VEHIDCODE],PROPERTIES[INTRODUCTION_YEAR]),20)</f>
        <v>1980</v>
      </c>
      <c r="D902" t="str">
        <f>_xlfn.XLOOKUP($A902,PROPERTIES[VEHIDCODE],PROPERTIES[ROLE])</f>
        <v>Commuter/Urban</v>
      </c>
      <c r="E902" s="35" t="str">
        <f>_xlfn.XLOOKUP($A902,PROPERTIES[VEHIDCODE],PROPERTIES[REGION1])</f>
        <v>OCEANIA</v>
      </c>
      <c r="F902" s="35" t="str">
        <f>_xlfn.XLOOKUP($A902,PROPERTIES[VEHIDCODE],PROPERTIES[REGION2])</f>
        <v>NO_REGION</v>
      </c>
      <c r="G902" s="35" t="str">
        <f t="shared" si="91"/>
        <v>OCEANIA_NO_REGION</v>
      </c>
      <c r="H902" t="b">
        <f t="shared" si="92"/>
        <v>0</v>
      </c>
      <c r="I902" t="b">
        <f t="shared" si="93"/>
        <v>0</v>
      </c>
      <c r="J902" t="b">
        <f t="shared" si="94"/>
        <v>0</v>
      </c>
      <c r="K902" t="b">
        <f t="shared" si="94"/>
        <v>0</v>
      </c>
      <c r="L902" t="b">
        <f t="shared" si="94"/>
        <v>0</v>
      </c>
      <c r="M902" t="b">
        <f t="shared" si="94"/>
        <v>0</v>
      </c>
      <c r="N902" t="b">
        <f t="shared" si="95"/>
        <v>0</v>
      </c>
      <c r="O902" t="b">
        <f t="shared" si="95"/>
        <v>0</v>
      </c>
      <c r="P902" t="b">
        <f t="shared" si="96"/>
        <v>1</v>
      </c>
    </row>
    <row r="903" spans="1:16">
      <c r="A903" t="str">
        <v>emu_Australia_Sydney_Tangara</v>
      </c>
      <c r="B903" t="b" cm="1">
        <f t="array" ref="B903">_xlfn.XLOOKUP(A903,CONTROL[VEHIDCODE],PROPERTIES[EXCLUDE])</f>
        <v>0</v>
      </c>
      <c r="C903">
        <f>FLOOR(_xlfn.XLOOKUP($A903,PROPERTIES[VEHIDCODE],PROPERTIES[INTRODUCTION_YEAR]),20)</f>
        <v>1980</v>
      </c>
      <c r="D903" t="str">
        <f>_xlfn.XLOOKUP($A903,PROPERTIES[VEHIDCODE],PROPERTIES[ROLE])</f>
        <v>Commuter/Urban</v>
      </c>
      <c r="E903" s="35" t="str">
        <f>_xlfn.XLOOKUP($A903,PROPERTIES[VEHIDCODE],PROPERTIES[REGION1])</f>
        <v>OCEANIA</v>
      </c>
      <c r="F903" s="35" t="str">
        <f>_xlfn.XLOOKUP($A903,PROPERTIES[VEHIDCODE],PROPERTIES[REGION2])</f>
        <v>NO_REGION</v>
      </c>
      <c r="G903" s="35" t="str">
        <f t="shared" si="91"/>
        <v>OCEANIA_NO_REGION</v>
      </c>
      <c r="H903" t="b">
        <f t="shared" si="92"/>
        <v>0</v>
      </c>
      <c r="I903" t="b">
        <f t="shared" si="93"/>
        <v>0</v>
      </c>
      <c r="J903" t="b">
        <f t="shared" si="94"/>
        <v>0</v>
      </c>
      <c r="K903" t="b">
        <f t="shared" si="94"/>
        <v>0</v>
      </c>
      <c r="L903" t="b">
        <f t="shared" si="94"/>
        <v>0</v>
      </c>
      <c r="M903" t="b">
        <f t="shared" si="94"/>
        <v>0</v>
      </c>
      <c r="N903" t="b">
        <f t="shared" si="95"/>
        <v>0</v>
      </c>
      <c r="O903" t="b">
        <f t="shared" si="95"/>
        <v>0</v>
      </c>
      <c r="P903" t="b">
        <f t="shared" si="96"/>
        <v>1</v>
      </c>
    </row>
    <row r="904" spans="1:16">
      <c r="A904" t="str">
        <v>dmu_Australia_NSW_600</v>
      </c>
      <c r="B904" t="b" cm="1">
        <f t="array" ref="B904">_xlfn.XLOOKUP(A904,CONTROL[VEHIDCODE],PROPERTIES[EXCLUDE])</f>
        <v>0</v>
      </c>
      <c r="C904">
        <f>FLOOR(_xlfn.XLOOKUP($A904,PROPERTIES[VEHIDCODE],PROPERTIES[INTRODUCTION_YEAR]),20)</f>
        <v>1940</v>
      </c>
      <c r="D904" t="str">
        <f>_xlfn.XLOOKUP($A904,PROPERTIES[VEHIDCODE],PROPERTIES[ROLE])</f>
        <v>Commuter/Urban</v>
      </c>
      <c r="E904" s="35" t="str">
        <f>_xlfn.XLOOKUP($A904,PROPERTIES[VEHIDCODE],PROPERTIES[REGION1])</f>
        <v>OCEANIA</v>
      </c>
      <c r="F904" s="35" t="str">
        <f>_xlfn.XLOOKUP($A904,PROPERTIES[VEHIDCODE],PROPERTIES[REGION2])</f>
        <v>NO_REGION</v>
      </c>
      <c r="G904" s="35" t="str">
        <f t="shared" si="91"/>
        <v>OCEANIA_NO_REGION</v>
      </c>
      <c r="H904" t="b">
        <f t="shared" si="92"/>
        <v>0</v>
      </c>
      <c r="I904" t="b">
        <f t="shared" si="93"/>
        <v>0</v>
      </c>
      <c r="J904" t="b">
        <f t="shared" si="94"/>
        <v>0</v>
      </c>
      <c r="K904" t="b">
        <f t="shared" si="94"/>
        <v>0</v>
      </c>
      <c r="L904" t="b">
        <f t="shared" si="94"/>
        <v>0</v>
      </c>
      <c r="M904" t="b">
        <f t="shared" si="94"/>
        <v>0</v>
      </c>
      <c r="N904" t="b">
        <f t="shared" si="95"/>
        <v>0</v>
      </c>
      <c r="O904" t="b">
        <f t="shared" si="95"/>
        <v>0</v>
      </c>
      <c r="P904" t="b">
        <f t="shared" si="96"/>
        <v>1</v>
      </c>
    </row>
    <row r="905" spans="1:16">
      <c r="A905" t="str">
        <v>dmu_New_Zealand_Silver_Fern</v>
      </c>
      <c r="B905" t="b" cm="1">
        <f t="array" ref="B905">_xlfn.XLOOKUP(A905,CONTROL[VEHIDCODE],PROPERTIES[EXCLUDE])</f>
        <v>0</v>
      </c>
      <c r="C905">
        <f>FLOOR(_xlfn.XLOOKUP($A905,PROPERTIES[VEHIDCODE],PROPERTIES[INTRODUCTION_YEAR]),20)</f>
        <v>1960</v>
      </c>
      <c r="D905" t="str">
        <f>_xlfn.XLOOKUP($A905,PROPERTIES[VEHIDCODE],PROPERTIES[ROLE])</f>
        <v>Express Passenger</v>
      </c>
      <c r="E905" s="35" t="str">
        <f>_xlfn.XLOOKUP($A905,PROPERTIES[VEHIDCODE],PROPERTIES[REGION1])</f>
        <v>OCEANIA</v>
      </c>
      <c r="F905" s="35" t="str">
        <f>_xlfn.XLOOKUP($A905,PROPERTIES[VEHIDCODE],PROPERTIES[REGION2])</f>
        <v>NO_REGION</v>
      </c>
      <c r="G905" s="35" t="str">
        <f t="shared" si="91"/>
        <v>OCEANIA_NO_REGION</v>
      </c>
      <c r="H905" t="b">
        <f t="shared" si="92"/>
        <v>0</v>
      </c>
      <c r="I905" t="b">
        <f t="shared" si="93"/>
        <v>0</v>
      </c>
      <c r="J905" t="b">
        <f t="shared" si="94"/>
        <v>0</v>
      </c>
      <c r="K905" t="b">
        <f t="shared" si="94"/>
        <v>0</v>
      </c>
      <c r="L905" t="b">
        <f t="shared" si="94"/>
        <v>0</v>
      </c>
      <c r="M905" t="b">
        <f t="shared" si="94"/>
        <v>0</v>
      </c>
      <c r="N905" t="b">
        <f t="shared" si="95"/>
        <v>0</v>
      </c>
      <c r="O905" t="b">
        <f t="shared" si="95"/>
        <v>0</v>
      </c>
      <c r="P905" t="b">
        <f t="shared" si="96"/>
        <v>1</v>
      </c>
    </row>
    <row r="906" spans="1:16">
      <c r="A906" t="str">
        <v>emu_Australia_NSW_W</v>
      </c>
      <c r="B906" t="b" cm="1">
        <f t="array" ref="B906">_xlfn.XLOOKUP(A906,CONTROL[VEHIDCODE],PROPERTIES[EXCLUDE])</f>
        <v>0</v>
      </c>
      <c r="C906">
        <f>FLOOR(_xlfn.XLOOKUP($A906,PROPERTIES[VEHIDCODE],PROPERTIES[INTRODUCTION_YEAR]),20)</f>
        <v>1940</v>
      </c>
      <c r="D906" t="str">
        <f>_xlfn.XLOOKUP($A906,PROPERTIES[VEHIDCODE],PROPERTIES[ROLE])</f>
        <v>Express Passenger</v>
      </c>
      <c r="E906" s="35" t="str">
        <f>_xlfn.XLOOKUP($A906,PROPERTIES[VEHIDCODE],PROPERTIES[REGION1])</f>
        <v>OCEANIA</v>
      </c>
      <c r="F906" s="35" t="str">
        <f>_xlfn.XLOOKUP($A906,PROPERTIES[VEHIDCODE],PROPERTIES[REGION2])</f>
        <v>NO_REGION</v>
      </c>
      <c r="G906" s="35" t="str">
        <f t="shared" si="91"/>
        <v>OCEANIA_NO_REGION</v>
      </c>
      <c r="H906" t="b">
        <f t="shared" si="92"/>
        <v>0</v>
      </c>
      <c r="I906" t="b">
        <f t="shared" si="93"/>
        <v>0</v>
      </c>
      <c r="J906" t="b">
        <f t="shared" si="94"/>
        <v>0</v>
      </c>
      <c r="K906" t="b">
        <f t="shared" si="94"/>
        <v>0</v>
      </c>
      <c r="L906" t="b">
        <f t="shared" si="94"/>
        <v>0</v>
      </c>
      <c r="M906" t="b">
        <f t="shared" si="94"/>
        <v>0</v>
      </c>
      <c r="N906" t="b">
        <f t="shared" si="95"/>
        <v>0</v>
      </c>
      <c r="O906" t="b">
        <f t="shared" si="95"/>
        <v>0</v>
      </c>
      <c r="P906" t="b">
        <f t="shared" si="96"/>
        <v>1</v>
      </c>
    </row>
    <row r="907" spans="1:16">
      <c r="A907" t="str">
        <v>emu_Australia_NSW_Standard</v>
      </c>
      <c r="B907" t="b" cm="1">
        <f t="array" ref="B907">_xlfn.XLOOKUP(A907,CONTROL[VEHIDCODE],PROPERTIES[EXCLUDE])</f>
        <v>0</v>
      </c>
      <c r="C907">
        <f>FLOOR(_xlfn.XLOOKUP($A907,PROPERTIES[VEHIDCODE],PROPERTIES[INTRODUCTION_YEAR]),20)</f>
        <v>1920</v>
      </c>
      <c r="D907" t="str">
        <f>_xlfn.XLOOKUP($A907,PROPERTIES[VEHIDCODE],PROPERTIES[ROLE])</f>
        <v>Commuter/Urban</v>
      </c>
      <c r="E907" s="35" t="str">
        <f>_xlfn.XLOOKUP($A907,PROPERTIES[VEHIDCODE],PROPERTIES[REGION1])</f>
        <v>OCEANIA</v>
      </c>
      <c r="F907" s="35" t="str">
        <f>_xlfn.XLOOKUP($A907,PROPERTIES[VEHIDCODE],PROPERTIES[REGION2])</f>
        <v>NO_REGION</v>
      </c>
      <c r="G907" s="35" t="str">
        <f t="shared" si="91"/>
        <v>OCEANIA_NO_REGION</v>
      </c>
      <c r="H907" t="b">
        <f t="shared" si="92"/>
        <v>0</v>
      </c>
      <c r="I907" t="b">
        <f t="shared" si="93"/>
        <v>0</v>
      </c>
      <c r="J907" t="b">
        <f t="shared" si="94"/>
        <v>0</v>
      </c>
      <c r="K907" t="b">
        <f t="shared" si="94"/>
        <v>0</v>
      </c>
      <c r="L907" t="b">
        <f t="shared" si="94"/>
        <v>0</v>
      </c>
      <c r="M907" t="b">
        <f t="shared" si="94"/>
        <v>0</v>
      </c>
      <c r="N907" t="b">
        <f t="shared" si="95"/>
        <v>0</v>
      </c>
      <c r="O907" t="b">
        <f t="shared" si="95"/>
        <v>0</v>
      </c>
      <c r="P907" t="b">
        <f t="shared" si="96"/>
        <v>1</v>
      </c>
    </row>
    <row r="908" spans="1:16">
      <c r="A908" t="str">
        <v>emu_Australia_NSW_Tulloch</v>
      </c>
      <c r="B908" t="b" cm="1">
        <f t="array" ref="B908">_xlfn.XLOOKUP(A908,CONTROL[VEHIDCODE],PROPERTIES[EXCLUDE])</f>
        <v>0</v>
      </c>
      <c r="C908">
        <f>FLOOR(_xlfn.XLOOKUP($A908,PROPERTIES[VEHIDCODE],PROPERTIES[INTRODUCTION_YEAR]),20)</f>
        <v>1940</v>
      </c>
      <c r="D908" t="str">
        <f>_xlfn.XLOOKUP($A908,PROPERTIES[VEHIDCODE],PROPERTIES[ROLE])</f>
        <v>Commuter/Urban</v>
      </c>
      <c r="E908" s="35" t="str">
        <f>_xlfn.XLOOKUP($A908,PROPERTIES[VEHIDCODE],PROPERTIES[REGION1])</f>
        <v>OCEANIA</v>
      </c>
      <c r="F908" s="35" t="str">
        <f>_xlfn.XLOOKUP($A908,PROPERTIES[VEHIDCODE],PROPERTIES[REGION2])</f>
        <v>NO_REGION</v>
      </c>
      <c r="G908" s="35" t="str">
        <f t="shared" si="91"/>
        <v>OCEANIA_NO_REGION</v>
      </c>
      <c r="H908" t="b">
        <f t="shared" si="92"/>
        <v>0</v>
      </c>
      <c r="I908" t="b">
        <f t="shared" si="93"/>
        <v>0</v>
      </c>
      <c r="J908" t="b">
        <f t="shared" si="94"/>
        <v>0</v>
      </c>
      <c r="K908" t="b">
        <f t="shared" si="94"/>
        <v>0</v>
      </c>
      <c r="L908" t="b">
        <f t="shared" si="94"/>
        <v>0</v>
      </c>
      <c r="M908" t="b">
        <f t="shared" si="94"/>
        <v>0</v>
      </c>
      <c r="N908" t="b">
        <f t="shared" si="95"/>
        <v>0</v>
      </c>
      <c r="O908" t="b">
        <f t="shared" si="95"/>
        <v>0</v>
      </c>
      <c r="P908" t="b">
        <f t="shared" si="96"/>
        <v>1</v>
      </c>
    </row>
    <row r="909" spans="1:16">
      <c r="A909" t="str">
        <v>emu_Australia_Melbourne_Xtrapolis_100</v>
      </c>
      <c r="B909" t="b" cm="1">
        <f t="array" ref="B909">_xlfn.XLOOKUP(A909,CONTROL[VEHIDCODE],PROPERTIES[EXCLUDE])</f>
        <v>0</v>
      </c>
      <c r="C909">
        <f>FLOOR(_xlfn.XLOOKUP($A909,PROPERTIES[VEHIDCODE],PROPERTIES[INTRODUCTION_YEAR]),20)</f>
        <v>2000</v>
      </c>
      <c r="D909" t="str">
        <f>_xlfn.XLOOKUP($A909,PROPERTIES[VEHIDCODE],PROPERTIES[ROLE])</f>
        <v>Commuter/Urban</v>
      </c>
      <c r="E909" s="35" t="str">
        <f>_xlfn.XLOOKUP($A909,PROPERTIES[VEHIDCODE],PROPERTIES[REGION1])</f>
        <v>OCEANIA</v>
      </c>
      <c r="F909" s="35" t="str">
        <f>_xlfn.XLOOKUP($A909,PROPERTIES[VEHIDCODE],PROPERTIES[REGION2])</f>
        <v>NO_REGION</v>
      </c>
      <c r="G909" s="35" t="str">
        <f t="shared" si="91"/>
        <v>OCEANIA_NO_REGION</v>
      </c>
      <c r="H909" t="b">
        <f t="shared" si="92"/>
        <v>0</v>
      </c>
      <c r="I909" t="b">
        <f t="shared" si="93"/>
        <v>0</v>
      </c>
      <c r="J909" t="b">
        <f t="shared" si="94"/>
        <v>0</v>
      </c>
      <c r="K909" t="b">
        <f t="shared" si="94"/>
        <v>0</v>
      </c>
      <c r="L909" t="b">
        <f t="shared" si="94"/>
        <v>0</v>
      </c>
      <c r="M909" t="b">
        <f t="shared" si="94"/>
        <v>0</v>
      </c>
      <c r="N909" t="b">
        <f t="shared" si="95"/>
        <v>0</v>
      </c>
      <c r="O909" t="b">
        <f t="shared" si="95"/>
        <v>0</v>
      </c>
      <c r="P909" t="b">
        <f t="shared" si="96"/>
        <v>1</v>
      </c>
    </row>
    <row r="910" spans="1:16">
      <c r="A910" t="str">
        <v>mu_Coach_Gen1_American_Style_NZAUS_Coach</v>
      </c>
      <c r="B910" t="b" cm="1">
        <f t="array" ref="B910">_xlfn.XLOOKUP(A910,CONTROL[VEHIDCODE],PROPERTIES[EXCLUDE])</f>
        <v>0</v>
      </c>
      <c r="C910">
        <f>FLOOR(_xlfn.XLOOKUP($A910,PROPERTIES[VEHIDCODE],PROPERTIES[INTRODUCTION_YEAR]),20)</f>
        <v>1860</v>
      </c>
      <c r="D910" t="str">
        <f>_xlfn.XLOOKUP($A910,PROPERTIES[VEHIDCODE],PROPERTIES[ROLE])</f>
        <v>Coach (Commuter)</v>
      </c>
      <c r="E910" s="35" t="str">
        <f>_xlfn.XLOOKUP($A910,PROPERTIES[VEHIDCODE],PROPERTIES[REGION1])</f>
        <v>OCEANIA</v>
      </c>
      <c r="F910" s="35" t="str">
        <f>_xlfn.XLOOKUP($A910,PROPERTIES[VEHIDCODE],PROPERTIES[REGION2])</f>
        <v>NO_REGION</v>
      </c>
      <c r="G910" s="35" t="str">
        <f t="shared" si="91"/>
        <v>OCEANIA_NO_REGION</v>
      </c>
      <c r="H910" t="b">
        <f t="shared" si="92"/>
        <v>0</v>
      </c>
      <c r="I910" t="b">
        <f t="shared" si="93"/>
        <v>0</v>
      </c>
      <c r="J910" t="b">
        <f t="shared" si="94"/>
        <v>0</v>
      </c>
      <c r="K910" t="b">
        <f t="shared" si="94"/>
        <v>0</v>
      </c>
      <c r="L910" t="b">
        <f t="shared" si="94"/>
        <v>0</v>
      </c>
      <c r="M910" t="b">
        <f t="shared" si="94"/>
        <v>0</v>
      </c>
      <c r="N910" t="b">
        <f t="shared" si="95"/>
        <v>0</v>
      </c>
      <c r="O910" t="b">
        <f t="shared" si="95"/>
        <v>0</v>
      </c>
      <c r="P910" t="b">
        <f t="shared" si="96"/>
        <v>1</v>
      </c>
    </row>
    <row r="911" spans="1:16">
      <c r="A911" t="str">
        <v>mu_Coach_Gen1_American_Style_NZAUS_Mail_Coach</v>
      </c>
      <c r="B911" t="b" cm="1">
        <f t="array" ref="B911">_xlfn.XLOOKUP(A911,CONTROL[VEHIDCODE],PROPERTIES[EXCLUDE])</f>
        <v>0</v>
      </c>
      <c r="C911">
        <f>FLOOR(_xlfn.XLOOKUP($A911,PROPERTIES[VEHIDCODE],PROPERTIES[INTRODUCTION_YEAR]),20)</f>
        <v>1860</v>
      </c>
      <c r="D911" t="str">
        <f>_xlfn.XLOOKUP($A911,PROPERTIES[VEHIDCODE],PROPERTIES[ROLE])</f>
        <v>Coach (Mail)</v>
      </c>
      <c r="E911" s="35" t="str">
        <f>_xlfn.XLOOKUP($A911,PROPERTIES[VEHIDCODE],PROPERTIES[REGION1])</f>
        <v>OCEANIA</v>
      </c>
      <c r="F911" s="35" t="str">
        <f>_xlfn.XLOOKUP($A911,PROPERTIES[VEHIDCODE],PROPERTIES[REGION2])</f>
        <v>NO_REGION</v>
      </c>
      <c r="G911" s="35" t="str">
        <f t="shared" si="91"/>
        <v>OCEANIA_NO_REGION</v>
      </c>
      <c r="H911" t="b">
        <f t="shared" si="92"/>
        <v>0</v>
      </c>
      <c r="I911" t="b">
        <f t="shared" si="93"/>
        <v>0</v>
      </c>
      <c r="J911" t="b">
        <f t="shared" si="94"/>
        <v>0</v>
      </c>
      <c r="K911" t="b">
        <f t="shared" si="94"/>
        <v>0</v>
      </c>
      <c r="L911" t="b">
        <f t="shared" si="94"/>
        <v>0</v>
      </c>
      <c r="M911" t="b">
        <f t="shared" si="94"/>
        <v>0</v>
      </c>
      <c r="N911" t="b">
        <f t="shared" si="95"/>
        <v>0</v>
      </c>
      <c r="O911" t="b">
        <f t="shared" si="95"/>
        <v>0</v>
      </c>
      <c r="P911" t="b">
        <f t="shared" si="96"/>
        <v>1</v>
      </c>
    </row>
    <row r="912" spans="1:16">
      <c r="A912" t="str">
        <v>mu_Coach_Gen1_2_Axle_NZAUS_Coach</v>
      </c>
      <c r="B912" t="b" cm="1">
        <f t="array" ref="B912">_xlfn.XLOOKUP(A912,CONTROL[VEHIDCODE],PROPERTIES[EXCLUDE])</f>
        <v>0</v>
      </c>
      <c r="C912">
        <f>FLOOR(_xlfn.XLOOKUP($A912,PROPERTIES[VEHIDCODE],PROPERTIES[INTRODUCTION_YEAR]),20)</f>
        <v>1840</v>
      </c>
      <c r="D912" t="str">
        <f>_xlfn.XLOOKUP($A912,PROPERTIES[VEHIDCODE],PROPERTIES[ROLE])</f>
        <v>Coach (Commuter)</v>
      </c>
      <c r="E912" s="35" t="str">
        <f>_xlfn.XLOOKUP($A912,PROPERTIES[VEHIDCODE],PROPERTIES[REGION1])</f>
        <v>OCEANIA</v>
      </c>
      <c r="F912" s="35" t="str">
        <f>_xlfn.XLOOKUP($A912,PROPERTIES[VEHIDCODE],PROPERTIES[REGION2])</f>
        <v>NO_REGION</v>
      </c>
      <c r="G912" s="35" t="str">
        <f t="shared" si="91"/>
        <v>OCEANIA_NO_REGION</v>
      </c>
      <c r="H912" t="b">
        <f t="shared" si="92"/>
        <v>0</v>
      </c>
      <c r="I912" t="b">
        <f t="shared" si="93"/>
        <v>0</v>
      </c>
      <c r="J912" t="b">
        <f t="shared" si="94"/>
        <v>0</v>
      </c>
      <c r="K912" t="b">
        <f t="shared" si="94"/>
        <v>0</v>
      </c>
      <c r="L912" t="b">
        <f t="shared" si="94"/>
        <v>0</v>
      </c>
      <c r="M912" t="b">
        <f t="shared" si="94"/>
        <v>0</v>
      </c>
      <c r="N912" t="b">
        <f t="shared" si="95"/>
        <v>0</v>
      </c>
      <c r="O912" t="b">
        <f t="shared" si="95"/>
        <v>0</v>
      </c>
      <c r="P912" t="b">
        <f t="shared" si="96"/>
        <v>1</v>
      </c>
    </row>
    <row r="913" spans="1:16">
      <c r="A913" t="str">
        <v>mu_Coach_Gen1_2_Axle_NZAUS_Mail_Coach</v>
      </c>
      <c r="B913" t="b" cm="1">
        <f t="array" ref="B913">_xlfn.XLOOKUP(A913,CONTROL[VEHIDCODE],PROPERTIES[EXCLUDE])</f>
        <v>0</v>
      </c>
      <c r="C913">
        <f>FLOOR(_xlfn.XLOOKUP($A913,PROPERTIES[VEHIDCODE],PROPERTIES[INTRODUCTION_YEAR]),20)</f>
        <v>1840</v>
      </c>
      <c r="D913" t="str">
        <f>_xlfn.XLOOKUP($A913,PROPERTIES[VEHIDCODE],PROPERTIES[ROLE])</f>
        <v>Coach (Mail)</v>
      </c>
      <c r="E913" s="35" t="str">
        <f>_xlfn.XLOOKUP($A913,PROPERTIES[VEHIDCODE],PROPERTIES[REGION1])</f>
        <v>OCEANIA</v>
      </c>
      <c r="F913" s="35" t="str">
        <f>_xlfn.XLOOKUP($A913,PROPERTIES[VEHIDCODE],PROPERTIES[REGION2])</f>
        <v>NO_REGION</v>
      </c>
      <c r="G913" s="35" t="str">
        <f t="shared" si="91"/>
        <v>OCEANIA_NO_REGION</v>
      </c>
      <c r="H913" t="b">
        <f t="shared" si="92"/>
        <v>0</v>
      </c>
      <c r="I913" t="b">
        <f t="shared" si="93"/>
        <v>0</v>
      </c>
      <c r="J913" t="b">
        <f t="shared" si="94"/>
        <v>0</v>
      </c>
      <c r="K913" t="b">
        <f t="shared" si="94"/>
        <v>0</v>
      </c>
      <c r="L913" t="b">
        <f t="shared" si="94"/>
        <v>0</v>
      </c>
      <c r="M913" t="b">
        <f t="shared" si="94"/>
        <v>0</v>
      </c>
      <c r="N913" t="b">
        <f t="shared" si="95"/>
        <v>0</v>
      </c>
      <c r="O913" t="b">
        <f t="shared" si="95"/>
        <v>0</v>
      </c>
      <c r="P913" t="b">
        <f t="shared" si="96"/>
        <v>1</v>
      </c>
    </row>
    <row r="914" spans="1:16">
      <c r="A914" t="str">
        <v>mu_Coach_Gen1_End_Platform_2_Axle_NZAUS_Coach</v>
      </c>
      <c r="B914" t="b" cm="1">
        <f t="array" ref="B914">_xlfn.XLOOKUP(A914,CONTROL[VEHIDCODE],PROPERTIES[EXCLUDE])</f>
        <v>0</v>
      </c>
      <c r="C914">
        <f>FLOOR(_xlfn.XLOOKUP($A914,PROPERTIES[VEHIDCODE],PROPERTIES[INTRODUCTION_YEAR]),20)</f>
        <v>1860</v>
      </c>
      <c r="D914" t="str">
        <f>_xlfn.XLOOKUP($A914,PROPERTIES[VEHIDCODE],PROPERTIES[ROLE])</f>
        <v>Coach (Commuter)</v>
      </c>
      <c r="E914" s="35" t="str">
        <f>_xlfn.XLOOKUP($A914,PROPERTIES[VEHIDCODE],PROPERTIES[REGION1])</f>
        <v>OCEANIA</v>
      </c>
      <c r="F914" s="35" t="str">
        <f>_xlfn.XLOOKUP($A914,PROPERTIES[VEHIDCODE],PROPERTIES[REGION2])</f>
        <v>NO_REGION</v>
      </c>
      <c r="G914" s="35" t="str">
        <f t="shared" si="91"/>
        <v>OCEANIA_NO_REGION</v>
      </c>
      <c r="H914" t="b">
        <f t="shared" si="92"/>
        <v>0</v>
      </c>
      <c r="I914" t="b">
        <f t="shared" si="93"/>
        <v>0</v>
      </c>
      <c r="J914" t="b">
        <f t="shared" si="94"/>
        <v>0</v>
      </c>
      <c r="K914" t="b">
        <f t="shared" si="94"/>
        <v>0</v>
      </c>
      <c r="L914" t="b">
        <f t="shared" si="94"/>
        <v>0</v>
      </c>
      <c r="M914" t="b">
        <f t="shared" si="94"/>
        <v>0</v>
      </c>
      <c r="N914" t="b">
        <f t="shared" si="95"/>
        <v>0</v>
      </c>
      <c r="O914" t="b">
        <f t="shared" si="95"/>
        <v>0</v>
      </c>
      <c r="P914" t="b">
        <f t="shared" si="96"/>
        <v>1</v>
      </c>
    </row>
    <row r="915" spans="1:16">
      <c r="A915" t="str">
        <v>mu_Coach_Gen1_Suburban_2_Axle_NZAUS_Coach</v>
      </c>
      <c r="B915" t="b" cm="1">
        <f t="array" ref="B915">_xlfn.XLOOKUP(A915,CONTROL[VEHIDCODE],PROPERTIES[EXCLUDE])</f>
        <v>0</v>
      </c>
      <c r="C915">
        <f>FLOOR(_xlfn.XLOOKUP($A915,PROPERTIES[VEHIDCODE],PROPERTIES[INTRODUCTION_YEAR]),20)</f>
        <v>1860</v>
      </c>
      <c r="D915" t="str">
        <f>_xlfn.XLOOKUP($A915,PROPERTIES[VEHIDCODE],PROPERTIES[ROLE])</f>
        <v>Coach (Commuter)</v>
      </c>
      <c r="E915" s="35" t="str">
        <f>_xlfn.XLOOKUP($A915,PROPERTIES[VEHIDCODE],PROPERTIES[REGION1])</f>
        <v>OCEANIA</v>
      </c>
      <c r="F915" s="35" t="str">
        <f>_xlfn.XLOOKUP($A915,PROPERTIES[VEHIDCODE],PROPERTIES[REGION2])</f>
        <v>NO_REGION</v>
      </c>
      <c r="G915" s="35" t="str">
        <f t="shared" si="91"/>
        <v>OCEANIA_NO_REGION</v>
      </c>
      <c r="H915" t="b">
        <f t="shared" si="92"/>
        <v>0</v>
      </c>
      <c r="I915" t="b">
        <f t="shared" si="93"/>
        <v>0</v>
      </c>
      <c r="J915" t="b">
        <f t="shared" si="94"/>
        <v>0</v>
      </c>
      <c r="K915" t="b">
        <f t="shared" si="94"/>
        <v>0</v>
      </c>
      <c r="L915" t="b">
        <f t="shared" si="94"/>
        <v>0</v>
      </c>
      <c r="M915" t="b">
        <f t="shared" ref="J915:M960" si="97">OR(ISNUMBER(SEARCH("ALL_REGION",$G915)),
ISNUMBER(SEARCH("ALL_EUROPE",$G915)),
ISNUMBER(SEARCH(M$1,$G915)),
ISNUMBER(SEARCH("REGIONTYPE1",$G915)))</f>
        <v>0</v>
      </c>
      <c r="N915" t="b">
        <f t="shared" si="95"/>
        <v>0</v>
      </c>
      <c r="O915" t="b">
        <f t="shared" si="95"/>
        <v>0</v>
      </c>
      <c r="P915" t="b">
        <f t="shared" si="96"/>
        <v>1</v>
      </c>
    </row>
    <row r="916" spans="1:16">
      <c r="A916" t="str">
        <v>mu_Coach_Gen4_BREL_Mk3_Coach</v>
      </c>
      <c r="B916" t="b" cm="1">
        <f t="array" ref="B916">_xlfn.XLOOKUP(A916,CONTROL[VEHIDCODE],PROPERTIES[EXCLUDE])</f>
        <v>0</v>
      </c>
      <c r="C916">
        <f>FLOOR(_xlfn.XLOOKUP($A916,PROPERTIES[VEHIDCODE],PROPERTIES[INTRODUCTION_YEAR]),20)</f>
        <v>1960</v>
      </c>
      <c r="D916" t="str">
        <f>_xlfn.XLOOKUP($A916,PROPERTIES[VEHIDCODE],PROPERTIES[ROLE])</f>
        <v>Coach (Express)</v>
      </c>
      <c r="E916" s="35" t="str">
        <f>_xlfn.XLOOKUP($A916,PROPERTIES[VEHIDCODE],PROPERTIES[REGION1])</f>
        <v>REGIONTYPE1</v>
      </c>
      <c r="F916" s="35" t="str">
        <f>_xlfn.XLOOKUP($A916,PROPERTIES[VEHIDCODE],PROPERTIES[REGION2])</f>
        <v>OCEANIA</v>
      </c>
      <c r="G916" s="35" t="str">
        <f t="shared" ref="G916:G960" si="98">_xlfn.CONCAT($E916,"_",$F916)</f>
        <v>REGIONTYPE1_OCEANIA</v>
      </c>
      <c r="H916" t="b">
        <f t="shared" ref="H916:H960" si="99">OR(ISNUMBER(SEARCH("ALL_REGION",$G916)),
ISNUMBER(SEARCH("AFRICA",$G916)),
ISNUMBER(SEARCH("REGIONTYPE1",$G916)),
ISNUMBER(SEARCH("REGIONTYPE2",$G916)))</f>
        <v>1</v>
      </c>
      <c r="I916" t="b">
        <f t="shared" ref="I916:I960" si="100">OR(ISNUMBER(SEARCH("ALL_REGION",$G916)),
ISNUMBER(SEARCH("ASIA",$G916)),
ISNUMBER(SEARCH("REGIONTYPE1",$G916)),
ISNUMBER(SEARCH("REGIONTYPE2",$G916)),
ISNUMBER(SEARCH("REGIONTYPE3",$G916)))</f>
        <v>1</v>
      </c>
      <c r="J916" t="b">
        <f t="shared" si="97"/>
        <v>1</v>
      </c>
      <c r="K916" t="b">
        <f t="shared" si="97"/>
        <v>1</v>
      </c>
      <c r="L916" t="b">
        <f t="shared" si="97"/>
        <v>1</v>
      </c>
      <c r="M916" t="b">
        <f t="shared" si="97"/>
        <v>1</v>
      </c>
      <c r="N916" t="b">
        <f t="shared" ref="N916:O960" si="101">OR(ISNUMBER(SEARCH("ALL_REGION",$G916)),
ISNUMBER(SEARCH("ALL_AMERICA",$G916)),
ISNUMBER(SEARCH(N$1,$G916)),
ISNUMBER(SEARCH("REGIONTYPE2",$G916)))</f>
        <v>0</v>
      </c>
      <c r="O916" t="b">
        <f t="shared" si="101"/>
        <v>0</v>
      </c>
      <c r="P916" t="b">
        <f t="shared" ref="P916:P960" si="102">OR(ISNUMBER(SEARCH("ALL_REGION",$G916)),
ISNUMBER(SEARCH(P$1,$G916)),
ISNUMBER(SEARCH("REGIONTYPE3",$G916)))</f>
        <v>1</v>
      </c>
    </row>
    <row r="917" spans="1:16">
      <c r="A917" t="str">
        <v>mu_Coach_Gen4_BREL_Mk3_Mail_Coach</v>
      </c>
      <c r="B917" t="b" cm="1">
        <f t="array" ref="B917">_xlfn.XLOOKUP(A917,CONTROL[VEHIDCODE],PROPERTIES[EXCLUDE])</f>
        <v>0</v>
      </c>
      <c r="C917">
        <f>FLOOR(_xlfn.XLOOKUP($A917,PROPERTIES[VEHIDCODE],PROPERTIES[INTRODUCTION_YEAR]),20)</f>
        <v>1960</v>
      </c>
      <c r="D917" t="str">
        <f>_xlfn.XLOOKUP($A917,PROPERTIES[VEHIDCODE],PROPERTIES[ROLE])</f>
        <v>Coach (Mail)</v>
      </c>
      <c r="E917" s="35" t="str">
        <f>_xlfn.XLOOKUP($A917,PROPERTIES[VEHIDCODE],PROPERTIES[REGION1])</f>
        <v>REGIONTYPE1</v>
      </c>
      <c r="F917" s="35" t="str">
        <f>_xlfn.XLOOKUP($A917,PROPERTIES[VEHIDCODE],PROPERTIES[REGION2])</f>
        <v>OCEANIA</v>
      </c>
      <c r="G917" s="35" t="str">
        <f t="shared" si="98"/>
        <v>REGIONTYPE1_OCEANIA</v>
      </c>
      <c r="H917" t="b">
        <f t="shared" si="99"/>
        <v>1</v>
      </c>
      <c r="I917" t="b">
        <f t="shared" si="100"/>
        <v>1</v>
      </c>
      <c r="J917" t="b">
        <f t="shared" si="97"/>
        <v>1</v>
      </c>
      <c r="K917" t="b">
        <f t="shared" si="97"/>
        <v>1</v>
      </c>
      <c r="L917" t="b">
        <f t="shared" si="97"/>
        <v>1</v>
      </c>
      <c r="M917" t="b">
        <f t="shared" si="97"/>
        <v>1</v>
      </c>
      <c r="N917" t="b">
        <f t="shared" si="101"/>
        <v>0</v>
      </c>
      <c r="O917" t="b">
        <f t="shared" si="101"/>
        <v>0</v>
      </c>
      <c r="P917" t="b">
        <f t="shared" si="102"/>
        <v>1</v>
      </c>
    </row>
    <row r="918" spans="1:16">
      <c r="A918" t="str">
        <v>mu_Coach_Gen4_Comeng_Suburban_Double_Deck_SA2000</v>
      </c>
      <c r="B918" t="b" cm="1">
        <f t="array" ref="B918">_xlfn.XLOOKUP(A918,CONTROL[VEHIDCODE],PROPERTIES[EXCLUDE])</f>
        <v>0</v>
      </c>
      <c r="C918">
        <f>FLOOR(_xlfn.XLOOKUP($A918,PROPERTIES[VEHIDCODE],PROPERTIES[INTRODUCTION_YEAR]),20)</f>
        <v>1980</v>
      </c>
      <c r="D918" t="str">
        <f>_xlfn.XLOOKUP($A918,PROPERTIES[VEHIDCODE],PROPERTIES[ROLE])</f>
        <v>Coach (Commuter)</v>
      </c>
      <c r="E918" s="35" t="str">
        <f>_xlfn.XLOOKUP($A918,PROPERTIES[VEHIDCODE],PROPERTIES[REGION1])</f>
        <v>OCEANIA</v>
      </c>
      <c r="F918" s="35" t="str">
        <f>_xlfn.XLOOKUP($A918,PROPERTIES[VEHIDCODE],PROPERTIES[REGION2])</f>
        <v>NO_REGION</v>
      </c>
      <c r="G918" s="35" t="str">
        <f t="shared" si="98"/>
        <v>OCEANIA_NO_REGION</v>
      </c>
      <c r="H918" t="b">
        <f t="shared" si="99"/>
        <v>0</v>
      </c>
      <c r="I918" t="b">
        <f t="shared" si="100"/>
        <v>0</v>
      </c>
      <c r="J918" t="b">
        <f t="shared" si="97"/>
        <v>0</v>
      </c>
      <c r="K918" t="b">
        <f t="shared" si="97"/>
        <v>0</v>
      </c>
      <c r="L918" t="b">
        <f t="shared" si="97"/>
        <v>0</v>
      </c>
      <c r="M918" t="b">
        <f t="shared" si="97"/>
        <v>0</v>
      </c>
      <c r="N918" t="b">
        <f t="shared" si="101"/>
        <v>0</v>
      </c>
      <c r="O918" t="b">
        <f t="shared" si="101"/>
        <v>0</v>
      </c>
      <c r="P918" t="b">
        <f t="shared" si="102"/>
        <v>1</v>
      </c>
    </row>
    <row r="919" spans="1:16">
      <c r="A919" t="str">
        <v>mu_Coach_Gen4_Gonian_4D_Concept</v>
      </c>
      <c r="B919" t="b" cm="1">
        <f t="array" ref="B919">_xlfn.XLOOKUP(A919,CONTROL[VEHIDCODE],PROPERTIES[EXCLUDE])</f>
        <v>0</v>
      </c>
      <c r="C919">
        <f>FLOOR(_xlfn.XLOOKUP($A919,PROPERTIES[VEHIDCODE],PROPERTIES[INTRODUCTION_YEAR]),20)</f>
        <v>1980</v>
      </c>
      <c r="D919" t="str">
        <f>_xlfn.XLOOKUP($A919,PROPERTIES[VEHIDCODE],PROPERTIES[ROLE])</f>
        <v>Coach (Commuter)</v>
      </c>
      <c r="E919" s="35" t="str">
        <f>_xlfn.XLOOKUP($A919,PROPERTIES[VEHIDCODE],PROPERTIES[REGION1])</f>
        <v>OCEANIA</v>
      </c>
      <c r="F919" s="35" t="str">
        <f>_xlfn.XLOOKUP($A919,PROPERTIES[VEHIDCODE],PROPERTIES[REGION2])</f>
        <v>NO_REGION</v>
      </c>
      <c r="G919" s="35" t="str">
        <f t="shared" si="98"/>
        <v>OCEANIA_NO_REGION</v>
      </c>
      <c r="H919" t="b">
        <f t="shared" si="99"/>
        <v>0</v>
      </c>
      <c r="I919" t="b">
        <f t="shared" si="100"/>
        <v>0</v>
      </c>
      <c r="J919" t="b">
        <f t="shared" si="97"/>
        <v>0</v>
      </c>
      <c r="K919" t="b">
        <f t="shared" si="97"/>
        <v>0</v>
      </c>
      <c r="L919" t="b">
        <f t="shared" si="97"/>
        <v>0</v>
      </c>
      <c r="M919" t="b">
        <f t="shared" si="97"/>
        <v>0</v>
      </c>
      <c r="N919" t="b">
        <f t="shared" si="101"/>
        <v>0</v>
      </c>
      <c r="O919" t="b">
        <f t="shared" si="101"/>
        <v>0</v>
      </c>
      <c r="P919" t="b">
        <f t="shared" si="102"/>
        <v>1</v>
      </c>
    </row>
    <row r="920" spans="1:16">
      <c r="A920" t="str">
        <v>mu_Coach_Gen4_Gonian_Tangara_Concept</v>
      </c>
      <c r="B920" t="b" cm="1">
        <f t="array" ref="B920">_xlfn.XLOOKUP(A920,CONTROL[VEHIDCODE],PROPERTIES[EXCLUDE])</f>
        <v>0</v>
      </c>
      <c r="C920">
        <f>FLOOR(_xlfn.XLOOKUP($A920,PROPERTIES[VEHIDCODE],PROPERTIES[INTRODUCTION_YEAR]),20)</f>
        <v>1980</v>
      </c>
      <c r="D920" t="str">
        <f>_xlfn.XLOOKUP($A920,PROPERTIES[VEHIDCODE],PROPERTIES[ROLE])</f>
        <v>Coach (Commuter)</v>
      </c>
      <c r="E920" s="35" t="str">
        <f>_xlfn.XLOOKUP($A920,PROPERTIES[VEHIDCODE],PROPERTIES[REGION1])</f>
        <v>OCEANIA</v>
      </c>
      <c r="F920" s="35" t="str">
        <f>_xlfn.XLOOKUP($A920,PROPERTIES[VEHIDCODE],PROPERTIES[REGION2])</f>
        <v>NO_REGION</v>
      </c>
      <c r="G920" s="35" t="str">
        <f t="shared" si="98"/>
        <v>OCEANIA_NO_REGION</v>
      </c>
      <c r="H920" t="b">
        <f t="shared" si="99"/>
        <v>0</v>
      </c>
      <c r="I920" t="b">
        <f t="shared" si="100"/>
        <v>0</v>
      </c>
      <c r="J920" t="b">
        <f t="shared" si="97"/>
        <v>0</v>
      </c>
      <c r="K920" t="b">
        <f t="shared" si="97"/>
        <v>0</v>
      </c>
      <c r="L920" t="b">
        <f t="shared" si="97"/>
        <v>0</v>
      </c>
      <c r="M920" t="b">
        <f t="shared" si="97"/>
        <v>0</v>
      </c>
      <c r="N920" t="b">
        <f t="shared" si="101"/>
        <v>0</v>
      </c>
      <c r="O920" t="b">
        <f t="shared" si="101"/>
        <v>0</v>
      </c>
      <c r="P920" t="b">
        <f t="shared" si="102"/>
        <v>1</v>
      </c>
    </row>
    <row r="921" spans="1:16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>
        <f>FLOOR(_xlfn.XLOOKUP($A921,PROPERTIES[VEHIDCODE],PROPERTIES[INTRODUCTION_YEAR]),20)</f>
        <v>1960</v>
      </c>
      <c r="D921" t="str">
        <f>_xlfn.XLOOKUP($A921,PROPERTIES[VEHIDCODE],PROPERTIES[ROLE])</f>
        <v>Coach (Commuter)</v>
      </c>
      <c r="E921" s="35" t="str">
        <f>_xlfn.XLOOKUP($A921,PROPERTIES[VEHIDCODE],PROPERTIES[REGION1])</f>
        <v>OCEANIA</v>
      </c>
      <c r="F921" s="35" t="str">
        <f>_xlfn.XLOOKUP($A921,PROPERTIES[VEHIDCODE],PROPERTIES[REGION2])</f>
        <v>NO_REGION</v>
      </c>
      <c r="G921" s="35" t="str">
        <f t="shared" si="98"/>
        <v>OCEANIA_NO_REGION</v>
      </c>
      <c r="H921" t="b">
        <f t="shared" si="99"/>
        <v>0</v>
      </c>
      <c r="I921" t="b">
        <f t="shared" si="100"/>
        <v>0</v>
      </c>
      <c r="J921" t="b">
        <f t="shared" si="97"/>
        <v>0</v>
      </c>
      <c r="K921" t="b">
        <f t="shared" si="97"/>
        <v>0</v>
      </c>
      <c r="L921" t="b">
        <f t="shared" si="97"/>
        <v>0</v>
      </c>
      <c r="M921" t="b">
        <f t="shared" si="97"/>
        <v>0</v>
      </c>
      <c r="N921" t="b">
        <f t="shared" si="101"/>
        <v>0</v>
      </c>
      <c r="O921" t="b">
        <f t="shared" si="101"/>
        <v>0</v>
      </c>
      <c r="P921" t="b">
        <f t="shared" si="102"/>
        <v>1</v>
      </c>
    </row>
    <row r="922" spans="1:16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>
        <f>FLOOR(_xlfn.XLOOKUP($A922,PROPERTIES[VEHIDCODE],PROPERTIES[INTRODUCTION_YEAR]),20)</f>
        <v>1960</v>
      </c>
      <c r="D922" t="str">
        <f>_xlfn.XLOOKUP($A922,PROPERTIES[VEHIDCODE],PROPERTIES[ROLE])</f>
        <v>Coach (Mail)</v>
      </c>
      <c r="E922" s="35" t="str">
        <f>_xlfn.XLOOKUP($A922,PROPERTIES[VEHIDCODE],PROPERTIES[REGION1])</f>
        <v>OCEANIA</v>
      </c>
      <c r="F922" s="35" t="str">
        <f>_xlfn.XLOOKUP($A922,PROPERTIES[VEHIDCODE],PROPERTIES[REGION2])</f>
        <v>NO_REGION</v>
      </c>
      <c r="G922" s="35" t="str">
        <f t="shared" si="98"/>
        <v>OCEANIA_NO_REGION</v>
      </c>
      <c r="H922" t="b">
        <f t="shared" si="99"/>
        <v>0</v>
      </c>
      <c r="I922" t="b">
        <f t="shared" si="100"/>
        <v>0</v>
      </c>
      <c r="J922" t="b">
        <f t="shared" si="97"/>
        <v>0</v>
      </c>
      <c r="K922" t="b">
        <f t="shared" si="97"/>
        <v>0</v>
      </c>
      <c r="L922" t="b">
        <f t="shared" si="97"/>
        <v>0</v>
      </c>
      <c r="M922" t="b">
        <f t="shared" si="97"/>
        <v>0</v>
      </c>
      <c r="N922" t="b">
        <f t="shared" si="101"/>
        <v>0</v>
      </c>
      <c r="O922" t="b">
        <f t="shared" si="101"/>
        <v>0</v>
      </c>
      <c r="P922" t="b">
        <f t="shared" si="102"/>
        <v>1</v>
      </c>
    </row>
    <row r="923" spans="1:16">
      <c r="A923" t="str">
        <v>mu_Coach_Gen3_Comeng_High_Speed_Coach</v>
      </c>
      <c r="B923" t="b" cm="1">
        <f t="array" ref="B923">_xlfn.XLOOKUP(A923,CONTROL[VEHIDCODE],PROPERTIES[EXCLUDE])</f>
        <v>0</v>
      </c>
      <c r="C923">
        <f>FLOOR(_xlfn.XLOOKUP($A923,PROPERTIES[VEHIDCODE],PROPERTIES[INTRODUCTION_YEAR]),20)</f>
        <v>1980</v>
      </c>
      <c r="D923" t="str">
        <f>_xlfn.XLOOKUP($A923,PROPERTIES[VEHIDCODE],PROPERTIES[ROLE])</f>
        <v>Coach (Express)</v>
      </c>
      <c r="E923" s="35" t="str">
        <f>_xlfn.XLOOKUP($A923,PROPERTIES[VEHIDCODE],PROPERTIES[REGION1])</f>
        <v>OCEANIA</v>
      </c>
      <c r="F923" s="35" t="str">
        <f>_xlfn.XLOOKUP($A923,PROPERTIES[VEHIDCODE],PROPERTIES[REGION2])</f>
        <v>NO_REGION</v>
      </c>
      <c r="G923" s="35" t="str">
        <f t="shared" si="98"/>
        <v>OCEANIA_NO_REGION</v>
      </c>
      <c r="H923" t="b">
        <f t="shared" si="99"/>
        <v>0</v>
      </c>
      <c r="I923" t="b">
        <f t="shared" si="100"/>
        <v>0</v>
      </c>
      <c r="J923" t="b">
        <f t="shared" si="97"/>
        <v>0</v>
      </c>
      <c r="K923" t="b">
        <f t="shared" si="97"/>
        <v>0</v>
      </c>
      <c r="L923" t="b">
        <f t="shared" si="97"/>
        <v>0</v>
      </c>
      <c r="M923" t="b">
        <f t="shared" si="97"/>
        <v>0</v>
      </c>
      <c r="N923" t="b">
        <f t="shared" si="101"/>
        <v>0</v>
      </c>
      <c r="O923" t="b">
        <f t="shared" si="101"/>
        <v>0</v>
      </c>
      <c r="P923" t="b">
        <f t="shared" si="102"/>
        <v>1</v>
      </c>
    </row>
    <row r="924" spans="1:16">
      <c r="A924" t="str">
        <v>mu_Coach_Gen3_Comeng_High_Speed_Mail_Coach</v>
      </c>
      <c r="B924" t="b" cm="1">
        <f t="array" ref="B924">_xlfn.XLOOKUP(A924,CONTROL[VEHIDCODE],PROPERTIES[EXCLUDE])</f>
        <v>0</v>
      </c>
      <c r="C924">
        <f>FLOOR(_xlfn.XLOOKUP($A924,PROPERTIES[VEHIDCODE],PROPERTIES[INTRODUCTION_YEAR]),20)</f>
        <v>1980</v>
      </c>
      <c r="D924" t="str">
        <f>_xlfn.XLOOKUP($A924,PROPERTIES[VEHIDCODE],PROPERTIES[ROLE])</f>
        <v>Coach (Mail)</v>
      </c>
      <c r="E924" s="35" t="str">
        <f>_xlfn.XLOOKUP($A924,PROPERTIES[VEHIDCODE],PROPERTIES[REGION1])</f>
        <v>OCEANIA</v>
      </c>
      <c r="F924" s="35" t="str">
        <f>_xlfn.XLOOKUP($A924,PROPERTIES[VEHIDCODE],PROPERTIES[REGION2])</f>
        <v>NO_REGION</v>
      </c>
      <c r="G924" s="35" t="str">
        <f t="shared" si="98"/>
        <v>OCEANIA_NO_REGION</v>
      </c>
      <c r="H924" t="b">
        <f t="shared" si="99"/>
        <v>0</v>
      </c>
      <c r="I924" t="b">
        <f t="shared" si="100"/>
        <v>0</v>
      </c>
      <c r="J924" t="b">
        <f t="shared" si="97"/>
        <v>0</v>
      </c>
      <c r="K924" t="b">
        <f t="shared" si="97"/>
        <v>0</v>
      </c>
      <c r="L924" t="b">
        <f t="shared" si="97"/>
        <v>0</v>
      </c>
      <c r="M924" t="b">
        <f t="shared" si="97"/>
        <v>0</v>
      </c>
      <c r="N924" t="b">
        <f t="shared" si="101"/>
        <v>0</v>
      </c>
      <c r="O924" t="b">
        <f t="shared" si="101"/>
        <v>0</v>
      </c>
      <c r="P924" t="b">
        <f t="shared" si="102"/>
        <v>1</v>
      </c>
    </row>
    <row r="925" spans="1:16">
      <c r="A925" t="str">
        <v>mu_Coach_Gen4_Comeng_HType_Suburban_Coach</v>
      </c>
      <c r="B925" t="b" cm="1">
        <f t="array" ref="B925">_xlfn.XLOOKUP(A925,CONTROL[VEHIDCODE],PROPERTIES[EXCLUDE])</f>
        <v>0</v>
      </c>
      <c r="C925">
        <f>FLOOR(_xlfn.XLOOKUP($A925,PROPERTIES[VEHIDCODE],PROPERTIES[INTRODUCTION_YEAR]),20)</f>
        <v>1980</v>
      </c>
      <c r="D925" t="str">
        <f>_xlfn.XLOOKUP($A925,PROPERTIES[VEHIDCODE],PROPERTIES[ROLE])</f>
        <v>Coach (Commuter)</v>
      </c>
      <c r="E925" s="35" t="str">
        <f>_xlfn.XLOOKUP($A925,PROPERTIES[VEHIDCODE],PROPERTIES[REGION1])</f>
        <v>OCEANIA</v>
      </c>
      <c r="F925" s="35" t="str">
        <f>_xlfn.XLOOKUP($A925,PROPERTIES[VEHIDCODE],PROPERTIES[REGION2])</f>
        <v>NO_REGION</v>
      </c>
      <c r="G925" s="35" t="str">
        <f t="shared" si="98"/>
        <v>OCEANIA_NO_REGION</v>
      </c>
      <c r="H925" t="b">
        <f t="shared" si="99"/>
        <v>0</v>
      </c>
      <c r="I925" t="b">
        <f t="shared" si="100"/>
        <v>0</v>
      </c>
      <c r="J925" t="b">
        <f t="shared" si="97"/>
        <v>0</v>
      </c>
      <c r="K925" t="b">
        <f t="shared" si="97"/>
        <v>0</v>
      </c>
      <c r="L925" t="b">
        <f t="shared" si="97"/>
        <v>0</v>
      </c>
      <c r="M925" t="b">
        <f t="shared" si="97"/>
        <v>0</v>
      </c>
      <c r="N925" t="b">
        <f t="shared" si="101"/>
        <v>0</v>
      </c>
      <c r="O925" t="b">
        <f t="shared" si="101"/>
        <v>0</v>
      </c>
      <c r="P925" t="b">
        <f t="shared" si="102"/>
        <v>1</v>
      </c>
    </row>
    <row r="926" spans="1:16">
      <c r="A926" t="str">
        <v>mu_Coach_Gen3_NSW_Tulloch_RUB_Stock_Coach</v>
      </c>
      <c r="B926" t="b" cm="1">
        <f t="array" ref="B926">_xlfn.XLOOKUP(A926,CONTROL[VEHIDCODE],PROPERTIES[EXCLUDE])</f>
        <v>0</v>
      </c>
      <c r="C926">
        <f>FLOOR(_xlfn.XLOOKUP($A926,PROPERTIES[VEHIDCODE],PROPERTIES[INTRODUCTION_YEAR]),20)</f>
        <v>1940</v>
      </c>
      <c r="D926" t="str">
        <f>_xlfn.XLOOKUP($A926,PROPERTIES[VEHIDCODE],PROPERTIES[ROLE])</f>
        <v>Coach (Commuter)</v>
      </c>
      <c r="E926" s="35" t="str">
        <f>_xlfn.XLOOKUP($A926,PROPERTIES[VEHIDCODE],PROPERTIES[REGION1])</f>
        <v>OCEANIA</v>
      </c>
      <c r="F926" s="35" t="str">
        <f>_xlfn.XLOOKUP($A926,PROPERTIES[VEHIDCODE],PROPERTIES[REGION2])</f>
        <v>NO_REGION</v>
      </c>
      <c r="G926" s="35" t="str">
        <f t="shared" si="98"/>
        <v>OCEANIA_NO_REGION</v>
      </c>
      <c r="H926" t="b">
        <f t="shared" si="99"/>
        <v>0</v>
      </c>
      <c r="I926" t="b">
        <f t="shared" si="100"/>
        <v>0</v>
      </c>
      <c r="J926" t="b">
        <f t="shared" si="97"/>
        <v>0</v>
      </c>
      <c r="K926" t="b">
        <f t="shared" si="97"/>
        <v>0</v>
      </c>
      <c r="L926" t="b">
        <f t="shared" si="97"/>
        <v>0</v>
      </c>
      <c r="M926" t="b">
        <f t="shared" si="97"/>
        <v>0</v>
      </c>
      <c r="N926" t="b">
        <f t="shared" si="101"/>
        <v>0</v>
      </c>
      <c r="O926" t="b">
        <f t="shared" si="101"/>
        <v>0</v>
      </c>
      <c r="P926" t="b">
        <f t="shared" si="102"/>
        <v>1</v>
      </c>
    </row>
    <row r="927" spans="1:16">
      <c r="A927" t="str">
        <v>mu_Coach_Gen3_NSW_Tulloch_RUB_Stock_Mail_Coach</v>
      </c>
      <c r="B927" t="b" cm="1">
        <f t="array" ref="B927">_xlfn.XLOOKUP(A927,CONTROL[VEHIDCODE],PROPERTIES[EXCLUDE])</f>
        <v>0</v>
      </c>
      <c r="C927">
        <f>FLOOR(_xlfn.XLOOKUP($A927,PROPERTIES[VEHIDCODE],PROPERTIES[INTRODUCTION_YEAR]),20)</f>
        <v>1940</v>
      </c>
      <c r="D927" t="str">
        <f>_xlfn.XLOOKUP($A927,PROPERTIES[VEHIDCODE],PROPERTIES[ROLE])</f>
        <v>Coach (Mail)</v>
      </c>
      <c r="E927" s="35" t="str">
        <f>_xlfn.XLOOKUP($A927,PROPERTIES[VEHIDCODE],PROPERTIES[REGION1])</f>
        <v>OCEANIA</v>
      </c>
      <c r="F927" s="35" t="str">
        <f>_xlfn.XLOOKUP($A927,PROPERTIES[VEHIDCODE],PROPERTIES[REGION2])</f>
        <v>NO_REGION</v>
      </c>
      <c r="G927" s="35" t="str">
        <f t="shared" si="98"/>
        <v>OCEANIA_NO_REGION</v>
      </c>
      <c r="H927" t="b">
        <f t="shared" si="99"/>
        <v>0</v>
      </c>
      <c r="I927" t="b">
        <f t="shared" si="100"/>
        <v>0</v>
      </c>
      <c r="J927" t="b">
        <f t="shared" si="97"/>
        <v>0</v>
      </c>
      <c r="K927" t="b">
        <f t="shared" si="97"/>
        <v>0</v>
      </c>
      <c r="L927" t="b">
        <f t="shared" si="97"/>
        <v>0</v>
      </c>
      <c r="M927" t="b">
        <f t="shared" si="97"/>
        <v>0</v>
      </c>
      <c r="N927" t="b">
        <f t="shared" si="101"/>
        <v>0</v>
      </c>
      <c r="O927" t="b">
        <f t="shared" si="101"/>
        <v>0</v>
      </c>
      <c r="P927" t="b">
        <f t="shared" si="102"/>
        <v>1</v>
      </c>
    </row>
    <row r="928" spans="1:16">
      <c r="A928" t="str">
        <v>mu_Coach_Gen3_WAGR_AY_Suburban_Coach</v>
      </c>
      <c r="B928" t="b" cm="1">
        <f t="array" ref="B928">_xlfn.XLOOKUP(A928,CONTROL[VEHIDCODE],PROPERTIES[EXCLUDE])</f>
        <v>0</v>
      </c>
      <c r="C928">
        <f>FLOOR(_xlfn.XLOOKUP($A928,PROPERTIES[VEHIDCODE],PROPERTIES[INTRODUCTION_YEAR]),20)</f>
        <v>1920</v>
      </c>
      <c r="D928" t="str">
        <f>_xlfn.XLOOKUP($A928,PROPERTIES[VEHIDCODE],PROPERTIES[ROLE])</f>
        <v>Coach (Commuter)</v>
      </c>
      <c r="E928" s="35" t="str">
        <f>_xlfn.XLOOKUP($A928,PROPERTIES[VEHIDCODE],PROPERTIES[REGION1])</f>
        <v>OCEANIA</v>
      </c>
      <c r="F928" s="35" t="str">
        <f>_xlfn.XLOOKUP($A928,PROPERTIES[VEHIDCODE],PROPERTIES[REGION2])</f>
        <v>NO_REGION</v>
      </c>
      <c r="G928" s="35" t="str">
        <f t="shared" si="98"/>
        <v>OCEANIA_NO_REGION</v>
      </c>
      <c r="H928" t="b">
        <f t="shared" si="99"/>
        <v>0</v>
      </c>
      <c r="I928" t="b">
        <f t="shared" si="100"/>
        <v>0</v>
      </c>
      <c r="J928" t="b">
        <f t="shared" si="97"/>
        <v>0</v>
      </c>
      <c r="K928" t="b">
        <f t="shared" si="97"/>
        <v>0</v>
      </c>
      <c r="L928" t="b">
        <f t="shared" si="97"/>
        <v>0</v>
      </c>
      <c r="M928" t="b">
        <f t="shared" si="97"/>
        <v>0</v>
      </c>
      <c r="N928" t="b">
        <f t="shared" si="101"/>
        <v>0</v>
      </c>
      <c r="O928" t="b">
        <f t="shared" si="101"/>
        <v>0</v>
      </c>
      <c r="P928" t="b">
        <f t="shared" si="102"/>
        <v>1</v>
      </c>
    </row>
    <row r="929" spans="1:16">
      <c r="A929" t="str">
        <v>mu_Coach_Gen3_NZR_56ft_Coach</v>
      </c>
      <c r="B929" t="b" cm="1">
        <f t="array" ref="B929">_xlfn.XLOOKUP(A929,CONTROL[VEHIDCODE],PROPERTIES[EXCLUDE])</f>
        <v>0</v>
      </c>
      <c r="C929">
        <f>FLOOR(_xlfn.XLOOKUP($A929,PROPERTIES[VEHIDCODE],PROPERTIES[INTRODUCTION_YEAR]),20)</f>
        <v>1920</v>
      </c>
      <c r="D929" t="str">
        <f>_xlfn.XLOOKUP($A929,PROPERTIES[VEHIDCODE],PROPERTIES[ROLE])</f>
        <v>Coach (Commuter)</v>
      </c>
      <c r="E929" s="35" t="str">
        <f>_xlfn.XLOOKUP($A929,PROPERTIES[VEHIDCODE],PROPERTIES[REGION1])</f>
        <v>OCEANIA</v>
      </c>
      <c r="F929" s="35" t="str">
        <f>_xlfn.XLOOKUP($A929,PROPERTIES[VEHIDCODE],PROPERTIES[REGION2])</f>
        <v>NO_REGION</v>
      </c>
      <c r="G929" s="35" t="str">
        <f t="shared" si="98"/>
        <v>OCEANIA_NO_REGION</v>
      </c>
      <c r="H929" t="b">
        <f t="shared" si="99"/>
        <v>0</v>
      </c>
      <c r="I929" t="b">
        <f t="shared" si="100"/>
        <v>0</v>
      </c>
      <c r="J929" t="b">
        <f t="shared" si="97"/>
        <v>0</v>
      </c>
      <c r="K929" t="b">
        <f t="shared" si="97"/>
        <v>0</v>
      </c>
      <c r="L929" t="b">
        <f t="shared" si="97"/>
        <v>0</v>
      </c>
      <c r="M929" t="b">
        <f t="shared" si="97"/>
        <v>0</v>
      </c>
      <c r="N929" t="b">
        <f t="shared" si="101"/>
        <v>0</v>
      </c>
      <c r="O929" t="b">
        <f t="shared" si="101"/>
        <v>0</v>
      </c>
      <c r="P929" t="b">
        <f t="shared" si="102"/>
        <v>1</v>
      </c>
    </row>
    <row r="930" spans="1:16">
      <c r="A930" t="str">
        <v>mu_Coach_Gen3_NZR_56ft_Mail_Coach</v>
      </c>
      <c r="B930" t="b" cm="1">
        <f t="array" ref="B930">_xlfn.XLOOKUP(A930,CONTROL[VEHIDCODE],PROPERTIES[EXCLUDE])</f>
        <v>0</v>
      </c>
      <c r="C930">
        <f>FLOOR(_xlfn.XLOOKUP($A930,PROPERTIES[VEHIDCODE],PROPERTIES[INTRODUCTION_YEAR]),20)</f>
        <v>1920</v>
      </c>
      <c r="D930" t="str">
        <f>_xlfn.XLOOKUP($A930,PROPERTIES[VEHIDCODE],PROPERTIES[ROLE])</f>
        <v>Coach (Mail)</v>
      </c>
      <c r="E930" s="35" t="str">
        <f>_xlfn.XLOOKUP($A930,PROPERTIES[VEHIDCODE],PROPERTIES[REGION1])</f>
        <v>OCEANIA</v>
      </c>
      <c r="F930" s="35" t="str">
        <f>_xlfn.XLOOKUP($A930,PROPERTIES[VEHIDCODE],PROPERTIES[REGION2])</f>
        <v>NO_REGION</v>
      </c>
      <c r="G930" s="35" t="str">
        <f t="shared" si="98"/>
        <v>OCEANIA_NO_REGION</v>
      </c>
      <c r="H930" t="b">
        <f t="shared" si="99"/>
        <v>0</v>
      </c>
      <c r="I930" t="b">
        <f t="shared" si="100"/>
        <v>0</v>
      </c>
      <c r="J930" t="b">
        <f t="shared" si="97"/>
        <v>0</v>
      </c>
      <c r="K930" t="b">
        <f t="shared" si="97"/>
        <v>0</v>
      </c>
      <c r="L930" t="b">
        <f t="shared" si="97"/>
        <v>0</v>
      </c>
      <c r="M930" t="b">
        <f t="shared" si="97"/>
        <v>0</v>
      </c>
      <c r="N930" t="b">
        <f t="shared" si="101"/>
        <v>0</v>
      </c>
      <c r="O930" t="b">
        <f t="shared" si="101"/>
        <v>0</v>
      </c>
      <c r="P930" t="b">
        <f t="shared" si="102"/>
        <v>1</v>
      </c>
    </row>
    <row r="931" spans="1:16">
      <c r="A931" t="str">
        <v>mu_Coach_Gen2_NZR_50ft_Coach</v>
      </c>
      <c r="B931" t="b" cm="1">
        <f t="array" ref="B931">_xlfn.XLOOKUP(A931,CONTROL[VEHIDCODE],PROPERTIES[EXCLUDE])</f>
        <v>0</v>
      </c>
      <c r="C931">
        <f>FLOOR(_xlfn.XLOOKUP($A931,PROPERTIES[VEHIDCODE],PROPERTIES[INTRODUCTION_YEAR]),20)</f>
        <v>1900</v>
      </c>
      <c r="D931" t="str">
        <f>_xlfn.XLOOKUP($A931,PROPERTIES[VEHIDCODE],PROPERTIES[ROLE])</f>
        <v>Coach (Commuter)</v>
      </c>
      <c r="E931" s="35" t="str">
        <f>_xlfn.XLOOKUP($A931,PROPERTIES[VEHIDCODE],PROPERTIES[REGION1])</f>
        <v>OCEANIA</v>
      </c>
      <c r="F931" s="35" t="str">
        <f>_xlfn.XLOOKUP($A931,PROPERTIES[VEHIDCODE],PROPERTIES[REGION2])</f>
        <v>NO_REGION</v>
      </c>
      <c r="G931" s="35" t="str">
        <f t="shared" si="98"/>
        <v>OCEANIA_NO_REGION</v>
      </c>
      <c r="H931" t="b">
        <f t="shared" si="99"/>
        <v>0</v>
      </c>
      <c r="I931" t="b">
        <f t="shared" si="100"/>
        <v>0</v>
      </c>
      <c r="J931" t="b">
        <f t="shared" si="97"/>
        <v>0</v>
      </c>
      <c r="K931" t="b">
        <f t="shared" si="97"/>
        <v>0</v>
      </c>
      <c r="L931" t="b">
        <f t="shared" si="97"/>
        <v>0</v>
      </c>
      <c r="M931" t="b">
        <f t="shared" si="97"/>
        <v>0</v>
      </c>
      <c r="N931" t="b">
        <f t="shared" si="101"/>
        <v>0</v>
      </c>
      <c r="O931" t="b">
        <f t="shared" si="101"/>
        <v>0</v>
      </c>
      <c r="P931" t="b">
        <f t="shared" si="102"/>
        <v>1</v>
      </c>
    </row>
    <row r="932" spans="1:16">
      <c r="A932" t="str">
        <v>mu_Coach_Gen2_NZR_50ft_Mail_Coach</v>
      </c>
      <c r="B932" t="b" cm="1">
        <f t="array" ref="B932">_xlfn.XLOOKUP(A932,CONTROL[VEHIDCODE],PROPERTIES[EXCLUDE])</f>
        <v>0</v>
      </c>
      <c r="C932">
        <f>FLOOR(_xlfn.XLOOKUP($A932,PROPERTIES[VEHIDCODE],PROPERTIES[INTRODUCTION_YEAR]),20)</f>
        <v>1900</v>
      </c>
      <c r="D932" t="str">
        <f>_xlfn.XLOOKUP($A932,PROPERTIES[VEHIDCODE],PROPERTIES[ROLE])</f>
        <v>Coach (Mail)</v>
      </c>
      <c r="E932" s="35" t="str">
        <f>_xlfn.XLOOKUP($A932,PROPERTIES[VEHIDCODE],PROPERTIES[REGION1])</f>
        <v>OCEANIA</v>
      </c>
      <c r="F932" s="35" t="str">
        <f>_xlfn.XLOOKUP($A932,PROPERTIES[VEHIDCODE],PROPERTIES[REGION2])</f>
        <v>NO_REGION</v>
      </c>
      <c r="G932" s="35" t="str">
        <f t="shared" si="98"/>
        <v>OCEANIA_NO_REGION</v>
      </c>
      <c r="H932" t="b">
        <f t="shared" si="99"/>
        <v>0</v>
      </c>
      <c r="I932" t="b">
        <f t="shared" si="100"/>
        <v>0</v>
      </c>
      <c r="J932" t="b">
        <f t="shared" si="97"/>
        <v>0</v>
      </c>
      <c r="K932" t="b">
        <f t="shared" si="97"/>
        <v>0</v>
      </c>
      <c r="L932" t="b">
        <f t="shared" si="97"/>
        <v>0</v>
      </c>
      <c r="M932" t="b">
        <f t="shared" si="97"/>
        <v>0</v>
      </c>
      <c r="N932" t="b">
        <f t="shared" si="101"/>
        <v>0</v>
      </c>
      <c r="O932" t="b">
        <f t="shared" si="101"/>
        <v>0</v>
      </c>
      <c r="P932" t="b">
        <f t="shared" si="102"/>
        <v>1</v>
      </c>
    </row>
    <row r="933" spans="1:16">
      <c r="A933" t="str">
        <v>mu_Coach_Gen1_NSW_KA_Tram_Car</v>
      </c>
      <c r="B933" t="b" cm="1">
        <f t="array" ref="B933">_xlfn.XLOOKUP(A933,CONTROL[VEHIDCODE],PROPERTIES[EXCLUDE])</f>
        <v>0</v>
      </c>
      <c r="C933">
        <f>FLOOR(_xlfn.XLOOKUP($A933,PROPERTIES[VEHIDCODE],PROPERTIES[INTRODUCTION_YEAR]),20)</f>
        <v>1860</v>
      </c>
      <c r="D933" t="str">
        <f>_xlfn.XLOOKUP($A933,PROPERTIES[VEHIDCODE],PROPERTIES[ROLE])</f>
        <v>Coach (Commuter)</v>
      </c>
      <c r="E933" s="35" t="str">
        <f>_xlfn.XLOOKUP($A933,PROPERTIES[VEHIDCODE],PROPERTIES[REGION1])</f>
        <v>OCEANIA</v>
      </c>
      <c r="F933" s="35" t="str">
        <f>_xlfn.XLOOKUP($A933,PROPERTIES[VEHIDCODE],PROPERTIES[REGION2])</f>
        <v>NO_REGION</v>
      </c>
      <c r="G933" s="35" t="str">
        <f t="shared" si="98"/>
        <v>OCEANIA_NO_REGION</v>
      </c>
      <c r="H933" t="b">
        <f t="shared" si="99"/>
        <v>0</v>
      </c>
      <c r="I933" t="b">
        <f t="shared" si="100"/>
        <v>0</v>
      </c>
      <c r="J933" t="b">
        <f t="shared" si="97"/>
        <v>0</v>
      </c>
      <c r="K933" t="b">
        <f t="shared" si="97"/>
        <v>0</v>
      </c>
      <c r="L933" t="b">
        <f t="shared" si="97"/>
        <v>0</v>
      </c>
      <c r="M933" t="b">
        <f t="shared" si="97"/>
        <v>0</v>
      </c>
      <c r="N933" t="b">
        <f t="shared" si="101"/>
        <v>0</v>
      </c>
      <c r="O933" t="b">
        <f t="shared" si="101"/>
        <v>0</v>
      </c>
      <c r="P933" t="b">
        <f t="shared" si="102"/>
        <v>1</v>
      </c>
    </row>
    <row r="934" spans="1:16">
      <c r="A934" t="str">
        <v>electric_Australia_NSW_86</v>
      </c>
      <c r="B934" t="b" cm="1">
        <f t="array" ref="B934">_xlfn.XLOOKUP(A934,CONTROL[VEHIDCODE],PROPERTIES[EXCLUDE])</f>
        <v>0</v>
      </c>
      <c r="C934">
        <f>FLOOR(_xlfn.XLOOKUP($A934,PROPERTIES[VEHIDCODE],PROPERTIES[INTRODUCTION_YEAR]),20)</f>
        <v>1980</v>
      </c>
      <c r="D934" t="str">
        <f>_xlfn.XLOOKUP($A934,PROPERTIES[VEHIDCODE],PROPERTIES[ROLE])</f>
        <v>Universal</v>
      </c>
      <c r="E934" s="35" t="str">
        <f>_xlfn.XLOOKUP($A934,PROPERTIES[VEHIDCODE],PROPERTIES[REGION1])</f>
        <v>OCEANIA</v>
      </c>
      <c r="F934" s="35" t="str">
        <f>_xlfn.XLOOKUP($A934,PROPERTIES[VEHIDCODE],PROPERTIES[REGION2])</f>
        <v>NO_REGION</v>
      </c>
      <c r="G934" s="35" t="str">
        <f t="shared" si="98"/>
        <v>OCEANIA_NO_REGION</v>
      </c>
      <c r="H934" t="b">
        <f t="shared" si="99"/>
        <v>0</v>
      </c>
      <c r="I934" t="b">
        <f t="shared" si="100"/>
        <v>0</v>
      </c>
      <c r="J934" t="b">
        <f t="shared" si="97"/>
        <v>0</v>
      </c>
      <c r="K934" t="b">
        <f t="shared" si="97"/>
        <v>0</v>
      </c>
      <c r="L934" t="b">
        <f t="shared" si="97"/>
        <v>0</v>
      </c>
      <c r="M934" t="b">
        <f t="shared" si="97"/>
        <v>0</v>
      </c>
      <c r="N934" t="b">
        <f t="shared" si="101"/>
        <v>0</v>
      </c>
      <c r="O934" t="b">
        <f t="shared" si="101"/>
        <v>0</v>
      </c>
      <c r="P934" t="b">
        <f t="shared" si="102"/>
        <v>1</v>
      </c>
    </row>
    <row r="935" spans="1:16">
      <c r="A935" t="str">
        <v>emu_New_Zealand_EM_Ganz_Mavag</v>
      </c>
      <c r="B935" t="b" cm="1">
        <f t="array" ref="B935">_xlfn.XLOOKUP(A935,CONTROL[VEHIDCODE],PROPERTIES[EXCLUDE])</f>
        <v>0</v>
      </c>
      <c r="C935">
        <f>FLOOR(_xlfn.XLOOKUP($A935,PROPERTIES[VEHIDCODE],PROPERTIES[INTRODUCTION_YEAR]),20)</f>
        <v>1980</v>
      </c>
      <c r="D935" t="str">
        <f>_xlfn.XLOOKUP($A935,PROPERTIES[VEHIDCODE],PROPERTIES[ROLE])</f>
        <v>Express Passenger</v>
      </c>
      <c r="E935" s="35" t="str">
        <f>_xlfn.XLOOKUP($A935,PROPERTIES[VEHIDCODE],PROPERTIES[REGION1])</f>
        <v>OCEANIA</v>
      </c>
      <c r="F935" s="35" t="str">
        <f>_xlfn.XLOOKUP($A935,PROPERTIES[VEHIDCODE],PROPERTIES[REGION2])</f>
        <v>NO_REGION</v>
      </c>
      <c r="G935" s="35" t="str">
        <f t="shared" si="98"/>
        <v>OCEANIA_NO_REGION</v>
      </c>
      <c r="H935" t="b">
        <f t="shared" si="99"/>
        <v>0</v>
      </c>
      <c r="I935" t="b">
        <f t="shared" si="100"/>
        <v>0</v>
      </c>
      <c r="J935" t="b">
        <f t="shared" si="97"/>
        <v>0</v>
      </c>
      <c r="K935" t="b">
        <f t="shared" si="97"/>
        <v>0</v>
      </c>
      <c r="L935" t="b">
        <f t="shared" si="97"/>
        <v>0</v>
      </c>
      <c r="M935" t="b">
        <f t="shared" si="97"/>
        <v>0</v>
      </c>
      <c r="N935" t="b">
        <f t="shared" si="101"/>
        <v>0</v>
      </c>
      <c r="O935" t="b">
        <f t="shared" si="101"/>
        <v>0</v>
      </c>
      <c r="P935" t="b">
        <f t="shared" si="102"/>
        <v>1</v>
      </c>
    </row>
    <row r="936" spans="1:16">
      <c r="A936" t="str">
        <v>emu_New_Zealand_DM</v>
      </c>
      <c r="B936" t="b" cm="1">
        <f t="array" ref="B936">_xlfn.XLOOKUP(A936,CONTROL[VEHIDCODE],PROPERTIES[EXCLUDE])</f>
        <v>0</v>
      </c>
      <c r="C936">
        <f>FLOOR(_xlfn.XLOOKUP($A936,PROPERTIES[VEHIDCODE],PROPERTIES[INTRODUCTION_YEAR]),20)</f>
        <v>1920</v>
      </c>
      <c r="D936" t="str">
        <f>_xlfn.XLOOKUP($A936,PROPERTIES[VEHIDCODE],PROPERTIES[ROLE])</f>
        <v>Commuter/Urban</v>
      </c>
      <c r="E936" s="35" t="str">
        <f>_xlfn.XLOOKUP($A936,PROPERTIES[VEHIDCODE],PROPERTIES[REGION1])</f>
        <v>OCEANIA</v>
      </c>
      <c r="F936" s="35" t="str">
        <f>_xlfn.XLOOKUP($A936,PROPERTIES[VEHIDCODE],PROPERTIES[REGION2])</f>
        <v>NO_REGION</v>
      </c>
      <c r="G936" s="35" t="str">
        <f t="shared" si="98"/>
        <v>OCEANIA_NO_REGION</v>
      </c>
      <c r="H936" t="b">
        <f t="shared" si="99"/>
        <v>0</v>
      </c>
      <c r="I936" t="b">
        <f t="shared" si="100"/>
        <v>0</v>
      </c>
      <c r="J936" t="b">
        <f t="shared" si="97"/>
        <v>0</v>
      </c>
      <c r="K936" t="b">
        <f t="shared" si="97"/>
        <v>0</v>
      </c>
      <c r="L936" t="b">
        <f t="shared" si="97"/>
        <v>0</v>
      </c>
      <c r="M936" t="b">
        <f t="shared" si="97"/>
        <v>0</v>
      </c>
      <c r="N936" t="b">
        <f t="shared" si="101"/>
        <v>0</v>
      </c>
      <c r="O936" t="b">
        <f t="shared" si="101"/>
        <v>0</v>
      </c>
      <c r="P936" t="b">
        <f t="shared" si="102"/>
        <v>1</v>
      </c>
    </row>
    <row r="937" spans="1:16">
      <c r="A937" t="str">
        <v>emu_New_Zealand_FPFT_Matangi</v>
      </c>
      <c r="B937" t="b" cm="1">
        <f t="array" ref="B937">_xlfn.XLOOKUP(A937,CONTROL[VEHIDCODE],PROPERTIES[EXCLUDE])</f>
        <v>0</v>
      </c>
      <c r="C937">
        <f>FLOOR(_xlfn.XLOOKUP($A937,PROPERTIES[VEHIDCODE],PROPERTIES[INTRODUCTION_YEAR]),20)</f>
        <v>2000</v>
      </c>
      <c r="D937" t="str">
        <f>_xlfn.XLOOKUP($A937,PROPERTIES[VEHIDCODE],PROPERTIES[ROLE])</f>
        <v>Express Passenger</v>
      </c>
      <c r="E937" s="35" t="str">
        <f>_xlfn.XLOOKUP($A937,PROPERTIES[VEHIDCODE],PROPERTIES[REGION1])</f>
        <v>OCEANIA</v>
      </c>
      <c r="F937" s="35" t="str">
        <f>_xlfn.XLOOKUP($A937,PROPERTIES[VEHIDCODE],PROPERTIES[REGION2])</f>
        <v>NO_REGION</v>
      </c>
      <c r="G937" s="35" t="str">
        <f t="shared" si="98"/>
        <v>OCEANIA_NO_REGION</v>
      </c>
      <c r="H937" t="b">
        <f t="shared" si="99"/>
        <v>0</v>
      </c>
      <c r="I937" t="b">
        <f t="shared" si="100"/>
        <v>0</v>
      </c>
      <c r="J937" t="b">
        <f t="shared" si="97"/>
        <v>0</v>
      </c>
      <c r="K937" t="b">
        <f t="shared" si="97"/>
        <v>0</v>
      </c>
      <c r="L937" t="b">
        <f t="shared" si="97"/>
        <v>0</v>
      </c>
      <c r="M937" t="b">
        <f t="shared" si="97"/>
        <v>0</v>
      </c>
      <c r="N937" t="b">
        <f t="shared" si="101"/>
        <v>0</v>
      </c>
      <c r="O937" t="b">
        <f t="shared" si="101"/>
        <v>0</v>
      </c>
      <c r="P937" t="b">
        <f t="shared" si="102"/>
        <v>1</v>
      </c>
    </row>
    <row r="938" spans="1:16">
      <c r="A938" t="str">
        <v>mtro_Hungary_Budapest_Ganz_Hunslet_G2</v>
      </c>
      <c r="B938" t="b" cm="1">
        <f t="array" ref="B938">_xlfn.XLOOKUP(A938,CONTROL[VEHIDCODE],PROPERTIES[EXCLUDE])</f>
        <v>0</v>
      </c>
      <c r="C938">
        <f>FLOOR(_xlfn.XLOOKUP($A938,PROPERTIES[VEHIDCODE],PROPERTIES[INTRODUCTION_YEAR]),20)</f>
        <v>1980</v>
      </c>
      <c r="D938" t="str">
        <f>_xlfn.XLOOKUP($A938,PROPERTIES[VEHIDCODE],PROPERTIES[ROLE])</f>
        <v>Metro</v>
      </c>
      <c r="E938" s="35" t="str">
        <f>_xlfn.XLOOKUP($A938,PROPERTIES[VEHIDCODE],PROPERTIES[REGION1])</f>
        <v>EASTERN_EUROPE</v>
      </c>
      <c r="F938" s="35" t="str">
        <f>_xlfn.XLOOKUP($A938,PROPERTIES[VEHIDCODE],PROPERTIES[REGION2])</f>
        <v>NO_REGION</v>
      </c>
      <c r="G938" s="35" t="str">
        <f t="shared" si="98"/>
        <v>EASTERN_EUROPE_NO_REGION</v>
      </c>
      <c r="H938" t="b">
        <f t="shared" si="99"/>
        <v>0</v>
      </c>
      <c r="I938" t="b">
        <f t="shared" si="100"/>
        <v>0</v>
      </c>
      <c r="J938" t="b">
        <f t="shared" si="97"/>
        <v>0</v>
      </c>
      <c r="K938" t="b">
        <f t="shared" si="97"/>
        <v>1</v>
      </c>
      <c r="L938" t="b">
        <f t="shared" si="97"/>
        <v>0</v>
      </c>
      <c r="M938" t="b">
        <f t="shared" si="97"/>
        <v>0</v>
      </c>
      <c r="N938" t="b">
        <f t="shared" si="101"/>
        <v>0</v>
      </c>
      <c r="O938" t="b">
        <f t="shared" si="101"/>
        <v>0</v>
      </c>
      <c r="P938" t="b">
        <f t="shared" si="102"/>
        <v>0</v>
      </c>
    </row>
    <row r="939" spans="1:16">
      <c r="A939" t="str">
        <v>diesel_Australia_Commonwealth_NSU</v>
      </c>
      <c r="B939" t="b" cm="1">
        <f t="array" ref="B939">_xlfn.XLOOKUP(A939,CONTROL[VEHIDCODE],PROPERTIES[EXCLUDE])</f>
        <v>0</v>
      </c>
      <c r="C939">
        <f>FLOOR(_xlfn.XLOOKUP($A939,PROPERTIES[VEHIDCODE],PROPERTIES[INTRODUCTION_YEAR]),20)</f>
        <v>1940</v>
      </c>
      <c r="D939" t="str">
        <f>_xlfn.XLOOKUP($A939,PROPERTIES[VEHIDCODE],PROPERTIES[ROLE])</f>
        <v>Universal</v>
      </c>
      <c r="E939" s="35" t="str">
        <f>_xlfn.XLOOKUP($A939,PROPERTIES[VEHIDCODE],PROPERTIES[REGION1])</f>
        <v>OCEANIA</v>
      </c>
      <c r="F939" s="35" t="str">
        <f>_xlfn.XLOOKUP($A939,PROPERTIES[VEHIDCODE],PROPERTIES[REGION2])</f>
        <v>NO_REGION</v>
      </c>
      <c r="G939" s="35" t="str">
        <f t="shared" si="98"/>
        <v>OCEANIA_NO_REGION</v>
      </c>
      <c r="H939" t="b">
        <f t="shared" si="99"/>
        <v>0</v>
      </c>
      <c r="I939" t="b">
        <f t="shared" si="100"/>
        <v>0</v>
      </c>
      <c r="J939" t="b">
        <f t="shared" si="97"/>
        <v>0</v>
      </c>
      <c r="K939" t="b">
        <f t="shared" si="97"/>
        <v>0</v>
      </c>
      <c r="L939" t="b">
        <f t="shared" si="97"/>
        <v>0</v>
      </c>
      <c r="M939" t="b">
        <f t="shared" si="97"/>
        <v>0</v>
      </c>
      <c r="N939" t="b">
        <f t="shared" si="101"/>
        <v>0</v>
      </c>
      <c r="O939" t="b">
        <f t="shared" si="101"/>
        <v>0</v>
      </c>
      <c r="P939" t="b">
        <f t="shared" si="102"/>
        <v>1</v>
      </c>
    </row>
    <row r="940" spans="1:16">
      <c r="A940" t="str">
        <v>emu_Hong_Kong_MTR_SP1900</v>
      </c>
      <c r="B940" t="b" cm="1">
        <f t="array" ref="B940">_xlfn.XLOOKUP(A940,CONTROL[VEHIDCODE],PROPERTIES[EXCLUDE])</f>
        <v>0</v>
      </c>
      <c r="C940">
        <f>FLOOR(_xlfn.XLOOKUP($A940,PROPERTIES[VEHIDCODE],PROPERTIES[INTRODUCTION_YEAR]),20)</f>
        <v>2000</v>
      </c>
      <c r="D940" t="str">
        <f>_xlfn.XLOOKUP($A940,PROPERTIES[VEHIDCODE],PROPERTIES[ROLE])</f>
        <v>Commuter/Urban</v>
      </c>
      <c r="E940" s="35" t="str">
        <f>_xlfn.XLOOKUP($A940,PROPERTIES[VEHIDCODE],PROPERTIES[REGION1])</f>
        <v>ASIA</v>
      </c>
      <c r="F940" s="35" t="str">
        <f>_xlfn.XLOOKUP($A940,PROPERTIES[VEHIDCODE],PROPERTIES[REGION2])</f>
        <v>NO_REGION</v>
      </c>
      <c r="G940" s="35" t="str">
        <f t="shared" si="98"/>
        <v>ASIA_NO_REGION</v>
      </c>
      <c r="H940" t="b">
        <f t="shared" si="99"/>
        <v>0</v>
      </c>
      <c r="I940" t="b">
        <f t="shared" si="100"/>
        <v>1</v>
      </c>
      <c r="J940" t="b">
        <f t="shared" si="97"/>
        <v>0</v>
      </c>
      <c r="K940" t="b">
        <f t="shared" si="97"/>
        <v>0</v>
      </c>
      <c r="L940" t="b">
        <f t="shared" si="97"/>
        <v>0</v>
      </c>
      <c r="M940" t="b">
        <f t="shared" si="97"/>
        <v>0</v>
      </c>
      <c r="N940" t="b">
        <f t="shared" si="101"/>
        <v>0</v>
      </c>
      <c r="O940" t="b">
        <f t="shared" si="101"/>
        <v>0</v>
      </c>
      <c r="P940" t="b">
        <f t="shared" si="102"/>
        <v>0</v>
      </c>
    </row>
    <row r="941" spans="1:16">
      <c r="A941" t="str">
        <v>electric_China_China_Railways_HXD2</v>
      </c>
      <c r="B941" t="b" cm="1">
        <f t="array" ref="B941">_xlfn.XLOOKUP(A941,CONTROL[VEHIDCODE],PROPERTIES[EXCLUDE])</f>
        <v>0</v>
      </c>
      <c r="C941">
        <f>FLOOR(_xlfn.XLOOKUP($A941,PROPERTIES[VEHIDCODE],PROPERTIES[INTRODUCTION_YEAR]),20)</f>
        <v>2000</v>
      </c>
      <c r="D941" t="str">
        <f>_xlfn.XLOOKUP($A941,PROPERTIES[VEHIDCODE],PROPERTIES[ROLE])</f>
        <v>Heavy Freight</v>
      </c>
      <c r="E941" s="35" t="str">
        <f>_xlfn.XLOOKUP($A941,PROPERTIES[VEHIDCODE],PROPERTIES[REGION1])</f>
        <v>ASIA</v>
      </c>
      <c r="F941" s="35" t="str">
        <f>_xlfn.XLOOKUP($A941,PROPERTIES[VEHIDCODE],PROPERTIES[REGION2])</f>
        <v>NO_REGION</v>
      </c>
      <c r="G941" s="35" t="str">
        <f t="shared" si="98"/>
        <v>ASIA_NO_REGION</v>
      </c>
      <c r="H941" t="b">
        <f t="shared" si="99"/>
        <v>0</v>
      </c>
      <c r="I941" t="b">
        <f t="shared" si="100"/>
        <v>1</v>
      </c>
      <c r="J941" t="b">
        <f t="shared" si="97"/>
        <v>0</v>
      </c>
      <c r="K941" t="b">
        <f t="shared" si="97"/>
        <v>0</v>
      </c>
      <c r="L941" t="b">
        <f t="shared" si="97"/>
        <v>0</v>
      </c>
      <c r="M941" t="b">
        <f t="shared" si="97"/>
        <v>0</v>
      </c>
      <c r="N941" t="b">
        <f t="shared" si="101"/>
        <v>0</v>
      </c>
      <c r="O941" t="b">
        <f t="shared" si="101"/>
        <v>0</v>
      </c>
      <c r="P941" t="b">
        <f t="shared" si="102"/>
        <v>0</v>
      </c>
    </row>
    <row r="942" spans="1:16">
      <c r="A942" t="str">
        <v>diesel_China_China_Railways_DF11</v>
      </c>
      <c r="B942" t="b" cm="1">
        <f t="array" ref="B942">_xlfn.XLOOKUP(A942,CONTROL[VEHIDCODE],PROPERTIES[EXCLUDE])</f>
        <v>0</v>
      </c>
      <c r="C942">
        <f>FLOOR(_xlfn.XLOOKUP($A942,PROPERTIES[VEHIDCODE],PROPERTIES[INTRODUCTION_YEAR]),20)</f>
        <v>1980</v>
      </c>
      <c r="D942" t="str">
        <f>_xlfn.XLOOKUP($A942,PROPERTIES[VEHIDCODE],PROPERTIES[ROLE])</f>
        <v>Express</v>
      </c>
      <c r="E942" s="35" t="str">
        <f>_xlfn.XLOOKUP($A942,PROPERTIES[VEHIDCODE],PROPERTIES[REGION1])</f>
        <v>ASIA</v>
      </c>
      <c r="F942" s="35" t="str">
        <f>_xlfn.XLOOKUP($A942,PROPERTIES[VEHIDCODE],PROPERTIES[REGION2])</f>
        <v>NO_REGION</v>
      </c>
      <c r="G942" s="35" t="str">
        <f t="shared" si="98"/>
        <v>ASIA_NO_REGION</v>
      </c>
      <c r="H942" t="b">
        <f t="shared" si="99"/>
        <v>0</v>
      </c>
      <c r="I942" t="b">
        <f t="shared" si="100"/>
        <v>1</v>
      </c>
      <c r="J942" t="b">
        <f t="shared" si="97"/>
        <v>0</v>
      </c>
      <c r="K942" t="b">
        <f t="shared" si="97"/>
        <v>0</v>
      </c>
      <c r="L942" t="b">
        <f t="shared" si="97"/>
        <v>0</v>
      </c>
      <c r="M942" t="b">
        <f t="shared" si="97"/>
        <v>0</v>
      </c>
      <c r="N942" t="b">
        <f t="shared" si="101"/>
        <v>0</v>
      </c>
      <c r="O942" t="b">
        <f t="shared" si="101"/>
        <v>0</v>
      </c>
      <c r="P942" t="b">
        <f t="shared" si="102"/>
        <v>0</v>
      </c>
    </row>
    <row r="943" spans="1:16">
      <c r="A943" t="str">
        <v>electric_China_China_Railways_SS8</v>
      </c>
      <c r="B943" t="b" cm="1">
        <f t="array" ref="B943">_xlfn.XLOOKUP(A943,CONTROL[VEHIDCODE],PROPERTIES[EXCLUDE])</f>
        <v>0</v>
      </c>
      <c r="C943">
        <f>FLOOR(_xlfn.XLOOKUP($A943,PROPERTIES[VEHIDCODE],PROPERTIES[INTRODUCTION_YEAR]),20)</f>
        <v>1980</v>
      </c>
      <c r="D943" t="str">
        <f>_xlfn.XLOOKUP($A943,PROPERTIES[VEHIDCODE],PROPERTIES[ROLE])</f>
        <v>Express</v>
      </c>
      <c r="E943" s="35" t="str">
        <f>_xlfn.XLOOKUP($A943,PROPERTIES[VEHIDCODE],PROPERTIES[REGION1])</f>
        <v>ASIA</v>
      </c>
      <c r="F943" s="35" t="str">
        <f>_xlfn.XLOOKUP($A943,PROPERTIES[VEHIDCODE],PROPERTIES[REGION2])</f>
        <v>NO_REGION</v>
      </c>
      <c r="G943" s="35" t="str">
        <f t="shared" si="98"/>
        <v>ASIA_NO_REGION</v>
      </c>
      <c r="H943" t="b">
        <f t="shared" si="99"/>
        <v>0</v>
      </c>
      <c r="I943" t="b">
        <f t="shared" si="100"/>
        <v>1</v>
      </c>
      <c r="J943" t="b">
        <f t="shared" si="97"/>
        <v>0</v>
      </c>
      <c r="K943" t="b">
        <f t="shared" si="97"/>
        <v>0</v>
      </c>
      <c r="L943" t="b">
        <f t="shared" si="97"/>
        <v>0</v>
      </c>
      <c r="M943" t="b">
        <f t="shared" si="97"/>
        <v>0</v>
      </c>
      <c r="N943" t="b">
        <f t="shared" si="101"/>
        <v>0</v>
      </c>
      <c r="O943" t="b">
        <f t="shared" si="101"/>
        <v>0</v>
      </c>
      <c r="P943" t="b">
        <f t="shared" si="102"/>
        <v>0</v>
      </c>
    </row>
    <row r="944" spans="1:16">
      <c r="A944" t="str">
        <v>electric_China_China_Railways_HXD2B</v>
      </c>
      <c r="B944" t="b" cm="1">
        <f t="array" ref="B944">_xlfn.XLOOKUP(A944,CONTROL[VEHIDCODE],PROPERTIES[EXCLUDE])</f>
        <v>0</v>
      </c>
      <c r="C944">
        <f>FLOOR(_xlfn.XLOOKUP($A944,PROPERTIES[VEHIDCODE],PROPERTIES[INTRODUCTION_YEAR]),20)</f>
        <v>2000</v>
      </c>
      <c r="D944" t="str">
        <f>_xlfn.XLOOKUP($A944,PROPERTIES[VEHIDCODE],PROPERTIES[ROLE])</f>
        <v>Freight</v>
      </c>
      <c r="E944" s="35" t="str">
        <f>_xlfn.XLOOKUP($A944,PROPERTIES[VEHIDCODE],PROPERTIES[REGION1])</f>
        <v>ASIA</v>
      </c>
      <c r="F944" s="35" t="str">
        <f>_xlfn.XLOOKUP($A944,PROPERTIES[VEHIDCODE],PROPERTIES[REGION2])</f>
        <v>NO_REGION</v>
      </c>
      <c r="G944" s="35" t="str">
        <f t="shared" si="98"/>
        <v>ASIA_NO_REGION</v>
      </c>
      <c r="H944" t="b">
        <f t="shared" si="99"/>
        <v>0</v>
      </c>
      <c r="I944" t="b">
        <f t="shared" si="100"/>
        <v>1</v>
      </c>
      <c r="J944" t="b">
        <f t="shared" si="97"/>
        <v>0</v>
      </c>
      <c r="K944" t="b">
        <f t="shared" si="97"/>
        <v>0</v>
      </c>
      <c r="L944" t="b">
        <f t="shared" si="97"/>
        <v>0</v>
      </c>
      <c r="M944" t="b">
        <f t="shared" si="97"/>
        <v>0</v>
      </c>
      <c r="N944" t="b">
        <f t="shared" si="101"/>
        <v>0</v>
      </c>
      <c r="O944" t="b">
        <f t="shared" si="101"/>
        <v>0</v>
      </c>
      <c r="P944" t="b">
        <f t="shared" si="102"/>
        <v>0</v>
      </c>
    </row>
    <row r="945" spans="1:16">
      <c r="A945" t="str">
        <v>electric_China_China_Railways_HXD3D</v>
      </c>
      <c r="B945" t="b" cm="1">
        <f t="array" ref="B945">_xlfn.XLOOKUP(A945,CONTROL[VEHIDCODE],PROPERTIES[EXCLUDE])</f>
        <v>0</v>
      </c>
      <c r="C945">
        <f>FLOOR(_xlfn.XLOOKUP($A945,PROPERTIES[VEHIDCODE],PROPERTIES[INTRODUCTION_YEAR]),20)</f>
        <v>2000</v>
      </c>
      <c r="D945" t="str">
        <f>_xlfn.XLOOKUP($A945,PROPERTIES[VEHIDCODE],PROPERTIES[ROLE])</f>
        <v>Freight</v>
      </c>
      <c r="E945" s="35" t="str">
        <f>_xlfn.XLOOKUP($A945,PROPERTIES[VEHIDCODE],PROPERTIES[REGION1])</f>
        <v>ASIA</v>
      </c>
      <c r="F945" s="35" t="str">
        <f>_xlfn.XLOOKUP($A945,PROPERTIES[VEHIDCODE],PROPERTIES[REGION2])</f>
        <v>NO_REGION</v>
      </c>
      <c r="G945" s="35" t="str">
        <f t="shared" si="98"/>
        <v>ASIA_NO_REGION</v>
      </c>
      <c r="H945" t="b">
        <f t="shared" si="99"/>
        <v>0</v>
      </c>
      <c r="I945" t="b">
        <f t="shared" si="100"/>
        <v>1</v>
      </c>
      <c r="J945" t="b">
        <f t="shared" si="97"/>
        <v>0</v>
      </c>
      <c r="K945" t="b">
        <f t="shared" si="97"/>
        <v>0</v>
      </c>
      <c r="L945" t="b">
        <f t="shared" si="97"/>
        <v>0</v>
      </c>
      <c r="M945" t="b">
        <f t="shared" si="97"/>
        <v>0</v>
      </c>
      <c r="N945" t="b">
        <f t="shared" si="101"/>
        <v>0</v>
      </c>
      <c r="O945" t="b">
        <f t="shared" si="101"/>
        <v>0</v>
      </c>
      <c r="P945" t="b">
        <f t="shared" si="102"/>
        <v>0</v>
      </c>
    </row>
    <row r="946" spans="1:16">
      <c r="A946" t="str">
        <v>diesel_China_China_Railways_DF4</v>
      </c>
      <c r="B946" t="b" cm="1">
        <f t="array" ref="B946">_xlfn.XLOOKUP(A946,CONTROL[VEHIDCODE],PROPERTIES[EXCLUDE])</f>
        <v>0</v>
      </c>
      <c r="C946">
        <f>FLOOR(_xlfn.XLOOKUP($A946,PROPERTIES[VEHIDCODE],PROPERTIES[INTRODUCTION_YEAR]),20)</f>
        <v>1980</v>
      </c>
      <c r="D946" t="str">
        <f>_xlfn.XLOOKUP($A946,PROPERTIES[VEHIDCODE],PROPERTIES[ROLE])</f>
        <v>Universal</v>
      </c>
      <c r="E946" s="35" t="str">
        <f>_xlfn.XLOOKUP($A946,PROPERTIES[VEHIDCODE],PROPERTIES[REGION1])</f>
        <v>ASIA</v>
      </c>
      <c r="F946" s="35" t="str">
        <f>_xlfn.XLOOKUP($A946,PROPERTIES[VEHIDCODE],PROPERTIES[REGION2])</f>
        <v>NO_REGION</v>
      </c>
      <c r="G946" s="35" t="str">
        <f t="shared" si="98"/>
        <v>ASIA_NO_REGION</v>
      </c>
      <c r="H946" t="b">
        <f t="shared" si="99"/>
        <v>0</v>
      </c>
      <c r="I946" t="b">
        <f t="shared" si="100"/>
        <v>1</v>
      </c>
      <c r="J946" t="b">
        <f t="shared" si="97"/>
        <v>0</v>
      </c>
      <c r="K946" t="b">
        <f t="shared" si="97"/>
        <v>0</v>
      </c>
      <c r="L946" t="b">
        <f t="shared" si="97"/>
        <v>0</v>
      </c>
      <c r="M946" t="b">
        <f t="shared" si="97"/>
        <v>0</v>
      </c>
      <c r="N946" t="b">
        <f t="shared" si="101"/>
        <v>0</v>
      </c>
      <c r="O946" t="b">
        <f t="shared" si="101"/>
        <v>0</v>
      </c>
      <c r="P946" t="b">
        <f t="shared" si="102"/>
        <v>0</v>
      </c>
    </row>
    <row r="947" spans="1:16">
      <c r="A947" t="str">
        <v>diesel_China_China_Railways_DF5</v>
      </c>
      <c r="B947" t="b" cm="1">
        <f t="array" ref="B947">_xlfn.XLOOKUP(A947,CONTROL[VEHIDCODE],PROPERTIES[EXCLUDE])</f>
        <v>0</v>
      </c>
      <c r="C947">
        <f>FLOOR(_xlfn.XLOOKUP($A947,PROPERTIES[VEHIDCODE],PROPERTIES[INTRODUCTION_YEAR]),20)</f>
        <v>1960</v>
      </c>
      <c r="D947" t="str">
        <f>_xlfn.XLOOKUP($A947,PROPERTIES[VEHIDCODE],PROPERTIES[ROLE])</f>
        <v>Universal</v>
      </c>
      <c r="E947" s="35" t="str">
        <f>_xlfn.XLOOKUP($A947,PROPERTIES[VEHIDCODE],PROPERTIES[REGION1])</f>
        <v>ASIA</v>
      </c>
      <c r="F947" s="35" t="str">
        <f>_xlfn.XLOOKUP($A947,PROPERTIES[VEHIDCODE],PROPERTIES[REGION2])</f>
        <v>NO_REGION</v>
      </c>
      <c r="G947" s="35" t="str">
        <f t="shared" si="98"/>
        <v>ASIA_NO_REGION</v>
      </c>
      <c r="H947" t="b">
        <f t="shared" si="99"/>
        <v>0</v>
      </c>
      <c r="I947" t="b">
        <f t="shared" si="100"/>
        <v>1</v>
      </c>
      <c r="J947" t="b">
        <f t="shared" si="97"/>
        <v>0</v>
      </c>
      <c r="K947" t="b">
        <f t="shared" si="97"/>
        <v>0</v>
      </c>
      <c r="L947" t="b">
        <f t="shared" si="97"/>
        <v>0</v>
      </c>
      <c r="M947" t="b">
        <f t="shared" si="97"/>
        <v>0</v>
      </c>
      <c r="N947" t="b">
        <f t="shared" si="101"/>
        <v>0</v>
      </c>
      <c r="O947" t="b">
        <f t="shared" si="101"/>
        <v>0</v>
      </c>
      <c r="P947" t="b">
        <f t="shared" si="102"/>
        <v>0</v>
      </c>
    </row>
    <row r="948" spans="1:16">
      <c r="A948" t="str">
        <v>steam_China_China_Railways_JS</v>
      </c>
      <c r="B948" t="b" cm="1">
        <f t="array" ref="B948">_xlfn.XLOOKUP(A948,CONTROL[VEHIDCODE],PROPERTIES[EXCLUDE])</f>
        <v>0</v>
      </c>
      <c r="C948">
        <f>FLOOR(_xlfn.XLOOKUP($A948,PROPERTIES[VEHIDCODE],PROPERTIES[INTRODUCTION_YEAR]),20)</f>
        <v>1940</v>
      </c>
      <c r="D948" t="str">
        <f>_xlfn.XLOOKUP($A948,PROPERTIES[VEHIDCODE],PROPERTIES[ROLE])</f>
        <v>Heavy Freight</v>
      </c>
      <c r="E948" s="35" t="str">
        <f>_xlfn.XLOOKUP($A948,PROPERTIES[VEHIDCODE],PROPERTIES[REGION1])</f>
        <v>ASIA</v>
      </c>
      <c r="F948" s="35" t="str">
        <f>_xlfn.XLOOKUP($A948,PROPERTIES[VEHIDCODE],PROPERTIES[REGION2])</f>
        <v>NO_REGION</v>
      </c>
      <c r="G948" s="35" t="str">
        <f t="shared" si="98"/>
        <v>ASIA_NO_REGION</v>
      </c>
      <c r="H948" t="b">
        <f t="shared" si="99"/>
        <v>0</v>
      </c>
      <c r="I948" t="b">
        <f t="shared" si="100"/>
        <v>1</v>
      </c>
      <c r="J948" t="b">
        <f t="shared" si="97"/>
        <v>0</v>
      </c>
      <c r="K948" t="b">
        <f t="shared" si="97"/>
        <v>0</v>
      </c>
      <c r="L948" t="b">
        <f t="shared" si="97"/>
        <v>0</v>
      </c>
      <c r="M948" t="b">
        <f t="shared" si="97"/>
        <v>0</v>
      </c>
      <c r="N948" t="b">
        <f t="shared" si="101"/>
        <v>0</v>
      </c>
      <c r="O948" t="b">
        <f t="shared" si="101"/>
        <v>0</v>
      </c>
      <c r="P948" t="b">
        <f t="shared" si="102"/>
        <v>0</v>
      </c>
    </row>
    <row r="949" spans="1:16">
      <c r="A949" t="str">
        <v>steam_China_China_Railways_RM</v>
      </c>
      <c r="B949" t="b" cm="1">
        <f t="array" ref="B949">_xlfn.XLOOKUP(A949,CONTROL[VEHIDCODE],PROPERTIES[EXCLUDE])</f>
        <v>0</v>
      </c>
      <c r="C949">
        <f>FLOOR(_xlfn.XLOOKUP($A949,PROPERTIES[VEHIDCODE],PROPERTIES[INTRODUCTION_YEAR]),20)</f>
        <v>1940</v>
      </c>
      <c r="D949" t="str">
        <f>_xlfn.XLOOKUP($A949,PROPERTIES[VEHIDCODE],PROPERTIES[ROLE])</f>
        <v>Heavy Freight</v>
      </c>
      <c r="E949" s="35" t="str">
        <f>_xlfn.XLOOKUP($A949,PROPERTIES[VEHIDCODE],PROPERTIES[REGION1])</f>
        <v>ASIA</v>
      </c>
      <c r="F949" s="35" t="str">
        <f>_xlfn.XLOOKUP($A949,PROPERTIES[VEHIDCODE],PROPERTIES[REGION2])</f>
        <v>NO_REGION</v>
      </c>
      <c r="G949" s="35" t="str">
        <f t="shared" si="98"/>
        <v>ASIA_NO_REGION</v>
      </c>
      <c r="H949" t="b">
        <f t="shared" si="99"/>
        <v>0</v>
      </c>
      <c r="I949" t="b">
        <f t="shared" si="100"/>
        <v>1</v>
      </c>
      <c r="J949" t="b">
        <f t="shared" si="97"/>
        <v>0</v>
      </c>
      <c r="K949" t="b">
        <f t="shared" si="97"/>
        <v>0</v>
      </c>
      <c r="L949" t="b">
        <f t="shared" si="97"/>
        <v>0</v>
      </c>
      <c r="M949" t="b">
        <f t="shared" si="97"/>
        <v>0</v>
      </c>
      <c r="N949" t="b">
        <f t="shared" si="101"/>
        <v>0</v>
      </c>
      <c r="O949" t="b">
        <f t="shared" si="101"/>
        <v>0</v>
      </c>
      <c r="P949" t="b">
        <f t="shared" si="102"/>
        <v>0</v>
      </c>
    </row>
    <row r="950" spans="1:16">
      <c r="B950" t="e" cm="1">
        <f t="array" ref="B950">_xlfn.XLOOKUP(A950,CONTROL[VEHIDCODE],PROPERTIES[EXCLUDE])</f>
        <v>#N/A</v>
      </c>
      <c r="C950" t="e">
        <f>FLOOR(_xlfn.XLOOKUP($A950,PROPERTIES[VEHIDCODE],PROPERTIES[INTRODUCTION_YEAR]),20)</f>
        <v>#N/A</v>
      </c>
      <c r="D950" t="e">
        <f>_xlfn.XLOOKUP($A950,PROPERTIES[VEHIDCODE],PROPERTIES[ROLE])</f>
        <v>#N/A</v>
      </c>
      <c r="E950" s="35" t="e">
        <f>_xlfn.XLOOKUP($A950,PROPERTIES[VEHIDCODE],PROPERTIES[REGION1])</f>
        <v>#N/A</v>
      </c>
      <c r="F950" s="35" t="e">
        <f>_xlfn.XLOOKUP($A950,PROPERTIES[VEHIDCODE],PROPERTIES[REGION2])</f>
        <v>#N/A</v>
      </c>
      <c r="G950" s="35" t="e">
        <f t="shared" si="98"/>
        <v>#N/A</v>
      </c>
      <c r="H950" t="b">
        <f t="shared" si="99"/>
        <v>0</v>
      </c>
      <c r="I950" t="b">
        <f t="shared" si="100"/>
        <v>0</v>
      </c>
      <c r="J950" t="b">
        <f t="shared" si="97"/>
        <v>0</v>
      </c>
      <c r="K950" t="b">
        <f t="shared" si="97"/>
        <v>0</v>
      </c>
      <c r="L950" t="b">
        <f t="shared" si="97"/>
        <v>0</v>
      </c>
      <c r="M950" t="b">
        <f t="shared" si="97"/>
        <v>0</v>
      </c>
      <c r="N950" t="b">
        <f t="shared" si="101"/>
        <v>0</v>
      </c>
      <c r="O950" t="b">
        <f t="shared" si="101"/>
        <v>0</v>
      </c>
      <c r="P950" t="b">
        <f t="shared" si="102"/>
        <v>0</v>
      </c>
    </row>
    <row r="951" spans="1:16">
      <c r="B951" t="e" cm="1">
        <f t="array" ref="B951">_xlfn.XLOOKUP(A951,CONTROL[VEHIDCODE],PROPERTIES[EXCLUDE])</f>
        <v>#N/A</v>
      </c>
      <c r="C951" t="e">
        <f>FLOOR(_xlfn.XLOOKUP($A951,PROPERTIES[VEHIDCODE],PROPERTIES[INTRODUCTION_YEAR]),20)</f>
        <v>#N/A</v>
      </c>
      <c r="D951" t="e">
        <f>_xlfn.XLOOKUP($A951,PROPERTIES[VEHIDCODE],PROPERTIES[ROLE])</f>
        <v>#N/A</v>
      </c>
      <c r="E951" s="35" t="e">
        <f>_xlfn.XLOOKUP($A951,PROPERTIES[VEHIDCODE],PROPERTIES[REGION1])</f>
        <v>#N/A</v>
      </c>
      <c r="F951" s="35" t="e">
        <f>_xlfn.XLOOKUP($A951,PROPERTIES[VEHIDCODE],PROPERTIES[REGION2])</f>
        <v>#N/A</v>
      </c>
      <c r="G951" s="35" t="e">
        <f t="shared" si="98"/>
        <v>#N/A</v>
      </c>
      <c r="H951" t="b">
        <f t="shared" si="99"/>
        <v>0</v>
      </c>
      <c r="I951" t="b">
        <f t="shared" si="100"/>
        <v>0</v>
      </c>
      <c r="J951" t="b">
        <f t="shared" si="97"/>
        <v>0</v>
      </c>
      <c r="K951" t="b">
        <f t="shared" si="97"/>
        <v>0</v>
      </c>
      <c r="L951" t="b">
        <f t="shared" si="97"/>
        <v>0</v>
      </c>
      <c r="M951" t="b">
        <f t="shared" si="97"/>
        <v>0</v>
      </c>
      <c r="N951" t="b">
        <f t="shared" si="101"/>
        <v>0</v>
      </c>
      <c r="O951" t="b">
        <f t="shared" si="101"/>
        <v>0</v>
      </c>
      <c r="P951" t="b">
        <f t="shared" si="102"/>
        <v>0</v>
      </c>
    </row>
    <row r="952" spans="1:16">
      <c r="B952" t="e" cm="1">
        <f t="array" ref="B952">_xlfn.XLOOKUP(A952,CONTROL[VEHIDCODE],PROPERTIES[EXCLUDE])</f>
        <v>#N/A</v>
      </c>
      <c r="C952" t="e">
        <f>FLOOR(_xlfn.XLOOKUP($A952,PROPERTIES[VEHIDCODE],PROPERTIES[INTRODUCTION_YEAR]),20)</f>
        <v>#N/A</v>
      </c>
      <c r="D952" t="e">
        <f>_xlfn.XLOOKUP($A952,PROPERTIES[VEHIDCODE],PROPERTIES[ROLE])</f>
        <v>#N/A</v>
      </c>
      <c r="E952" s="35" t="e">
        <f>_xlfn.XLOOKUP($A952,PROPERTIES[VEHIDCODE],PROPERTIES[REGION1])</f>
        <v>#N/A</v>
      </c>
      <c r="F952" s="35" t="e">
        <f>_xlfn.XLOOKUP($A952,PROPERTIES[VEHIDCODE],PROPERTIES[REGION2])</f>
        <v>#N/A</v>
      </c>
      <c r="G952" s="35" t="e">
        <f t="shared" si="98"/>
        <v>#N/A</v>
      </c>
      <c r="H952" t="b">
        <f t="shared" si="99"/>
        <v>0</v>
      </c>
      <c r="I952" t="b">
        <f t="shared" si="100"/>
        <v>0</v>
      </c>
      <c r="J952" t="b">
        <f t="shared" si="97"/>
        <v>0</v>
      </c>
      <c r="K952" t="b">
        <f t="shared" si="97"/>
        <v>0</v>
      </c>
      <c r="L952" t="b">
        <f t="shared" si="97"/>
        <v>0</v>
      </c>
      <c r="M952" t="b">
        <f t="shared" si="97"/>
        <v>0</v>
      </c>
      <c r="N952" t="b">
        <f t="shared" si="101"/>
        <v>0</v>
      </c>
      <c r="O952" t="b">
        <f t="shared" si="101"/>
        <v>0</v>
      </c>
      <c r="P952" t="b">
        <f t="shared" si="102"/>
        <v>0</v>
      </c>
    </row>
    <row r="953" spans="1:16">
      <c r="B953" t="e" cm="1">
        <f t="array" ref="B953">_xlfn.XLOOKUP(A953,CONTROL[VEHIDCODE],PROPERTIES[EXCLUDE])</f>
        <v>#N/A</v>
      </c>
      <c r="C953" t="e">
        <f>FLOOR(_xlfn.XLOOKUP($A953,PROPERTIES[VEHIDCODE],PROPERTIES[INTRODUCTION_YEAR]),20)</f>
        <v>#N/A</v>
      </c>
      <c r="D953" t="e">
        <f>_xlfn.XLOOKUP($A953,PROPERTIES[VEHIDCODE],PROPERTIES[ROLE])</f>
        <v>#N/A</v>
      </c>
      <c r="E953" s="35" t="e">
        <f>_xlfn.XLOOKUP($A953,PROPERTIES[VEHIDCODE],PROPERTIES[REGION1])</f>
        <v>#N/A</v>
      </c>
      <c r="F953" s="35" t="e">
        <f>_xlfn.XLOOKUP($A953,PROPERTIES[VEHIDCODE],PROPERTIES[REGION2])</f>
        <v>#N/A</v>
      </c>
      <c r="G953" s="35" t="e">
        <f t="shared" si="98"/>
        <v>#N/A</v>
      </c>
      <c r="H953" t="b">
        <f t="shared" si="99"/>
        <v>0</v>
      </c>
      <c r="I953" t="b">
        <f t="shared" si="100"/>
        <v>0</v>
      </c>
      <c r="J953" t="b">
        <f t="shared" si="97"/>
        <v>0</v>
      </c>
      <c r="K953" t="b">
        <f t="shared" si="97"/>
        <v>0</v>
      </c>
      <c r="L953" t="b">
        <f t="shared" si="97"/>
        <v>0</v>
      </c>
      <c r="M953" t="b">
        <f t="shared" si="97"/>
        <v>0</v>
      </c>
      <c r="N953" t="b">
        <f t="shared" si="101"/>
        <v>0</v>
      </c>
      <c r="O953" t="b">
        <f t="shared" si="101"/>
        <v>0</v>
      </c>
      <c r="P953" t="b">
        <f t="shared" si="102"/>
        <v>0</v>
      </c>
    </row>
    <row r="954" spans="1:16">
      <c r="B954" t="e" cm="1">
        <f t="array" ref="B954">_xlfn.XLOOKUP(A954,CONTROL[VEHIDCODE],PROPERTIES[EXCLUDE])</f>
        <v>#N/A</v>
      </c>
      <c r="C954" t="e">
        <f>FLOOR(_xlfn.XLOOKUP($A954,PROPERTIES[VEHIDCODE],PROPERTIES[INTRODUCTION_YEAR]),20)</f>
        <v>#N/A</v>
      </c>
      <c r="D954" t="e">
        <f>_xlfn.XLOOKUP($A954,PROPERTIES[VEHIDCODE],PROPERTIES[ROLE])</f>
        <v>#N/A</v>
      </c>
      <c r="E954" s="35" t="e">
        <f>_xlfn.XLOOKUP($A954,PROPERTIES[VEHIDCODE],PROPERTIES[REGION1])</f>
        <v>#N/A</v>
      </c>
      <c r="F954" s="35" t="e">
        <f>_xlfn.XLOOKUP($A954,PROPERTIES[VEHIDCODE],PROPERTIES[REGION2])</f>
        <v>#N/A</v>
      </c>
      <c r="G954" s="35" t="e">
        <f t="shared" si="98"/>
        <v>#N/A</v>
      </c>
      <c r="H954" t="b">
        <f t="shared" si="99"/>
        <v>0</v>
      </c>
      <c r="I954" t="b">
        <f t="shared" si="100"/>
        <v>0</v>
      </c>
      <c r="J954" t="b">
        <f t="shared" si="97"/>
        <v>0</v>
      </c>
      <c r="K954" t="b">
        <f t="shared" si="97"/>
        <v>0</v>
      </c>
      <c r="L954" t="b">
        <f t="shared" si="97"/>
        <v>0</v>
      </c>
      <c r="M954" t="b">
        <f t="shared" si="97"/>
        <v>0</v>
      </c>
      <c r="N954" t="b">
        <f t="shared" si="101"/>
        <v>0</v>
      </c>
      <c r="O954" t="b">
        <f t="shared" si="101"/>
        <v>0</v>
      </c>
      <c r="P954" t="b">
        <f t="shared" si="102"/>
        <v>0</v>
      </c>
    </row>
    <row r="955" spans="1:16">
      <c r="B955" t="e" cm="1">
        <f t="array" ref="B955">_xlfn.XLOOKUP(A955,CONTROL[VEHIDCODE],PROPERTIES[EXCLUDE])</f>
        <v>#N/A</v>
      </c>
      <c r="C955" t="e">
        <f>FLOOR(_xlfn.XLOOKUP($A955,PROPERTIES[VEHIDCODE],PROPERTIES[INTRODUCTION_YEAR]),20)</f>
        <v>#N/A</v>
      </c>
      <c r="D955" t="e">
        <f>_xlfn.XLOOKUP($A955,PROPERTIES[VEHIDCODE],PROPERTIES[ROLE])</f>
        <v>#N/A</v>
      </c>
      <c r="E955" s="35" t="e">
        <f>_xlfn.XLOOKUP($A955,PROPERTIES[VEHIDCODE],PROPERTIES[REGION1])</f>
        <v>#N/A</v>
      </c>
      <c r="F955" s="35" t="e">
        <f>_xlfn.XLOOKUP($A955,PROPERTIES[VEHIDCODE],PROPERTIES[REGION2])</f>
        <v>#N/A</v>
      </c>
      <c r="G955" s="35" t="e">
        <f t="shared" si="98"/>
        <v>#N/A</v>
      </c>
      <c r="H955" t="b">
        <f t="shared" si="99"/>
        <v>0</v>
      </c>
      <c r="I955" t="b">
        <f t="shared" si="100"/>
        <v>0</v>
      </c>
      <c r="J955" t="b">
        <f t="shared" si="97"/>
        <v>0</v>
      </c>
      <c r="K955" t="b">
        <f t="shared" si="97"/>
        <v>0</v>
      </c>
      <c r="L955" t="b">
        <f t="shared" si="97"/>
        <v>0</v>
      </c>
      <c r="M955" t="b">
        <f t="shared" si="97"/>
        <v>0</v>
      </c>
      <c r="N955" t="b">
        <f t="shared" si="101"/>
        <v>0</v>
      </c>
      <c r="O955" t="b">
        <f t="shared" si="101"/>
        <v>0</v>
      </c>
      <c r="P955" t="b">
        <f t="shared" si="102"/>
        <v>0</v>
      </c>
    </row>
    <row r="956" spans="1:16">
      <c r="B956" t="e" cm="1">
        <f t="array" ref="B956">_xlfn.XLOOKUP(A956,CONTROL[VEHIDCODE],PROPERTIES[EXCLUDE])</f>
        <v>#N/A</v>
      </c>
      <c r="C956" t="e">
        <f>FLOOR(_xlfn.XLOOKUP($A956,PROPERTIES[VEHIDCODE],PROPERTIES[INTRODUCTION_YEAR]),20)</f>
        <v>#N/A</v>
      </c>
      <c r="D956" t="e">
        <f>_xlfn.XLOOKUP($A956,PROPERTIES[VEHIDCODE],PROPERTIES[ROLE])</f>
        <v>#N/A</v>
      </c>
      <c r="E956" s="35" t="e">
        <f>_xlfn.XLOOKUP($A956,PROPERTIES[VEHIDCODE],PROPERTIES[REGION1])</f>
        <v>#N/A</v>
      </c>
      <c r="F956" s="35" t="e">
        <f>_xlfn.XLOOKUP($A956,PROPERTIES[VEHIDCODE],PROPERTIES[REGION2])</f>
        <v>#N/A</v>
      </c>
      <c r="G956" s="35" t="e">
        <f t="shared" si="98"/>
        <v>#N/A</v>
      </c>
      <c r="H956" t="b">
        <f t="shared" si="99"/>
        <v>0</v>
      </c>
      <c r="I956" t="b">
        <f t="shared" si="100"/>
        <v>0</v>
      </c>
      <c r="J956" t="b">
        <f t="shared" si="97"/>
        <v>0</v>
      </c>
      <c r="K956" t="b">
        <f t="shared" si="97"/>
        <v>0</v>
      </c>
      <c r="L956" t="b">
        <f t="shared" si="97"/>
        <v>0</v>
      </c>
      <c r="M956" t="b">
        <f t="shared" si="97"/>
        <v>0</v>
      </c>
      <c r="N956" t="b">
        <f t="shared" si="101"/>
        <v>0</v>
      </c>
      <c r="O956" t="b">
        <f t="shared" si="101"/>
        <v>0</v>
      </c>
      <c r="P956" t="b">
        <f t="shared" si="102"/>
        <v>0</v>
      </c>
    </row>
    <row r="957" spans="1:16">
      <c r="B957" t="e" cm="1">
        <f t="array" ref="B957">_xlfn.XLOOKUP(A957,CONTROL[VEHIDCODE],PROPERTIES[EXCLUDE])</f>
        <v>#N/A</v>
      </c>
      <c r="C957" t="e">
        <f>FLOOR(_xlfn.XLOOKUP($A957,PROPERTIES[VEHIDCODE],PROPERTIES[INTRODUCTION_YEAR]),20)</f>
        <v>#N/A</v>
      </c>
      <c r="D957" t="e">
        <f>_xlfn.XLOOKUP($A957,PROPERTIES[VEHIDCODE],PROPERTIES[ROLE])</f>
        <v>#N/A</v>
      </c>
      <c r="E957" s="35" t="e">
        <f>_xlfn.XLOOKUP($A957,PROPERTIES[VEHIDCODE],PROPERTIES[REGION1])</f>
        <v>#N/A</v>
      </c>
      <c r="F957" s="35" t="e">
        <f>_xlfn.XLOOKUP($A957,PROPERTIES[VEHIDCODE],PROPERTIES[REGION2])</f>
        <v>#N/A</v>
      </c>
      <c r="G957" s="35" t="e">
        <f t="shared" si="98"/>
        <v>#N/A</v>
      </c>
      <c r="H957" t="b">
        <f t="shared" si="99"/>
        <v>0</v>
      </c>
      <c r="I957" t="b">
        <f t="shared" si="100"/>
        <v>0</v>
      </c>
      <c r="J957" t="b">
        <f t="shared" si="97"/>
        <v>0</v>
      </c>
      <c r="K957" t="b">
        <f t="shared" si="97"/>
        <v>0</v>
      </c>
      <c r="L957" t="b">
        <f t="shared" si="97"/>
        <v>0</v>
      </c>
      <c r="M957" t="b">
        <f t="shared" si="97"/>
        <v>0</v>
      </c>
      <c r="N957" t="b">
        <f t="shared" si="101"/>
        <v>0</v>
      </c>
      <c r="O957" t="b">
        <f t="shared" si="101"/>
        <v>0</v>
      </c>
      <c r="P957" t="b">
        <f t="shared" si="102"/>
        <v>0</v>
      </c>
    </row>
    <row r="958" spans="1:16">
      <c r="B958" t="e" cm="1">
        <f t="array" ref="B958">_xlfn.XLOOKUP(A958,CONTROL[VEHIDCODE],PROPERTIES[EXCLUDE])</f>
        <v>#N/A</v>
      </c>
      <c r="C958" t="e">
        <f>FLOOR(_xlfn.XLOOKUP($A958,PROPERTIES[VEHIDCODE],PROPERTIES[INTRODUCTION_YEAR]),20)</f>
        <v>#N/A</v>
      </c>
      <c r="D958" t="e">
        <f>_xlfn.XLOOKUP($A958,PROPERTIES[VEHIDCODE],PROPERTIES[ROLE])</f>
        <v>#N/A</v>
      </c>
      <c r="E958" s="35" t="e">
        <f>_xlfn.XLOOKUP($A958,PROPERTIES[VEHIDCODE],PROPERTIES[REGION1])</f>
        <v>#N/A</v>
      </c>
      <c r="F958" s="35" t="e">
        <f>_xlfn.XLOOKUP($A958,PROPERTIES[VEHIDCODE],PROPERTIES[REGION2])</f>
        <v>#N/A</v>
      </c>
      <c r="G958" s="35" t="e">
        <f t="shared" si="98"/>
        <v>#N/A</v>
      </c>
      <c r="H958" t="b">
        <f t="shared" si="99"/>
        <v>0</v>
      </c>
      <c r="I958" t="b">
        <f t="shared" si="100"/>
        <v>0</v>
      </c>
      <c r="J958" t="b">
        <f t="shared" si="97"/>
        <v>0</v>
      </c>
      <c r="K958" t="b">
        <f t="shared" si="97"/>
        <v>0</v>
      </c>
      <c r="L958" t="b">
        <f t="shared" si="97"/>
        <v>0</v>
      </c>
      <c r="M958" t="b">
        <f t="shared" si="97"/>
        <v>0</v>
      </c>
      <c r="N958" t="b">
        <f t="shared" si="101"/>
        <v>0</v>
      </c>
      <c r="O958" t="b">
        <f t="shared" si="101"/>
        <v>0</v>
      </c>
      <c r="P958" t="b">
        <f t="shared" si="102"/>
        <v>0</v>
      </c>
    </row>
    <row r="959" spans="1:16">
      <c r="B959" t="e" cm="1">
        <f t="array" ref="B959">_xlfn.XLOOKUP(A959,CONTROL[VEHIDCODE],PROPERTIES[EXCLUDE])</f>
        <v>#N/A</v>
      </c>
      <c r="C959" t="e">
        <f>FLOOR(_xlfn.XLOOKUP($A959,PROPERTIES[VEHIDCODE],PROPERTIES[INTRODUCTION_YEAR]),20)</f>
        <v>#N/A</v>
      </c>
      <c r="D959" t="e">
        <f>_xlfn.XLOOKUP($A959,PROPERTIES[VEHIDCODE],PROPERTIES[ROLE])</f>
        <v>#N/A</v>
      </c>
      <c r="E959" s="35" t="e">
        <f>_xlfn.XLOOKUP($A959,PROPERTIES[VEHIDCODE],PROPERTIES[REGION1])</f>
        <v>#N/A</v>
      </c>
      <c r="F959" s="35" t="e">
        <f>_xlfn.XLOOKUP($A959,PROPERTIES[VEHIDCODE],PROPERTIES[REGION2])</f>
        <v>#N/A</v>
      </c>
      <c r="G959" s="35" t="e">
        <f t="shared" si="98"/>
        <v>#N/A</v>
      </c>
      <c r="H959" t="b">
        <f t="shared" si="99"/>
        <v>0</v>
      </c>
      <c r="I959" t="b">
        <f t="shared" si="100"/>
        <v>0</v>
      </c>
      <c r="J959" t="b">
        <f t="shared" si="97"/>
        <v>0</v>
      </c>
      <c r="K959" t="b">
        <f t="shared" si="97"/>
        <v>0</v>
      </c>
      <c r="L959" t="b">
        <f t="shared" si="97"/>
        <v>0</v>
      </c>
      <c r="M959" t="b">
        <f t="shared" si="97"/>
        <v>0</v>
      </c>
      <c r="N959" t="b">
        <f t="shared" si="101"/>
        <v>0</v>
      </c>
      <c r="O959" t="b">
        <f t="shared" si="101"/>
        <v>0</v>
      </c>
      <c r="P959" t="b">
        <f t="shared" si="102"/>
        <v>0</v>
      </c>
    </row>
    <row r="960" spans="1:16">
      <c r="B960" t="e" cm="1">
        <f t="array" ref="B960">_xlfn.XLOOKUP(A960,CONTROL[VEHIDCODE],PROPERTIES[EXCLUDE])</f>
        <v>#N/A</v>
      </c>
      <c r="C960" t="e">
        <f>FLOOR(_xlfn.XLOOKUP($A960,PROPERTIES[VEHIDCODE],PROPERTIES[INTRODUCTION_YEAR]),20)</f>
        <v>#N/A</v>
      </c>
      <c r="D960" t="e">
        <f>_xlfn.XLOOKUP($A960,PROPERTIES[VEHIDCODE],PROPERTIES[ROLE])</f>
        <v>#N/A</v>
      </c>
      <c r="E960" s="35" t="e">
        <f>_xlfn.XLOOKUP($A960,PROPERTIES[VEHIDCODE],PROPERTIES[REGION1])</f>
        <v>#N/A</v>
      </c>
      <c r="F960" s="35" t="e">
        <f>_xlfn.XLOOKUP($A960,PROPERTIES[VEHIDCODE],PROPERTIES[REGION2])</f>
        <v>#N/A</v>
      </c>
      <c r="G960" s="35" t="e">
        <f t="shared" si="98"/>
        <v>#N/A</v>
      </c>
      <c r="H960" t="b">
        <f t="shared" si="99"/>
        <v>0</v>
      </c>
      <c r="I960" t="b">
        <f t="shared" si="100"/>
        <v>0</v>
      </c>
      <c r="J960" t="b">
        <f t="shared" si="97"/>
        <v>0</v>
      </c>
      <c r="K960" t="b">
        <f t="shared" si="97"/>
        <v>0</v>
      </c>
      <c r="L960" t="b">
        <f t="shared" si="97"/>
        <v>0</v>
      </c>
      <c r="M960" t="b">
        <f t="shared" si="97"/>
        <v>0</v>
      </c>
      <c r="N960" t="b">
        <f t="shared" si="101"/>
        <v>0</v>
      </c>
      <c r="O960" t="b">
        <f t="shared" si="101"/>
        <v>0</v>
      </c>
      <c r="P960" t="b">
        <f t="shared" si="102"/>
        <v>0</v>
      </c>
    </row>
  </sheetData>
  <autoFilter ref="A1:P793" xr:uid="{94AF2F1A-9287-4526-9497-B34C300AF4DB}"/>
  <conditionalFormatting sqref="B2:B960">
    <cfRule type="containsText" dxfId="110" priority="1" operator="containsText" text="FALSE">
      <formula>NOT(ISERROR(SEARCH("FALSE",B2)))</formula>
    </cfRule>
  </conditionalFormatting>
  <conditionalFormatting sqref="H1:H813 I795:J813 H814:J1048576">
    <cfRule type="containsText" dxfId="109" priority="58" operator="containsText" text="FALSE">
      <formula>NOT(ISERROR(SEARCH("FALSE",H1)))</formula>
    </cfRule>
  </conditionalFormatting>
  <conditionalFormatting sqref="I1:J792">
    <cfRule type="containsText" dxfId="108" priority="57" operator="containsText" text="FALSE">
      <formula>NOT(ISERROR(SEARCH("FALSE",I1)))</formula>
    </cfRule>
  </conditionalFormatting>
  <conditionalFormatting sqref="I2:P960">
    <cfRule type="containsText" dxfId="107" priority="2" operator="containsText" text="FALSE">
      <formula>NOT(ISERROR(SEARCH("FALSE",I2)))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Q18"/>
  <sheetViews>
    <sheetView workbookViewId="0">
      <selection activeCell="E8" sqref="E8"/>
    </sheetView>
  </sheetViews>
  <sheetFormatPr defaultColWidth="7.69140625" defaultRowHeight="14.6"/>
  <cols>
    <col min="2" max="2" width="9.152343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872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2883</v>
      </c>
      <c r="G7">
        <v>4</v>
      </c>
      <c r="H7">
        <v>2</v>
      </c>
      <c r="Q7">
        <v>6</v>
      </c>
    </row>
    <row r="8" spans="1:17">
      <c r="A8">
        <v>1860</v>
      </c>
      <c r="B8" t="s">
        <v>2883</v>
      </c>
      <c r="M8">
        <v>2</v>
      </c>
      <c r="N8">
        <v>1</v>
      </c>
      <c r="Q8">
        <v>3</v>
      </c>
    </row>
    <row r="9" spans="1:17">
      <c r="A9">
        <v>1880</v>
      </c>
      <c r="B9" t="s">
        <v>2883</v>
      </c>
      <c r="F9">
        <v>5</v>
      </c>
      <c r="M9">
        <v>2</v>
      </c>
      <c r="Q9">
        <v>7</v>
      </c>
    </row>
    <row r="10" spans="1:17">
      <c r="A10">
        <v>1900</v>
      </c>
      <c r="B10" t="s">
        <v>2883</v>
      </c>
      <c r="C10">
        <v>1</v>
      </c>
      <c r="D10">
        <v>4</v>
      </c>
      <c r="F10">
        <v>3</v>
      </c>
      <c r="G10">
        <v>3</v>
      </c>
      <c r="H10">
        <v>1</v>
      </c>
      <c r="K10">
        <v>1</v>
      </c>
      <c r="M10">
        <v>3</v>
      </c>
      <c r="Q10">
        <v>16</v>
      </c>
    </row>
    <row r="11" spans="1:17">
      <c r="A11">
        <v>1920</v>
      </c>
      <c r="B11" t="s">
        <v>2883</v>
      </c>
      <c r="F11">
        <v>9</v>
      </c>
      <c r="G11">
        <v>4</v>
      </c>
      <c r="H11">
        <v>2</v>
      </c>
      <c r="K11">
        <v>2</v>
      </c>
      <c r="M11">
        <v>2</v>
      </c>
      <c r="N11">
        <v>5</v>
      </c>
      <c r="Q11">
        <v>24</v>
      </c>
    </row>
    <row r="12" spans="1:17">
      <c r="A12">
        <v>1940</v>
      </c>
      <c r="B12" t="s">
        <v>2883</v>
      </c>
      <c r="C12">
        <v>4</v>
      </c>
      <c r="F12">
        <v>8</v>
      </c>
      <c r="G12">
        <v>5</v>
      </c>
      <c r="H12">
        <v>2</v>
      </c>
      <c r="I12">
        <v>2</v>
      </c>
      <c r="L12">
        <v>1</v>
      </c>
      <c r="M12">
        <v>1</v>
      </c>
      <c r="N12">
        <v>6</v>
      </c>
      <c r="O12">
        <v>1</v>
      </c>
      <c r="Q12">
        <v>30</v>
      </c>
    </row>
    <row r="13" spans="1:17">
      <c r="A13">
        <v>1960</v>
      </c>
      <c r="B13" t="s">
        <v>2883</v>
      </c>
      <c r="C13">
        <v>1</v>
      </c>
      <c r="F13">
        <v>6</v>
      </c>
      <c r="G13">
        <v>2</v>
      </c>
      <c r="H13">
        <v>2</v>
      </c>
      <c r="I13">
        <v>3</v>
      </c>
      <c r="K13">
        <v>2</v>
      </c>
      <c r="N13">
        <v>8</v>
      </c>
      <c r="O13">
        <v>3</v>
      </c>
      <c r="Q13">
        <v>27</v>
      </c>
    </row>
    <row r="14" spans="1:17">
      <c r="A14">
        <v>1980</v>
      </c>
      <c r="B14" t="s">
        <v>2883</v>
      </c>
      <c r="C14">
        <v>1</v>
      </c>
      <c r="D14">
        <v>2</v>
      </c>
      <c r="F14">
        <v>9</v>
      </c>
      <c r="H14">
        <v>1</v>
      </c>
      <c r="I14">
        <v>2</v>
      </c>
      <c r="L14">
        <v>2</v>
      </c>
      <c r="N14">
        <v>1</v>
      </c>
      <c r="O14">
        <v>2</v>
      </c>
      <c r="P14">
        <v>1</v>
      </c>
      <c r="Q14">
        <v>21</v>
      </c>
    </row>
    <row r="15" spans="1:17">
      <c r="A15">
        <v>2000</v>
      </c>
      <c r="B15" t="s">
        <v>2883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3</v>
      </c>
      <c r="N15">
        <v>1</v>
      </c>
      <c r="O15">
        <v>3</v>
      </c>
      <c r="P15">
        <v>1</v>
      </c>
      <c r="Q15">
        <v>42</v>
      </c>
    </row>
    <row r="16" spans="1:17">
      <c r="A16">
        <v>2020</v>
      </c>
      <c r="B16" t="s">
        <v>2883</v>
      </c>
      <c r="F16">
        <v>14</v>
      </c>
      <c r="G16">
        <v>1</v>
      </c>
      <c r="H16">
        <v>1</v>
      </c>
      <c r="I16">
        <v>1</v>
      </c>
      <c r="J16">
        <v>3</v>
      </c>
      <c r="O16">
        <v>1</v>
      </c>
      <c r="Q16">
        <v>21</v>
      </c>
    </row>
    <row r="17" spans="1:17">
      <c r="A17">
        <v>2040</v>
      </c>
      <c r="B17" t="s">
        <v>2883</v>
      </c>
      <c r="E17">
        <v>1</v>
      </c>
      <c r="Q17">
        <v>1</v>
      </c>
    </row>
    <row r="18" spans="1:17">
      <c r="A18" t="s">
        <v>3423</v>
      </c>
      <c r="C18">
        <v>7</v>
      </c>
      <c r="D18">
        <v>8</v>
      </c>
      <c r="E18">
        <v>1</v>
      </c>
      <c r="F18">
        <v>86</v>
      </c>
      <c r="G18">
        <v>21</v>
      </c>
      <c r="H18">
        <v>13</v>
      </c>
      <c r="I18">
        <v>12</v>
      </c>
      <c r="J18">
        <v>4</v>
      </c>
      <c r="K18">
        <v>6</v>
      </c>
      <c r="L18">
        <v>6</v>
      </c>
      <c r="M18">
        <v>10</v>
      </c>
      <c r="N18">
        <v>22</v>
      </c>
      <c r="O18">
        <v>10</v>
      </c>
      <c r="P18">
        <v>2</v>
      </c>
      <c r="Q18">
        <v>208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1:Q18"/>
  <sheetViews>
    <sheetView workbookViewId="0">
      <selection activeCell="D7" sqref="D7"/>
    </sheetView>
  </sheetViews>
  <sheetFormatPr defaultColWidth="7.69140625" defaultRowHeight="14.6"/>
  <cols>
    <col min="2" max="2" width="9.9218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874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2883</v>
      </c>
      <c r="G7">
        <v>1</v>
      </c>
      <c r="H7">
        <v>1</v>
      </c>
      <c r="N7">
        <v>1</v>
      </c>
      <c r="Q7">
        <v>3</v>
      </c>
    </row>
    <row r="8" spans="1:17">
      <c r="A8">
        <v>1860</v>
      </c>
      <c r="B8" t="s">
        <v>2883</v>
      </c>
      <c r="N8">
        <v>3</v>
      </c>
      <c r="Q8">
        <v>3</v>
      </c>
    </row>
    <row r="9" spans="1:17">
      <c r="A9">
        <v>1880</v>
      </c>
      <c r="B9" t="s">
        <v>2883</v>
      </c>
      <c r="F9">
        <v>5</v>
      </c>
      <c r="N9">
        <v>1</v>
      </c>
      <c r="O9">
        <v>1</v>
      </c>
      <c r="P9">
        <v>2</v>
      </c>
      <c r="Q9">
        <v>9</v>
      </c>
    </row>
    <row r="10" spans="1:17">
      <c r="A10">
        <v>1900</v>
      </c>
      <c r="B10" t="s">
        <v>2883</v>
      </c>
      <c r="C10">
        <v>3</v>
      </c>
      <c r="D10">
        <v>4</v>
      </c>
      <c r="F10">
        <v>3</v>
      </c>
      <c r="G10">
        <v>1</v>
      </c>
      <c r="H10">
        <v>1</v>
      </c>
      <c r="K10">
        <v>2</v>
      </c>
      <c r="N10">
        <v>2</v>
      </c>
      <c r="P10">
        <v>2</v>
      </c>
      <c r="Q10">
        <v>18</v>
      </c>
    </row>
    <row r="11" spans="1:17">
      <c r="A11">
        <v>1920</v>
      </c>
      <c r="B11" t="s">
        <v>2883</v>
      </c>
      <c r="C11">
        <v>3</v>
      </c>
      <c r="F11">
        <v>9</v>
      </c>
      <c r="G11">
        <v>3</v>
      </c>
      <c r="H11">
        <v>2</v>
      </c>
      <c r="K11">
        <v>1</v>
      </c>
      <c r="M11">
        <v>3</v>
      </c>
      <c r="N11">
        <v>2</v>
      </c>
      <c r="O11">
        <v>3</v>
      </c>
      <c r="P11">
        <v>1</v>
      </c>
      <c r="Q11">
        <v>27</v>
      </c>
    </row>
    <row r="12" spans="1:17">
      <c r="A12">
        <v>1940</v>
      </c>
      <c r="B12" t="s">
        <v>2883</v>
      </c>
      <c r="C12">
        <v>4</v>
      </c>
      <c r="F12">
        <v>8</v>
      </c>
      <c r="G12">
        <v>2</v>
      </c>
      <c r="H12">
        <v>1</v>
      </c>
      <c r="K12">
        <v>1</v>
      </c>
      <c r="N12">
        <v>7</v>
      </c>
      <c r="O12">
        <v>3</v>
      </c>
      <c r="P12">
        <v>2</v>
      </c>
      <c r="Q12">
        <v>28</v>
      </c>
    </row>
    <row r="13" spans="1:17">
      <c r="A13">
        <v>1960</v>
      </c>
      <c r="B13" t="s">
        <v>2883</v>
      </c>
      <c r="C13">
        <v>1</v>
      </c>
      <c r="F13">
        <v>6</v>
      </c>
      <c r="G13">
        <v>1</v>
      </c>
      <c r="H13">
        <v>1</v>
      </c>
      <c r="I13">
        <v>5</v>
      </c>
      <c r="K13">
        <v>2</v>
      </c>
      <c r="L13">
        <v>2</v>
      </c>
      <c r="N13">
        <v>3</v>
      </c>
      <c r="O13">
        <v>1</v>
      </c>
      <c r="P13">
        <v>2</v>
      </c>
      <c r="Q13">
        <v>24</v>
      </c>
    </row>
    <row r="14" spans="1:17">
      <c r="A14">
        <v>1980</v>
      </c>
      <c r="B14" t="s">
        <v>2883</v>
      </c>
      <c r="C14">
        <v>3</v>
      </c>
      <c r="D14">
        <v>2</v>
      </c>
      <c r="F14">
        <v>9</v>
      </c>
      <c r="H14">
        <v>1</v>
      </c>
      <c r="I14">
        <v>4</v>
      </c>
      <c r="K14">
        <v>1</v>
      </c>
      <c r="O14">
        <v>4</v>
      </c>
      <c r="P14">
        <v>2</v>
      </c>
      <c r="Q14">
        <v>26</v>
      </c>
    </row>
    <row r="15" spans="1:17">
      <c r="A15">
        <v>2000</v>
      </c>
      <c r="B15" t="s">
        <v>2883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1</v>
      </c>
      <c r="N15">
        <v>1</v>
      </c>
      <c r="O15">
        <v>3</v>
      </c>
      <c r="P15">
        <v>1</v>
      </c>
      <c r="Q15">
        <v>40</v>
      </c>
    </row>
    <row r="16" spans="1:17">
      <c r="A16">
        <v>2020</v>
      </c>
      <c r="B16" t="s">
        <v>2883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2883</v>
      </c>
      <c r="E17">
        <v>1</v>
      </c>
      <c r="Q17">
        <v>1</v>
      </c>
    </row>
    <row r="18" spans="1:17">
      <c r="A18" t="s">
        <v>3423</v>
      </c>
      <c r="C18">
        <v>14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3</v>
      </c>
      <c r="M18">
        <v>3</v>
      </c>
      <c r="N18">
        <v>20</v>
      </c>
      <c r="O18">
        <v>15</v>
      </c>
      <c r="P18">
        <v>12</v>
      </c>
      <c r="Q18">
        <v>208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Q18"/>
  <sheetViews>
    <sheetView workbookViewId="0">
      <selection activeCell="L4" sqref="L4:L18"/>
      <pivotSelection pane="bottomRight" showHeader="1" extendable="1" start="9" max="14" activeRow="3" activeCol="11" click="1" r:id="rId1">
        <pivotArea dataOnly="0" outline="0" fieldPosition="0">
          <references count="2">
            <reference field="1" count="1" selected="0">
              <x v="0"/>
            </reference>
            <reference field="3" count="1">
              <x v="30"/>
            </reference>
          </references>
        </pivotArea>
      </pivotSelection>
    </sheetView>
  </sheetViews>
  <sheetFormatPr defaultColWidth="7.69140625" defaultRowHeight="14.6"/>
  <cols>
    <col min="2" max="2" width="9.76562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876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3063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2883</v>
      </c>
      <c r="G7">
        <v>1</v>
      </c>
      <c r="H7">
        <v>1</v>
      </c>
      <c r="M7">
        <v>3</v>
      </c>
      <c r="Q7">
        <v>5</v>
      </c>
    </row>
    <row r="8" spans="1:17">
      <c r="A8">
        <v>1860</v>
      </c>
      <c r="B8" t="s">
        <v>2883</v>
      </c>
      <c r="M8">
        <v>2</v>
      </c>
      <c r="Q8">
        <v>2</v>
      </c>
    </row>
    <row r="9" spans="1:17">
      <c r="A9">
        <v>1880</v>
      </c>
      <c r="B9" t="s">
        <v>2883</v>
      </c>
      <c r="F9">
        <v>5</v>
      </c>
      <c r="N9">
        <v>1</v>
      </c>
      <c r="Q9">
        <v>6</v>
      </c>
    </row>
    <row r="10" spans="1:17">
      <c r="A10">
        <v>1900</v>
      </c>
      <c r="B10" t="s">
        <v>2883</v>
      </c>
      <c r="D10">
        <v>4</v>
      </c>
      <c r="F10">
        <v>3</v>
      </c>
      <c r="G10">
        <v>1</v>
      </c>
      <c r="H10">
        <v>1</v>
      </c>
      <c r="N10">
        <v>4</v>
      </c>
      <c r="O10">
        <v>1</v>
      </c>
      <c r="P10">
        <v>1</v>
      </c>
      <c r="Q10">
        <v>15</v>
      </c>
    </row>
    <row r="11" spans="1:17">
      <c r="A11">
        <v>1920</v>
      </c>
      <c r="B11" t="s">
        <v>2883</v>
      </c>
      <c r="C11">
        <v>1</v>
      </c>
      <c r="F11">
        <v>9</v>
      </c>
      <c r="G11">
        <v>3</v>
      </c>
      <c r="H11">
        <v>2</v>
      </c>
      <c r="K11">
        <v>2</v>
      </c>
      <c r="N11">
        <v>4</v>
      </c>
      <c r="O11">
        <v>1</v>
      </c>
      <c r="Q11">
        <v>22</v>
      </c>
    </row>
    <row r="12" spans="1:17">
      <c r="A12">
        <v>1940</v>
      </c>
      <c r="B12" t="s">
        <v>2883</v>
      </c>
      <c r="C12">
        <v>2</v>
      </c>
      <c r="F12">
        <v>8</v>
      </c>
      <c r="G12">
        <v>2</v>
      </c>
      <c r="H12">
        <v>1</v>
      </c>
      <c r="N12">
        <v>4</v>
      </c>
      <c r="Q12">
        <v>17</v>
      </c>
    </row>
    <row r="13" spans="1:17">
      <c r="A13">
        <v>1960</v>
      </c>
      <c r="B13" t="s">
        <v>2883</v>
      </c>
      <c r="C13">
        <v>2</v>
      </c>
      <c r="F13">
        <v>6</v>
      </c>
      <c r="G13">
        <v>1</v>
      </c>
      <c r="H13">
        <v>1</v>
      </c>
      <c r="I13">
        <v>5</v>
      </c>
      <c r="K13">
        <v>3</v>
      </c>
      <c r="L13">
        <v>1</v>
      </c>
      <c r="N13">
        <v>4</v>
      </c>
      <c r="O13">
        <v>1</v>
      </c>
      <c r="P13">
        <v>1</v>
      </c>
      <c r="Q13">
        <v>25</v>
      </c>
    </row>
    <row r="14" spans="1:17">
      <c r="A14">
        <v>1980</v>
      </c>
      <c r="B14" t="s">
        <v>2883</v>
      </c>
      <c r="C14">
        <v>1</v>
      </c>
      <c r="D14">
        <v>2</v>
      </c>
      <c r="F14">
        <v>9</v>
      </c>
      <c r="H14">
        <v>1</v>
      </c>
      <c r="I14">
        <v>4</v>
      </c>
      <c r="K14">
        <v>1</v>
      </c>
      <c r="N14">
        <v>2</v>
      </c>
      <c r="O14">
        <v>2</v>
      </c>
      <c r="P14">
        <v>2</v>
      </c>
      <c r="Q14">
        <v>24</v>
      </c>
    </row>
    <row r="15" spans="1:17">
      <c r="A15">
        <v>2000</v>
      </c>
      <c r="B15" t="s">
        <v>2883</v>
      </c>
      <c r="D15">
        <v>2</v>
      </c>
      <c r="F15">
        <v>25</v>
      </c>
      <c r="H15">
        <v>1</v>
      </c>
      <c r="I15">
        <v>4</v>
      </c>
      <c r="J15">
        <v>1</v>
      </c>
      <c r="K15">
        <v>2</v>
      </c>
      <c r="N15">
        <v>2</v>
      </c>
      <c r="P15">
        <v>2</v>
      </c>
      <c r="Q15">
        <v>39</v>
      </c>
    </row>
    <row r="16" spans="1:17">
      <c r="A16">
        <v>2020</v>
      </c>
      <c r="B16" t="s">
        <v>2883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2883</v>
      </c>
      <c r="E17">
        <v>1</v>
      </c>
      <c r="Q17">
        <v>1</v>
      </c>
    </row>
    <row r="18" spans="1:17">
      <c r="A18" t="s">
        <v>3423</v>
      </c>
      <c r="C18">
        <v>6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1</v>
      </c>
      <c r="M18">
        <v>5</v>
      </c>
      <c r="N18">
        <v>21</v>
      </c>
      <c r="O18">
        <v>5</v>
      </c>
      <c r="P18">
        <v>6</v>
      </c>
      <c r="Q18">
        <v>185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D13" sqref="D13"/>
    </sheetView>
  </sheetViews>
  <sheetFormatPr defaultColWidth="7.69140625" defaultRowHeight="14.6"/>
  <cols>
    <col min="2" max="2" width="8.07421875" bestFit="1" customWidth="1"/>
    <col min="3" max="17" width="7.69140625" bestFit="1" customWidth="1"/>
    <col min="19" max="19" width="10.4609375" bestFit="1" customWidth="1"/>
  </cols>
  <sheetData>
    <row r="1" spans="1:19">
      <c r="A1" s="33" t="s">
        <v>3415</v>
      </c>
      <c r="B1" t="s">
        <v>3422</v>
      </c>
    </row>
    <row r="3" spans="1:19">
      <c r="A3" s="33" t="s">
        <v>2877</v>
      </c>
      <c r="C3" s="33" t="s">
        <v>2224</v>
      </c>
    </row>
    <row r="4" spans="1:19" s="1" customFormat="1" ht="72.900000000000006">
      <c r="A4" s="48" t="s">
        <v>2881</v>
      </c>
      <c r="B4" s="48" t="s">
        <v>877</v>
      </c>
      <c r="C4" s="1" t="s">
        <v>2875</v>
      </c>
      <c r="D4" s="1" t="s">
        <v>2879</v>
      </c>
      <c r="E4" s="1" t="s">
        <v>2876</v>
      </c>
      <c r="F4" s="1" t="s">
        <v>2880</v>
      </c>
      <c r="G4" s="1" t="s">
        <v>2884</v>
      </c>
      <c r="H4" s="1" t="s">
        <v>2965</v>
      </c>
      <c r="I4" s="1" t="s">
        <v>3064</v>
      </c>
      <c r="J4" s="1" t="s">
        <v>2966</v>
      </c>
      <c r="K4" s="1" t="s">
        <v>2967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s="1" t="s">
        <v>3300</v>
      </c>
      <c r="R4" s="1" t="s">
        <v>3301</v>
      </c>
      <c r="S4" t="s">
        <v>3423</v>
      </c>
    </row>
    <row r="5" spans="1:19">
      <c r="A5">
        <v>1660</v>
      </c>
      <c r="B5" t="s">
        <v>2883</v>
      </c>
      <c r="G5">
        <v>2</v>
      </c>
      <c r="S5">
        <v>2</v>
      </c>
    </row>
    <row r="6" spans="1:19">
      <c r="A6">
        <v>1820</v>
      </c>
      <c r="B6" t="s">
        <v>2883</v>
      </c>
      <c r="G6">
        <v>5</v>
      </c>
      <c r="H6">
        <v>2</v>
      </c>
      <c r="I6">
        <v>1</v>
      </c>
      <c r="S6">
        <v>8</v>
      </c>
    </row>
    <row r="7" spans="1:19">
      <c r="A7">
        <v>1840</v>
      </c>
      <c r="B7" t="s">
        <v>2883</v>
      </c>
      <c r="H7">
        <v>4</v>
      </c>
      <c r="I7">
        <v>2</v>
      </c>
      <c r="N7">
        <v>1</v>
      </c>
      <c r="S7">
        <v>7</v>
      </c>
    </row>
    <row r="8" spans="1:19">
      <c r="A8">
        <v>1880</v>
      </c>
      <c r="B8" t="s">
        <v>2883</v>
      </c>
      <c r="G8">
        <v>5</v>
      </c>
      <c r="N8">
        <v>3</v>
      </c>
      <c r="O8">
        <v>1</v>
      </c>
      <c r="S8">
        <v>9</v>
      </c>
    </row>
    <row r="9" spans="1:19">
      <c r="A9">
        <v>1900</v>
      </c>
      <c r="B9" t="s">
        <v>2883</v>
      </c>
      <c r="C9">
        <v>1</v>
      </c>
      <c r="D9">
        <v>4</v>
      </c>
      <c r="G9">
        <v>3</v>
      </c>
      <c r="H9">
        <v>3</v>
      </c>
      <c r="I9">
        <v>1</v>
      </c>
      <c r="O9">
        <v>3</v>
      </c>
      <c r="S9">
        <v>15</v>
      </c>
    </row>
    <row r="10" spans="1:19">
      <c r="A10">
        <v>1920</v>
      </c>
      <c r="B10" t="s">
        <v>2883</v>
      </c>
      <c r="C10">
        <v>1</v>
      </c>
      <c r="G10">
        <v>9</v>
      </c>
      <c r="H10">
        <v>6</v>
      </c>
      <c r="I10">
        <v>3</v>
      </c>
      <c r="L10">
        <v>1</v>
      </c>
      <c r="N10">
        <v>3</v>
      </c>
      <c r="O10">
        <v>3</v>
      </c>
      <c r="Q10">
        <v>2</v>
      </c>
      <c r="S10">
        <v>28</v>
      </c>
    </row>
    <row r="11" spans="1:19">
      <c r="A11">
        <v>1940</v>
      </c>
      <c r="B11" t="s">
        <v>2883</v>
      </c>
      <c r="C11">
        <v>3</v>
      </c>
      <c r="G11">
        <v>8</v>
      </c>
      <c r="H11">
        <v>8</v>
      </c>
      <c r="I11">
        <v>3</v>
      </c>
      <c r="J11">
        <v>2</v>
      </c>
      <c r="L11">
        <v>2</v>
      </c>
      <c r="O11">
        <v>5</v>
      </c>
      <c r="P11">
        <v>1</v>
      </c>
      <c r="Q11">
        <v>1</v>
      </c>
      <c r="S11">
        <v>33</v>
      </c>
    </row>
    <row r="12" spans="1:19">
      <c r="A12">
        <v>1960</v>
      </c>
      <c r="B12" t="s">
        <v>2883</v>
      </c>
      <c r="C12">
        <v>2</v>
      </c>
      <c r="G12">
        <v>6</v>
      </c>
      <c r="H12">
        <v>5</v>
      </c>
      <c r="I12">
        <v>3</v>
      </c>
      <c r="J12">
        <v>3</v>
      </c>
      <c r="L12">
        <v>2</v>
      </c>
      <c r="M12">
        <v>4</v>
      </c>
      <c r="O12">
        <v>8</v>
      </c>
      <c r="P12">
        <v>3</v>
      </c>
      <c r="S12">
        <v>36</v>
      </c>
    </row>
    <row r="13" spans="1:19">
      <c r="A13">
        <v>1980</v>
      </c>
      <c r="B13" t="s">
        <v>2883</v>
      </c>
      <c r="C13">
        <v>4</v>
      </c>
      <c r="D13">
        <v>2</v>
      </c>
      <c r="F13">
        <v>1</v>
      </c>
      <c r="G13">
        <v>9</v>
      </c>
      <c r="I13">
        <v>1</v>
      </c>
      <c r="J13">
        <v>2</v>
      </c>
      <c r="L13">
        <v>2</v>
      </c>
      <c r="M13">
        <v>5</v>
      </c>
      <c r="N13">
        <v>1</v>
      </c>
      <c r="O13">
        <v>3</v>
      </c>
      <c r="P13">
        <v>2</v>
      </c>
      <c r="Q13">
        <v>6</v>
      </c>
      <c r="S13">
        <v>38</v>
      </c>
    </row>
    <row r="14" spans="1:19">
      <c r="A14">
        <v>2000</v>
      </c>
      <c r="B14" t="s">
        <v>2883</v>
      </c>
      <c r="C14">
        <v>4</v>
      </c>
      <c r="D14">
        <v>2</v>
      </c>
      <c r="E14">
        <v>2</v>
      </c>
      <c r="G14">
        <v>25</v>
      </c>
      <c r="I14">
        <v>1</v>
      </c>
      <c r="J14">
        <v>4</v>
      </c>
      <c r="K14">
        <v>1</v>
      </c>
      <c r="L14">
        <v>2</v>
      </c>
      <c r="M14">
        <v>3</v>
      </c>
      <c r="O14">
        <v>2</v>
      </c>
      <c r="P14">
        <v>4</v>
      </c>
      <c r="Q14">
        <v>5</v>
      </c>
      <c r="R14">
        <v>1</v>
      </c>
      <c r="S14">
        <v>56</v>
      </c>
    </row>
    <row r="15" spans="1:19">
      <c r="A15">
        <v>2020</v>
      </c>
      <c r="B15" t="s">
        <v>2883</v>
      </c>
      <c r="E15">
        <v>1</v>
      </c>
      <c r="G15">
        <v>14</v>
      </c>
      <c r="H15">
        <v>1</v>
      </c>
      <c r="I15">
        <v>1</v>
      </c>
      <c r="J15">
        <v>1</v>
      </c>
      <c r="K15">
        <v>3</v>
      </c>
      <c r="S15">
        <v>21</v>
      </c>
    </row>
    <row r="16" spans="1:19">
      <c r="A16">
        <v>2040</v>
      </c>
      <c r="B16" t="s">
        <v>2883</v>
      </c>
      <c r="E16">
        <v>1</v>
      </c>
      <c r="S16">
        <v>1</v>
      </c>
    </row>
    <row r="17" spans="1:19">
      <c r="A17" t="s">
        <v>3423</v>
      </c>
      <c r="C17">
        <v>15</v>
      </c>
      <c r="D17">
        <v>8</v>
      </c>
      <c r="E17">
        <v>4</v>
      </c>
      <c r="F17">
        <v>1</v>
      </c>
      <c r="G17">
        <v>86</v>
      </c>
      <c r="H17">
        <v>29</v>
      </c>
      <c r="I17">
        <v>16</v>
      </c>
      <c r="J17">
        <v>12</v>
      </c>
      <c r="K17">
        <v>4</v>
      </c>
      <c r="L17">
        <v>9</v>
      </c>
      <c r="M17">
        <v>12</v>
      </c>
      <c r="N17">
        <v>8</v>
      </c>
      <c r="O17">
        <v>25</v>
      </c>
      <c r="P17">
        <v>10</v>
      </c>
      <c r="Q17">
        <v>14</v>
      </c>
      <c r="R17">
        <v>1</v>
      </c>
      <c r="S17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8"/>
  <sheetViews>
    <sheetView workbookViewId="0">
      <selection activeCell="O12" sqref="O12:O14"/>
    </sheetView>
  </sheetViews>
  <sheetFormatPr defaultColWidth="7.69140625" defaultRowHeight="14.6"/>
  <cols>
    <col min="2" max="2" width="10.61328125" bestFit="1" customWidth="1"/>
    <col min="3" max="17" width="7.4609375" bestFit="1" customWidth="1"/>
    <col min="18" max="18" width="10.4609375" bestFit="1" customWidth="1"/>
  </cols>
  <sheetData>
    <row r="1" spans="1:18">
      <c r="A1" s="33" t="s">
        <v>3415</v>
      </c>
      <c r="B1" t="s">
        <v>3422</v>
      </c>
    </row>
    <row r="3" spans="1:18">
      <c r="A3" s="33" t="s">
        <v>2877</v>
      </c>
      <c r="C3" s="33" t="s">
        <v>2224</v>
      </c>
    </row>
    <row r="4" spans="1:18" s="1" customFormat="1" ht="72.900000000000006">
      <c r="A4" s="48" t="s">
        <v>2881</v>
      </c>
      <c r="B4" s="48" t="s">
        <v>871</v>
      </c>
      <c r="C4" s="1" t="s">
        <v>2875</v>
      </c>
      <c r="D4" s="1" t="s">
        <v>2879</v>
      </c>
      <c r="E4" s="1" t="s">
        <v>2876</v>
      </c>
      <c r="F4" s="1" t="s">
        <v>2880</v>
      </c>
      <c r="G4" s="1" t="s">
        <v>2884</v>
      </c>
      <c r="H4" s="1" t="s">
        <v>2965</v>
      </c>
      <c r="I4" s="1" t="s">
        <v>3064</v>
      </c>
      <c r="J4" s="1" t="s">
        <v>2966</v>
      </c>
      <c r="K4" s="1" t="s">
        <v>2967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s="1" t="s">
        <v>3300</v>
      </c>
      <c r="R4" t="s">
        <v>3423</v>
      </c>
    </row>
    <row r="5" spans="1:18">
      <c r="A5">
        <v>1660</v>
      </c>
      <c r="B5" t="s">
        <v>2883</v>
      </c>
      <c r="G5">
        <v>2</v>
      </c>
      <c r="R5">
        <v>2</v>
      </c>
    </row>
    <row r="6" spans="1:18">
      <c r="A6">
        <v>1820</v>
      </c>
      <c r="B6" t="s">
        <v>2883</v>
      </c>
      <c r="G6">
        <v>5</v>
      </c>
      <c r="H6">
        <v>2</v>
      </c>
      <c r="I6">
        <v>1</v>
      </c>
      <c r="R6">
        <v>8</v>
      </c>
    </row>
    <row r="7" spans="1:18">
      <c r="A7">
        <v>1840</v>
      </c>
      <c r="B7" t="s">
        <v>2883</v>
      </c>
      <c r="H7">
        <v>5</v>
      </c>
      <c r="I7">
        <v>3</v>
      </c>
      <c r="N7">
        <v>1</v>
      </c>
      <c r="R7">
        <v>9</v>
      </c>
    </row>
    <row r="8" spans="1:18">
      <c r="A8">
        <v>1860</v>
      </c>
      <c r="B8" t="s">
        <v>2883</v>
      </c>
      <c r="H8">
        <v>4</v>
      </c>
      <c r="I8">
        <v>1</v>
      </c>
      <c r="N8">
        <v>1</v>
      </c>
      <c r="O8">
        <v>2</v>
      </c>
      <c r="R8">
        <v>8</v>
      </c>
    </row>
    <row r="9" spans="1:18">
      <c r="A9">
        <v>1880</v>
      </c>
      <c r="B9" t="s">
        <v>2883</v>
      </c>
      <c r="G9">
        <v>5</v>
      </c>
      <c r="L9">
        <v>1</v>
      </c>
      <c r="O9">
        <v>4</v>
      </c>
      <c r="R9">
        <v>10</v>
      </c>
    </row>
    <row r="10" spans="1:18">
      <c r="A10">
        <v>1900</v>
      </c>
      <c r="B10" t="s">
        <v>2883</v>
      </c>
      <c r="D10">
        <v>4</v>
      </c>
      <c r="G10">
        <v>3</v>
      </c>
      <c r="H10">
        <v>5</v>
      </c>
      <c r="I10">
        <v>3</v>
      </c>
      <c r="L10">
        <v>3</v>
      </c>
      <c r="N10">
        <v>1</v>
      </c>
      <c r="O10">
        <v>3</v>
      </c>
      <c r="R10">
        <v>22</v>
      </c>
    </row>
    <row r="11" spans="1:18">
      <c r="A11">
        <v>1920</v>
      </c>
      <c r="B11" t="s">
        <v>2883</v>
      </c>
      <c r="C11">
        <v>2</v>
      </c>
      <c r="G11">
        <v>9</v>
      </c>
      <c r="H11">
        <v>8</v>
      </c>
      <c r="I11">
        <v>4</v>
      </c>
      <c r="L11">
        <v>5</v>
      </c>
      <c r="N11">
        <v>1</v>
      </c>
      <c r="O11">
        <v>4</v>
      </c>
      <c r="P11">
        <v>2</v>
      </c>
      <c r="R11">
        <v>35</v>
      </c>
    </row>
    <row r="12" spans="1:18">
      <c r="A12">
        <v>1940</v>
      </c>
      <c r="B12" t="s">
        <v>2883</v>
      </c>
      <c r="C12">
        <v>4</v>
      </c>
      <c r="G12">
        <v>8</v>
      </c>
      <c r="H12">
        <v>3</v>
      </c>
      <c r="I12">
        <v>2</v>
      </c>
      <c r="J12">
        <v>1</v>
      </c>
      <c r="L12">
        <v>5</v>
      </c>
      <c r="M12">
        <v>2</v>
      </c>
      <c r="N12">
        <v>1</v>
      </c>
      <c r="O12">
        <v>11</v>
      </c>
      <c r="P12">
        <v>2</v>
      </c>
      <c r="R12">
        <v>39</v>
      </c>
    </row>
    <row r="13" spans="1:18">
      <c r="A13">
        <v>1960</v>
      </c>
      <c r="B13" t="s">
        <v>2883</v>
      </c>
      <c r="C13">
        <v>1</v>
      </c>
      <c r="G13">
        <v>6</v>
      </c>
      <c r="H13">
        <v>2</v>
      </c>
      <c r="I13">
        <v>3</v>
      </c>
      <c r="J13">
        <v>6</v>
      </c>
      <c r="L13">
        <v>5</v>
      </c>
      <c r="M13">
        <v>2</v>
      </c>
      <c r="O13">
        <v>13</v>
      </c>
      <c r="P13">
        <v>2</v>
      </c>
      <c r="Q13">
        <v>1</v>
      </c>
      <c r="R13">
        <v>41</v>
      </c>
    </row>
    <row r="14" spans="1:18">
      <c r="A14">
        <v>1980</v>
      </c>
      <c r="B14" t="s">
        <v>2883</v>
      </c>
      <c r="C14">
        <v>2</v>
      </c>
      <c r="D14">
        <v>2</v>
      </c>
      <c r="E14">
        <v>1</v>
      </c>
      <c r="G14">
        <v>9</v>
      </c>
      <c r="H14">
        <v>4</v>
      </c>
      <c r="I14">
        <v>2</v>
      </c>
      <c r="J14">
        <v>5</v>
      </c>
      <c r="L14">
        <v>6</v>
      </c>
      <c r="M14">
        <v>1</v>
      </c>
      <c r="O14">
        <v>12</v>
      </c>
      <c r="P14">
        <v>5</v>
      </c>
      <c r="R14">
        <v>49</v>
      </c>
    </row>
    <row r="15" spans="1:18">
      <c r="A15">
        <v>2000</v>
      </c>
      <c r="B15" t="s">
        <v>2883</v>
      </c>
      <c r="D15">
        <v>2</v>
      </c>
      <c r="F15">
        <v>1</v>
      </c>
      <c r="G15">
        <v>25</v>
      </c>
      <c r="I15">
        <v>1</v>
      </c>
      <c r="J15">
        <v>4</v>
      </c>
      <c r="K15">
        <v>1</v>
      </c>
      <c r="L15">
        <v>3</v>
      </c>
      <c r="M15">
        <v>3</v>
      </c>
      <c r="O15">
        <v>3</v>
      </c>
      <c r="P15">
        <v>2</v>
      </c>
      <c r="R15">
        <v>45</v>
      </c>
    </row>
    <row r="16" spans="1:18">
      <c r="A16">
        <v>2020</v>
      </c>
      <c r="B16" t="s">
        <v>2883</v>
      </c>
      <c r="G16">
        <v>14</v>
      </c>
      <c r="H16">
        <v>1</v>
      </c>
      <c r="I16">
        <v>1</v>
      </c>
      <c r="J16">
        <v>1</v>
      </c>
      <c r="K16">
        <v>3</v>
      </c>
      <c r="L16">
        <v>2</v>
      </c>
      <c r="R16">
        <v>22</v>
      </c>
    </row>
    <row r="17" spans="1:18">
      <c r="A17">
        <v>2040</v>
      </c>
      <c r="B17" t="s">
        <v>2883</v>
      </c>
      <c r="E17">
        <v>1</v>
      </c>
      <c r="R17">
        <v>1</v>
      </c>
    </row>
    <row r="18" spans="1:18">
      <c r="A18" t="s">
        <v>3423</v>
      </c>
      <c r="C18">
        <v>9</v>
      </c>
      <c r="D18">
        <v>8</v>
      </c>
      <c r="E18">
        <v>2</v>
      </c>
      <c r="F18">
        <v>1</v>
      </c>
      <c r="G18">
        <v>86</v>
      </c>
      <c r="H18">
        <v>34</v>
      </c>
      <c r="I18">
        <v>21</v>
      </c>
      <c r="J18">
        <v>17</v>
      </c>
      <c r="K18">
        <v>4</v>
      </c>
      <c r="L18">
        <v>30</v>
      </c>
      <c r="M18">
        <v>8</v>
      </c>
      <c r="N18">
        <v>5</v>
      </c>
      <c r="O18">
        <v>52</v>
      </c>
      <c r="P18">
        <v>13</v>
      </c>
      <c r="Q18">
        <v>1</v>
      </c>
      <c r="R18">
        <v>291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M6" sqref="M6"/>
    </sheetView>
  </sheetViews>
  <sheetFormatPr defaultColWidth="7.69140625" defaultRowHeight="14.6"/>
  <cols>
    <col min="2" max="2" width="12.07421875" bestFit="1" customWidth="1"/>
    <col min="3" max="18" width="7.69140625" bestFit="1" customWidth="1"/>
    <col min="20" max="20" width="10.4609375" bestFit="1" customWidth="1"/>
  </cols>
  <sheetData>
    <row r="1" spans="1:20">
      <c r="A1" s="33" t="s">
        <v>3415</v>
      </c>
      <c r="B1" t="s">
        <v>3422</v>
      </c>
    </row>
    <row r="3" spans="1:20">
      <c r="A3" s="33" t="s">
        <v>2877</v>
      </c>
      <c r="C3" s="33" t="s">
        <v>2224</v>
      </c>
    </row>
    <row r="4" spans="1:20" s="1" customFormat="1" ht="72.900000000000006">
      <c r="A4" s="48" t="s">
        <v>2881</v>
      </c>
      <c r="B4" s="48" t="s">
        <v>869</v>
      </c>
      <c r="C4" s="1" t="s">
        <v>2875</v>
      </c>
      <c r="D4" s="1" t="s">
        <v>2878</v>
      </c>
      <c r="E4" s="1" t="s">
        <v>2879</v>
      </c>
      <c r="F4" s="1" t="s">
        <v>2876</v>
      </c>
      <c r="G4" s="1" t="s">
        <v>2880</v>
      </c>
      <c r="H4" s="1" t="s">
        <v>2884</v>
      </c>
      <c r="I4" s="1" t="s">
        <v>2965</v>
      </c>
      <c r="J4" s="1" t="s">
        <v>3064</v>
      </c>
      <c r="K4" s="1" t="s">
        <v>2966</v>
      </c>
      <c r="L4" s="1" t="s">
        <v>2967</v>
      </c>
      <c r="M4" s="1" t="s">
        <v>3295</v>
      </c>
      <c r="N4" s="1" t="s">
        <v>3296</v>
      </c>
      <c r="O4" s="1" t="s">
        <v>3297</v>
      </c>
      <c r="P4" s="1" t="s">
        <v>3298</v>
      </c>
      <c r="Q4" s="1" t="s">
        <v>3299</v>
      </c>
      <c r="R4" s="1" t="s">
        <v>3300</v>
      </c>
      <c r="S4" s="1" t="s">
        <v>3301</v>
      </c>
      <c r="T4" t="s">
        <v>3423</v>
      </c>
    </row>
    <row r="5" spans="1:20">
      <c r="A5">
        <v>1660</v>
      </c>
      <c r="B5" t="s">
        <v>2883</v>
      </c>
      <c r="H5">
        <v>2</v>
      </c>
      <c r="T5">
        <v>2</v>
      </c>
    </row>
    <row r="6" spans="1:20">
      <c r="A6">
        <v>1820</v>
      </c>
      <c r="B6" t="s">
        <v>2883</v>
      </c>
      <c r="H6">
        <v>5</v>
      </c>
      <c r="I6">
        <v>2</v>
      </c>
      <c r="J6">
        <v>1</v>
      </c>
      <c r="O6">
        <v>1</v>
      </c>
      <c r="T6">
        <v>9</v>
      </c>
    </row>
    <row r="7" spans="1:20">
      <c r="A7">
        <v>1840</v>
      </c>
      <c r="B7" t="s">
        <v>2883</v>
      </c>
      <c r="I7">
        <v>4</v>
      </c>
      <c r="J7">
        <v>2</v>
      </c>
      <c r="O7">
        <v>1</v>
      </c>
      <c r="P7">
        <v>1</v>
      </c>
      <c r="T7">
        <v>8</v>
      </c>
    </row>
    <row r="8" spans="1:20">
      <c r="A8">
        <v>1860</v>
      </c>
      <c r="B8" t="s">
        <v>2883</v>
      </c>
      <c r="P8">
        <v>1</v>
      </c>
      <c r="T8">
        <v>1</v>
      </c>
    </row>
    <row r="9" spans="1:20">
      <c r="A9">
        <v>1880</v>
      </c>
      <c r="B9" t="s">
        <v>2883</v>
      </c>
      <c r="D9">
        <v>1</v>
      </c>
      <c r="H9">
        <v>5</v>
      </c>
      <c r="M9">
        <v>1</v>
      </c>
      <c r="O9">
        <v>3</v>
      </c>
      <c r="P9">
        <v>1</v>
      </c>
      <c r="T9">
        <v>11</v>
      </c>
    </row>
    <row r="10" spans="1:20">
      <c r="A10">
        <v>1900</v>
      </c>
      <c r="B10" t="s">
        <v>2883</v>
      </c>
      <c r="C10">
        <v>2</v>
      </c>
      <c r="E10">
        <v>4</v>
      </c>
      <c r="H10">
        <v>3</v>
      </c>
      <c r="I10">
        <v>3</v>
      </c>
      <c r="J10">
        <v>1</v>
      </c>
      <c r="M10">
        <v>8</v>
      </c>
      <c r="O10">
        <v>4</v>
      </c>
      <c r="P10">
        <v>6</v>
      </c>
      <c r="R10">
        <v>1</v>
      </c>
      <c r="T10">
        <v>32</v>
      </c>
    </row>
    <row r="11" spans="1:20">
      <c r="A11">
        <v>1920</v>
      </c>
      <c r="B11" t="s">
        <v>2883</v>
      </c>
      <c r="C11">
        <v>1</v>
      </c>
      <c r="H11">
        <v>9</v>
      </c>
      <c r="I11">
        <v>4</v>
      </c>
      <c r="J11">
        <v>2</v>
      </c>
      <c r="M11">
        <v>9</v>
      </c>
      <c r="N11">
        <v>2</v>
      </c>
      <c r="O11">
        <v>5</v>
      </c>
      <c r="P11">
        <v>6</v>
      </c>
      <c r="R11">
        <v>1</v>
      </c>
      <c r="T11">
        <v>39</v>
      </c>
    </row>
    <row r="12" spans="1:20">
      <c r="A12">
        <v>1940</v>
      </c>
      <c r="B12" t="s">
        <v>2883</v>
      </c>
      <c r="H12">
        <v>8</v>
      </c>
      <c r="I12">
        <v>5</v>
      </c>
      <c r="J12">
        <v>2</v>
      </c>
      <c r="K12">
        <v>3</v>
      </c>
      <c r="M12">
        <v>7</v>
      </c>
      <c r="N12">
        <v>1</v>
      </c>
      <c r="O12">
        <v>4</v>
      </c>
      <c r="P12">
        <v>9</v>
      </c>
      <c r="R12">
        <v>2</v>
      </c>
      <c r="T12">
        <v>41</v>
      </c>
    </row>
    <row r="13" spans="1:20">
      <c r="A13">
        <v>1960</v>
      </c>
      <c r="B13" t="s">
        <v>2883</v>
      </c>
      <c r="H13">
        <v>6</v>
      </c>
      <c r="I13">
        <v>5</v>
      </c>
      <c r="J13">
        <v>3</v>
      </c>
      <c r="K13">
        <v>3</v>
      </c>
      <c r="M13">
        <v>7</v>
      </c>
      <c r="N13">
        <v>2</v>
      </c>
      <c r="P13">
        <v>5</v>
      </c>
      <c r="Q13">
        <v>5</v>
      </c>
      <c r="R13">
        <v>4</v>
      </c>
      <c r="T13">
        <v>40</v>
      </c>
    </row>
    <row r="14" spans="1:20">
      <c r="A14">
        <v>1980</v>
      </c>
      <c r="B14" t="s">
        <v>2883</v>
      </c>
      <c r="E14">
        <v>2</v>
      </c>
      <c r="G14">
        <v>2</v>
      </c>
      <c r="H14">
        <v>9</v>
      </c>
      <c r="J14">
        <v>1</v>
      </c>
      <c r="K14">
        <v>2</v>
      </c>
      <c r="M14">
        <v>10</v>
      </c>
      <c r="N14">
        <v>3</v>
      </c>
      <c r="P14">
        <v>3</v>
      </c>
      <c r="Q14">
        <v>5</v>
      </c>
      <c r="R14">
        <v>3</v>
      </c>
      <c r="S14">
        <v>1</v>
      </c>
      <c r="T14">
        <v>41</v>
      </c>
    </row>
    <row r="15" spans="1:20">
      <c r="A15">
        <v>2000</v>
      </c>
      <c r="B15" t="s">
        <v>2883</v>
      </c>
      <c r="E15">
        <v>2</v>
      </c>
      <c r="F15">
        <v>2</v>
      </c>
      <c r="H15">
        <v>25</v>
      </c>
      <c r="J15">
        <v>1</v>
      </c>
      <c r="K15">
        <v>4</v>
      </c>
      <c r="L15">
        <v>1</v>
      </c>
      <c r="M15">
        <v>2</v>
      </c>
      <c r="N15">
        <v>3</v>
      </c>
      <c r="P15">
        <v>5</v>
      </c>
      <c r="Q15">
        <v>2</v>
      </c>
      <c r="R15">
        <v>1</v>
      </c>
      <c r="T15">
        <v>48</v>
      </c>
    </row>
    <row r="16" spans="1:20">
      <c r="A16">
        <v>2020</v>
      </c>
      <c r="B16" t="s">
        <v>2883</v>
      </c>
      <c r="F16">
        <v>1</v>
      </c>
      <c r="H16">
        <v>14</v>
      </c>
      <c r="I16">
        <v>1</v>
      </c>
      <c r="J16">
        <v>1</v>
      </c>
      <c r="K16">
        <v>1</v>
      </c>
      <c r="L16">
        <v>3</v>
      </c>
      <c r="T16">
        <v>21</v>
      </c>
    </row>
    <row r="17" spans="1:20">
      <c r="A17">
        <v>2040</v>
      </c>
      <c r="B17" t="s">
        <v>2883</v>
      </c>
      <c r="F17">
        <v>1</v>
      </c>
      <c r="T17">
        <v>1</v>
      </c>
    </row>
    <row r="18" spans="1:20">
      <c r="A18" t="s">
        <v>3423</v>
      </c>
      <c r="C18">
        <v>3</v>
      </c>
      <c r="D18">
        <v>1</v>
      </c>
      <c r="E18">
        <v>8</v>
      </c>
      <c r="F18">
        <v>4</v>
      </c>
      <c r="G18">
        <v>2</v>
      </c>
      <c r="H18">
        <v>86</v>
      </c>
      <c r="I18">
        <v>24</v>
      </c>
      <c r="J18">
        <v>14</v>
      </c>
      <c r="K18">
        <v>13</v>
      </c>
      <c r="L18">
        <v>4</v>
      </c>
      <c r="M18">
        <v>44</v>
      </c>
      <c r="N18">
        <v>11</v>
      </c>
      <c r="O18">
        <v>18</v>
      </c>
      <c r="P18">
        <v>37</v>
      </c>
      <c r="Q18">
        <v>12</v>
      </c>
      <c r="R18">
        <v>12</v>
      </c>
      <c r="S18">
        <v>1</v>
      </c>
      <c r="T18">
        <v>294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Q17"/>
  <sheetViews>
    <sheetView workbookViewId="0">
      <selection activeCell="N11" sqref="N11"/>
    </sheetView>
  </sheetViews>
  <sheetFormatPr defaultColWidth="7.69140625" defaultRowHeight="14.6"/>
  <cols>
    <col min="2" max="2" width="11.46093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875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2883</v>
      </c>
      <c r="G7">
        <v>4</v>
      </c>
      <c r="H7">
        <v>2</v>
      </c>
      <c r="Q7">
        <v>6</v>
      </c>
    </row>
    <row r="8" spans="1:17">
      <c r="A8">
        <v>1880</v>
      </c>
      <c r="B8" t="s">
        <v>2883</v>
      </c>
      <c r="F8">
        <v>5</v>
      </c>
      <c r="M8">
        <v>1</v>
      </c>
      <c r="Q8">
        <v>6</v>
      </c>
    </row>
    <row r="9" spans="1:17">
      <c r="A9">
        <v>1900</v>
      </c>
      <c r="B9" t="s">
        <v>2883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1</v>
      </c>
      <c r="P9">
        <v>1</v>
      </c>
      <c r="Q9">
        <v>15</v>
      </c>
    </row>
    <row r="10" spans="1:17">
      <c r="A10">
        <v>1920</v>
      </c>
      <c r="B10" t="s">
        <v>2883</v>
      </c>
      <c r="C10">
        <v>1</v>
      </c>
      <c r="F10">
        <v>9</v>
      </c>
      <c r="G10">
        <v>4</v>
      </c>
      <c r="H10">
        <v>2</v>
      </c>
      <c r="K10">
        <v>4</v>
      </c>
      <c r="N10">
        <v>2</v>
      </c>
      <c r="O10">
        <v>1</v>
      </c>
      <c r="Q10">
        <v>23</v>
      </c>
    </row>
    <row r="11" spans="1:17">
      <c r="A11">
        <v>1940</v>
      </c>
      <c r="B11" t="s">
        <v>2883</v>
      </c>
      <c r="C11">
        <v>2</v>
      </c>
      <c r="F11">
        <v>8</v>
      </c>
      <c r="G11">
        <v>5</v>
      </c>
      <c r="H11">
        <v>2</v>
      </c>
      <c r="I11">
        <v>3</v>
      </c>
      <c r="K11">
        <v>2</v>
      </c>
      <c r="M11">
        <v>1</v>
      </c>
      <c r="N11">
        <v>3</v>
      </c>
      <c r="Q11">
        <v>26</v>
      </c>
    </row>
    <row r="12" spans="1:17">
      <c r="A12">
        <v>1960</v>
      </c>
      <c r="B12" t="s">
        <v>2883</v>
      </c>
      <c r="C12">
        <v>1</v>
      </c>
      <c r="F12">
        <v>6</v>
      </c>
      <c r="G12">
        <v>5</v>
      </c>
      <c r="H12">
        <v>3</v>
      </c>
      <c r="I12">
        <v>3</v>
      </c>
      <c r="K12">
        <v>4</v>
      </c>
      <c r="N12">
        <v>7</v>
      </c>
      <c r="P12">
        <v>2</v>
      </c>
      <c r="Q12">
        <v>31</v>
      </c>
    </row>
    <row r="13" spans="1:17">
      <c r="A13">
        <v>1980</v>
      </c>
      <c r="B13" t="s">
        <v>2883</v>
      </c>
      <c r="C13">
        <v>4</v>
      </c>
      <c r="D13">
        <v>2</v>
      </c>
      <c r="F13">
        <v>9</v>
      </c>
      <c r="H13">
        <v>1</v>
      </c>
      <c r="I13">
        <v>2</v>
      </c>
      <c r="K13">
        <v>2</v>
      </c>
      <c r="L13">
        <v>1</v>
      </c>
      <c r="N13">
        <v>4</v>
      </c>
      <c r="O13">
        <v>2</v>
      </c>
      <c r="P13">
        <v>1</v>
      </c>
      <c r="Q13">
        <v>28</v>
      </c>
    </row>
    <row r="14" spans="1:17">
      <c r="A14">
        <v>2000</v>
      </c>
      <c r="B14" t="s">
        <v>2883</v>
      </c>
      <c r="D14">
        <v>2</v>
      </c>
      <c r="F14">
        <v>25</v>
      </c>
      <c r="H14">
        <v>1</v>
      </c>
      <c r="I14">
        <v>4</v>
      </c>
      <c r="J14">
        <v>1</v>
      </c>
      <c r="K14">
        <v>4</v>
      </c>
      <c r="L14">
        <v>2</v>
      </c>
      <c r="O14">
        <v>3</v>
      </c>
      <c r="Q14">
        <v>42</v>
      </c>
    </row>
    <row r="15" spans="1:17">
      <c r="A15">
        <v>2020</v>
      </c>
      <c r="B15" t="s">
        <v>2883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Q15">
        <v>21</v>
      </c>
    </row>
    <row r="16" spans="1:17">
      <c r="A16">
        <v>2040</v>
      </c>
      <c r="B16" t="s">
        <v>2883</v>
      </c>
      <c r="E16">
        <v>1</v>
      </c>
      <c r="Q16">
        <v>1</v>
      </c>
    </row>
    <row r="17" spans="1:17">
      <c r="A17" t="s">
        <v>3423</v>
      </c>
      <c r="C17">
        <v>8</v>
      </c>
      <c r="D17">
        <v>8</v>
      </c>
      <c r="E17">
        <v>2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3</v>
      </c>
      <c r="M17">
        <v>3</v>
      </c>
      <c r="N17">
        <v>17</v>
      </c>
      <c r="O17">
        <v>6</v>
      </c>
      <c r="P17">
        <v>4</v>
      </c>
      <c r="Q17">
        <v>209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Q17"/>
  <sheetViews>
    <sheetView workbookViewId="0">
      <selection activeCell="M13" sqref="M13"/>
    </sheetView>
  </sheetViews>
  <sheetFormatPr defaultColWidth="7.69140625" defaultRowHeight="14.6"/>
  <cols>
    <col min="2" max="2" width="12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870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2883</v>
      </c>
      <c r="G7">
        <v>4</v>
      </c>
      <c r="H7">
        <v>2</v>
      </c>
      <c r="Q7">
        <v>6</v>
      </c>
    </row>
    <row r="8" spans="1:17">
      <c r="A8">
        <v>1880</v>
      </c>
      <c r="B8" t="s">
        <v>2883</v>
      </c>
      <c r="F8">
        <v>5</v>
      </c>
      <c r="M8">
        <v>1</v>
      </c>
      <c r="Q8">
        <v>6</v>
      </c>
    </row>
    <row r="9" spans="1:17">
      <c r="A9">
        <v>1900</v>
      </c>
      <c r="B9" t="s">
        <v>2883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2</v>
      </c>
      <c r="Q9">
        <v>15</v>
      </c>
    </row>
    <row r="10" spans="1:17">
      <c r="A10">
        <v>1920</v>
      </c>
      <c r="B10" t="s">
        <v>2883</v>
      </c>
      <c r="C10">
        <v>1</v>
      </c>
      <c r="F10">
        <v>9</v>
      </c>
      <c r="G10">
        <v>4</v>
      </c>
      <c r="H10">
        <v>2</v>
      </c>
      <c r="K10">
        <v>2</v>
      </c>
      <c r="L10">
        <v>1</v>
      </c>
      <c r="M10">
        <v>1</v>
      </c>
      <c r="N10">
        <v>2</v>
      </c>
      <c r="Q10">
        <v>22</v>
      </c>
    </row>
    <row r="11" spans="1:17">
      <c r="A11">
        <v>1940</v>
      </c>
      <c r="B11" t="s">
        <v>2883</v>
      </c>
      <c r="C11">
        <v>1</v>
      </c>
      <c r="F11">
        <v>8</v>
      </c>
      <c r="G11">
        <v>5</v>
      </c>
      <c r="H11">
        <v>2</v>
      </c>
      <c r="I11">
        <v>3</v>
      </c>
      <c r="K11">
        <v>6</v>
      </c>
      <c r="L11">
        <v>1</v>
      </c>
      <c r="N11">
        <v>6</v>
      </c>
      <c r="P11">
        <v>2</v>
      </c>
      <c r="Q11">
        <v>34</v>
      </c>
    </row>
    <row r="12" spans="1:17">
      <c r="A12">
        <v>1960</v>
      </c>
      <c r="B12" t="s">
        <v>2883</v>
      </c>
      <c r="F12">
        <v>6</v>
      </c>
      <c r="G12">
        <v>5</v>
      </c>
      <c r="H12">
        <v>3</v>
      </c>
      <c r="I12">
        <v>3</v>
      </c>
      <c r="K12">
        <v>4</v>
      </c>
      <c r="N12">
        <v>6</v>
      </c>
      <c r="O12">
        <v>1</v>
      </c>
      <c r="P12">
        <v>1</v>
      </c>
      <c r="Q12">
        <v>29</v>
      </c>
    </row>
    <row r="13" spans="1:17">
      <c r="A13">
        <v>1980</v>
      </c>
      <c r="B13" t="s">
        <v>2883</v>
      </c>
      <c r="D13">
        <v>2</v>
      </c>
      <c r="F13">
        <v>9</v>
      </c>
      <c r="H13">
        <v>1</v>
      </c>
      <c r="I13">
        <v>2</v>
      </c>
      <c r="K13">
        <v>4</v>
      </c>
      <c r="L13">
        <v>1</v>
      </c>
      <c r="N13">
        <v>2</v>
      </c>
      <c r="O13">
        <v>3</v>
      </c>
      <c r="P13">
        <v>1</v>
      </c>
      <c r="Q13">
        <v>25</v>
      </c>
    </row>
    <row r="14" spans="1:17">
      <c r="A14">
        <v>2000</v>
      </c>
      <c r="B14" t="s">
        <v>2883</v>
      </c>
      <c r="D14">
        <v>2</v>
      </c>
      <c r="E14">
        <v>2</v>
      </c>
      <c r="F14">
        <v>25</v>
      </c>
      <c r="H14">
        <v>1</v>
      </c>
      <c r="I14">
        <v>4</v>
      </c>
      <c r="J14">
        <v>1</v>
      </c>
      <c r="L14">
        <v>1</v>
      </c>
      <c r="N14">
        <v>1</v>
      </c>
      <c r="O14">
        <v>1</v>
      </c>
      <c r="Q14">
        <v>38</v>
      </c>
    </row>
    <row r="15" spans="1:17">
      <c r="A15">
        <v>2020</v>
      </c>
      <c r="B15" t="s">
        <v>2883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P15">
        <v>1</v>
      </c>
      <c r="Q15">
        <v>22</v>
      </c>
    </row>
    <row r="16" spans="1:17">
      <c r="A16">
        <v>2040</v>
      </c>
      <c r="B16" t="s">
        <v>2883</v>
      </c>
      <c r="E16">
        <v>1</v>
      </c>
      <c r="Q16">
        <v>1</v>
      </c>
    </row>
    <row r="17" spans="1:17">
      <c r="A17" t="s">
        <v>3423</v>
      </c>
      <c r="C17">
        <v>2</v>
      </c>
      <c r="D17">
        <v>8</v>
      </c>
      <c r="E17">
        <v>4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4</v>
      </c>
      <c r="M17">
        <v>3</v>
      </c>
      <c r="N17">
        <v>19</v>
      </c>
      <c r="O17">
        <v>5</v>
      </c>
      <c r="P17">
        <v>5</v>
      </c>
      <c r="Q17">
        <v>208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topLeftCell="H1" workbookViewId="0">
      <selection activeCell="Q1" sqref="Q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  <col min="17" max="17" width="17.4609375" customWidth="1"/>
  </cols>
  <sheetData>
    <row r="1" spans="1:17">
      <c r="A1" s="18" t="s">
        <v>884</v>
      </c>
      <c r="C1" t="s">
        <v>885</v>
      </c>
      <c r="E1" s="12" t="s">
        <v>939</v>
      </c>
      <c r="G1" s="12" t="s">
        <v>940</v>
      </c>
      <c r="I1" t="s">
        <v>3</v>
      </c>
      <c r="K1" t="s">
        <v>938</v>
      </c>
      <c r="M1" s="23" t="s">
        <v>2206</v>
      </c>
      <c r="N1" s="23" t="s">
        <v>2207</v>
      </c>
      <c r="O1" s="24" t="s">
        <v>2924</v>
      </c>
      <c r="Q1" s="1" t="s">
        <v>1</v>
      </c>
    </row>
    <row r="2" spans="1:17">
      <c r="A2" s="16" t="s">
        <v>872</v>
      </c>
      <c r="C2" t="s">
        <v>886</v>
      </c>
      <c r="E2" t="s">
        <v>965</v>
      </c>
      <c r="G2" t="s">
        <v>966</v>
      </c>
      <c r="I2" t="s">
        <v>21</v>
      </c>
      <c r="K2" s="21" t="s">
        <v>897</v>
      </c>
      <c r="M2" s="24" t="s">
        <v>1960</v>
      </c>
      <c r="N2" s="24" t="s">
        <v>1709</v>
      </c>
      <c r="O2" s="24">
        <f>COUNTIF(COUNTRIES[COUNTRY_LABEL],COUNTRIES[[#This Row],[COUNTRY_LABEL]])</f>
        <v>1</v>
      </c>
      <c r="Q2" t="s">
        <v>591</v>
      </c>
    </row>
    <row r="3" spans="1:17">
      <c r="A3" s="17" t="s">
        <v>881</v>
      </c>
      <c r="C3" t="s">
        <v>887</v>
      </c>
      <c r="E3" t="s">
        <v>949</v>
      </c>
      <c r="G3" t="s">
        <v>950</v>
      </c>
      <c r="I3" t="s">
        <v>31</v>
      </c>
      <c r="K3" s="21" t="s">
        <v>900</v>
      </c>
      <c r="M3" s="24" t="s">
        <v>1972</v>
      </c>
      <c r="N3" s="24" t="s">
        <v>1721</v>
      </c>
      <c r="O3" s="24">
        <f>COUNTIF(COUNTRIES[COUNTRY_LABEL],COUNTRIES[[#This Row],[COUNTRY_LABEL]])</f>
        <v>1</v>
      </c>
      <c r="Q3" t="s">
        <v>2925</v>
      </c>
    </row>
    <row r="4" spans="1:17">
      <c r="A4" s="16" t="s">
        <v>878</v>
      </c>
      <c r="E4" t="s">
        <v>943</v>
      </c>
      <c r="G4" t="s">
        <v>944</v>
      </c>
      <c r="I4" t="s">
        <v>70</v>
      </c>
      <c r="K4" s="21" t="s">
        <v>901</v>
      </c>
      <c r="M4" s="24" t="s">
        <v>1963</v>
      </c>
      <c r="N4" s="24" t="s">
        <v>1712</v>
      </c>
      <c r="O4" s="24">
        <f>COUNTIF(COUNTRIES[COUNTRY_LABEL],COUNTRIES[[#This Row],[COUNTRY_LABEL]])</f>
        <v>1</v>
      </c>
      <c r="Q4" t="s">
        <v>2928</v>
      </c>
    </row>
    <row r="5" spans="1:17">
      <c r="A5" s="17" t="s">
        <v>882</v>
      </c>
      <c r="E5" t="s">
        <v>955</v>
      </c>
      <c r="G5" t="s">
        <v>956</v>
      </c>
      <c r="I5" t="s">
        <v>18</v>
      </c>
      <c r="K5" s="21" t="s">
        <v>903</v>
      </c>
      <c r="M5" s="24" t="s">
        <v>2019</v>
      </c>
      <c r="N5" s="24" t="s">
        <v>1768</v>
      </c>
      <c r="O5" s="24">
        <f>COUNTIF(COUNTRIES[COUNTRY_LABEL],COUNTRIES[[#This Row],[COUNTRY_LABEL]])</f>
        <v>1</v>
      </c>
      <c r="Q5" t="s">
        <v>592</v>
      </c>
    </row>
    <row r="6" spans="1:17">
      <c r="A6" s="16" t="s">
        <v>877</v>
      </c>
      <c r="E6" t="s">
        <v>953</v>
      </c>
      <c r="G6" t="s">
        <v>954</v>
      </c>
      <c r="K6" s="21" t="s">
        <v>905</v>
      </c>
      <c r="M6" s="24" t="s">
        <v>1968</v>
      </c>
      <c r="N6" s="24" t="s">
        <v>1717</v>
      </c>
      <c r="O6" s="24">
        <f>COUNTIF(COUNTRIES[COUNTRY_LABEL],COUNTRIES[[#This Row],[COUNTRY_LABEL]])</f>
        <v>1</v>
      </c>
      <c r="Q6" t="s">
        <v>593</v>
      </c>
    </row>
    <row r="7" spans="1:17">
      <c r="A7" s="17" t="s">
        <v>875</v>
      </c>
      <c r="E7" t="s">
        <v>945</v>
      </c>
      <c r="G7" t="s">
        <v>946</v>
      </c>
      <c r="K7" s="21" t="s">
        <v>907</v>
      </c>
      <c r="M7" s="24" t="s">
        <v>1958</v>
      </c>
      <c r="N7" s="24" t="s">
        <v>1707</v>
      </c>
      <c r="O7" s="24">
        <f>COUNTIF(COUNTRIES[COUNTRY_LABEL],COUNTRIES[[#This Row],[COUNTRY_LABEL]])</f>
        <v>1</v>
      </c>
      <c r="Q7" t="s">
        <v>526</v>
      </c>
    </row>
    <row r="8" spans="1:17">
      <c r="A8" s="16" t="s">
        <v>868</v>
      </c>
      <c r="E8" t="s">
        <v>957</v>
      </c>
      <c r="G8" t="s">
        <v>958</v>
      </c>
      <c r="K8" s="22" t="s">
        <v>909</v>
      </c>
      <c r="M8" s="24" t="s">
        <v>1965</v>
      </c>
      <c r="N8" s="24" t="s">
        <v>1714</v>
      </c>
      <c r="O8" s="24">
        <f>COUNTIF(COUNTRIES[COUNTRY_LABEL],COUNTRIES[[#This Row],[COUNTRY_LABEL]])</f>
        <v>1</v>
      </c>
      <c r="Q8" t="s">
        <v>594</v>
      </c>
    </row>
    <row r="9" spans="1:17">
      <c r="A9" s="17" t="s">
        <v>874</v>
      </c>
      <c r="E9" t="s">
        <v>3335</v>
      </c>
      <c r="G9" t="s">
        <v>3336</v>
      </c>
      <c r="K9" s="22" t="s">
        <v>911</v>
      </c>
      <c r="M9" s="24" t="s">
        <v>1962</v>
      </c>
      <c r="N9" s="24" t="s">
        <v>1711</v>
      </c>
      <c r="O9" s="24">
        <f>COUNTIF(COUNTRIES[COUNTRY_LABEL],COUNTRIES[[#This Row],[COUNTRY_LABEL]])</f>
        <v>1</v>
      </c>
      <c r="Q9" t="s">
        <v>595</v>
      </c>
    </row>
    <row r="10" spans="1:17">
      <c r="A10" s="16" t="s">
        <v>873</v>
      </c>
      <c r="E10" t="s">
        <v>961</v>
      </c>
      <c r="G10" t="s">
        <v>962</v>
      </c>
      <c r="K10" s="22" t="s">
        <v>913</v>
      </c>
      <c r="M10" s="24" t="s">
        <v>1966</v>
      </c>
      <c r="N10" s="24" t="s">
        <v>1715</v>
      </c>
      <c r="O10" s="24">
        <f>COUNTIF(COUNTRIES[COUNTRY_LABEL],COUNTRIES[[#This Row],[COUNTRY_LABEL]])</f>
        <v>1</v>
      </c>
      <c r="Q10" t="s">
        <v>596</v>
      </c>
    </row>
    <row r="11" spans="1:17">
      <c r="A11" s="17" t="s">
        <v>871</v>
      </c>
      <c r="E11" t="s">
        <v>3011</v>
      </c>
      <c r="G11" t="s">
        <v>3012</v>
      </c>
      <c r="K11" s="22" t="s">
        <v>3338</v>
      </c>
      <c r="M11" s="24" t="s">
        <v>1961</v>
      </c>
      <c r="N11" s="24" t="s">
        <v>1710</v>
      </c>
      <c r="O11" s="24">
        <f>COUNTIF(COUNTRIES[COUNTRY_LABEL],COUNTRIES[[#This Row],[COUNTRY_LABEL]])</f>
        <v>1</v>
      </c>
      <c r="Q11" t="s">
        <v>29</v>
      </c>
    </row>
    <row r="12" spans="1:17">
      <c r="A12" s="16" t="s">
        <v>879</v>
      </c>
      <c r="E12" t="s">
        <v>951</v>
      </c>
      <c r="G12" t="s">
        <v>952</v>
      </c>
      <c r="K12" s="21" t="s">
        <v>916</v>
      </c>
      <c r="M12" s="24" t="s">
        <v>1967</v>
      </c>
      <c r="N12" s="24" t="s">
        <v>1716</v>
      </c>
      <c r="O12" s="24">
        <f>COUNTIF(COUNTRIES[COUNTRY_LABEL],COUNTRIES[[#This Row],[COUNTRY_LABEL]])</f>
        <v>1</v>
      </c>
      <c r="Q12" t="s">
        <v>597</v>
      </c>
    </row>
    <row r="13" spans="1:17">
      <c r="A13" s="17" t="s">
        <v>880</v>
      </c>
      <c r="E13" t="s">
        <v>959</v>
      </c>
      <c r="G13" t="s">
        <v>960</v>
      </c>
      <c r="K13" s="21" t="s">
        <v>918</v>
      </c>
      <c r="M13" s="24" t="s">
        <v>1964</v>
      </c>
      <c r="N13" s="24" t="s">
        <v>1713</v>
      </c>
      <c r="O13" s="24">
        <f>COUNTIF(COUNTRIES[COUNTRY_LABEL],COUNTRIES[[#This Row],[COUNTRY_LABEL]])</f>
        <v>1</v>
      </c>
      <c r="Q13" t="s">
        <v>598</v>
      </c>
    </row>
    <row r="14" spans="1:17">
      <c r="A14" s="16" t="s">
        <v>883</v>
      </c>
      <c r="E14" t="s">
        <v>947</v>
      </c>
      <c r="G14" t="s">
        <v>948</v>
      </c>
      <c r="K14" s="22" t="s">
        <v>930</v>
      </c>
      <c r="M14" s="24" t="s">
        <v>1971</v>
      </c>
      <c r="N14" s="24" t="s">
        <v>1720</v>
      </c>
      <c r="O14" s="24">
        <f>COUNTIF(COUNTRIES[COUNTRY_LABEL],COUNTRIES[[#This Row],[COUNTRY_LABEL]])</f>
        <v>1</v>
      </c>
      <c r="Q14" t="s">
        <v>2926</v>
      </c>
    </row>
    <row r="15" spans="1:17">
      <c r="A15" s="17" t="s">
        <v>876</v>
      </c>
      <c r="E15" t="s">
        <v>941</v>
      </c>
      <c r="G15" t="s">
        <v>942</v>
      </c>
      <c r="K15" s="21" t="s">
        <v>931</v>
      </c>
      <c r="M15" s="24" t="s">
        <v>1970</v>
      </c>
      <c r="N15" s="24" t="s">
        <v>1719</v>
      </c>
      <c r="O15" s="24">
        <f>COUNTIF(COUNTRIES[COUNTRY_LABEL],COUNTRIES[[#This Row],[COUNTRY_LABEL]])</f>
        <v>1</v>
      </c>
      <c r="Q15" t="s">
        <v>2929</v>
      </c>
    </row>
    <row r="16" spans="1:17">
      <c r="A16" s="16" t="s">
        <v>870</v>
      </c>
      <c r="E16" t="s">
        <v>963</v>
      </c>
      <c r="G16" t="s">
        <v>964</v>
      </c>
      <c r="K16" s="21" t="s">
        <v>932</v>
      </c>
      <c r="M16" s="24" t="s">
        <v>1969</v>
      </c>
      <c r="N16" s="24" t="s">
        <v>1718</v>
      </c>
      <c r="O16" s="24">
        <f>COUNTIF(COUNTRIES[COUNTRY_LABEL],COUNTRIES[[#This Row],[COUNTRY_LABEL]])</f>
        <v>1</v>
      </c>
      <c r="Q16" t="s">
        <v>3029</v>
      </c>
    </row>
    <row r="17" spans="1:17">
      <c r="A17" s="17" t="s">
        <v>869</v>
      </c>
      <c r="K17" s="22" t="s">
        <v>933</v>
      </c>
      <c r="M17" s="24" t="s">
        <v>1973</v>
      </c>
      <c r="N17" s="24" t="s">
        <v>1722</v>
      </c>
      <c r="O17" s="24">
        <f>COUNTIF(COUNTRIES[COUNTRY_LABEL],COUNTRIES[[#This Row],[COUNTRY_LABEL]])</f>
        <v>1</v>
      </c>
      <c r="Q17" t="s">
        <v>665</v>
      </c>
    </row>
    <row r="18" spans="1:17">
      <c r="K18" s="22" t="s">
        <v>923</v>
      </c>
      <c r="M18" s="24" t="s">
        <v>1989</v>
      </c>
      <c r="N18" s="24" t="s">
        <v>1738</v>
      </c>
      <c r="O18" s="24">
        <f>COUNTIF(COUNTRIES[COUNTRY_LABEL],COUNTRIES[[#This Row],[COUNTRY_LABEL]])</f>
        <v>1</v>
      </c>
      <c r="Q18" t="s">
        <v>19</v>
      </c>
    </row>
    <row r="19" spans="1:17">
      <c r="K19" s="22" t="s">
        <v>925</v>
      </c>
      <c r="M19" s="24" t="s">
        <v>1980</v>
      </c>
      <c r="N19" s="24" t="s">
        <v>1729</v>
      </c>
      <c r="O19" s="24">
        <f>COUNTIF(COUNTRIES[COUNTRY_LABEL],COUNTRIES[[#This Row],[COUNTRY_LABEL]])</f>
        <v>1</v>
      </c>
      <c r="Q19" t="s">
        <v>664</v>
      </c>
    </row>
    <row r="20" spans="1:17">
      <c r="K20" s="22" t="s">
        <v>3014</v>
      </c>
      <c r="M20" s="24" t="s">
        <v>1976</v>
      </c>
      <c r="N20" s="24" t="s">
        <v>1725</v>
      </c>
      <c r="O20" s="24">
        <f>COUNTIF(COUNTRIES[COUNTRY_LABEL],COUNTRIES[[#This Row],[COUNTRY_LABEL]])</f>
        <v>1</v>
      </c>
      <c r="Q20" t="s">
        <v>17</v>
      </c>
    </row>
    <row r="21" spans="1:17">
      <c r="K21" s="22" t="s">
        <v>926</v>
      </c>
      <c r="M21" s="24" t="s">
        <v>1975</v>
      </c>
      <c r="N21" s="24" t="s">
        <v>1724</v>
      </c>
      <c r="O21" s="24">
        <f>COUNTIF(COUNTRIES[COUNTRY_LABEL],COUNTRIES[[#This Row],[COUNTRY_LABEL]])</f>
        <v>1</v>
      </c>
      <c r="Q21" t="s">
        <v>320</v>
      </c>
    </row>
    <row r="22" spans="1:17">
      <c r="K22" s="22" t="s">
        <v>928</v>
      </c>
      <c r="M22" s="24" t="s">
        <v>1993</v>
      </c>
      <c r="N22" s="24" t="s">
        <v>1742</v>
      </c>
      <c r="O22" s="24">
        <f>COUNTIF(COUNTRIES[COUNTRY_LABEL],COUNTRIES[[#This Row],[COUNTRY_LABEL]])</f>
        <v>1</v>
      </c>
      <c r="Q22" t="s">
        <v>599</v>
      </c>
    </row>
    <row r="23" spans="1:17">
      <c r="K23" s="22" t="s">
        <v>920</v>
      </c>
      <c r="M23" s="24" t="s">
        <v>1977</v>
      </c>
      <c r="N23" s="24" t="s">
        <v>1726</v>
      </c>
      <c r="O23" s="24">
        <f>COUNTIF(COUNTRIES[COUNTRY_LABEL],COUNTRIES[[#This Row],[COUNTRY_LABEL]])</f>
        <v>1</v>
      </c>
      <c r="Q23" t="s">
        <v>2927</v>
      </c>
    </row>
    <row r="24" spans="1:17">
      <c r="K24" s="22" t="s">
        <v>2744</v>
      </c>
      <c r="M24" s="24" t="s">
        <v>1994</v>
      </c>
      <c r="N24" s="24" t="s">
        <v>1743</v>
      </c>
      <c r="O24" s="24">
        <f>COUNTIF(COUNTRIES[COUNTRY_LABEL],COUNTRIES[[#This Row],[COUNTRY_LABEL]])</f>
        <v>1</v>
      </c>
      <c r="Q24" t="s">
        <v>2930</v>
      </c>
    </row>
    <row r="25" spans="1:17">
      <c r="M25" s="24" t="s">
        <v>1982</v>
      </c>
      <c r="N25" s="24" t="s">
        <v>1731</v>
      </c>
      <c r="O25" s="24">
        <f>COUNTIF(COUNTRIES[COUNTRY_LABEL],COUNTRIES[[#This Row],[COUNTRY_LABEL]])</f>
        <v>1</v>
      </c>
      <c r="Q25" t="s">
        <v>600</v>
      </c>
    </row>
    <row r="26" spans="1:17">
      <c r="M26" s="24" t="s">
        <v>1984</v>
      </c>
      <c r="N26" s="24" t="s">
        <v>1733</v>
      </c>
      <c r="O26" s="24">
        <f>COUNTIF(COUNTRIES[COUNTRY_LABEL],COUNTRIES[[#This Row],[COUNTRY_LABEL]])</f>
        <v>1</v>
      </c>
      <c r="Q26" t="s">
        <v>601</v>
      </c>
    </row>
    <row r="27" spans="1:17">
      <c r="M27" s="24" t="s">
        <v>1990</v>
      </c>
      <c r="N27" s="24" t="s">
        <v>1739</v>
      </c>
      <c r="O27" s="24">
        <f>COUNTIF(COUNTRIES[COUNTRY_LABEL],COUNTRIES[[#This Row],[COUNTRY_LABEL]])</f>
        <v>1</v>
      </c>
    </row>
    <row r="28" spans="1:17">
      <c r="M28" s="24" t="s">
        <v>1986</v>
      </c>
      <c r="N28" s="24" t="s">
        <v>1735</v>
      </c>
      <c r="O28" s="24">
        <f>COUNTIF(COUNTRIES[COUNTRY_LABEL],COUNTRIES[[#This Row],[COUNTRY_LABEL]])</f>
        <v>1</v>
      </c>
    </row>
    <row r="29" spans="1:17">
      <c r="M29" s="24" t="s">
        <v>1974</v>
      </c>
      <c r="N29" s="24" t="s">
        <v>1723</v>
      </c>
      <c r="O29" s="24">
        <f>COUNTIF(COUNTRIES[COUNTRY_LABEL],COUNTRIES[[#This Row],[COUNTRY_LABEL]])</f>
        <v>1</v>
      </c>
    </row>
    <row r="30" spans="1:17">
      <c r="M30" s="24" t="s">
        <v>1992</v>
      </c>
      <c r="N30" s="24" t="s">
        <v>1741</v>
      </c>
      <c r="O30" s="24">
        <f>COUNTIF(COUNTRIES[COUNTRY_LABEL],COUNTRIES[[#This Row],[COUNTRY_LABEL]])</f>
        <v>1</v>
      </c>
    </row>
    <row r="31" spans="1:17">
      <c r="M31" s="24" t="s">
        <v>1991</v>
      </c>
      <c r="N31" s="24" t="s">
        <v>1740</v>
      </c>
      <c r="O31" s="24">
        <f>COUNTIF(COUNTRIES[COUNTRY_LABEL],COUNTRIES[[#This Row],[COUNTRY_LABEL]])</f>
        <v>1</v>
      </c>
    </row>
    <row r="32" spans="1:17">
      <c r="M32" s="24" t="s">
        <v>1988</v>
      </c>
      <c r="N32" s="24" t="s">
        <v>1737</v>
      </c>
      <c r="O32" s="24">
        <f>COUNTIF(COUNTRIES[COUNTRY_LABEL],COUNTRIES[[#This Row],[COUNTRY_LABEL]])</f>
        <v>1</v>
      </c>
    </row>
    <row r="33" spans="13:15">
      <c r="M33" s="24" t="s">
        <v>2063</v>
      </c>
      <c r="N33" s="24" t="s">
        <v>1811</v>
      </c>
      <c r="O33" s="24">
        <f>COUNTIF(COUNTRIES[COUNTRY_LABEL],COUNTRIES[[#This Row],[COUNTRY_LABEL]])</f>
        <v>1</v>
      </c>
    </row>
    <row r="34" spans="13:15">
      <c r="M34" s="24" t="s">
        <v>1985</v>
      </c>
      <c r="N34" s="24" t="s">
        <v>1734</v>
      </c>
      <c r="O34" s="24">
        <f>COUNTIF(COUNTRIES[COUNTRY_LABEL],COUNTRIES[[#This Row],[COUNTRY_LABEL]])</f>
        <v>1</v>
      </c>
    </row>
    <row r="35" spans="13:15">
      <c r="M35" s="24" t="s">
        <v>1979</v>
      </c>
      <c r="N35" s="24" t="s">
        <v>1728</v>
      </c>
      <c r="O35" s="24">
        <f>COUNTIF(COUNTRIES[COUNTRY_LABEL],COUNTRIES[[#This Row],[COUNTRY_LABEL]])</f>
        <v>1</v>
      </c>
    </row>
    <row r="36" spans="13:15">
      <c r="M36" s="24" t="s">
        <v>1978</v>
      </c>
      <c r="N36" s="24" t="s">
        <v>1727</v>
      </c>
      <c r="O36" s="24">
        <f>COUNTIF(COUNTRIES[COUNTRY_LABEL],COUNTRIES[[#This Row],[COUNTRY_LABEL]])</f>
        <v>1</v>
      </c>
    </row>
    <row r="37" spans="13:15">
      <c r="M37" s="24" t="s">
        <v>1981</v>
      </c>
      <c r="N37" s="24" t="s">
        <v>1730</v>
      </c>
      <c r="O37" s="24">
        <f>COUNTIF(COUNTRIES[COUNTRY_LABEL],COUNTRIES[[#This Row],[COUNTRY_LABEL]])</f>
        <v>1</v>
      </c>
    </row>
    <row r="38" spans="13:15">
      <c r="M38" s="24" t="s">
        <v>2074</v>
      </c>
      <c r="N38" s="24" t="s">
        <v>1822</v>
      </c>
      <c r="O38" s="24">
        <f>COUNTIF(COUNTRIES[COUNTRY_LABEL],COUNTRIES[[#This Row],[COUNTRY_LABEL]])</f>
        <v>1</v>
      </c>
    </row>
    <row r="39" spans="13:15">
      <c r="M39" s="24" t="s">
        <v>2004</v>
      </c>
      <c r="N39" s="24" t="s">
        <v>1753</v>
      </c>
      <c r="O39" s="24">
        <f>COUNTIF(COUNTRIES[COUNTRY_LABEL],COUNTRIES[[#This Row],[COUNTRY_LABEL]])</f>
        <v>1</v>
      </c>
    </row>
    <row r="40" spans="13:15">
      <c r="M40" s="24" t="s">
        <v>1995</v>
      </c>
      <c r="N40" s="24" t="s">
        <v>1744</v>
      </c>
      <c r="O40" s="24">
        <f>COUNTIF(COUNTRIES[COUNTRY_LABEL],COUNTRIES[[#This Row],[COUNTRY_LABEL]])</f>
        <v>1</v>
      </c>
    </row>
    <row r="41" spans="13:15">
      <c r="M41" s="24" t="s">
        <v>2009</v>
      </c>
      <c r="N41" s="24" t="s">
        <v>1758</v>
      </c>
      <c r="O41" s="24">
        <f>COUNTIF(COUNTRIES[COUNTRY_LABEL],COUNTRIES[[#This Row],[COUNTRY_LABEL]])</f>
        <v>1</v>
      </c>
    </row>
    <row r="42" spans="13:15">
      <c r="M42" s="24" t="s">
        <v>1987</v>
      </c>
      <c r="N42" s="24" t="s">
        <v>1736</v>
      </c>
      <c r="O42" s="24">
        <f>COUNTIF(COUNTRIES[COUNTRY_LABEL],COUNTRIES[[#This Row],[COUNTRY_LABEL]])</f>
        <v>1</v>
      </c>
    </row>
    <row r="43" spans="13:15">
      <c r="M43" s="24" t="s">
        <v>2081</v>
      </c>
      <c r="N43" s="24" t="s">
        <v>1829</v>
      </c>
      <c r="O43" s="24">
        <f>COUNTIF(COUNTRIES[COUNTRY_LABEL],COUNTRIES[[#This Row],[COUNTRY_LABEL]])</f>
        <v>1</v>
      </c>
    </row>
    <row r="44" spans="13:15">
      <c r="M44" s="24" t="s">
        <v>1998</v>
      </c>
      <c r="N44" s="24" t="s">
        <v>1747</v>
      </c>
      <c r="O44" s="24">
        <f>COUNTIF(COUNTRIES[COUNTRY_LABEL],COUNTRIES[[#This Row],[COUNTRY_LABEL]])</f>
        <v>1</v>
      </c>
    </row>
    <row r="45" spans="13:15">
      <c r="M45" s="24" t="s">
        <v>2171</v>
      </c>
      <c r="N45" s="24" t="s">
        <v>1920</v>
      </c>
      <c r="O45" s="24">
        <f>COUNTIF(COUNTRIES[COUNTRY_LABEL],COUNTRIES[[#This Row],[COUNTRY_LABEL]])</f>
        <v>1</v>
      </c>
    </row>
    <row r="46" spans="13:15">
      <c r="M46" s="24" t="s">
        <v>2003</v>
      </c>
      <c r="N46" s="24" t="s">
        <v>1752</v>
      </c>
      <c r="O46" s="24">
        <f>COUNTIF(COUNTRIES[COUNTRY_LABEL],COUNTRIES[[#This Row],[COUNTRY_LABEL]])</f>
        <v>1</v>
      </c>
    </row>
    <row r="47" spans="13:15">
      <c r="M47" s="24" t="s">
        <v>2005</v>
      </c>
      <c r="N47" s="24" t="s">
        <v>1754</v>
      </c>
      <c r="O47" s="24">
        <f>COUNTIF(COUNTRIES[COUNTRY_LABEL],COUNTRIES[[#This Row],[COUNTRY_LABEL]])</f>
        <v>1</v>
      </c>
    </row>
    <row r="48" spans="13:15">
      <c r="M48" s="24" t="s">
        <v>2011</v>
      </c>
      <c r="N48" s="24" t="s">
        <v>1760</v>
      </c>
      <c r="O48" s="24">
        <f>COUNTIF(COUNTRIES[COUNTRY_LABEL],COUNTRIES[[#This Row],[COUNTRY_LABEL]])</f>
        <v>1</v>
      </c>
    </row>
    <row r="49" spans="13:15">
      <c r="M49" s="24" t="s">
        <v>1996</v>
      </c>
      <c r="N49" s="24" t="s">
        <v>1745</v>
      </c>
      <c r="O49" s="24">
        <f>COUNTIF(COUNTRIES[COUNTRY_LABEL],COUNTRIES[[#This Row],[COUNTRY_LABEL]])</f>
        <v>1</v>
      </c>
    </row>
    <row r="50" spans="13:15">
      <c r="M50" s="24" t="s">
        <v>2006</v>
      </c>
      <c r="N50" s="24" t="s">
        <v>1755</v>
      </c>
      <c r="O50" s="24">
        <f>COUNTIF(COUNTRIES[COUNTRY_LABEL],COUNTRIES[[#This Row],[COUNTRY_LABEL]])</f>
        <v>1</v>
      </c>
    </row>
    <row r="51" spans="13:15">
      <c r="M51" s="24" t="s">
        <v>2076</v>
      </c>
      <c r="N51" s="24" t="s">
        <v>1824</v>
      </c>
      <c r="O51" s="24">
        <f>COUNTIF(COUNTRIES[COUNTRY_LABEL],COUNTRIES[[#This Row],[COUNTRY_LABEL]])</f>
        <v>1</v>
      </c>
    </row>
    <row r="52" spans="13:15">
      <c r="M52" s="24" t="s">
        <v>2002</v>
      </c>
      <c r="N52" s="24" t="s">
        <v>1751</v>
      </c>
      <c r="O52" s="24">
        <f>COUNTIF(COUNTRIES[COUNTRY_LABEL],COUNTRIES[[#This Row],[COUNTRY_LABEL]])</f>
        <v>1</v>
      </c>
    </row>
    <row r="53" spans="13:15">
      <c r="M53" s="24" t="s">
        <v>2007</v>
      </c>
      <c r="N53" s="24" t="s">
        <v>1756</v>
      </c>
      <c r="O53" s="24">
        <f>COUNTIF(COUNTRIES[COUNTRY_LABEL],COUNTRIES[[#This Row],[COUNTRY_LABEL]])</f>
        <v>1</v>
      </c>
    </row>
    <row r="54" spans="13:15">
      <c r="M54" s="24" t="s">
        <v>2055</v>
      </c>
      <c r="N54" s="24" t="s">
        <v>1803</v>
      </c>
      <c r="O54" s="24">
        <f>COUNTIF(COUNTRIES[COUNTRY_LABEL],COUNTRIES[[#This Row],[COUNTRY_LABEL]])</f>
        <v>1</v>
      </c>
    </row>
    <row r="55" spans="13:15">
      <c r="M55" s="24" t="s">
        <v>2008</v>
      </c>
      <c r="N55" s="24" t="s">
        <v>1757</v>
      </c>
      <c r="O55" s="24">
        <f>COUNTIF(COUNTRIES[COUNTRY_LABEL],COUNTRIES[[#This Row],[COUNTRY_LABEL]])</f>
        <v>1</v>
      </c>
    </row>
    <row r="56" spans="13:15">
      <c r="M56" s="24" t="s">
        <v>2010</v>
      </c>
      <c r="N56" s="24" t="s">
        <v>1759</v>
      </c>
      <c r="O56" s="24">
        <f>COUNTIF(COUNTRIES[COUNTRY_LABEL],COUNTRIES[[#This Row],[COUNTRY_LABEL]])</f>
        <v>1</v>
      </c>
    </row>
    <row r="57" spans="13:15">
      <c r="M57" s="24" t="s">
        <v>2012</v>
      </c>
      <c r="N57" s="24" t="s">
        <v>1761</v>
      </c>
      <c r="O57" s="24">
        <f>COUNTIF(COUNTRIES[COUNTRY_LABEL],COUNTRIES[[#This Row],[COUNTRY_LABEL]])</f>
        <v>1</v>
      </c>
    </row>
    <row r="58" spans="13:15">
      <c r="M58" s="24" t="s">
        <v>2013</v>
      </c>
      <c r="N58" s="24" t="s">
        <v>1762</v>
      </c>
      <c r="O58" s="24">
        <f>COUNTIF(COUNTRIES[COUNTRY_LABEL],COUNTRIES[[#This Row],[COUNTRY_LABEL]])</f>
        <v>1</v>
      </c>
    </row>
    <row r="59" spans="13:15">
      <c r="M59" s="24" t="s">
        <v>1997</v>
      </c>
      <c r="N59" s="24" t="s">
        <v>1746</v>
      </c>
      <c r="O59" s="24">
        <f>COUNTIF(COUNTRIES[COUNTRY_LABEL],COUNTRIES[[#This Row],[COUNTRY_LABEL]])</f>
        <v>1</v>
      </c>
    </row>
    <row r="60" spans="13:15">
      <c r="M60" s="24" t="s">
        <v>2016</v>
      </c>
      <c r="N60" s="24" t="s">
        <v>1765</v>
      </c>
      <c r="O60" s="24">
        <f>COUNTIF(COUNTRIES[COUNTRY_LABEL],COUNTRIES[[#This Row],[COUNTRY_LABEL]])</f>
        <v>1</v>
      </c>
    </row>
    <row r="61" spans="13:15">
      <c r="M61" s="24" t="s">
        <v>2015</v>
      </c>
      <c r="N61" s="24" t="s">
        <v>1764</v>
      </c>
      <c r="O61" s="24">
        <f>COUNTIF(COUNTRIES[COUNTRY_LABEL],COUNTRIES[[#This Row],[COUNTRY_LABEL]])</f>
        <v>1</v>
      </c>
    </row>
    <row r="62" spans="13:15">
      <c r="M62" s="24" t="s">
        <v>2017</v>
      </c>
      <c r="N62" s="24" t="s">
        <v>1766</v>
      </c>
      <c r="O62" s="24">
        <f>COUNTIF(COUNTRIES[COUNTRY_LABEL],COUNTRIES[[#This Row],[COUNTRY_LABEL]])</f>
        <v>1</v>
      </c>
    </row>
    <row r="63" spans="13:15">
      <c r="M63" s="24" t="s">
        <v>2018</v>
      </c>
      <c r="N63" s="24" t="s">
        <v>1767</v>
      </c>
      <c r="O63" s="24">
        <f>COUNTIF(COUNTRIES[COUNTRY_LABEL],COUNTRIES[[#This Row],[COUNTRY_LABEL]])</f>
        <v>1</v>
      </c>
    </row>
    <row r="64" spans="13:15">
      <c r="M64" s="24" t="s">
        <v>2222</v>
      </c>
      <c r="N64" s="24" t="s">
        <v>1954</v>
      </c>
      <c r="O64" s="24">
        <f>COUNTIF(COUNTRIES[COUNTRY_LABEL],COUNTRIES[[#This Row],[COUNTRY_LABEL]])</f>
        <v>1</v>
      </c>
    </row>
    <row r="65" spans="13:15">
      <c r="M65" s="24" t="s">
        <v>2020</v>
      </c>
      <c r="N65" s="24" t="s">
        <v>1769</v>
      </c>
      <c r="O65" s="24">
        <f>COUNTIF(COUNTRIES[COUNTRY_LABEL],COUNTRIES[[#This Row],[COUNTRY_LABEL]])</f>
        <v>1</v>
      </c>
    </row>
    <row r="66" spans="13:15">
      <c r="M66" s="24" t="s">
        <v>2022</v>
      </c>
      <c r="N66" s="24" t="s">
        <v>1771</v>
      </c>
      <c r="O66" s="24">
        <f>COUNTIF(COUNTRIES[COUNTRY_LABEL],COUNTRIES[[#This Row],[COUNTRY_LABEL]])</f>
        <v>1</v>
      </c>
    </row>
    <row r="67" spans="13:15">
      <c r="M67" s="24" t="s">
        <v>2166</v>
      </c>
      <c r="N67" s="24" t="s">
        <v>1915</v>
      </c>
      <c r="O67" s="24">
        <f>COUNTIF(COUNTRIES[COUNTRY_LABEL],COUNTRIES[[#This Row],[COUNTRY_LABEL]])</f>
        <v>1</v>
      </c>
    </row>
    <row r="68" spans="13:15">
      <c r="M68" s="24" t="s">
        <v>2045</v>
      </c>
      <c r="N68" s="24" t="s">
        <v>1793</v>
      </c>
      <c r="O68" s="24">
        <f>COUNTIF(COUNTRIES[COUNTRY_LABEL],COUNTRIES[[#This Row],[COUNTRY_LABEL]])</f>
        <v>1</v>
      </c>
    </row>
    <row r="69" spans="13:15">
      <c r="M69" s="24" t="s">
        <v>2024</v>
      </c>
      <c r="N69" s="24" t="s">
        <v>1773</v>
      </c>
      <c r="O69" s="24">
        <f>COUNTIF(COUNTRIES[COUNTRY_LABEL],COUNTRIES[[#This Row],[COUNTRY_LABEL]])</f>
        <v>1</v>
      </c>
    </row>
    <row r="70" spans="13:15">
      <c r="M70" s="24" t="s">
        <v>2021</v>
      </c>
      <c r="N70" s="24" t="s">
        <v>1770</v>
      </c>
      <c r="O70" s="24">
        <f>COUNTIF(COUNTRIES[COUNTRY_LABEL],COUNTRIES[[#This Row],[COUNTRY_LABEL]])</f>
        <v>1</v>
      </c>
    </row>
    <row r="71" spans="13:15">
      <c r="M71" s="24" t="s">
        <v>2169</v>
      </c>
      <c r="N71" s="24" t="s">
        <v>1918</v>
      </c>
      <c r="O71" s="24">
        <f>COUNTIF(COUNTRIES[COUNTRY_LABEL],COUNTRIES[[#This Row],[COUNTRY_LABEL]])</f>
        <v>1</v>
      </c>
    </row>
    <row r="72" spans="13:15">
      <c r="M72" s="24" t="s">
        <v>2026</v>
      </c>
      <c r="N72" s="24" t="s">
        <v>1775</v>
      </c>
      <c r="O72" s="24">
        <f>COUNTIF(COUNTRIES[COUNTRY_LABEL],COUNTRIES[[#This Row],[COUNTRY_LABEL]])</f>
        <v>1</v>
      </c>
    </row>
    <row r="73" spans="13:15">
      <c r="M73" s="24" t="s">
        <v>2221</v>
      </c>
      <c r="N73" s="24" t="s">
        <v>1955</v>
      </c>
      <c r="O73" s="24">
        <f>COUNTIF(COUNTRIES[COUNTRY_LABEL],COUNTRIES[[#This Row],[COUNTRY_LABEL]])</f>
        <v>1</v>
      </c>
    </row>
    <row r="74" spans="13:15">
      <c r="M74" s="24" t="s">
        <v>2029</v>
      </c>
      <c r="N74" s="24" t="s">
        <v>1778</v>
      </c>
      <c r="O74" s="24">
        <f>COUNTIF(COUNTRIES[COUNTRY_LABEL],COUNTRIES[[#This Row],[COUNTRY_LABEL]])</f>
        <v>1</v>
      </c>
    </row>
    <row r="75" spans="13:15">
      <c r="M75" s="24" t="s">
        <v>2031</v>
      </c>
      <c r="N75" s="24" t="s">
        <v>1780</v>
      </c>
      <c r="O75" s="24">
        <f>COUNTIF(COUNTRIES[COUNTRY_LABEL],COUNTRIES[[#This Row],[COUNTRY_LABEL]])</f>
        <v>1</v>
      </c>
    </row>
    <row r="76" spans="13:15">
      <c r="M76" s="24" t="s">
        <v>2028</v>
      </c>
      <c r="N76" s="24" t="s">
        <v>1777</v>
      </c>
      <c r="O76" s="24">
        <f>COUNTIF(COUNTRIES[COUNTRY_LABEL],COUNTRIES[[#This Row],[COUNTRY_LABEL]])</f>
        <v>1</v>
      </c>
    </row>
    <row r="77" spans="13:15">
      <c r="M77" s="24" t="s">
        <v>2027</v>
      </c>
      <c r="N77" s="24" t="s">
        <v>1776</v>
      </c>
      <c r="O77" s="24">
        <f>COUNTIF(COUNTRIES[COUNTRY_LABEL],COUNTRIES[[#This Row],[COUNTRY_LABEL]])</f>
        <v>1</v>
      </c>
    </row>
    <row r="78" spans="13:15">
      <c r="M78" s="24" t="s">
        <v>2032</v>
      </c>
      <c r="N78" s="24" t="s">
        <v>1781</v>
      </c>
      <c r="O78" s="24">
        <f>COUNTIF(COUNTRIES[COUNTRY_LABEL],COUNTRIES[[#This Row],[COUNTRY_LABEL]])</f>
        <v>1</v>
      </c>
    </row>
    <row r="79" spans="13:15">
      <c r="M79" s="24" t="s">
        <v>2037</v>
      </c>
      <c r="N79" s="24" t="s">
        <v>1785</v>
      </c>
      <c r="O79" s="24">
        <f>COUNTIF(COUNTRIES[COUNTRY_LABEL],COUNTRIES[[#This Row],[COUNTRY_LABEL]])</f>
        <v>1</v>
      </c>
    </row>
    <row r="80" spans="13:15">
      <c r="M80" s="24" t="s">
        <v>2131</v>
      </c>
      <c r="N80" s="24" t="s">
        <v>1880</v>
      </c>
      <c r="O80" s="24">
        <f>COUNTIF(COUNTRIES[COUNTRY_LABEL],COUNTRIES[[#This Row],[COUNTRY_LABEL]])</f>
        <v>1</v>
      </c>
    </row>
    <row r="81" spans="13:15">
      <c r="M81" s="24" t="s">
        <v>2172</v>
      </c>
      <c r="N81" s="24" t="s">
        <v>1921</v>
      </c>
      <c r="O81" s="24">
        <f>COUNTIF(COUNTRIES[COUNTRY_LABEL],COUNTRIES[[#This Row],[COUNTRY_LABEL]])</f>
        <v>1</v>
      </c>
    </row>
    <row r="82" spans="13:15">
      <c r="M82" s="24" t="s">
        <v>2033</v>
      </c>
      <c r="N82" s="24" t="s">
        <v>2210</v>
      </c>
      <c r="O82" s="24">
        <f>COUNTIF(COUNTRIES[COUNTRY_LABEL],COUNTRIES[[#This Row],[COUNTRY_LABEL]])</f>
        <v>1</v>
      </c>
    </row>
    <row r="83" spans="13:15">
      <c r="M83" s="24" t="s">
        <v>2042</v>
      </c>
      <c r="N83" s="24" t="s">
        <v>1790</v>
      </c>
      <c r="O83" s="24">
        <f>COUNTIF(COUNTRIES[COUNTRY_LABEL],COUNTRIES[[#This Row],[COUNTRY_LABEL]])</f>
        <v>1</v>
      </c>
    </row>
    <row r="84" spans="13:15">
      <c r="M84" s="24" t="s">
        <v>2048</v>
      </c>
      <c r="N84" s="24" t="s">
        <v>1796</v>
      </c>
      <c r="O84" s="24">
        <f>COUNTIF(COUNTRIES[COUNTRY_LABEL],COUNTRIES[[#This Row],[COUNTRY_LABEL]])</f>
        <v>1</v>
      </c>
    </row>
    <row r="85" spans="13:15">
      <c r="M85" s="24" t="s">
        <v>2036</v>
      </c>
      <c r="N85" s="24" t="s">
        <v>1784</v>
      </c>
      <c r="O85" s="24">
        <f>COUNTIF(COUNTRIES[COUNTRY_LABEL],COUNTRIES[[#This Row],[COUNTRY_LABEL]])</f>
        <v>1</v>
      </c>
    </row>
    <row r="86" spans="13:15">
      <c r="M86" s="24" t="s">
        <v>2014</v>
      </c>
      <c r="N86" s="24" t="s">
        <v>1763</v>
      </c>
      <c r="O86" s="24">
        <f>COUNTIF(COUNTRIES[COUNTRY_LABEL],COUNTRIES[[#This Row],[COUNTRY_LABEL]])</f>
        <v>1</v>
      </c>
    </row>
    <row r="87" spans="13:15">
      <c r="M87" s="24" t="s">
        <v>2039</v>
      </c>
      <c r="N87" s="24" t="s">
        <v>1787</v>
      </c>
      <c r="O87" s="24">
        <f>COUNTIF(COUNTRIES[COUNTRY_LABEL],COUNTRIES[[#This Row],[COUNTRY_LABEL]])</f>
        <v>1</v>
      </c>
    </row>
    <row r="88" spans="13:15">
      <c r="M88" s="24" t="s">
        <v>2040</v>
      </c>
      <c r="N88" s="24" t="s">
        <v>1788</v>
      </c>
      <c r="O88" s="24">
        <f>COUNTIF(COUNTRIES[COUNTRY_LABEL],COUNTRIES[[#This Row],[COUNTRY_LABEL]])</f>
        <v>1</v>
      </c>
    </row>
    <row r="89" spans="13:15">
      <c r="M89" s="24" t="s">
        <v>2046</v>
      </c>
      <c r="N89" s="24" t="s">
        <v>1794</v>
      </c>
      <c r="O89" s="24">
        <f>COUNTIF(COUNTRIES[COUNTRY_LABEL],COUNTRIES[[#This Row],[COUNTRY_LABEL]])</f>
        <v>1</v>
      </c>
    </row>
    <row r="90" spans="13:15">
      <c r="M90" s="24" t="s">
        <v>2041</v>
      </c>
      <c r="N90" s="24" t="s">
        <v>1789</v>
      </c>
      <c r="O90" s="24">
        <f>COUNTIF(COUNTRIES[COUNTRY_LABEL],COUNTRIES[[#This Row],[COUNTRY_LABEL]])</f>
        <v>1</v>
      </c>
    </row>
    <row r="91" spans="13:15">
      <c r="M91" s="24" t="s">
        <v>2035</v>
      </c>
      <c r="N91" s="24" t="s">
        <v>1783</v>
      </c>
      <c r="O91" s="24">
        <f>COUNTIF(COUNTRIES[COUNTRY_LABEL],COUNTRIES[[#This Row],[COUNTRY_LABEL]])</f>
        <v>1</v>
      </c>
    </row>
    <row r="92" spans="13:15">
      <c r="M92" s="24" t="s">
        <v>2044</v>
      </c>
      <c r="N92" s="24" t="s">
        <v>1792</v>
      </c>
      <c r="O92" s="24">
        <f>COUNTIF(COUNTRIES[COUNTRY_LABEL],COUNTRIES[[#This Row],[COUNTRY_LABEL]])</f>
        <v>1</v>
      </c>
    </row>
    <row r="93" spans="13:15">
      <c r="M93" s="24" t="s">
        <v>2049</v>
      </c>
      <c r="N93" s="24" t="s">
        <v>1797</v>
      </c>
      <c r="O93" s="24">
        <f>COUNTIF(COUNTRIES[COUNTRY_LABEL],COUNTRIES[[#This Row],[COUNTRY_LABEL]])</f>
        <v>1</v>
      </c>
    </row>
    <row r="94" spans="13:15">
      <c r="M94" s="24" t="s">
        <v>2038</v>
      </c>
      <c r="N94" s="24" t="s">
        <v>1786</v>
      </c>
      <c r="O94" s="24">
        <f>COUNTIF(COUNTRIES[COUNTRY_LABEL],COUNTRIES[[#This Row],[COUNTRY_LABEL]])</f>
        <v>1</v>
      </c>
    </row>
    <row r="95" spans="13:15">
      <c r="M95" s="24" t="s">
        <v>2043</v>
      </c>
      <c r="N95" s="24" t="s">
        <v>1791</v>
      </c>
      <c r="O95" s="24">
        <f>COUNTIF(COUNTRIES[COUNTRY_LABEL],COUNTRIES[[#This Row],[COUNTRY_LABEL]])</f>
        <v>1</v>
      </c>
    </row>
    <row r="96" spans="13:15">
      <c r="M96" s="24" t="s">
        <v>2050</v>
      </c>
      <c r="N96" s="24" t="s">
        <v>1798</v>
      </c>
      <c r="O96" s="24">
        <f>COUNTIF(COUNTRIES[COUNTRY_LABEL],COUNTRIES[[#This Row],[COUNTRY_LABEL]])</f>
        <v>1</v>
      </c>
    </row>
    <row r="97" spans="13:15">
      <c r="M97" s="24" t="s">
        <v>2051</v>
      </c>
      <c r="N97" s="24" t="s">
        <v>1799</v>
      </c>
      <c r="O97" s="24">
        <f>COUNTIF(COUNTRIES[COUNTRY_LABEL],COUNTRIES[[#This Row],[COUNTRY_LABEL]])</f>
        <v>1</v>
      </c>
    </row>
    <row r="98" spans="13:15">
      <c r="M98" s="24" t="s">
        <v>2056</v>
      </c>
      <c r="N98" s="24" t="s">
        <v>1804</v>
      </c>
      <c r="O98" s="24">
        <f>COUNTIF(COUNTRIES[COUNTRY_LABEL],COUNTRIES[[#This Row],[COUNTRY_LABEL]])</f>
        <v>1</v>
      </c>
    </row>
    <row r="99" spans="13:15">
      <c r="M99" s="24" t="s">
        <v>2053</v>
      </c>
      <c r="N99" s="24" t="s">
        <v>1801</v>
      </c>
      <c r="O99" s="24">
        <f>COUNTIF(COUNTRIES[COUNTRY_LABEL],COUNTRIES[[#This Row],[COUNTRY_LABEL]])</f>
        <v>1</v>
      </c>
    </row>
    <row r="100" spans="13:15">
      <c r="M100" s="24" t="s">
        <v>2192</v>
      </c>
      <c r="N100" s="24" t="s">
        <v>1940</v>
      </c>
      <c r="O100" s="24">
        <f>COUNTIF(COUNTRIES[COUNTRY_LABEL],COUNTRIES[[#This Row],[COUNTRY_LABEL]])</f>
        <v>1</v>
      </c>
    </row>
    <row r="101" spans="13:15">
      <c r="M101" s="24" t="s">
        <v>2054</v>
      </c>
      <c r="N101" s="24" t="s">
        <v>1802</v>
      </c>
      <c r="O101" s="24">
        <f>COUNTIF(COUNTRIES[COUNTRY_LABEL],COUNTRIES[[#This Row],[COUNTRY_LABEL]])</f>
        <v>1</v>
      </c>
    </row>
    <row r="102" spans="13:15">
      <c r="M102" s="24" t="s">
        <v>2052</v>
      </c>
      <c r="N102" s="24" t="s">
        <v>1800</v>
      </c>
      <c r="O102" s="24">
        <f>COUNTIF(COUNTRIES[COUNTRY_LABEL],COUNTRIES[[#This Row],[COUNTRY_LABEL]])</f>
        <v>1</v>
      </c>
    </row>
    <row r="103" spans="13:15">
      <c r="M103" s="24" t="s">
        <v>2057</v>
      </c>
      <c r="N103" s="24" t="s">
        <v>1805</v>
      </c>
      <c r="O103" s="24">
        <f>COUNTIF(COUNTRIES[COUNTRY_LABEL],COUNTRIES[[#This Row],[COUNTRY_LABEL]])</f>
        <v>1</v>
      </c>
    </row>
    <row r="104" spans="13:15">
      <c r="M104" s="24" t="s">
        <v>2066</v>
      </c>
      <c r="N104" s="24" t="s">
        <v>1814</v>
      </c>
      <c r="O104" s="24">
        <f>COUNTIF(COUNTRIES[COUNTRY_LABEL],COUNTRIES[[#This Row],[COUNTRY_LABEL]])</f>
        <v>1</v>
      </c>
    </row>
    <row r="105" spans="13:15">
      <c r="M105" s="24" t="s">
        <v>2062</v>
      </c>
      <c r="N105" s="24" t="s">
        <v>1810</v>
      </c>
      <c r="O105" s="24">
        <f>COUNTIF(COUNTRIES[COUNTRY_LABEL],COUNTRIES[[#This Row],[COUNTRY_LABEL]])</f>
        <v>1</v>
      </c>
    </row>
    <row r="106" spans="13:15">
      <c r="M106" s="24" t="s">
        <v>2058</v>
      </c>
      <c r="N106" s="24" t="s">
        <v>1806</v>
      </c>
      <c r="O106" s="24">
        <f>COUNTIF(COUNTRIES[COUNTRY_LABEL],COUNTRIES[[#This Row],[COUNTRY_LABEL]])</f>
        <v>1</v>
      </c>
    </row>
    <row r="107" spans="13:15">
      <c r="M107" s="24" t="s">
        <v>2065</v>
      </c>
      <c r="N107" s="24" t="s">
        <v>1813</v>
      </c>
      <c r="O107" s="24">
        <f>COUNTIF(COUNTRIES[COUNTRY_LABEL],COUNTRIES[[#This Row],[COUNTRY_LABEL]])</f>
        <v>1</v>
      </c>
    </row>
    <row r="108" spans="13:15">
      <c r="M108" s="24" t="s">
        <v>2064</v>
      </c>
      <c r="N108" s="24" t="s">
        <v>1812</v>
      </c>
      <c r="O108" s="24">
        <f>COUNTIF(COUNTRIES[COUNTRY_LABEL],COUNTRIES[[#This Row],[COUNTRY_LABEL]])</f>
        <v>1</v>
      </c>
    </row>
    <row r="109" spans="13:15">
      <c r="M109" s="24" t="s">
        <v>2059</v>
      </c>
      <c r="N109" s="24" t="s">
        <v>1807</v>
      </c>
      <c r="O109" s="24">
        <f>COUNTIF(COUNTRIES[COUNTRY_LABEL],COUNTRIES[[#This Row],[COUNTRY_LABEL]])</f>
        <v>1</v>
      </c>
    </row>
    <row r="110" spans="13:15">
      <c r="M110" s="24" t="s">
        <v>2061</v>
      </c>
      <c r="N110" s="24" t="s">
        <v>1809</v>
      </c>
      <c r="O110" s="24">
        <f>COUNTIF(COUNTRIES[COUNTRY_LABEL],COUNTRIES[[#This Row],[COUNTRY_LABEL]])</f>
        <v>1</v>
      </c>
    </row>
    <row r="111" spans="13:15">
      <c r="M111" s="24" t="s">
        <v>2060</v>
      </c>
      <c r="N111" s="24" t="s">
        <v>1808</v>
      </c>
      <c r="O111" s="24">
        <f>COUNTIF(COUNTRIES[COUNTRY_LABEL],COUNTRIES[[#This Row],[COUNTRY_LABEL]])</f>
        <v>1</v>
      </c>
    </row>
    <row r="112" spans="13:15">
      <c r="M112" s="24" t="s">
        <v>2067</v>
      </c>
      <c r="N112" s="24" t="s">
        <v>1815</v>
      </c>
      <c r="O112" s="24">
        <f>COUNTIF(COUNTRIES[COUNTRY_LABEL],COUNTRIES[[#This Row],[COUNTRY_LABEL]])</f>
        <v>1</v>
      </c>
    </row>
    <row r="113" spans="13:15">
      <c r="M113" s="24" t="s">
        <v>2001</v>
      </c>
      <c r="N113" s="24" t="s">
        <v>1750</v>
      </c>
      <c r="O113" s="24">
        <f>COUNTIF(COUNTRIES[COUNTRY_LABEL],COUNTRIES[[#This Row],[COUNTRY_LABEL]])</f>
        <v>1</v>
      </c>
    </row>
    <row r="114" spans="13:15">
      <c r="M114" s="24" t="s">
        <v>2069</v>
      </c>
      <c r="N114" s="24" t="s">
        <v>1817</v>
      </c>
      <c r="O114" s="24">
        <f>COUNTIF(COUNTRIES[COUNTRY_LABEL],COUNTRIES[[#This Row],[COUNTRY_LABEL]])</f>
        <v>1</v>
      </c>
    </row>
    <row r="115" spans="13:15">
      <c r="M115" s="24" t="s">
        <v>2071</v>
      </c>
      <c r="N115" s="24" t="s">
        <v>1819</v>
      </c>
      <c r="O115" s="24">
        <f>COUNTIF(COUNTRIES[COUNTRY_LABEL],COUNTRIES[[#This Row],[COUNTRY_LABEL]])</f>
        <v>1</v>
      </c>
    </row>
    <row r="116" spans="13:15">
      <c r="M116" s="24" t="s">
        <v>2068</v>
      </c>
      <c r="N116" s="24" t="s">
        <v>1816</v>
      </c>
      <c r="O116" s="24">
        <f>COUNTIF(COUNTRIES[COUNTRY_LABEL],COUNTRIES[[#This Row],[COUNTRY_LABEL]])</f>
        <v>1</v>
      </c>
    </row>
    <row r="117" spans="13:15">
      <c r="M117" s="24" t="s">
        <v>2070</v>
      </c>
      <c r="N117" s="24" t="s">
        <v>1818</v>
      </c>
      <c r="O117" s="24">
        <f>COUNTIF(COUNTRIES[COUNTRY_LABEL],COUNTRIES[[#This Row],[COUNTRY_LABEL]])</f>
        <v>1</v>
      </c>
    </row>
    <row r="118" spans="13:15">
      <c r="M118" s="24" t="s">
        <v>2082</v>
      </c>
      <c r="N118" s="24" t="s">
        <v>1830</v>
      </c>
      <c r="O118" s="24">
        <f>COUNTIF(COUNTRIES[COUNTRY_LABEL],COUNTRIES[[#This Row],[COUNTRY_LABEL]])</f>
        <v>1</v>
      </c>
    </row>
    <row r="119" spans="13:15">
      <c r="M119" s="24" t="s">
        <v>2072</v>
      </c>
      <c r="N119" s="24" t="s">
        <v>1820</v>
      </c>
      <c r="O119" s="24">
        <f>COUNTIF(COUNTRIES[COUNTRY_LABEL],COUNTRIES[[#This Row],[COUNTRY_LABEL]])</f>
        <v>1</v>
      </c>
    </row>
    <row r="120" spans="13:15">
      <c r="M120" s="24" t="s">
        <v>2075</v>
      </c>
      <c r="N120" s="24" t="s">
        <v>1823</v>
      </c>
      <c r="O120" s="24">
        <f>COUNTIF(COUNTRIES[COUNTRY_LABEL],COUNTRIES[[#This Row],[COUNTRY_LABEL]])</f>
        <v>1</v>
      </c>
    </row>
    <row r="121" spans="13:15">
      <c r="M121" s="24" t="s">
        <v>2080</v>
      </c>
      <c r="N121" s="24" t="s">
        <v>1828</v>
      </c>
      <c r="O121" s="24">
        <f>COUNTIF(COUNTRIES[COUNTRY_LABEL],COUNTRIES[[#This Row],[COUNTRY_LABEL]])</f>
        <v>1</v>
      </c>
    </row>
    <row r="122" spans="13:15">
      <c r="M122" s="24" t="s">
        <v>2073</v>
      </c>
      <c r="N122" s="24" t="s">
        <v>1821</v>
      </c>
      <c r="O122" s="24">
        <f>COUNTIF(COUNTRIES[COUNTRY_LABEL],COUNTRIES[[#This Row],[COUNTRY_LABEL]])</f>
        <v>1</v>
      </c>
    </row>
    <row r="123" spans="13:15">
      <c r="M123" s="24" t="s">
        <v>2083</v>
      </c>
      <c r="N123" s="24" t="s">
        <v>1831</v>
      </c>
      <c r="O123" s="24">
        <f>COUNTIF(COUNTRIES[COUNTRY_LABEL],COUNTRIES[[#This Row],[COUNTRY_LABEL]])</f>
        <v>1</v>
      </c>
    </row>
    <row r="124" spans="13:15">
      <c r="M124" s="24" t="s">
        <v>2092</v>
      </c>
      <c r="N124" s="24" t="s">
        <v>1840</v>
      </c>
      <c r="O124" s="24">
        <f>COUNTIF(COUNTRIES[COUNTRY_LABEL],COUNTRIES[[#This Row],[COUNTRY_LABEL]])</f>
        <v>1</v>
      </c>
    </row>
    <row r="125" spans="13:15">
      <c r="M125" s="24" t="s">
        <v>2084</v>
      </c>
      <c r="N125" s="24" t="s">
        <v>1832</v>
      </c>
      <c r="O125" s="24">
        <f>COUNTIF(COUNTRIES[COUNTRY_LABEL],COUNTRIES[[#This Row],[COUNTRY_LABEL]])</f>
        <v>1</v>
      </c>
    </row>
    <row r="126" spans="13:15">
      <c r="M126" s="24" t="s">
        <v>2089</v>
      </c>
      <c r="N126" s="24" t="s">
        <v>1837</v>
      </c>
      <c r="O126" s="24">
        <f>COUNTIF(COUNTRIES[COUNTRY_LABEL],COUNTRIES[[#This Row],[COUNTRY_LABEL]])</f>
        <v>1</v>
      </c>
    </row>
    <row r="127" spans="13:15">
      <c r="M127" s="24" t="s">
        <v>2088</v>
      </c>
      <c r="N127" s="24" t="s">
        <v>1836</v>
      </c>
      <c r="O127" s="24">
        <f>COUNTIF(COUNTRIES[COUNTRY_LABEL],COUNTRIES[[#This Row],[COUNTRY_LABEL]])</f>
        <v>1</v>
      </c>
    </row>
    <row r="128" spans="13:15">
      <c r="M128" s="24" t="s">
        <v>2093</v>
      </c>
      <c r="N128" s="24" t="s">
        <v>1841</v>
      </c>
      <c r="O128" s="24">
        <f>COUNTIF(COUNTRIES[COUNTRY_LABEL],COUNTRIES[[#This Row],[COUNTRY_LABEL]])</f>
        <v>1</v>
      </c>
    </row>
    <row r="129" spans="13:15">
      <c r="M129" s="24" t="s">
        <v>2086</v>
      </c>
      <c r="N129" s="24" t="s">
        <v>1834</v>
      </c>
      <c r="O129" s="24">
        <f>COUNTIF(COUNTRIES[COUNTRY_LABEL],COUNTRIES[[#This Row],[COUNTRY_LABEL]])</f>
        <v>1</v>
      </c>
    </row>
    <row r="130" spans="13:15">
      <c r="M130" s="24" t="s">
        <v>2090</v>
      </c>
      <c r="N130" s="24" t="s">
        <v>1838</v>
      </c>
      <c r="O130" s="24">
        <f>COUNTIF(COUNTRIES[COUNTRY_LABEL],COUNTRIES[[#This Row],[COUNTRY_LABEL]])</f>
        <v>1</v>
      </c>
    </row>
    <row r="131" spans="13:15">
      <c r="M131" s="24" t="s">
        <v>2091</v>
      </c>
      <c r="N131" s="24" t="s">
        <v>1839</v>
      </c>
      <c r="O131" s="24">
        <f>COUNTIF(COUNTRIES[COUNTRY_LABEL],COUNTRIES[[#This Row],[COUNTRY_LABEL]])</f>
        <v>1</v>
      </c>
    </row>
    <row r="132" spans="13:15">
      <c r="M132" s="24" t="s">
        <v>2105</v>
      </c>
      <c r="N132" s="24" t="s">
        <v>1853</v>
      </c>
      <c r="O132" s="24">
        <f>COUNTIF(COUNTRIES[COUNTRY_LABEL],COUNTRIES[[#This Row],[COUNTRY_LABEL]])</f>
        <v>1</v>
      </c>
    </row>
    <row r="133" spans="13:15">
      <c r="M133" s="24" t="s">
        <v>2099</v>
      </c>
      <c r="N133" s="24" t="s">
        <v>1847</v>
      </c>
      <c r="O133" s="24">
        <f>COUNTIF(COUNTRIES[COUNTRY_LABEL],COUNTRIES[[#This Row],[COUNTRY_LABEL]])</f>
        <v>1</v>
      </c>
    </row>
    <row r="134" spans="13:15">
      <c r="M134" s="24" t="s">
        <v>2113</v>
      </c>
      <c r="N134" s="24" t="s">
        <v>1861</v>
      </c>
      <c r="O134" s="24">
        <f>COUNTIF(COUNTRIES[COUNTRY_LABEL],COUNTRIES[[#This Row],[COUNTRY_LABEL]])</f>
        <v>1</v>
      </c>
    </row>
    <row r="135" spans="13:15">
      <c r="M135" s="24" t="s">
        <v>2115</v>
      </c>
      <c r="N135" s="24" t="s">
        <v>1863</v>
      </c>
      <c r="O135" s="24">
        <f>COUNTIF(COUNTRIES[COUNTRY_LABEL],COUNTRIES[[#This Row],[COUNTRY_LABEL]])</f>
        <v>1</v>
      </c>
    </row>
    <row r="136" spans="13:15">
      <c r="M136" s="24" t="s">
        <v>2112</v>
      </c>
      <c r="N136" s="24" t="s">
        <v>1860</v>
      </c>
      <c r="O136" s="24">
        <f>COUNTIF(COUNTRIES[COUNTRY_LABEL],COUNTRIES[[#This Row],[COUNTRY_LABEL]])</f>
        <v>1</v>
      </c>
    </row>
    <row r="137" spans="13:15">
      <c r="M137" s="24" t="s">
        <v>2102</v>
      </c>
      <c r="N137" s="24" t="s">
        <v>1850</v>
      </c>
      <c r="O137" s="24">
        <f>COUNTIF(COUNTRIES[COUNTRY_LABEL],COUNTRIES[[#This Row],[COUNTRY_LABEL]])</f>
        <v>1</v>
      </c>
    </row>
    <row r="138" spans="13:15">
      <c r="M138" s="24" t="s">
        <v>2110</v>
      </c>
      <c r="N138" s="24" t="s">
        <v>1858</v>
      </c>
      <c r="O138" s="24">
        <f>COUNTIF(COUNTRIES[COUNTRY_LABEL],COUNTRIES[[#This Row],[COUNTRY_LABEL]])</f>
        <v>1</v>
      </c>
    </row>
    <row r="139" spans="13:15">
      <c r="M139" s="24" t="s">
        <v>2100</v>
      </c>
      <c r="N139" s="24" t="s">
        <v>1848</v>
      </c>
      <c r="O139" s="24">
        <f>COUNTIF(COUNTRIES[COUNTRY_LABEL],COUNTRIES[[#This Row],[COUNTRY_LABEL]])</f>
        <v>1</v>
      </c>
    </row>
    <row r="140" spans="13:15">
      <c r="M140" s="24" t="s">
        <v>2107</v>
      </c>
      <c r="N140" s="24" t="s">
        <v>1855</v>
      </c>
      <c r="O140" s="24">
        <f>COUNTIF(COUNTRIES[COUNTRY_LABEL],COUNTRIES[[#This Row],[COUNTRY_LABEL]])</f>
        <v>1</v>
      </c>
    </row>
    <row r="141" spans="13:15">
      <c r="M141" s="24" t="s">
        <v>2108</v>
      </c>
      <c r="N141" s="24" t="s">
        <v>1856</v>
      </c>
      <c r="O141" s="24">
        <f>COUNTIF(COUNTRIES[COUNTRY_LABEL],COUNTRIES[[#This Row],[COUNTRY_LABEL]])</f>
        <v>1</v>
      </c>
    </row>
    <row r="142" spans="13:15">
      <c r="M142" s="24" t="s">
        <v>2111</v>
      </c>
      <c r="N142" s="24" t="s">
        <v>1859</v>
      </c>
      <c r="O142" s="24">
        <f>COUNTIF(COUNTRIES[COUNTRY_LABEL],COUNTRIES[[#This Row],[COUNTRY_LABEL]])</f>
        <v>1</v>
      </c>
    </row>
    <row r="143" spans="13:15">
      <c r="M143" s="24" t="s">
        <v>2202</v>
      </c>
      <c r="N143" s="24" t="s">
        <v>1950</v>
      </c>
      <c r="O143" s="24">
        <f>COUNTIF(COUNTRIES[COUNTRY_LABEL],COUNTRIES[[#This Row],[COUNTRY_LABEL]])</f>
        <v>1</v>
      </c>
    </row>
    <row r="144" spans="13:15">
      <c r="M144" s="24" t="s">
        <v>2114</v>
      </c>
      <c r="N144" s="24" t="s">
        <v>1862</v>
      </c>
      <c r="O144" s="24">
        <f>COUNTIF(COUNTRIES[COUNTRY_LABEL],COUNTRIES[[#This Row],[COUNTRY_LABEL]])</f>
        <v>1</v>
      </c>
    </row>
    <row r="145" spans="13:15">
      <c r="M145" s="24" t="s">
        <v>2030</v>
      </c>
      <c r="N145" s="24" t="s">
        <v>1779</v>
      </c>
      <c r="O145" s="24">
        <f>COUNTIF(COUNTRIES[COUNTRY_LABEL],COUNTRIES[[#This Row],[COUNTRY_LABEL]])</f>
        <v>1</v>
      </c>
    </row>
    <row r="146" spans="13:15">
      <c r="M146" s="24" t="s">
        <v>2096</v>
      </c>
      <c r="N146" s="24" t="s">
        <v>1844</v>
      </c>
      <c r="O146" s="24">
        <f>COUNTIF(COUNTRIES[COUNTRY_LABEL],COUNTRIES[[#This Row],[COUNTRY_LABEL]])</f>
        <v>1</v>
      </c>
    </row>
    <row r="147" spans="13:15">
      <c r="M147" s="24" t="s">
        <v>2095</v>
      </c>
      <c r="N147" s="24" t="s">
        <v>1843</v>
      </c>
      <c r="O147" s="24">
        <f>COUNTIF(COUNTRIES[COUNTRY_LABEL],COUNTRIES[[#This Row],[COUNTRY_LABEL]])</f>
        <v>1</v>
      </c>
    </row>
    <row r="148" spans="13:15">
      <c r="M148" s="24" t="s">
        <v>2104</v>
      </c>
      <c r="N148" s="24" t="s">
        <v>1852</v>
      </c>
      <c r="O148" s="24">
        <f>COUNTIF(COUNTRIES[COUNTRY_LABEL],COUNTRIES[[#This Row],[COUNTRY_LABEL]])</f>
        <v>1</v>
      </c>
    </row>
    <row r="149" spans="13:15">
      <c r="M149" s="24" t="s">
        <v>2097</v>
      </c>
      <c r="N149" s="24" t="s">
        <v>1845</v>
      </c>
      <c r="O149" s="24">
        <f>COUNTIF(COUNTRIES[COUNTRY_LABEL],COUNTRIES[[#This Row],[COUNTRY_LABEL]])</f>
        <v>1</v>
      </c>
    </row>
    <row r="150" spans="13:15">
      <c r="M150" s="24" t="s">
        <v>2109</v>
      </c>
      <c r="N150" s="24" t="s">
        <v>1857</v>
      </c>
      <c r="O150" s="24">
        <f>COUNTIF(COUNTRIES[COUNTRY_LABEL],COUNTRIES[[#This Row],[COUNTRY_LABEL]])</f>
        <v>1</v>
      </c>
    </row>
    <row r="151" spans="13:15">
      <c r="M151" s="24" t="s">
        <v>2094</v>
      </c>
      <c r="N151" s="24" t="s">
        <v>1842</v>
      </c>
      <c r="O151" s="24">
        <f>COUNTIF(COUNTRIES[COUNTRY_LABEL],COUNTRIES[[#This Row],[COUNTRY_LABEL]])</f>
        <v>1</v>
      </c>
    </row>
    <row r="152" spans="13:15">
      <c r="M152" s="24" t="s">
        <v>2116</v>
      </c>
      <c r="N152" s="24" t="s">
        <v>1864</v>
      </c>
      <c r="O152" s="24">
        <f>COUNTIF(COUNTRIES[COUNTRY_LABEL],COUNTRIES[[#This Row],[COUNTRY_LABEL]])</f>
        <v>1</v>
      </c>
    </row>
    <row r="153" spans="13:15">
      <c r="M153" s="24" t="s">
        <v>2103</v>
      </c>
      <c r="N153" s="24" t="s">
        <v>1851</v>
      </c>
      <c r="O153" s="24">
        <f>COUNTIF(COUNTRIES[COUNTRY_LABEL],COUNTRIES[[#This Row],[COUNTRY_LABEL]])</f>
        <v>1</v>
      </c>
    </row>
    <row r="154" spans="13:15">
      <c r="M154" s="24" t="s">
        <v>1696</v>
      </c>
      <c r="N154" s="24" t="s">
        <v>1865</v>
      </c>
      <c r="O154" s="24">
        <f>COUNTIF(COUNTRIES[COUNTRY_LABEL],COUNTRIES[[#This Row],[COUNTRY_LABEL]])</f>
        <v>1</v>
      </c>
    </row>
    <row r="155" spans="13:15">
      <c r="M155" s="24" t="s">
        <v>2125</v>
      </c>
      <c r="N155" s="24" t="s">
        <v>1874</v>
      </c>
      <c r="O155" s="24">
        <f>COUNTIF(COUNTRIES[COUNTRY_LABEL],COUNTRIES[[#This Row],[COUNTRY_LABEL]])</f>
        <v>1</v>
      </c>
    </row>
    <row r="156" spans="13:15">
      <c r="M156" s="24" t="s">
        <v>2124</v>
      </c>
      <c r="N156" s="24" t="s">
        <v>1873</v>
      </c>
      <c r="O156" s="24">
        <f>COUNTIF(COUNTRIES[COUNTRY_LABEL],COUNTRIES[[#This Row],[COUNTRY_LABEL]])</f>
        <v>1</v>
      </c>
    </row>
    <row r="157" spans="13:15">
      <c r="M157" s="24" t="s">
        <v>2122</v>
      </c>
      <c r="N157" s="24" t="s">
        <v>1871</v>
      </c>
      <c r="O157" s="24">
        <f>COUNTIF(COUNTRIES[COUNTRY_LABEL],COUNTRIES[[#This Row],[COUNTRY_LABEL]])</f>
        <v>1</v>
      </c>
    </row>
    <row r="158" spans="13:15">
      <c r="M158" s="24" t="s">
        <v>2117</v>
      </c>
      <c r="N158" s="24" t="s">
        <v>1866</v>
      </c>
      <c r="O158" s="24">
        <f>COUNTIF(COUNTRIES[COUNTRY_LABEL],COUNTRIES[[#This Row],[COUNTRY_LABEL]])</f>
        <v>1</v>
      </c>
    </row>
    <row r="159" spans="13:15">
      <c r="M159" s="24" t="s">
        <v>2127</v>
      </c>
      <c r="N159" s="24" t="s">
        <v>1876</v>
      </c>
      <c r="O159" s="24">
        <f>COUNTIF(COUNTRIES[COUNTRY_LABEL],COUNTRIES[[#This Row],[COUNTRY_LABEL]])</f>
        <v>1</v>
      </c>
    </row>
    <row r="160" spans="13:15">
      <c r="M160" s="24" t="s">
        <v>2121</v>
      </c>
      <c r="N160" s="24" t="s">
        <v>1870</v>
      </c>
      <c r="O160" s="24">
        <f>COUNTIF(COUNTRIES[COUNTRY_LABEL],COUNTRIES[[#This Row],[COUNTRY_LABEL]])</f>
        <v>1</v>
      </c>
    </row>
    <row r="161" spans="13:15">
      <c r="M161" s="24" t="s">
        <v>2118</v>
      </c>
      <c r="N161" s="24" t="s">
        <v>1867</v>
      </c>
      <c r="O161" s="24">
        <f>COUNTIF(COUNTRIES[COUNTRY_LABEL],COUNTRIES[[#This Row],[COUNTRY_LABEL]])</f>
        <v>1</v>
      </c>
    </row>
    <row r="162" spans="13:15">
      <c r="M162" s="24" t="s">
        <v>2120</v>
      </c>
      <c r="N162" s="24" t="s">
        <v>1869</v>
      </c>
      <c r="O162" s="24">
        <f>COUNTIF(COUNTRIES[COUNTRY_LABEL],COUNTRIES[[#This Row],[COUNTRY_LABEL]])</f>
        <v>1</v>
      </c>
    </row>
    <row r="163" spans="13:15">
      <c r="M163" s="24" t="s">
        <v>2126</v>
      </c>
      <c r="N163" s="24" t="s">
        <v>1875</v>
      </c>
      <c r="O163" s="24">
        <f>COUNTIF(COUNTRIES[COUNTRY_LABEL],COUNTRIES[[#This Row],[COUNTRY_LABEL]])</f>
        <v>1</v>
      </c>
    </row>
    <row r="164" spans="13:15">
      <c r="M164" s="24" t="s">
        <v>2119</v>
      </c>
      <c r="N164" s="24" t="s">
        <v>1868</v>
      </c>
      <c r="O164" s="24">
        <f>COUNTIF(COUNTRIES[COUNTRY_LABEL],COUNTRIES[[#This Row],[COUNTRY_LABEL]])</f>
        <v>1</v>
      </c>
    </row>
    <row r="165" spans="13:15">
      <c r="M165" s="24" t="s">
        <v>2078</v>
      </c>
      <c r="N165" s="24" t="s">
        <v>1826</v>
      </c>
      <c r="O165" s="24">
        <f>COUNTIF(COUNTRIES[COUNTRY_LABEL],COUNTRIES[[#This Row],[COUNTRY_LABEL]])</f>
        <v>1</v>
      </c>
    </row>
    <row r="166" spans="13:15">
      <c r="M166" s="24" t="s">
        <v>2101</v>
      </c>
      <c r="N166" s="24" t="s">
        <v>1849</v>
      </c>
      <c r="O166" s="24">
        <f>COUNTIF(COUNTRIES[COUNTRY_LABEL],COUNTRIES[[#This Row],[COUNTRY_LABEL]])</f>
        <v>1</v>
      </c>
    </row>
    <row r="167" spans="13:15">
      <c r="M167" s="24" t="s">
        <v>2106</v>
      </c>
      <c r="N167" s="24" t="s">
        <v>1854</v>
      </c>
      <c r="O167" s="24">
        <f>COUNTIF(COUNTRIES[COUNTRY_LABEL],COUNTRIES[[#This Row],[COUNTRY_LABEL]])</f>
        <v>1</v>
      </c>
    </row>
    <row r="168" spans="13:15">
      <c r="M168" s="24" t="s">
        <v>2123</v>
      </c>
      <c r="N168" s="24" t="s">
        <v>1872</v>
      </c>
      <c r="O168" s="24">
        <f>COUNTIF(COUNTRIES[COUNTRY_LABEL],COUNTRIES[[#This Row],[COUNTRY_LABEL]])</f>
        <v>1</v>
      </c>
    </row>
    <row r="169" spans="13:15">
      <c r="M169" s="24" t="s">
        <v>2128</v>
      </c>
      <c r="N169" s="24" t="s">
        <v>1877</v>
      </c>
      <c r="O169" s="24">
        <f>COUNTIF(COUNTRIES[COUNTRY_LABEL],COUNTRIES[[#This Row],[COUNTRY_LABEL]])</f>
        <v>1</v>
      </c>
    </row>
    <row r="170" spans="13:15">
      <c r="M170" s="24" t="s">
        <v>2134</v>
      </c>
      <c r="N170" s="24" t="s">
        <v>1883</v>
      </c>
      <c r="O170" s="24">
        <f>COUNTIF(COUNTRIES[COUNTRY_LABEL],COUNTRIES[[#This Row],[COUNTRY_LABEL]])</f>
        <v>1</v>
      </c>
    </row>
    <row r="171" spans="13:15">
      <c r="M171" s="24" t="s">
        <v>2141</v>
      </c>
      <c r="N171" s="24" t="s">
        <v>1890</v>
      </c>
      <c r="O171" s="24">
        <f>COUNTIF(COUNTRIES[COUNTRY_LABEL],COUNTRIES[[#This Row],[COUNTRY_LABEL]])</f>
        <v>1</v>
      </c>
    </row>
    <row r="172" spans="13:15">
      <c r="M172" s="24" t="s">
        <v>2139</v>
      </c>
      <c r="N172" s="24" t="s">
        <v>1888</v>
      </c>
      <c r="O172" s="24">
        <f>COUNTIF(COUNTRIES[COUNTRY_LABEL],COUNTRIES[[#This Row],[COUNTRY_LABEL]])</f>
        <v>1</v>
      </c>
    </row>
    <row r="173" spans="13:15">
      <c r="M173" s="24" t="s">
        <v>2129</v>
      </c>
      <c r="N173" s="24" t="s">
        <v>1878</v>
      </c>
      <c r="O173" s="24">
        <f>COUNTIF(COUNTRIES[COUNTRY_LABEL],COUNTRIES[[#This Row],[COUNTRY_LABEL]])</f>
        <v>1</v>
      </c>
    </row>
    <row r="174" spans="13:15">
      <c r="M174" s="24" t="s">
        <v>2132</v>
      </c>
      <c r="N174" s="24" t="s">
        <v>1881</v>
      </c>
      <c r="O174" s="24">
        <f>COUNTIF(COUNTRIES[COUNTRY_LABEL],COUNTRIES[[#This Row],[COUNTRY_LABEL]])</f>
        <v>1</v>
      </c>
    </row>
    <row r="175" spans="13:15">
      <c r="M175" s="24" t="s">
        <v>2142</v>
      </c>
      <c r="N175" s="24" t="s">
        <v>1891</v>
      </c>
      <c r="O175" s="24">
        <f>COUNTIF(COUNTRIES[COUNTRY_LABEL],COUNTRIES[[#This Row],[COUNTRY_LABEL]])</f>
        <v>1</v>
      </c>
    </row>
    <row r="176" spans="13:15">
      <c r="M176" s="24" t="s">
        <v>2130</v>
      </c>
      <c r="N176" s="24" t="s">
        <v>1879</v>
      </c>
      <c r="O176" s="24">
        <f>COUNTIF(COUNTRIES[COUNTRY_LABEL],COUNTRIES[[#This Row],[COUNTRY_LABEL]])</f>
        <v>1</v>
      </c>
    </row>
    <row r="177" spans="13:15">
      <c r="M177" s="24" t="s">
        <v>2133</v>
      </c>
      <c r="N177" s="24" t="s">
        <v>1882</v>
      </c>
      <c r="O177" s="24">
        <f>COUNTIF(COUNTRIES[COUNTRY_LABEL],COUNTRIES[[#This Row],[COUNTRY_LABEL]])</f>
        <v>1</v>
      </c>
    </row>
    <row r="178" spans="13:15">
      <c r="M178" s="24" t="s">
        <v>2137</v>
      </c>
      <c r="N178" s="24" t="s">
        <v>1886</v>
      </c>
      <c r="O178" s="24">
        <f>COUNTIF(COUNTRIES[COUNTRY_LABEL],COUNTRIES[[#This Row],[COUNTRY_LABEL]])</f>
        <v>1</v>
      </c>
    </row>
    <row r="179" spans="13:15">
      <c r="M179" s="24" t="s">
        <v>2135</v>
      </c>
      <c r="N179" s="24" t="s">
        <v>1884</v>
      </c>
      <c r="O179" s="24">
        <f>COUNTIF(COUNTRIES[COUNTRY_LABEL],COUNTRIES[[#This Row],[COUNTRY_LABEL]])</f>
        <v>1</v>
      </c>
    </row>
    <row r="180" spans="13:15">
      <c r="M180" s="24" t="s">
        <v>2140</v>
      </c>
      <c r="N180" s="24" t="s">
        <v>1889</v>
      </c>
      <c r="O180" s="24">
        <f>COUNTIF(COUNTRIES[COUNTRY_LABEL],COUNTRIES[[#This Row],[COUNTRY_LABEL]])</f>
        <v>1</v>
      </c>
    </row>
    <row r="181" spans="13:15">
      <c r="M181" s="24" t="s">
        <v>2138</v>
      </c>
      <c r="N181" s="24" t="s">
        <v>1887</v>
      </c>
      <c r="O181" s="24">
        <f>COUNTIF(COUNTRIES[COUNTRY_LABEL],COUNTRIES[[#This Row],[COUNTRY_LABEL]])</f>
        <v>1</v>
      </c>
    </row>
    <row r="182" spans="13:15">
      <c r="M182" s="24" t="s">
        <v>2143</v>
      </c>
      <c r="N182" s="24" t="s">
        <v>1892</v>
      </c>
      <c r="O182" s="24">
        <f>COUNTIF(COUNTRIES[COUNTRY_LABEL],COUNTRIES[[#This Row],[COUNTRY_LABEL]])</f>
        <v>1</v>
      </c>
    </row>
    <row r="183" spans="13:15">
      <c r="M183" s="24" t="s">
        <v>1999</v>
      </c>
      <c r="N183" s="24" t="s">
        <v>1748</v>
      </c>
      <c r="O183" s="24">
        <f>COUNTIF(COUNTRIES[COUNTRY_LABEL],COUNTRIES[[#This Row],[COUNTRY_LABEL]])</f>
        <v>1</v>
      </c>
    </row>
    <row r="184" spans="13:15">
      <c r="M184" s="24" t="s">
        <v>2144</v>
      </c>
      <c r="N184" s="24" t="s">
        <v>1893</v>
      </c>
      <c r="O184" s="24">
        <f>COUNTIF(COUNTRIES[COUNTRY_LABEL],COUNTRIES[[#This Row],[COUNTRY_LABEL]])</f>
        <v>1</v>
      </c>
    </row>
    <row r="185" spans="13:15">
      <c r="M185" s="24" t="s">
        <v>2145</v>
      </c>
      <c r="N185" s="24" t="s">
        <v>1894</v>
      </c>
      <c r="O185" s="24">
        <f>COUNTIF(COUNTRIES[COUNTRY_LABEL],COUNTRIES[[#This Row],[COUNTRY_LABEL]])</f>
        <v>1</v>
      </c>
    </row>
    <row r="186" spans="13:15">
      <c r="M186" s="24" t="s">
        <v>2147</v>
      </c>
      <c r="N186" s="24" t="s">
        <v>1896</v>
      </c>
      <c r="O186" s="24">
        <f>COUNTIF(COUNTRIES[COUNTRY_LABEL],COUNTRIES[[#This Row],[COUNTRY_LABEL]])</f>
        <v>1</v>
      </c>
    </row>
    <row r="187" spans="13:15">
      <c r="M187" s="24" t="s">
        <v>2148</v>
      </c>
      <c r="N187" s="24" t="s">
        <v>1897</v>
      </c>
      <c r="O187" s="24">
        <f>COUNTIF(COUNTRIES[COUNTRY_LABEL],COUNTRIES[[#This Row],[COUNTRY_LABEL]])</f>
        <v>1</v>
      </c>
    </row>
    <row r="188" spans="13:15">
      <c r="M188" s="24" t="s">
        <v>1983</v>
      </c>
      <c r="N188" s="24" t="s">
        <v>1732</v>
      </c>
      <c r="O188" s="24">
        <f>COUNTIF(COUNTRIES[COUNTRY_LABEL],COUNTRIES[[#This Row],[COUNTRY_LABEL]])</f>
        <v>1</v>
      </c>
    </row>
    <row r="189" spans="13:15">
      <c r="M189" s="24" t="s">
        <v>2155</v>
      </c>
      <c r="N189" s="24" t="s">
        <v>1904</v>
      </c>
      <c r="O189" s="24">
        <f>COUNTIF(COUNTRIES[COUNTRY_LABEL],COUNTRIES[[#This Row],[COUNTRY_LABEL]])</f>
        <v>1</v>
      </c>
    </row>
    <row r="190" spans="13:15">
      <c r="M190" s="24" t="s">
        <v>2077</v>
      </c>
      <c r="N190" s="24" t="s">
        <v>1825</v>
      </c>
      <c r="O190" s="24">
        <f>COUNTIF(COUNTRIES[COUNTRY_LABEL],COUNTRIES[[#This Row],[COUNTRY_LABEL]])</f>
        <v>1</v>
      </c>
    </row>
    <row r="191" spans="13:15">
      <c r="M191" s="24" t="s">
        <v>2085</v>
      </c>
      <c r="N191" s="24" t="s">
        <v>1833</v>
      </c>
      <c r="O191" s="24">
        <f>COUNTIF(COUNTRIES[COUNTRY_LABEL],COUNTRIES[[#This Row],[COUNTRY_LABEL]])</f>
        <v>1</v>
      </c>
    </row>
    <row r="192" spans="13:15">
      <c r="M192" s="24" t="s">
        <v>2098</v>
      </c>
      <c r="N192" s="24" t="s">
        <v>1846</v>
      </c>
      <c r="O192" s="24">
        <f>COUNTIF(COUNTRIES[COUNTRY_LABEL],COUNTRIES[[#This Row],[COUNTRY_LABEL]])</f>
        <v>1</v>
      </c>
    </row>
    <row r="193" spans="13:15">
      <c r="M193" s="24" t="s">
        <v>2136</v>
      </c>
      <c r="N193" s="24" t="s">
        <v>1885</v>
      </c>
      <c r="O193" s="24">
        <f>COUNTIF(COUNTRIES[COUNTRY_LABEL],COUNTRIES[[#This Row],[COUNTRY_LABEL]])</f>
        <v>1</v>
      </c>
    </row>
    <row r="194" spans="13:15">
      <c r="M194" s="24" t="s">
        <v>2193</v>
      </c>
      <c r="N194" s="24" t="s">
        <v>1941</v>
      </c>
      <c r="O194" s="24">
        <f>COUNTIF(COUNTRIES[COUNTRY_LABEL],COUNTRIES[[#This Row],[COUNTRY_LABEL]])</f>
        <v>1</v>
      </c>
    </row>
    <row r="195" spans="13:15">
      <c r="M195" s="24" t="s">
        <v>2200</v>
      </c>
      <c r="N195" s="24" t="s">
        <v>1948</v>
      </c>
      <c r="O195" s="24">
        <f>COUNTIF(COUNTRIES[COUNTRY_LABEL],COUNTRIES[[#This Row],[COUNTRY_LABEL]])</f>
        <v>1</v>
      </c>
    </row>
    <row r="196" spans="13:15">
      <c r="M196" s="24" t="s">
        <v>2160</v>
      </c>
      <c r="N196" s="24" t="s">
        <v>1909</v>
      </c>
      <c r="O196" s="24">
        <f>COUNTIF(COUNTRIES[COUNTRY_LABEL],COUNTRIES[[#This Row],[COUNTRY_LABEL]])</f>
        <v>1</v>
      </c>
    </row>
    <row r="197" spans="13:15">
      <c r="M197" s="24" t="s">
        <v>2165</v>
      </c>
      <c r="N197" s="24" t="s">
        <v>1914</v>
      </c>
      <c r="O197" s="24">
        <f>COUNTIF(COUNTRIES[COUNTRY_LABEL],COUNTRIES[[#This Row],[COUNTRY_LABEL]])</f>
        <v>1</v>
      </c>
    </row>
    <row r="198" spans="13:15">
      <c r="M198" s="24" t="s">
        <v>2149</v>
      </c>
      <c r="N198" s="24" t="s">
        <v>1898</v>
      </c>
      <c r="O198" s="24">
        <f>COUNTIF(COUNTRIES[COUNTRY_LABEL],COUNTRIES[[#This Row],[COUNTRY_LABEL]])</f>
        <v>1</v>
      </c>
    </row>
    <row r="199" spans="13:15">
      <c r="M199" s="24" t="s">
        <v>2161</v>
      </c>
      <c r="N199" s="24" t="s">
        <v>1910</v>
      </c>
      <c r="O199" s="24">
        <f>COUNTIF(COUNTRIES[COUNTRY_LABEL],COUNTRIES[[#This Row],[COUNTRY_LABEL]])</f>
        <v>1</v>
      </c>
    </row>
    <row r="200" spans="13:15">
      <c r="M200" s="24" t="s">
        <v>2146</v>
      </c>
      <c r="N200" s="24" t="s">
        <v>1895</v>
      </c>
      <c r="O200" s="24">
        <f>COUNTIF(COUNTRIES[COUNTRY_LABEL],COUNTRIES[[#This Row],[COUNTRY_LABEL]])</f>
        <v>1</v>
      </c>
    </row>
    <row r="201" spans="13:15">
      <c r="M201" s="24" t="s">
        <v>2151</v>
      </c>
      <c r="N201" s="24" t="s">
        <v>1900</v>
      </c>
      <c r="O201" s="24">
        <f>COUNTIF(COUNTRIES[COUNTRY_LABEL],COUNTRIES[[#This Row],[COUNTRY_LABEL]])</f>
        <v>1</v>
      </c>
    </row>
    <row r="202" spans="13:15">
      <c r="M202" s="24" t="s">
        <v>2159</v>
      </c>
      <c r="N202" s="24" t="s">
        <v>1908</v>
      </c>
      <c r="O202" s="24">
        <f>COUNTIF(COUNTRIES[COUNTRY_LABEL],COUNTRIES[[#This Row],[COUNTRY_LABEL]])</f>
        <v>1</v>
      </c>
    </row>
    <row r="203" spans="13:15">
      <c r="M203" s="24" t="s">
        <v>2154</v>
      </c>
      <c r="N203" s="24" t="s">
        <v>1903</v>
      </c>
      <c r="O203" s="24">
        <f>COUNTIF(COUNTRIES[COUNTRY_LABEL],COUNTRIES[[#This Row],[COUNTRY_LABEL]])</f>
        <v>1</v>
      </c>
    </row>
    <row r="204" spans="13:15">
      <c r="M204" s="24" t="s">
        <v>2167</v>
      </c>
      <c r="N204" s="24" t="s">
        <v>1916</v>
      </c>
      <c r="O204" s="24">
        <f>COUNTIF(COUNTRIES[COUNTRY_LABEL],COUNTRIES[[#This Row],[COUNTRY_LABEL]])</f>
        <v>1</v>
      </c>
    </row>
    <row r="205" spans="13:15">
      <c r="M205" s="24" t="s">
        <v>2158</v>
      </c>
      <c r="N205" s="24" t="s">
        <v>1907</v>
      </c>
      <c r="O205" s="24">
        <f>COUNTIF(COUNTRIES[COUNTRY_LABEL],COUNTRIES[[#This Row],[COUNTRY_LABEL]])</f>
        <v>1</v>
      </c>
    </row>
    <row r="206" spans="13:15">
      <c r="M206" s="24" t="s">
        <v>2156</v>
      </c>
      <c r="N206" s="24" t="s">
        <v>1905</v>
      </c>
      <c r="O206" s="24">
        <f>COUNTIF(COUNTRIES[COUNTRY_LABEL],COUNTRIES[[#This Row],[COUNTRY_LABEL]])</f>
        <v>1</v>
      </c>
    </row>
    <row r="207" spans="13:15">
      <c r="M207" s="24" t="s">
        <v>2150</v>
      </c>
      <c r="N207" s="24" t="s">
        <v>1899</v>
      </c>
      <c r="O207" s="24">
        <f>COUNTIF(COUNTRIES[COUNTRY_LABEL],COUNTRIES[[#This Row],[COUNTRY_LABEL]])</f>
        <v>1</v>
      </c>
    </row>
    <row r="208" spans="13:15">
      <c r="M208" s="24" t="s">
        <v>2162</v>
      </c>
      <c r="N208" s="24" t="s">
        <v>1911</v>
      </c>
      <c r="O208" s="24">
        <f>COUNTIF(COUNTRIES[COUNTRY_LABEL],COUNTRIES[[#This Row],[COUNTRY_LABEL]])</f>
        <v>1</v>
      </c>
    </row>
    <row r="209" spans="13:15">
      <c r="M209" s="24" t="s">
        <v>2203</v>
      </c>
      <c r="N209" s="24" t="s">
        <v>1951</v>
      </c>
      <c r="O209" s="24">
        <f>COUNTIF(COUNTRIES[COUNTRY_LABEL],COUNTRIES[[#This Row],[COUNTRY_LABEL]])</f>
        <v>1</v>
      </c>
    </row>
    <row r="210" spans="13:15">
      <c r="M210" s="24" t="s">
        <v>2047</v>
      </c>
      <c r="N210" s="24" t="s">
        <v>1795</v>
      </c>
      <c r="O210" s="24">
        <f>COUNTIF(COUNTRIES[COUNTRY_LABEL],COUNTRIES[[#This Row],[COUNTRY_LABEL]])</f>
        <v>1</v>
      </c>
    </row>
    <row r="211" spans="13:15">
      <c r="M211" s="24" t="s">
        <v>2079</v>
      </c>
      <c r="N211" s="24" t="s">
        <v>1827</v>
      </c>
      <c r="O211" s="24">
        <f>COUNTIF(COUNTRIES[COUNTRY_LABEL],COUNTRIES[[#This Row],[COUNTRY_LABEL]])</f>
        <v>1</v>
      </c>
    </row>
    <row r="212" spans="13:15">
      <c r="M212" s="24" t="s">
        <v>2164</v>
      </c>
      <c r="N212" s="24" t="s">
        <v>1913</v>
      </c>
      <c r="O212" s="24">
        <f>COUNTIF(COUNTRIES[COUNTRY_LABEL],COUNTRIES[[#This Row],[COUNTRY_LABEL]])</f>
        <v>1</v>
      </c>
    </row>
    <row r="213" spans="13:15">
      <c r="M213" s="24" t="s">
        <v>2025</v>
      </c>
      <c r="N213" s="24" t="s">
        <v>1774</v>
      </c>
      <c r="O213" s="24">
        <f>COUNTIF(COUNTRIES[COUNTRY_LABEL],COUNTRIES[[#This Row],[COUNTRY_LABEL]])</f>
        <v>1</v>
      </c>
    </row>
    <row r="214" spans="13:15">
      <c r="M214" s="24" t="s">
        <v>2087</v>
      </c>
      <c r="N214" s="24" t="s">
        <v>1835</v>
      </c>
      <c r="O214" s="24">
        <f>COUNTIF(COUNTRIES[COUNTRY_LABEL],COUNTRIES[[#This Row],[COUNTRY_LABEL]])</f>
        <v>1</v>
      </c>
    </row>
    <row r="215" spans="13:15">
      <c r="M215" s="24" t="s">
        <v>2152</v>
      </c>
      <c r="N215" s="24" t="s">
        <v>1901</v>
      </c>
      <c r="O215" s="24">
        <f>COUNTIF(COUNTRIES[COUNTRY_LABEL],COUNTRIES[[#This Row],[COUNTRY_LABEL]])</f>
        <v>1</v>
      </c>
    </row>
    <row r="216" spans="13:15">
      <c r="M216" s="24" t="s">
        <v>2163</v>
      </c>
      <c r="N216" s="24" t="s">
        <v>1912</v>
      </c>
      <c r="O216" s="24">
        <f>COUNTIF(COUNTRIES[COUNTRY_LABEL],COUNTRIES[[#This Row],[COUNTRY_LABEL]])</f>
        <v>1</v>
      </c>
    </row>
    <row r="217" spans="13:15">
      <c r="M217" s="24" t="s">
        <v>2157</v>
      </c>
      <c r="N217" s="24" t="s">
        <v>1906</v>
      </c>
      <c r="O217" s="24">
        <f>COUNTIF(COUNTRIES[COUNTRY_LABEL],COUNTRIES[[#This Row],[COUNTRY_LABEL]])</f>
        <v>1</v>
      </c>
    </row>
    <row r="218" spans="13:15">
      <c r="M218" s="24" t="s">
        <v>2153</v>
      </c>
      <c r="N218" s="24" t="s">
        <v>1902</v>
      </c>
      <c r="O218" s="24">
        <f>COUNTIF(COUNTRIES[COUNTRY_LABEL],COUNTRIES[[#This Row],[COUNTRY_LABEL]])</f>
        <v>1</v>
      </c>
    </row>
    <row r="219" spans="13:15">
      <c r="M219" s="24" t="s">
        <v>2000</v>
      </c>
      <c r="N219" s="24" t="s">
        <v>1749</v>
      </c>
      <c r="O219" s="24">
        <f>COUNTIF(COUNTRIES[COUNTRY_LABEL],COUNTRIES[[#This Row],[COUNTRY_LABEL]])</f>
        <v>1</v>
      </c>
    </row>
    <row r="220" spans="13:15">
      <c r="M220" s="24" t="s">
        <v>2168</v>
      </c>
      <c r="N220" s="24" t="s">
        <v>1917</v>
      </c>
      <c r="O220" s="24">
        <f>COUNTIF(COUNTRIES[COUNTRY_LABEL],COUNTRIES[[#This Row],[COUNTRY_LABEL]])</f>
        <v>1</v>
      </c>
    </row>
    <row r="221" spans="13:15">
      <c r="M221" s="24" t="s">
        <v>2184</v>
      </c>
      <c r="N221" s="24" t="s">
        <v>1932</v>
      </c>
      <c r="O221" s="24">
        <f>COUNTIF(COUNTRIES[COUNTRY_LABEL],COUNTRIES[[#This Row],[COUNTRY_LABEL]])</f>
        <v>1</v>
      </c>
    </row>
    <row r="222" spans="13:15">
      <c r="M222" s="24" t="s">
        <v>2175</v>
      </c>
      <c r="N222" s="24" t="s">
        <v>1924</v>
      </c>
      <c r="O222" s="24">
        <f>COUNTIF(COUNTRIES[COUNTRY_LABEL],COUNTRIES[[#This Row],[COUNTRY_LABEL]])</f>
        <v>1</v>
      </c>
    </row>
    <row r="223" spans="13:15">
      <c r="M223" s="24" t="s">
        <v>2185</v>
      </c>
      <c r="N223" s="24" t="s">
        <v>1933</v>
      </c>
      <c r="O223" s="24">
        <f>COUNTIF(COUNTRIES[COUNTRY_LABEL],COUNTRIES[[#This Row],[COUNTRY_LABEL]])</f>
        <v>1</v>
      </c>
    </row>
    <row r="224" spans="13:15">
      <c r="M224" s="24" t="s">
        <v>2174</v>
      </c>
      <c r="N224" s="24" t="s">
        <v>1923</v>
      </c>
      <c r="O224" s="24">
        <f>COUNTIF(COUNTRIES[COUNTRY_LABEL],COUNTRIES[[#This Row],[COUNTRY_LABEL]])</f>
        <v>1</v>
      </c>
    </row>
    <row r="225" spans="13:15">
      <c r="M225" s="24" t="s">
        <v>2177</v>
      </c>
      <c r="N225" s="24" t="s">
        <v>1926</v>
      </c>
      <c r="O225" s="24">
        <f>COUNTIF(COUNTRIES[COUNTRY_LABEL],COUNTRIES[[#This Row],[COUNTRY_LABEL]])</f>
        <v>1</v>
      </c>
    </row>
    <row r="226" spans="13:15">
      <c r="M226" s="24" t="s">
        <v>2173</v>
      </c>
      <c r="N226" s="24" t="s">
        <v>1922</v>
      </c>
      <c r="O226" s="24">
        <f>COUNTIF(COUNTRIES[COUNTRY_LABEL],COUNTRIES[[#This Row],[COUNTRY_LABEL]])</f>
        <v>1</v>
      </c>
    </row>
    <row r="227" spans="13:15">
      <c r="M227" s="24" t="s">
        <v>2176</v>
      </c>
      <c r="N227" s="24" t="s">
        <v>1925</v>
      </c>
      <c r="O227" s="24">
        <f>COUNTIF(COUNTRIES[COUNTRY_LABEL],COUNTRIES[[#This Row],[COUNTRY_LABEL]])</f>
        <v>1</v>
      </c>
    </row>
    <row r="228" spans="13:15">
      <c r="M228" s="24" t="s">
        <v>2180</v>
      </c>
      <c r="N228" s="24" t="s">
        <v>1929</v>
      </c>
      <c r="O228" s="24">
        <f>COUNTIF(COUNTRIES[COUNTRY_LABEL],COUNTRIES[[#This Row],[COUNTRY_LABEL]])</f>
        <v>1</v>
      </c>
    </row>
    <row r="229" spans="13:15">
      <c r="M229" s="24" t="s">
        <v>2182</v>
      </c>
      <c r="N229" s="24" t="s">
        <v>1930</v>
      </c>
      <c r="O229" s="24">
        <f>COUNTIF(COUNTRIES[COUNTRY_LABEL],COUNTRIES[[#This Row],[COUNTRY_LABEL]])</f>
        <v>1</v>
      </c>
    </row>
    <row r="230" spans="13:15">
      <c r="M230" s="24" t="s">
        <v>2179</v>
      </c>
      <c r="N230" s="24" t="s">
        <v>1928</v>
      </c>
      <c r="O230" s="24">
        <f>COUNTIF(COUNTRIES[COUNTRY_LABEL],COUNTRIES[[#This Row],[COUNTRY_LABEL]])</f>
        <v>1</v>
      </c>
    </row>
    <row r="231" spans="13:15">
      <c r="M231" s="24" t="s">
        <v>2181</v>
      </c>
      <c r="N231" s="24" t="s">
        <v>2208</v>
      </c>
      <c r="O231" s="24">
        <f>COUNTIF(COUNTRIES[COUNTRY_LABEL],COUNTRIES[[#This Row],[COUNTRY_LABEL]])</f>
        <v>1</v>
      </c>
    </row>
    <row r="232" spans="13:15">
      <c r="M232" s="24" t="s">
        <v>2178</v>
      </c>
      <c r="N232" s="24" t="s">
        <v>1927</v>
      </c>
      <c r="O232" s="24">
        <f>COUNTIF(COUNTRIES[COUNTRY_LABEL],COUNTRIES[[#This Row],[COUNTRY_LABEL]])</f>
        <v>1</v>
      </c>
    </row>
    <row r="233" spans="13:15">
      <c r="M233" s="24" t="s">
        <v>2170</v>
      </c>
      <c r="N233" s="24" t="s">
        <v>1919</v>
      </c>
      <c r="O233" s="24">
        <f>COUNTIF(COUNTRIES[COUNTRY_LABEL],COUNTRIES[[#This Row],[COUNTRY_LABEL]])</f>
        <v>1</v>
      </c>
    </row>
    <row r="234" spans="13:15">
      <c r="M234" s="24" t="s">
        <v>2183</v>
      </c>
      <c r="N234" s="24" t="s">
        <v>1931</v>
      </c>
      <c r="O234" s="24">
        <f>COUNTIF(COUNTRIES[COUNTRY_LABEL],COUNTRIES[[#This Row],[COUNTRY_LABEL]])</f>
        <v>1</v>
      </c>
    </row>
    <row r="235" spans="13:15">
      <c r="M235" s="24" t="s">
        <v>2187</v>
      </c>
      <c r="N235" s="24" t="s">
        <v>1935</v>
      </c>
      <c r="O235" s="24">
        <f>COUNTIF(COUNTRIES[COUNTRY_LABEL],COUNTRIES[[#This Row],[COUNTRY_LABEL]])</f>
        <v>1</v>
      </c>
    </row>
    <row r="236" spans="13:15">
      <c r="M236" s="24" t="s">
        <v>2186</v>
      </c>
      <c r="N236" s="24" t="s">
        <v>1934</v>
      </c>
      <c r="O236" s="24">
        <f>COUNTIF(COUNTRIES[COUNTRY_LABEL],COUNTRIES[[#This Row],[COUNTRY_LABEL]])</f>
        <v>1</v>
      </c>
    </row>
    <row r="237" spans="13:15">
      <c r="M237" s="24" t="s">
        <v>1959</v>
      </c>
      <c r="N237" s="24" t="s">
        <v>1708</v>
      </c>
      <c r="O237" s="24">
        <f>COUNTIF(COUNTRIES[COUNTRY_LABEL],COUNTRIES[[#This Row],[COUNTRY_LABEL]])</f>
        <v>1</v>
      </c>
    </row>
    <row r="238" spans="13:15">
      <c r="M238" s="24" t="s">
        <v>2034</v>
      </c>
      <c r="N238" s="24" t="s">
        <v>1782</v>
      </c>
      <c r="O238" s="24">
        <f>COUNTIF(COUNTRIES[COUNTRY_LABEL],COUNTRIES[[#This Row],[COUNTRY_LABEL]])</f>
        <v>1</v>
      </c>
    </row>
    <row r="239" spans="13:15">
      <c r="M239" s="24" t="s">
        <v>2189</v>
      </c>
      <c r="N239" s="24" t="s">
        <v>1937</v>
      </c>
      <c r="O239" s="24">
        <f>COUNTIF(COUNTRIES[COUNTRY_LABEL],COUNTRIES[[#This Row],[COUNTRY_LABEL]])</f>
        <v>1</v>
      </c>
    </row>
    <row r="240" spans="13:15">
      <c r="M240" s="24" t="s">
        <v>2188</v>
      </c>
      <c r="N240" s="24" t="s">
        <v>1936</v>
      </c>
      <c r="O240" s="24">
        <f>COUNTIF(COUNTRIES[COUNTRY_LABEL],COUNTRIES[[#This Row],[COUNTRY_LABEL]])</f>
        <v>1</v>
      </c>
    </row>
    <row r="241" spans="13:15">
      <c r="M241" s="24" t="s">
        <v>2190</v>
      </c>
      <c r="N241" s="24" t="s">
        <v>1938</v>
      </c>
      <c r="O241" s="24">
        <f>COUNTIF(COUNTRIES[COUNTRY_LABEL],COUNTRIES[[#This Row],[COUNTRY_LABEL]])</f>
        <v>1</v>
      </c>
    </row>
    <row r="242" spans="13:15">
      <c r="M242" s="24" t="s">
        <v>2220</v>
      </c>
      <c r="N242" s="24" t="s">
        <v>1956</v>
      </c>
      <c r="O242" s="24">
        <f>COUNTIF(COUNTRIES[COUNTRY_LABEL],COUNTRIES[[#This Row],[COUNTRY_LABEL]])</f>
        <v>1</v>
      </c>
    </row>
    <row r="243" spans="13:15">
      <c r="M243" s="24" t="s">
        <v>2191</v>
      </c>
      <c r="N243" s="24" t="s">
        <v>1939</v>
      </c>
      <c r="O243" s="24">
        <f>COUNTIF(COUNTRIES[COUNTRY_LABEL],COUNTRIES[[#This Row],[COUNTRY_LABEL]])</f>
        <v>1</v>
      </c>
    </row>
    <row r="244" spans="13:15">
      <c r="M244" s="24" t="s">
        <v>2198</v>
      </c>
      <c r="N244" s="24" t="s">
        <v>1946</v>
      </c>
      <c r="O244" s="24">
        <f>COUNTIF(COUNTRIES[COUNTRY_LABEL],COUNTRIES[[#This Row],[COUNTRY_LABEL]])</f>
        <v>1</v>
      </c>
    </row>
    <row r="245" spans="13:15">
      <c r="M245" s="24" t="s">
        <v>2194</v>
      </c>
      <c r="N245" s="24" t="s">
        <v>1942</v>
      </c>
      <c r="O245" s="24">
        <f>COUNTIF(COUNTRIES[COUNTRY_LABEL],COUNTRIES[[#This Row],[COUNTRY_LABEL]])</f>
        <v>1</v>
      </c>
    </row>
    <row r="246" spans="13:15">
      <c r="M246" s="24" t="s">
        <v>2197</v>
      </c>
      <c r="N246" s="24" t="s">
        <v>1945</v>
      </c>
      <c r="O246" s="24">
        <f>COUNTIF(COUNTRIES[COUNTRY_LABEL],COUNTRIES[[#This Row],[COUNTRY_LABEL]])</f>
        <v>1</v>
      </c>
    </row>
    <row r="247" spans="13:15">
      <c r="M247" s="24" t="s">
        <v>2195</v>
      </c>
      <c r="N247" s="24" t="s">
        <v>1943</v>
      </c>
      <c r="O247" s="24">
        <f>COUNTIF(COUNTRIES[COUNTRY_LABEL],COUNTRIES[[#This Row],[COUNTRY_LABEL]])</f>
        <v>1</v>
      </c>
    </row>
    <row r="248" spans="13:15">
      <c r="M248" s="24" t="s">
        <v>2196</v>
      </c>
      <c r="N248" s="24" t="s">
        <v>1944</v>
      </c>
      <c r="O248" s="24">
        <f>COUNTIF(COUNTRIES[COUNTRY_LABEL],COUNTRIES[[#This Row],[COUNTRY_LABEL]])</f>
        <v>1</v>
      </c>
    </row>
    <row r="249" spans="13:15">
      <c r="M249" s="24" t="s">
        <v>2199</v>
      </c>
      <c r="N249" s="24" t="s">
        <v>1947</v>
      </c>
      <c r="O249" s="24">
        <f>COUNTIF(COUNTRIES[COUNTRY_LABEL],COUNTRIES[[#This Row],[COUNTRY_LABEL]])</f>
        <v>1</v>
      </c>
    </row>
    <row r="250" spans="13:15">
      <c r="M250" s="24" t="s">
        <v>2023</v>
      </c>
      <c r="N250" s="24" t="s">
        <v>1772</v>
      </c>
      <c r="O250" s="24">
        <f>COUNTIF(COUNTRIES[COUNTRY_LABEL],COUNTRIES[[#This Row],[COUNTRY_LABEL]])</f>
        <v>1</v>
      </c>
    </row>
    <row r="251" spans="13:15">
      <c r="M251" s="24" t="s">
        <v>2201</v>
      </c>
      <c r="N251" s="24" t="s">
        <v>1949</v>
      </c>
      <c r="O251" s="24">
        <f>COUNTIF(COUNTRIES[COUNTRY_LABEL],COUNTRIES[[#This Row],[COUNTRY_LABEL]])</f>
        <v>1</v>
      </c>
    </row>
    <row r="252" spans="13:15">
      <c r="M252" s="24" t="s">
        <v>2219</v>
      </c>
      <c r="N252" s="24" t="s">
        <v>1957</v>
      </c>
      <c r="O252" s="24">
        <f>COUNTIF(COUNTRIES[COUNTRY_LABEL],COUNTRIES[[#This Row],[COUNTRY_LABEL]])</f>
        <v>1</v>
      </c>
    </row>
    <row r="253" spans="13:15">
      <c r="M253" s="24" t="s">
        <v>2204</v>
      </c>
      <c r="N253" s="24" t="s">
        <v>1952</v>
      </c>
      <c r="O253" s="24">
        <f>COUNTIF(COUNTRIES[COUNTRY_LABEL],COUNTRIES[[#This Row],[COUNTRY_LABEL]])</f>
        <v>1</v>
      </c>
    </row>
    <row r="254" spans="13:15">
      <c r="M254" s="24" t="s">
        <v>2205</v>
      </c>
      <c r="N254" s="24" t="s">
        <v>1953</v>
      </c>
      <c r="O254" s="24">
        <f>COUNTIF(COUNTRIES[COUNTRY_LABEL],COUNTRIES[[#This Row],[COUNTRY_LABEL]])</f>
        <v>1</v>
      </c>
    </row>
    <row r="255" spans="13:15">
      <c r="M255" s="24" t="s">
        <v>2223</v>
      </c>
      <c r="N255" s="24" t="s">
        <v>2209</v>
      </c>
      <c r="O255" s="24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E16" sqref="E16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9" t="s">
        <v>895</v>
      </c>
      <c r="D1" s="9" t="s">
        <v>896</v>
      </c>
      <c r="E1" s="9" t="s">
        <v>3270</v>
      </c>
    </row>
    <row r="2" spans="1:5">
      <c r="A2" t="s">
        <v>897</v>
      </c>
      <c r="B2" t="s">
        <v>898</v>
      </c>
      <c r="C2" s="9">
        <v>1000</v>
      </c>
      <c r="D2" s="9">
        <v>1499</v>
      </c>
      <c r="E2" t="s">
        <v>985</v>
      </c>
    </row>
    <row r="3" spans="1:5">
      <c r="A3" t="s">
        <v>900</v>
      </c>
      <c r="B3" t="s">
        <v>899</v>
      </c>
      <c r="C3" s="9">
        <v>2000</v>
      </c>
      <c r="D3" s="9">
        <v>2499</v>
      </c>
      <c r="E3" t="s">
        <v>986</v>
      </c>
    </row>
    <row r="4" spans="1:5">
      <c r="A4" t="s">
        <v>3307</v>
      </c>
      <c r="B4" t="s">
        <v>902</v>
      </c>
      <c r="C4" s="9">
        <v>3000</v>
      </c>
      <c r="D4" s="9">
        <v>3499</v>
      </c>
      <c r="E4" t="s">
        <v>987</v>
      </c>
    </row>
    <row r="5" spans="1:5">
      <c r="A5" t="s">
        <v>903</v>
      </c>
      <c r="B5" t="s">
        <v>904</v>
      </c>
      <c r="C5" s="9">
        <v>4000</v>
      </c>
      <c r="D5" s="9">
        <v>4999</v>
      </c>
      <c r="E5" t="s">
        <v>1009</v>
      </c>
    </row>
    <row r="6" spans="1:5">
      <c r="A6" t="s">
        <v>905</v>
      </c>
      <c r="B6" t="s">
        <v>906</v>
      </c>
      <c r="C6" s="9">
        <v>5000</v>
      </c>
      <c r="D6" s="9">
        <v>5999</v>
      </c>
      <c r="E6" t="s">
        <v>1010</v>
      </c>
    </row>
    <row r="7" spans="1:5">
      <c r="A7" t="s">
        <v>907</v>
      </c>
      <c r="B7" t="s">
        <v>908</v>
      </c>
      <c r="C7" s="9">
        <v>6000</v>
      </c>
      <c r="D7" s="9">
        <v>6999</v>
      </c>
      <c r="E7" t="s">
        <v>1011</v>
      </c>
    </row>
    <row r="8" spans="1:5">
      <c r="A8" t="s">
        <v>909</v>
      </c>
      <c r="B8" t="s">
        <v>910</v>
      </c>
      <c r="C8" s="9">
        <v>7000</v>
      </c>
      <c r="D8" s="9">
        <v>7999</v>
      </c>
      <c r="E8" t="s">
        <v>910</v>
      </c>
    </row>
    <row r="9" spans="1:5">
      <c r="A9" t="s">
        <v>911</v>
      </c>
      <c r="B9" t="s">
        <v>912</v>
      </c>
      <c r="C9" s="9">
        <v>8000</v>
      </c>
      <c r="D9" s="9">
        <v>8999</v>
      </c>
      <c r="E9" t="s">
        <v>912</v>
      </c>
    </row>
    <row r="10" spans="1:5">
      <c r="A10" t="s">
        <v>913</v>
      </c>
      <c r="B10" t="s">
        <v>914</v>
      </c>
      <c r="C10" s="9">
        <v>9000</v>
      </c>
      <c r="D10" s="9">
        <v>9999</v>
      </c>
      <c r="E10" t="s">
        <v>321</v>
      </c>
    </row>
    <row r="11" spans="1:5">
      <c r="A11" t="s">
        <v>3338</v>
      </c>
      <c r="B11" t="s">
        <v>915</v>
      </c>
      <c r="C11" s="9">
        <v>10000</v>
      </c>
      <c r="D11" s="9">
        <v>10499</v>
      </c>
      <c r="E11" t="s">
        <v>3337</v>
      </c>
    </row>
    <row r="12" spans="1:5">
      <c r="A12" t="s">
        <v>916</v>
      </c>
      <c r="B12" t="s">
        <v>917</v>
      </c>
      <c r="C12" s="9">
        <v>11000</v>
      </c>
      <c r="D12" s="9">
        <v>11999</v>
      </c>
      <c r="E12" t="s">
        <v>982</v>
      </c>
    </row>
    <row r="13" spans="1:5">
      <c r="A13" t="s">
        <v>918</v>
      </c>
      <c r="B13" t="s">
        <v>919</v>
      </c>
      <c r="C13" s="9">
        <v>12000</v>
      </c>
      <c r="D13" s="9">
        <v>12999</v>
      </c>
      <c r="E13" t="s">
        <v>983</v>
      </c>
    </row>
    <row r="14" spans="1:5">
      <c r="A14" t="s">
        <v>930</v>
      </c>
      <c r="B14" t="s">
        <v>934</v>
      </c>
      <c r="C14" s="9">
        <v>13000</v>
      </c>
      <c r="D14" s="9">
        <v>13001</v>
      </c>
      <c r="E14" t="s">
        <v>910</v>
      </c>
    </row>
    <row r="15" spans="1:5">
      <c r="A15" t="s">
        <v>931</v>
      </c>
      <c r="B15" t="s">
        <v>935</v>
      </c>
      <c r="C15" s="9">
        <v>13002</v>
      </c>
      <c r="D15" s="9">
        <v>13003</v>
      </c>
      <c r="E15" t="s">
        <v>321</v>
      </c>
    </row>
    <row r="16" spans="1:5">
      <c r="A16" t="s">
        <v>932</v>
      </c>
      <c r="B16" t="s">
        <v>936</v>
      </c>
      <c r="C16" s="9">
        <v>13004</v>
      </c>
      <c r="D16" s="9">
        <v>13005</v>
      </c>
      <c r="E16" t="s">
        <v>3337</v>
      </c>
    </row>
    <row r="17" spans="1:5">
      <c r="A17" t="s">
        <v>933</v>
      </c>
      <c r="B17" t="s">
        <v>937</v>
      </c>
      <c r="C17" s="9">
        <v>13006</v>
      </c>
      <c r="D17" s="9">
        <v>13007</v>
      </c>
      <c r="E17" t="s">
        <v>910</v>
      </c>
    </row>
    <row r="18" spans="1:5">
      <c r="A18" t="s">
        <v>923</v>
      </c>
      <c r="B18" t="s">
        <v>922</v>
      </c>
      <c r="C18" s="9">
        <v>14000</v>
      </c>
      <c r="D18" s="9">
        <v>14499</v>
      </c>
      <c r="E18" t="s">
        <v>988</v>
      </c>
    </row>
    <row r="19" spans="1:5">
      <c r="A19" t="s">
        <v>925</v>
      </c>
      <c r="B19" t="s">
        <v>924</v>
      </c>
      <c r="C19" s="9">
        <v>14500</v>
      </c>
      <c r="D19" s="9">
        <v>14999</v>
      </c>
      <c r="E19" t="s">
        <v>989</v>
      </c>
    </row>
    <row r="20" spans="1:5">
      <c r="A20" t="s">
        <v>3014</v>
      </c>
      <c r="B20" t="s">
        <v>3015</v>
      </c>
      <c r="C20" s="9">
        <v>15000</v>
      </c>
      <c r="D20" s="9">
        <v>15499</v>
      </c>
      <c r="E20" t="s">
        <v>3013</v>
      </c>
    </row>
    <row r="21" spans="1:5">
      <c r="A21" t="s">
        <v>926</v>
      </c>
      <c r="B21" t="s">
        <v>927</v>
      </c>
      <c r="C21" s="9">
        <v>15500</v>
      </c>
      <c r="D21" s="9">
        <v>15999</v>
      </c>
      <c r="E21" t="s">
        <v>910</v>
      </c>
    </row>
    <row r="22" spans="1:5">
      <c r="A22" t="s">
        <v>928</v>
      </c>
      <c r="B22" t="s">
        <v>929</v>
      </c>
      <c r="C22" s="9">
        <v>16000</v>
      </c>
      <c r="D22" s="9">
        <v>16499</v>
      </c>
      <c r="E22" t="s">
        <v>989</v>
      </c>
    </row>
    <row r="23" spans="1:5">
      <c r="A23" t="s">
        <v>920</v>
      </c>
      <c r="B23" t="s">
        <v>921</v>
      </c>
      <c r="C23" s="9">
        <v>18000</v>
      </c>
      <c r="D23" s="9">
        <v>18999</v>
      </c>
      <c r="E23" t="s">
        <v>983</v>
      </c>
    </row>
    <row r="24" spans="1:5">
      <c r="A24" t="s">
        <v>2744</v>
      </c>
      <c r="B24" t="s">
        <v>2745</v>
      </c>
      <c r="C24" s="9">
        <v>19000</v>
      </c>
      <c r="D24" s="9">
        <v>19500</v>
      </c>
      <c r="E24" t="s">
        <v>912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3" t="s">
        <v>984</v>
      </c>
      <c r="B1" s="13" t="s">
        <v>969</v>
      </c>
      <c r="C1" s="13" t="s">
        <v>970</v>
      </c>
      <c r="D1" s="13" t="s">
        <v>971</v>
      </c>
      <c r="E1" s="13" t="s">
        <v>972</v>
      </c>
      <c r="F1" s="13" t="s">
        <v>973</v>
      </c>
      <c r="G1" s="13" t="s">
        <v>974</v>
      </c>
      <c r="H1" s="13" t="s">
        <v>975</v>
      </c>
      <c r="I1" s="13" t="s">
        <v>976</v>
      </c>
      <c r="J1" s="13" t="s">
        <v>977</v>
      </c>
      <c r="K1" s="13" t="s">
        <v>978</v>
      </c>
      <c r="L1" s="13" t="s">
        <v>979</v>
      </c>
      <c r="M1" s="13" t="s">
        <v>980</v>
      </c>
      <c r="N1" s="13" t="s">
        <v>981</v>
      </c>
    </row>
    <row r="2" spans="1:14">
      <c r="A2" s="13" t="s">
        <v>1009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1010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1011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910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912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321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3337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982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983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985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986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987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988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989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3013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990</v>
      </c>
    </row>
    <row r="25" spans="1:1">
      <c r="A25" s="19" t="s">
        <v>991</v>
      </c>
    </row>
    <row r="27" spans="1:1">
      <c r="A27" s="19" t="s">
        <v>992</v>
      </c>
    </row>
    <row r="29" spans="1:1">
      <c r="A29" s="19" t="s">
        <v>993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994</v>
      </c>
      <c r="B1" t="s">
        <v>11</v>
      </c>
      <c r="C1" t="s">
        <v>995</v>
      </c>
    </row>
    <row r="2" spans="1:3">
      <c r="A2" t="s">
        <v>1006</v>
      </c>
      <c r="B2">
        <v>20</v>
      </c>
      <c r="C2" t="s">
        <v>1000</v>
      </c>
    </row>
    <row r="3" spans="1:3">
      <c r="A3" t="s">
        <v>1004</v>
      </c>
      <c r="B3">
        <v>40</v>
      </c>
      <c r="C3" t="s">
        <v>998</v>
      </c>
    </row>
    <row r="4" spans="1:3">
      <c r="A4" t="s">
        <v>1003</v>
      </c>
      <c r="B4">
        <v>16</v>
      </c>
      <c r="C4" t="s">
        <v>997</v>
      </c>
    </row>
    <row r="5" spans="1:3">
      <c r="A5" t="s">
        <v>1007</v>
      </c>
      <c r="B5">
        <v>15</v>
      </c>
      <c r="C5" t="s">
        <v>1001</v>
      </c>
    </row>
    <row r="6" spans="1:3">
      <c r="A6" t="s">
        <v>1005</v>
      </c>
      <c r="B6">
        <v>120</v>
      </c>
      <c r="C6" t="s">
        <v>999</v>
      </c>
    </row>
    <row r="7" spans="1:3">
      <c r="A7" t="s">
        <v>1002</v>
      </c>
      <c r="B7">
        <v>0</v>
      </c>
      <c r="C7" t="s">
        <v>996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2026-05-10T17:37:52Z</dcterms:modified>
</cp:coreProperties>
</file>