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Глеб\Desktop\Лабы\Термодинамика\2.2.3\"/>
    </mc:Choice>
  </mc:AlternateContent>
  <xr:revisionPtr revIDLastSave="0" documentId="13_ncr:1_{3238BABA-6633-47A1-B1D6-1D84E6CBE26D}" xr6:coauthVersionLast="47" xr6:coauthVersionMax="47" xr10:uidLastSave="{00000000-0000-0000-0000-000000000000}"/>
  <bookViews>
    <workbookView xWindow="-108" yWindow="492" windowWidth="23256" windowHeight="12576" xr2:uid="{5E5C7C5C-F755-4AE1-AE71-AECFB9D96FE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E26" i="2"/>
  <c r="F26" i="2"/>
  <c r="G26" i="2"/>
  <c r="C26" i="2"/>
  <c r="J23" i="2"/>
  <c r="J22" i="2"/>
  <c r="J21" i="2"/>
  <c r="J20" i="2"/>
  <c r="J19" i="2"/>
  <c r="D25" i="2"/>
  <c r="E25" i="2"/>
  <c r="F25" i="2"/>
  <c r="G25" i="2"/>
  <c r="C25" i="2"/>
  <c r="D23" i="2"/>
  <c r="E23" i="2"/>
  <c r="F23" i="2"/>
  <c r="G23" i="2"/>
  <c r="C23" i="2"/>
  <c r="D22" i="2"/>
  <c r="E22" i="2"/>
  <c r="F22" i="2"/>
  <c r="G22" i="2"/>
  <c r="C22" i="2"/>
  <c r="D13" i="2"/>
  <c r="E13" i="2"/>
  <c r="F13" i="2"/>
  <c r="G13" i="2"/>
  <c r="D12" i="2"/>
  <c r="E12" i="2"/>
  <c r="F12" i="2"/>
  <c r="G12" i="2"/>
  <c r="D11" i="2"/>
  <c r="E11" i="2"/>
  <c r="F11" i="2"/>
  <c r="G11" i="2"/>
  <c r="D10" i="2"/>
  <c r="E10" i="2"/>
  <c r="F10" i="2"/>
  <c r="G10" i="2"/>
  <c r="C10" i="2"/>
  <c r="D9" i="2"/>
  <c r="E9" i="2"/>
  <c r="F9" i="2"/>
  <c r="G9" i="2"/>
  <c r="C9" i="2"/>
  <c r="C13" i="2"/>
  <c r="C12" i="2"/>
  <c r="C11" i="2"/>
  <c r="C7" i="2"/>
  <c r="D19" i="2"/>
  <c r="E19" i="2"/>
  <c r="F19" i="2"/>
  <c r="G19" i="2"/>
  <c r="C19" i="2"/>
  <c r="G18" i="2"/>
  <c r="F18" i="2"/>
  <c r="E18" i="2"/>
  <c r="D18" i="2"/>
  <c r="C18" i="2"/>
  <c r="J5" i="2"/>
  <c r="K5" i="2"/>
  <c r="L5" i="2"/>
  <c r="M5" i="2"/>
  <c r="N5" i="2"/>
  <c r="K4" i="2"/>
  <c r="L4" i="2"/>
  <c r="M4" i="2"/>
  <c r="N4" i="2"/>
  <c r="J4" i="2"/>
  <c r="K19" i="1"/>
  <c r="K20" i="1"/>
  <c r="K21" i="1"/>
  <c r="K22" i="1"/>
  <c r="K23" i="1"/>
  <c r="K24" i="1"/>
  <c r="K25" i="1"/>
  <c r="K26" i="1"/>
  <c r="K18" i="1"/>
  <c r="K5" i="1"/>
  <c r="K6" i="1"/>
  <c r="K7" i="1"/>
  <c r="K8" i="1"/>
  <c r="K9" i="1"/>
  <c r="K10" i="1"/>
  <c r="K11" i="1"/>
  <c r="K12" i="1"/>
  <c r="K4" i="1"/>
  <c r="AJ5" i="1"/>
  <c r="AJ6" i="1"/>
  <c r="AJ7" i="1"/>
  <c r="AJ8" i="1"/>
  <c r="AJ9" i="1"/>
  <c r="AJ10" i="1"/>
  <c r="AJ11" i="1"/>
  <c r="AJ12" i="1"/>
  <c r="AJ4" i="1"/>
  <c r="Y18" i="1"/>
  <c r="Y19" i="1"/>
  <c r="Y20" i="1"/>
  <c r="Y21" i="1"/>
  <c r="Y22" i="1"/>
  <c r="Y23" i="1"/>
  <c r="Y24" i="1"/>
  <c r="Y25" i="1"/>
  <c r="Y26" i="1"/>
  <c r="Y5" i="1"/>
  <c r="Y6" i="1"/>
  <c r="Y7" i="1"/>
  <c r="Y8" i="1"/>
  <c r="Y9" i="1"/>
  <c r="Y10" i="1"/>
  <c r="Y11" i="1"/>
  <c r="Y12" i="1"/>
  <c r="Y4" i="1"/>
  <c r="J19" i="1"/>
  <c r="J20" i="1"/>
  <c r="J21" i="1"/>
  <c r="J22" i="1"/>
  <c r="J23" i="1"/>
  <c r="J24" i="1"/>
  <c r="J25" i="1"/>
  <c r="J26" i="1"/>
  <c r="J18" i="1"/>
  <c r="J5" i="1"/>
  <c r="J6" i="1"/>
  <c r="J7" i="1"/>
  <c r="J8" i="1"/>
  <c r="J9" i="1"/>
  <c r="J10" i="1"/>
  <c r="J11" i="1"/>
  <c r="J12" i="1"/>
  <c r="J4" i="1"/>
  <c r="B4" i="1"/>
  <c r="Z26" i="1"/>
  <c r="Z25" i="1"/>
  <c r="Z24" i="1"/>
  <c r="Z23" i="1"/>
  <c r="Z22" i="1"/>
  <c r="Z21" i="1"/>
  <c r="Z20" i="1"/>
  <c r="Z19" i="1"/>
  <c r="Z18" i="1"/>
  <c r="AK8" i="1"/>
  <c r="AK12" i="1"/>
  <c r="AK11" i="1"/>
  <c r="AK10" i="1"/>
  <c r="AK9" i="1"/>
  <c r="AK7" i="1"/>
  <c r="AK6" i="1"/>
  <c r="AK5" i="1"/>
  <c r="AK4" i="1"/>
  <c r="Z12" i="1"/>
  <c r="Z11" i="1"/>
  <c r="Z10" i="1"/>
  <c r="Z9" i="1"/>
  <c r="Z8" i="1"/>
  <c r="Z7" i="1"/>
  <c r="Z6" i="1"/>
  <c r="Z5" i="1"/>
  <c r="Z4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I5" i="1"/>
  <c r="AH5" i="1"/>
  <c r="AI4" i="1"/>
  <c r="AH4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I12" i="1"/>
  <c r="I11" i="1"/>
  <c r="I10" i="1"/>
  <c r="I9" i="1"/>
  <c r="I8" i="1"/>
  <c r="I7" i="1"/>
  <c r="I6" i="1"/>
  <c r="I5" i="1"/>
  <c r="I4" i="1"/>
  <c r="H5" i="1"/>
  <c r="H6" i="1"/>
  <c r="H7" i="1"/>
  <c r="H8" i="1"/>
  <c r="H9" i="1"/>
  <c r="H10" i="1"/>
  <c r="H11" i="1"/>
  <c r="H12" i="1"/>
  <c r="H4" i="1"/>
  <c r="F4" i="1"/>
  <c r="F5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U26" i="1"/>
  <c r="T26" i="1"/>
  <c r="Q26" i="1"/>
  <c r="U25" i="1"/>
  <c r="T25" i="1"/>
  <c r="Q25" i="1"/>
  <c r="U24" i="1"/>
  <c r="T24" i="1"/>
  <c r="Q24" i="1"/>
  <c r="U23" i="1"/>
  <c r="T23" i="1"/>
  <c r="Q23" i="1"/>
  <c r="U22" i="1"/>
  <c r="T22" i="1"/>
  <c r="Q22" i="1"/>
  <c r="U21" i="1"/>
  <c r="T21" i="1"/>
  <c r="Q21" i="1"/>
  <c r="U20" i="1"/>
  <c r="T20" i="1"/>
  <c r="Q20" i="1"/>
  <c r="U19" i="1"/>
  <c r="T19" i="1"/>
  <c r="Q19" i="1"/>
  <c r="U18" i="1"/>
  <c r="T18" i="1"/>
  <c r="Q18" i="1"/>
  <c r="U12" i="1"/>
  <c r="T12" i="1"/>
  <c r="Q12" i="1"/>
  <c r="U11" i="1"/>
  <c r="T11" i="1"/>
  <c r="Q11" i="1"/>
  <c r="U10" i="1"/>
  <c r="T10" i="1"/>
  <c r="Q10" i="1"/>
  <c r="U9" i="1"/>
  <c r="T9" i="1"/>
  <c r="Q9" i="1"/>
  <c r="U8" i="1"/>
  <c r="T8" i="1"/>
  <c r="Q8" i="1"/>
  <c r="U7" i="1"/>
  <c r="T7" i="1"/>
  <c r="Q7" i="1"/>
  <c r="U6" i="1"/>
  <c r="T6" i="1"/>
  <c r="Q6" i="1"/>
  <c r="U5" i="1"/>
  <c r="T5" i="1"/>
  <c r="Q5" i="1"/>
  <c r="U4" i="1"/>
  <c r="T4" i="1"/>
  <c r="Q4" i="1"/>
  <c r="AF12" i="1"/>
  <c r="AE12" i="1"/>
  <c r="AB12" i="1"/>
  <c r="AF11" i="1"/>
  <c r="AE11" i="1"/>
  <c r="AB11" i="1"/>
  <c r="AF10" i="1"/>
  <c r="AE10" i="1"/>
  <c r="AB10" i="1"/>
  <c r="AF9" i="1"/>
  <c r="AE9" i="1"/>
  <c r="AB9" i="1"/>
  <c r="AF8" i="1"/>
  <c r="AE8" i="1"/>
  <c r="AB8" i="1"/>
  <c r="AF7" i="1"/>
  <c r="AE7" i="1"/>
  <c r="AB7" i="1"/>
  <c r="AF6" i="1"/>
  <c r="AE6" i="1"/>
  <c r="AB6" i="1"/>
  <c r="AF5" i="1"/>
  <c r="AE5" i="1"/>
  <c r="AB5" i="1"/>
  <c r="AF4" i="1"/>
  <c r="AE4" i="1"/>
  <c r="AB4" i="1"/>
  <c r="B5" i="1"/>
  <c r="B6" i="1"/>
  <c r="B7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<sst xmlns="http://schemas.openxmlformats.org/spreadsheetml/2006/main" count="51" uniqueCount="30">
  <si>
    <t>R, Ом</t>
  </si>
  <si>
    <t>U1, В</t>
  </si>
  <si>
    <t>U2, В</t>
  </si>
  <si>
    <t>I, A</t>
  </si>
  <si>
    <t>Q, мВт</t>
  </si>
  <si>
    <t>t = 30℃</t>
  </si>
  <si>
    <t>t = 40℃</t>
  </si>
  <si>
    <t>t = 50℃</t>
  </si>
  <si>
    <t>t = 60℃</t>
  </si>
  <si>
    <t>t = 20℃</t>
  </si>
  <si>
    <t>2r1, мм</t>
  </si>
  <si>
    <t>±</t>
  </si>
  <si>
    <t>2r2, мм</t>
  </si>
  <si>
    <t>L, мм</t>
  </si>
  <si>
    <t>Rэ, Ом</t>
  </si>
  <si>
    <t>365 ± 2</t>
  </si>
  <si>
    <t>10,0 ± 0,1</t>
  </si>
  <si>
    <t>0,055 ± 0,005</t>
  </si>
  <si>
    <t>14,45892 ± 0,0024</t>
  </si>
  <si>
    <t>14,90028 ± 0,00287</t>
  </si>
  <si>
    <t>15,34961 ± 0,0011</t>
  </si>
  <si>
    <t>15,80098 ± 0,00107</t>
  </si>
  <si>
    <t>16,2766 ± 0,01529</t>
  </si>
  <si>
    <t>t</t>
  </si>
  <si>
    <t>dR/dQ</t>
  </si>
  <si>
    <t>dR/dT</t>
  </si>
  <si>
    <t>k</t>
  </si>
  <si>
    <t>dQ/dT</t>
  </si>
  <si>
    <t>@(r2/r1)</t>
  </si>
  <si>
    <t>@k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</si>
</sst>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/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164" fontId="0" fillId="0" borderId="1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1" fontId="0" fillId="0" borderId="0" xfId="0" applyNumberFormat="1"/>
    <xf numFmtId="2" fontId="0" fillId="0" borderId="0" xfId="0" applyNumberFormat="1"/>
    <xf numFmtId="164" fontId="0" fillId="0" borderId="0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0946-58F0-4387-9B2A-9751FD3BAFCC}">
  <dimension ref="A1:AK41"/>
  <sheetViews>
    <sheetView tabSelected="1" zoomScale="70" zoomScaleNormal="70" workbookViewId="0">
      <selection activeCell="M4" sqref="M4:N12"/>
    </sheetView>
  </sheetViews>
  <sheetFormatPr defaultRowHeight="14.4" x14ac:dyDescent="0.3"/>
  <cols>
    <col min="2" max="2" width="8.88671875" style="1"/>
    <col min="9" max="9" width="8.88671875" style="1"/>
    <col min="10" max="12" width="9" bestFit="1" customWidth="1"/>
    <col min="13" max="13" width="9.44140625" bestFit="1" customWidth="1"/>
    <col min="16" max="16" width="8.88671875" style="1"/>
  </cols>
  <sheetData>
    <row r="1" spans="1:37" ht="15" thickBot="1" x14ac:dyDescent="0.35">
      <c r="B1" s="6"/>
      <c r="C1" s="7"/>
      <c r="D1" s="7"/>
      <c r="E1" s="7"/>
      <c r="F1" s="7"/>
      <c r="H1" s="21"/>
      <c r="I1" s="38"/>
      <c r="J1" s="21"/>
      <c r="K1" s="21"/>
      <c r="L1" s="21"/>
      <c r="M1" s="21"/>
      <c r="N1" s="21"/>
      <c r="O1" s="21"/>
      <c r="P1"/>
      <c r="Q1" s="1"/>
      <c r="AB1" s="1"/>
    </row>
    <row r="2" spans="1:37" ht="15.6" thickTop="1" thickBot="1" x14ac:dyDescent="0.35">
      <c r="A2" s="10"/>
      <c r="B2" s="49" t="s">
        <v>9</v>
      </c>
      <c r="C2" s="50"/>
      <c r="D2" s="50"/>
      <c r="E2" s="50"/>
      <c r="F2" s="51"/>
      <c r="G2" s="2"/>
      <c r="H2" s="5"/>
      <c r="I2" s="5"/>
      <c r="J2" s="5"/>
      <c r="K2" s="5"/>
      <c r="L2" s="5"/>
      <c r="M2" s="5"/>
      <c r="N2" s="5"/>
      <c r="O2" s="5"/>
      <c r="P2" s="2"/>
      <c r="Q2" s="49" t="s">
        <v>5</v>
      </c>
      <c r="R2" s="50"/>
      <c r="S2" s="50"/>
      <c r="T2" s="50"/>
      <c r="U2" s="51"/>
      <c r="V2" s="2"/>
      <c r="AA2" s="2"/>
      <c r="AB2" s="49" t="s">
        <v>6</v>
      </c>
      <c r="AC2" s="50"/>
      <c r="AD2" s="50"/>
      <c r="AE2" s="50"/>
      <c r="AF2" s="51"/>
    </row>
    <row r="3" spans="1:37" ht="15.6" thickTop="1" thickBot="1" x14ac:dyDescent="0.35">
      <c r="A3" s="10"/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  <c r="G3" s="2"/>
      <c r="H3" s="5"/>
      <c r="I3" s="9"/>
      <c r="J3" s="5"/>
      <c r="K3" s="5"/>
      <c r="L3" s="5"/>
      <c r="M3" s="5"/>
      <c r="N3" s="39"/>
      <c r="O3" s="5"/>
      <c r="P3" s="8"/>
      <c r="Q3" s="16" t="s">
        <v>0</v>
      </c>
      <c r="R3" s="17" t="s">
        <v>1</v>
      </c>
      <c r="S3" s="17" t="s">
        <v>2</v>
      </c>
      <c r="T3" s="17" t="s">
        <v>3</v>
      </c>
      <c r="U3" s="17" t="s">
        <v>4</v>
      </c>
      <c r="V3" s="3"/>
      <c r="W3" s="1"/>
      <c r="AA3" s="8"/>
      <c r="AB3" s="34" t="s">
        <v>0</v>
      </c>
      <c r="AC3" s="20" t="s">
        <v>1</v>
      </c>
      <c r="AD3" s="20" t="s">
        <v>2</v>
      </c>
      <c r="AE3" s="20" t="s">
        <v>3</v>
      </c>
      <c r="AF3" s="20" t="s">
        <v>4</v>
      </c>
    </row>
    <row r="4" spans="1:37" ht="15" thickTop="1" x14ac:dyDescent="0.3">
      <c r="A4" s="10"/>
      <c r="B4" s="26">
        <f>D4*10/C4</f>
        <v>14.71609051783979</v>
      </c>
      <c r="C4" s="22">
        <v>0.72030000000000005</v>
      </c>
      <c r="D4" s="22">
        <v>1.06</v>
      </c>
      <c r="E4" s="22">
        <f>C4/10</f>
        <v>7.2030000000000011E-2</v>
      </c>
      <c r="F4" s="32">
        <f>C4*D4*1000/10</f>
        <v>76.351800000000011</v>
      </c>
      <c r="G4" s="2"/>
      <c r="H4" s="5">
        <f>C4*0.000035+100*0.000005</f>
        <v>5.2521049999999998E-4</v>
      </c>
      <c r="I4" s="5">
        <f>D4*0.000035+100*0.000005</f>
        <v>5.3709999999999999E-4</v>
      </c>
      <c r="J4" s="9">
        <f>B4*SQRT((H4/C4)^2+(I4/D4)^2 + (0.01)^2)</f>
        <v>0.14773988210942957</v>
      </c>
      <c r="K4" s="9">
        <f>F4*SQRT((H4/C4)^2+(I4/D4)^2 + (0.01)^2)</f>
        <v>0.76652191811188952</v>
      </c>
      <c r="L4" s="9"/>
      <c r="M4" s="40"/>
      <c r="N4" s="39"/>
      <c r="O4" s="5"/>
      <c r="P4" s="8"/>
      <c r="Q4" s="30">
        <f>S4*10/R4</f>
        <v>15.265247203175747</v>
      </c>
      <c r="R4" s="35">
        <v>0.83130000000000004</v>
      </c>
      <c r="S4" s="35">
        <v>1.2689999999999999</v>
      </c>
      <c r="T4" s="37">
        <f>R4/10</f>
        <v>8.3130000000000009E-2</v>
      </c>
      <c r="U4" s="36">
        <f>R4*S4*1000/10</f>
        <v>105.49196999999999</v>
      </c>
      <c r="V4" s="3"/>
      <c r="W4" s="5">
        <f>R4*0.000035+100*0.000005</f>
        <v>5.290955E-4</v>
      </c>
      <c r="X4" s="5">
        <f>S4*0.000035+100*0.000005</f>
        <v>5.4441500000000002E-4</v>
      </c>
      <c r="Y4" s="9">
        <f>Q4*SQRT((W4/R4)^2+(X4/S4)^2 + (0.01)^2)</f>
        <v>0.1531014811697913</v>
      </c>
      <c r="Z4" s="9">
        <f>U4*SQRT((W4/R4)^2+(X4/S4)^2)</f>
        <v>8.0970941902746674E-2</v>
      </c>
      <c r="AA4" s="8"/>
      <c r="AB4" s="28">
        <f>AD4*10/AC4</f>
        <v>15.737028977207654</v>
      </c>
      <c r="AC4" s="24">
        <v>0.87309999999999999</v>
      </c>
      <c r="AD4" s="24">
        <v>1.3740000000000001</v>
      </c>
      <c r="AE4" s="24">
        <f>AC4/10</f>
        <v>8.7309999999999999E-2</v>
      </c>
      <c r="AF4" s="25">
        <f>AC4*AD4*1000/10</f>
        <v>119.96394000000001</v>
      </c>
      <c r="AH4" s="5">
        <f>AC4*0.000035+100*0.000005</f>
        <v>5.3055850000000005E-4</v>
      </c>
      <c r="AI4" s="5">
        <f>AD4*0.000035+100*0.000005</f>
        <v>5.4808999999999999E-4</v>
      </c>
      <c r="AJ4" s="9">
        <f t="shared" ref="AJ4:AJ12" si="0">AB4*SQRT((AH4/AC4)^2+(AI4/AD4)^2 + (0.01)^2)</f>
        <v>0.15778550439217592</v>
      </c>
      <c r="AK4" s="9">
        <f>AF4*SQRT((AH4/AC4)^2+(AI4/AD4)^2)</f>
        <v>8.7202099850948511E-2</v>
      </c>
    </row>
    <row r="5" spans="1:37" x14ac:dyDescent="0.3">
      <c r="A5" s="10"/>
      <c r="B5" s="27">
        <f t="shared" ref="B5:B12" si="1">D5*10/C5</f>
        <v>14.697279906405381</v>
      </c>
      <c r="C5" s="11">
        <v>0.68379999999999996</v>
      </c>
      <c r="D5" s="11">
        <v>1.0049999999999999</v>
      </c>
      <c r="E5" s="11">
        <f t="shared" ref="E5:E12" si="2">C5/10</f>
        <v>6.8379999999999996E-2</v>
      </c>
      <c r="F5" s="23">
        <f t="shared" ref="F5:F12" si="3">C5*D5*1000/10</f>
        <v>68.721899999999991</v>
      </c>
      <c r="G5" s="2"/>
      <c r="H5" s="5">
        <f t="shared" ref="H5:I12" si="4">C5*0.000035+100*0.000005</f>
        <v>5.2393299999999997E-4</v>
      </c>
      <c r="I5" s="5">
        <f t="shared" si="4"/>
        <v>5.3517500000000004E-4</v>
      </c>
      <c r="J5" s="9">
        <f t="shared" ref="J5:J12" si="5">B5*SQRT((H5/C5)^2+(I5/D5)^2 + (0.01)^2)</f>
        <v>0.14761121750945513</v>
      </c>
      <c r="K5" s="9">
        <f t="shared" ref="K5:K12" si="6">F5*SQRT((H5/C5)^2+(I5/D5)^2 + (0.01)^2)</f>
        <v>0.69020413254441748</v>
      </c>
      <c r="L5" s="9"/>
      <c r="M5" s="40"/>
      <c r="N5" s="39"/>
      <c r="O5" s="5"/>
      <c r="P5" s="8"/>
      <c r="Q5" s="28">
        <f t="shared" ref="Q5:Q12" si="7">S5*10/R5</f>
        <v>15.222108756701557</v>
      </c>
      <c r="R5" s="24">
        <v>0.78339999999999999</v>
      </c>
      <c r="S5" s="24">
        <v>1.1924999999999999</v>
      </c>
      <c r="T5" s="24">
        <f t="shared" ref="T5:T12" si="8">R5/10</f>
        <v>7.8339999999999993E-2</v>
      </c>
      <c r="U5" s="25">
        <f t="shared" ref="U5:U12" si="9">R5*S5*1000/10</f>
        <v>93.420449999999988</v>
      </c>
      <c r="V5" s="3"/>
      <c r="W5" s="5">
        <f t="shared" ref="W5:W12" si="10">R5*0.000035+100*0.000005</f>
        <v>5.27419E-4</v>
      </c>
      <c r="X5" s="5">
        <f t="shared" ref="X5:X12" si="11">S5*0.000035+100*0.000005</f>
        <v>5.4173749999999999E-4</v>
      </c>
      <c r="Y5" s="9">
        <f t="shared" ref="Y5:Y12" si="12">Q5*SQRT((W5/R5)^2+(X5/S5)^2 + (0.01)^2)</f>
        <v>0.15272231319894358</v>
      </c>
      <c r="Z5" s="9">
        <f t="shared" ref="Z5:Z12" si="13">U5*SQRT((W5/R5)^2+(X5/S5)^2)</f>
        <v>7.5874071606933643E-2</v>
      </c>
      <c r="AA5" s="8"/>
      <c r="AB5" s="28">
        <f t="shared" ref="AB5:AB12" si="14">AD5*10/AC5</f>
        <v>15.695307739183425</v>
      </c>
      <c r="AC5" s="24">
        <v>0.82050000000000001</v>
      </c>
      <c r="AD5" s="24">
        <v>1.2878000000000001</v>
      </c>
      <c r="AE5" s="24">
        <f t="shared" ref="AE5:AE12" si="15">AC5/10</f>
        <v>8.2049999999999998E-2</v>
      </c>
      <c r="AF5" s="25">
        <f t="shared" ref="AF5:AF12" si="16">AC5*AD5*1000/10</f>
        <v>105.66398999999998</v>
      </c>
      <c r="AH5" s="5">
        <f t="shared" ref="AH5:AH12" si="17">AC5*0.000035+100*0.000005</f>
        <v>5.2871750000000001E-4</v>
      </c>
      <c r="AI5" s="5">
        <f t="shared" ref="AI5:AI12" si="18">AD5*0.000035+100*0.000005</f>
        <v>5.4507299999999998E-4</v>
      </c>
      <c r="AJ5" s="9">
        <f t="shared" si="0"/>
        <v>0.15741883488727412</v>
      </c>
      <c r="AK5" s="9">
        <f t="shared" ref="AK5:AK12" si="19">AF5*SQRT((AH5/AC5)^2+(AI5/AD5)^2)</f>
        <v>8.1462731008892411E-2</v>
      </c>
    </row>
    <row r="6" spans="1:37" x14ac:dyDescent="0.3">
      <c r="A6" s="10"/>
      <c r="B6" s="28">
        <f t="shared" si="1"/>
        <v>14.661982825917253</v>
      </c>
      <c r="C6" s="24">
        <v>0.64049999999999996</v>
      </c>
      <c r="D6" s="24">
        <v>0.93910000000000005</v>
      </c>
      <c r="E6" s="24">
        <f t="shared" si="2"/>
        <v>6.4049999999999996E-2</v>
      </c>
      <c r="F6" s="25">
        <f t="shared" si="3"/>
        <v>60.149355</v>
      </c>
      <c r="G6" s="2"/>
      <c r="H6" s="5">
        <f t="shared" si="4"/>
        <v>5.2241750000000002E-4</v>
      </c>
      <c r="I6" s="5">
        <f t="shared" si="4"/>
        <v>5.3286849999999999E-4</v>
      </c>
      <c r="J6" s="9">
        <f t="shared" si="5"/>
        <v>0.14734179522350183</v>
      </c>
      <c r="K6" s="9">
        <f t="shared" si="6"/>
        <v>0.60445534907938192</v>
      </c>
      <c r="L6" s="9"/>
      <c r="M6" s="40"/>
      <c r="N6" s="39"/>
      <c r="O6" s="5"/>
      <c r="P6" s="8"/>
      <c r="Q6" s="28">
        <f t="shared" si="7"/>
        <v>15.188335358444714</v>
      </c>
      <c r="R6" s="24">
        <v>0.74070000000000003</v>
      </c>
      <c r="S6" s="24">
        <v>1.125</v>
      </c>
      <c r="T6" s="24">
        <f t="shared" si="8"/>
        <v>7.4069999999999997E-2</v>
      </c>
      <c r="U6" s="25">
        <f t="shared" si="9"/>
        <v>83.328749999999999</v>
      </c>
      <c r="V6" s="3"/>
      <c r="W6" s="5">
        <f t="shared" si="10"/>
        <v>5.2592450000000005E-4</v>
      </c>
      <c r="X6" s="5">
        <f t="shared" si="11"/>
        <v>5.3937500000000003E-4</v>
      </c>
      <c r="Y6" s="9">
        <f t="shared" si="12"/>
        <v>0.15243976128168191</v>
      </c>
      <c r="Z6" s="9">
        <f t="shared" si="13"/>
        <v>7.1391864476809105E-2</v>
      </c>
      <c r="AA6" s="8"/>
      <c r="AB6" s="28">
        <f t="shared" si="14"/>
        <v>15.657826982492276</v>
      </c>
      <c r="AC6" s="24">
        <v>0.77680000000000005</v>
      </c>
      <c r="AD6" s="24">
        <v>1.2162999999999999</v>
      </c>
      <c r="AE6" s="24">
        <f t="shared" si="15"/>
        <v>7.7679999999999999E-2</v>
      </c>
      <c r="AF6" s="25">
        <f t="shared" si="16"/>
        <v>94.482184000000004</v>
      </c>
      <c r="AH6" s="5">
        <f t="shared" si="17"/>
        <v>5.2718800000000005E-4</v>
      </c>
      <c r="AI6" s="5">
        <f t="shared" si="18"/>
        <v>5.4257049999999999E-4</v>
      </c>
      <c r="AJ6" s="9">
        <f t="shared" si="0"/>
        <v>0.1570937989249104</v>
      </c>
      <c r="AK6" s="9">
        <f t="shared" si="19"/>
        <v>7.6733136465514398E-2</v>
      </c>
    </row>
    <row r="7" spans="1:37" x14ac:dyDescent="0.3">
      <c r="A7" s="10"/>
      <c r="B7" s="29">
        <f t="shared" si="1"/>
        <v>14.631844987363099</v>
      </c>
      <c r="C7" s="11">
        <v>0.59350000000000003</v>
      </c>
      <c r="D7" s="11">
        <v>0.86839999999999995</v>
      </c>
      <c r="E7" s="11">
        <f t="shared" si="2"/>
        <v>5.935E-2</v>
      </c>
      <c r="F7" s="18">
        <f t="shared" si="3"/>
        <v>51.539540000000002</v>
      </c>
      <c r="G7" s="2"/>
      <c r="H7" s="5">
        <f t="shared" si="4"/>
        <v>5.2077250000000003E-4</v>
      </c>
      <c r="I7" s="5">
        <f t="shared" si="4"/>
        <v>5.30394E-4</v>
      </c>
      <c r="J7" s="9">
        <f t="shared" si="5"/>
        <v>0.14715226781892635</v>
      </c>
      <c r="K7" s="9">
        <f t="shared" si="6"/>
        <v>0.51833245909141212</v>
      </c>
      <c r="L7" s="9"/>
      <c r="M7" s="40"/>
      <c r="N7" s="39"/>
      <c r="O7" s="5"/>
      <c r="P7" s="8"/>
      <c r="Q7" s="28">
        <f t="shared" si="7"/>
        <v>15.144372421921039</v>
      </c>
      <c r="R7" s="24">
        <v>0.67879999999999996</v>
      </c>
      <c r="S7" s="24">
        <v>1.028</v>
      </c>
      <c r="T7" s="24">
        <f t="shared" si="8"/>
        <v>6.7879999999999996E-2</v>
      </c>
      <c r="U7" s="25">
        <f t="shared" si="9"/>
        <v>69.780639999999991</v>
      </c>
      <c r="V7" s="3"/>
      <c r="W7" s="5">
        <f t="shared" si="10"/>
        <v>5.2375800000000004E-4</v>
      </c>
      <c r="X7" s="5">
        <f t="shared" si="11"/>
        <v>5.3598000000000003E-4</v>
      </c>
      <c r="Y7" s="9">
        <f t="shared" si="12"/>
        <v>0.15209896351776778</v>
      </c>
      <c r="Z7" s="9">
        <f t="shared" si="13"/>
        <v>6.4982067254305498E-2</v>
      </c>
      <c r="AA7" s="8"/>
      <c r="AB7" s="28">
        <f t="shared" si="14"/>
        <v>15.613954842197183</v>
      </c>
      <c r="AC7" s="24">
        <v>0.72146999999999994</v>
      </c>
      <c r="AD7" s="24">
        <v>1.1265000000000001</v>
      </c>
      <c r="AE7" s="24">
        <f t="shared" si="15"/>
        <v>7.2146999999999989E-2</v>
      </c>
      <c r="AF7" s="25">
        <f t="shared" si="16"/>
        <v>81.273595499999999</v>
      </c>
      <c r="AH7" s="5">
        <f t="shared" si="17"/>
        <v>5.2525144999999995E-4</v>
      </c>
      <c r="AI7" s="5">
        <f t="shared" si="18"/>
        <v>5.3942750000000005E-4</v>
      </c>
      <c r="AJ7" s="9">
        <f t="shared" si="0"/>
        <v>0.15673123207526682</v>
      </c>
      <c r="AK7" s="9">
        <f t="shared" si="19"/>
        <v>7.0821291520728011E-2</v>
      </c>
    </row>
    <row r="8" spans="1:37" x14ac:dyDescent="0.3">
      <c r="A8" s="10"/>
      <c r="B8" s="28">
        <f t="shared" si="1"/>
        <v>14.612914734213344</v>
      </c>
      <c r="C8" s="24">
        <v>0.56059999999999999</v>
      </c>
      <c r="D8" s="24">
        <v>0.81920000000000004</v>
      </c>
      <c r="E8" s="24">
        <f t="shared" si="2"/>
        <v>5.6059999999999999E-2</v>
      </c>
      <c r="F8" s="25">
        <f t="shared" si="3"/>
        <v>45.924351999999999</v>
      </c>
      <c r="G8" s="2"/>
      <c r="H8" s="5">
        <f t="shared" si="4"/>
        <v>5.1962100000000006E-4</v>
      </c>
      <c r="I8" s="5">
        <f t="shared" si="4"/>
        <v>5.28672E-4</v>
      </c>
      <c r="J8" s="9">
        <f t="shared" si="5"/>
        <v>0.14705822388369308</v>
      </c>
      <c r="K8" s="9">
        <f t="shared" si="6"/>
        <v>0.46216335077336584</v>
      </c>
      <c r="L8" s="9"/>
      <c r="M8" s="40"/>
      <c r="N8" s="39"/>
      <c r="O8" s="5"/>
      <c r="P8" s="8"/>
      <c r="Q8" s="28">
        <f t="shared" si="7"/>
        <v>15.10458246846559</v>
      </c>
      <c r="R8" s="24">
        <v>0.62629999999999997</v>
      </c>
      <c r="S8" s="24">
        <v>0.94599999999999995</v>
      </c>
      <c r="T8" s="24">
        <f t="shared" si="8"/>
        <v>6.2629999999999991E-2</v>
      </c>
      <c r="U8" s="25">
        <f t="shared" si="9"/>
        <v>59.247979999999984</v>
      </c>
      <c r="V8" s="3"/>
      <c r="W8" s="5">
        <f t="shared" si="10"/>
        <v>5.219205E-4</v>
      </c>
      <c r="X8" s="5">
        <f t="shared" si="11"/>
        <v>5.3311000000000005E-4</v>
      </c>
      <c r="Y8" s="9">
        <f t="shared" si="12"/>
        <v>0.15180821768924671</v>
      </c>
      <c r="Z8" s="9">
        <f t="shared" si="13"/>
        <v>5.9603390113461628E-2</v>
      </c>
      <c r="AA8" s="8"/>
      <c r="AB8" s="28">
        <f t="shared" si="14"/>
        <v>15.573008615876752</v>
      </c>
      <c r="AC8" s="24">
        <v>0.66273000000000004</v>
      </c>
      <c r="AD8" s="24">
        <v>1.03207</v>
      </c>
      <c r="AE8" s="24">
        <f t="shared" si="15"/>
        <v>6.6272999999999999E-2</v>
      </c>
      <c r="AF8" s="25">
        <f t="shared" si="16"/>
        <v>68.398375110000003</v>
      </c>
      <c r="AH8" s="5">
        <f t="shared" si="17"/>
        <v>5.2319555000000003E-4</v>
      </c>
      <c r="AI8" s="5">
        <f t="shared" si="18"/>
        <v>5.3612245000000003E-4</v>
      </c>
      <c r="AJ8" s="9">
        <f t="shared" si="0"/>
        <v>0.15642393862813236</v>
      </c>
      <c r="AK8" s="9">
        <f>AF8*SQRT((AH8/AC8)^2+(AI8/AD8)^2)</f>
        <v>6.4638504417922876E-2</v>
      </c>
    </row>
    <row r="9" spans="1:37" x14ac:dyDescent="0.3">
      <c r="A9" s="10"/>
      <c r="B9" s="28">
        <f t="shared" si="1"/>
        <v>14.593236714975847</v>
      </c>
      <c r="C9" s="24">
        <v>0.51749999999999996</v>
      </c>
      <c r="D9" s="24">
        <v>0.75519999999999998</v>
      </c>
      <c r="E9" s="24">
        <f t="shared" si="2"/>
        <v>5.1749999999999997E-2</v>
      </c>
      <c r="F9" s="25">
        <f t="shared" si="3"/>
        <v>39.081599999999995</v>
      </c>
      <c r="G9" s="2"/>
      <c r="H9" s="5">
        <f t="shared" si="4"/>
        <v>5.181125E-4</v>
      </c>
      <c r="I9" s="5">
        <f t="shared" si="4"/>
        <v>5.2643199999999996E-4</v>
      </c>
      <c r="J9" s="9">
        <f t="shared" si="5"/>
        <v>0.14701430040458588</v>
      </c>
      <c r="K9" s="9">
        <f t="shared" si="6"/>
        <v>0.39371348487725621</v>
      </c>
      <c r="L9" s="9"/>
      <c r="M9" s="40"/>
      <c r="N9" s="39"/>
      <c r="O9" s="5"/>
      <c r="P9" s="8"/>
      <c r="Q9" s="28">
        <f t="shared" si="7"/>
        <v>15.069992821249102</v>
      </c>
      <c r="R9" s="24">
        <v>0.55720000000000003</v>
      </c>
      <c r="S9" s="24">
        <v>0.8397</v>
      </c>
      <c r="T9" s="24">
        <f t="shared" si="8"/>
        <v>5.5720000000000006E-2</v>
      </c>
      <c r="U9" s="25">
        <f t="shared" si="9"/>
        <v>46.788084000000005</v>
      </c>
      <c r="V9" s="3"/>
      <c r="W9" s="5">
        <f t="shared" si="10"/>
        <v>5.1950200000000003E-4</v>
      </c>
      <c r="X9" s="5">
        <f t="shared" si="11"/>
        <v>5.2938949999999996E-4</v>
      </c>
      <c r="Y9" s="9">
        <f t="shared" si="12"/>
        <v>0.15165140755514028</v>
      </c>
      <c r="Z9" s="9">
        <f t="shared" si="13"/>
        <v>5.2659634841682665E-2</v>
      </c>
      <c r="AA9" s="8"/>
      <c r="AB9" s="27">
        <f t="shared" si="14"/>
        <v>15.523814399563133</v>
      </c>
      <c r="AC9" s="11">
        <v>0.58599000000000001</v>
      </c>
      <c r="AD9" s="11">
        <v>0.90968000000000004</v>
      </c>
      <c r="AE9" s="11">
        <f t="shared" si="15"/>
        <v>5.8598999999999998E-2</v>
      </c>
      <c r="AF9" s="18">
        <f t="shared" si="16"/>
        <v>53.306338319999995</v>
      </c>
      <c r="AH9" s="5">
        <f t="shared" si="17"/>
        <v>5.2050965000000006E-4</v>
      </c>
      <c r="AI9" s="5">
        <f t="shared" si="18"/>
        <v>5.3183880000000003E-4</v>
      </c>
      <c r="AJ9" s="9">
        <f t="shared" si="0"/>
        <v>0.15611339980051481</v>
      </c>
      <c r="AK9" s="9">
        <f t="shared" si="19"/>
        <v>5.6685687883717362E-2</v>
      </c>
    </row>
    <row r="10" spans="1:37" x14ac:dyDescent="0.3">
      <c r="A10" s="10"/>
      <c r="B10" s="28">
        <f t="shared" si="1"/>
        <v>14.562895138434708</v>
      </c>
      <c r="C10" s="24">
        <v>0.4587</v>
      </c>
      <c r="D10" s="24">
        <v>0.66800000000000004</v>
      </c>
      <c r="E10" s="24">
        <f t="shared" si="2"/>
        <v>4.5870000000000001E-2</v>
      </c>
      <c r="F10" s="25">
        <f t="shared" si="3"/>
        <v>30.641160000000003</v>
      </c>
      <c r="G10" s="2"/>
      <c r="H10" s="5">
        <f t="shared" si="4"/>
        <v>5.1605450000000001E-4</v>
      </c>
      <c r="I10" s="5">
        <f t="shared" si="4"/>
        <v>5.2338000000000005E-4</v>
      </c>
      <c r="J10" s="9">
        <f t="shared" si="5"/>
        <v>0.14699119027676824</v>
      </c>
      <c r="K10" s="9">
        <f t="shared" si="6"/>
        <v>0.30927782814104715</v>
      </c>
      <c r="L10" s="9"/>
      <c r="M10" s="40"/>
      <c r="N10" s="39"/>
      <c r="O10" s="5"/>
      <c r="P10" s="8"/>
      <c r="Q10" s="28">
        <f t="shared" si="7"/>
        <v>15.026552287581701</v>
      </c>
      <c r="R10" s="24">
        <v>0.48959999999999998</v>
      </c>
      <c r="S10" s="24">
        <v>0.73570000000000002</v>
      </c>
      <c r="T10" s="24">
        <f t="shared" si="8"/>
        <v>4.8959999999999997E-2</v>
      </c>
      <c r="U10" s="25">
        <f t="shared" si="9"/>
        <v>36.019871999999999</v>
      </c>
      <c r="V10" s="3"/>
      <c r="W10" s="5">
        <f t="shared" si="10"/>
        <v>5.1713599999999996E-4</v>
      </c>
      <c r="X10" s="5">
        <f t="shared" si="11"/>
        <v>5.2574950000000001E-4</v>
      </c>
      <c r="Y10" s="9">
        <f t="shared" si="12"/>
        <v>0.15148250552980402</v>
      </c>
      <c r="Z10" s="9">
        <f t="shared" si="13"/>
        <v>4.5935371484879667E-2</v>
      </c>
      <c r="AA10" s="8"/>
      <c r="AB10" s="28">
        <f t="shared" si="14"/>
        <v>15.481866499921839</v>
      </c>
      <c r="AC10" s="24">
        <v>0.51175999999999999</v>
      </c>
      <c r="AD10" s="24">
        <v>0.7923</v>
      </c>
      <c r="AE10" s="24">
        <f t="shared" si="15"/>
        <v>5.1175999999999999E-2</v>
      </c>
      <c r="AF10" s="25">
        <f t="shared" si="16"/>
        <v>40.546744799999999</v>
      </c>
      <c r="AH10" s="5">
        <f t="shared" si="17"/>
        <v>5.1791160000000001E-4</v>
      </c>
      <c r="AI10" s="5">
        <f t="shared" si="18"/>
        <v>5.2773049999999997E-4</v>
      </c>
      <c r="AJ10" s="9">
        <f t="shared" si="0"/>
        <v>0.15595077101073337</v>
      </c>
      <c r="AK10" s="9">
        <f t="shared" si="19"/>
        <v>4.9124186725508293E-2</v>
      </c>
    </row>
    <row r="11" spans="1:37" x14ac:dyDescent="0.3">
      <c r="A11" s="10"/>
      <c r="B11" s="30">
        <f t="shared" si="1"/>
        <v>14.53373768006065</v>
      </c>
      <c r="C11" s="35">
        <v>0.3957</v>
      </c>
      <c r="D11" s="35">
        <v>0.57509999999999994</v>
      </c>
      <c r="E11" s="35">
        <f t="shared" si="2"/>
        <v>3.9570000000000001E-2</v>
      </c>
      <c r="F11" s="33">
        <f t="shared" si="3"/>
        <v>22.756706999999999</v>
      </c>
      <c r="G11" s="2"/>
      <c r="H11" s="5">
        <f t="shared" si="4"/>
        <v>5.1384949999999999E-4</v>
      </c>
      <c r="I11" s="5">
        <f t="shared" si="4"/>
        <v>5.2012849999999997E-4</v>
      </c>
      <c r="J11" s="9">
        <f t="shared" si="5"/>
        <v>0.14714595408589581</v>
      </c>
      <c r="K11" s="9">
        <f t="shared" si="6"/>
        <v>0.23039891300378901</v>
      </c>
      <c r="L11" s="9"/>
      <c r="M11" s="40"/>
      <c r="N11" s="39"/>
      <c r="O11" s="5"/>
      <c r="P11" s="8"/>
      <c r="Q11" s="28">
        <f t="shared" si="7"/>
        <v>14.974619289340099</v>
      </c>
      <c r="R11" s="24">
        <v>0.39400000000000002</v>
      </c>
      <c r="S11" s="24">
        <v>0.59</v>
      </c>
      <c r="T11" s="24">
        <f t="shared" si="8"/>
        <v>3.9400000000000004E-2</v>
      </c>
      <c r="U11" s="25">
        <f t="shared" si="9"/>
        <v>23.246000000000002</v>
      </c>
      <c r="V11" s="3"/>
      <c r="W11" s="5">
        <f t="shared" si="10"/>
        <v>5.1378999999999997E-4</v>
      </c>
      <c r="X11" s="5">
        <f t="shared" si="11"/>
        <v>5.2065E-4</v>
      </c>
      <c r="Y11" s="9">
        <f t="shared" si="12"/>
        <v>0.15159111176853032</v>
      </c>
      <c r="Z11" s="9">
        <f t="shared" si="13"/>
        <v>3.6602228708976177E-2</v>
      </c>
      <c r="AA11" s="8"/>
      <c r="AB11" s="28">
        <f t="shared" si="14"/>
        <v>15.438175555291602</v>
      </c>
      <c r="AC11" s="24">
        <v>0.42094999999999999</v>
      </c>
      <c r="AD11" s="24">
        <v>0.64986999999999995</v>
      </c>
      <c r="AE11" s="24">
        <f t="shared" si="15"/>
        <v>4.2095E-2</v>
      </c>
      <c r="AF11" s="25">
        <f t="shared" si="16"/>
        <v>27.356277649999999</v>
      </c>
      <c r="AH11" s="5">
        <f t="shared" si="17"/>
        <v>5.1473325000000005E-4</v>
      </c>
      <c r="AI11" s="5">
        <f t="shared" si="18"/>
        <v>5.2274544999999996E-4</v>
      </c>
      <c r="AJ11" s="9">
        <f t="shared" si="0"/>
        <v>0.15602661370761955</v>
      </c>
      <c r="AK11" s="9">
        <f t="shared" si="19"/>
        <v>4.0039806035206044E-2</v>
      </c>
    </row>
    <row r="12" spans="1:37" ht="15" thickBot="1" x14ac:dyDescent="0.35">
      <c r="A12" s="10"/>
      <c r="B12" s="31">
        <f t="shared" si="1"/>
        <v>14.520150768338649</v>
      </c>
      <c r="C12" s="12">
        <v>0.34489999999999998</v>
      </c>
      <c r="D12" s="12">
        <v>0.50080000000000002</v>
      </c>
      <c r="E12" s="12">
        <f t="shared" si="2"/>
        <v>3.449E-2</v>
      </c>
      <c r="F12" s="19">
        <f t="shared" si="3"/>
        <v>17.272592</v>
      </c>
      <c r="G12" s="2"/>
      <c r="H12" s="5">
        <f t="shared" si="4"/>
        <v>5.1207149999999996E-4</v>
      </c>
      <c r="I12" s="5">
        <f t="shared" si="4"/>
        <v>5.1752799999999996E-4</v>
      </c>
      <c r="J12" s="9">
        <f t="shared" si="5"/>
        <v>0.14755805704766861</v>
      </c>
      <c r="K12" s="9">
        <f t="shared" si="6"/>
        <v>0.17552917709743038</v>
      </c>
      <c r="L12" s="9"/>
      <c r="M12" s="40"/>
      <c r="N12" s="39"/>
      <c r="O12" s="5"/>
      <c r="P12" s="8"/>
      <c r="Q12" s="31">
        <f t="shared" si="7"/>
        <v>14.941716707877072</v>
      </c>
      <c r="R12" s="12">
        <v>0.28310000000000002</v>
      </c>
      <c r="S12" s="12">
        <v>0.42299999999999999</v>
      </c>
      <c r="T12" s="12">
        <f t="shared" si="8"/>
        <v>2.8310000000000002E-2</v>
      </c>
      <c r="U12" s="19">
        <f t="shared" si="9"/>
        <v>11.97513</v>
      </c>
      <c r="V12" s="2"/>
      <c r="W12" s="5">
        <f t="shared" si="10"/>
        <v>5.0990850000000006E-4</v>
      </c>
      <c r="X12" s="5">
        <f t="shared" si="11"/>
        <v>5.1480500000000002E-4</v>
      </c>
      <c r="Y12" s="9">
        <f t="shared" si="12"/>
        <v>0.15290666092534388</v>
      </c>
      <c r="Z12" s="9">
        <f t="shared" si="13"/>
        <v>2.6031377252939702E-2</v>
      </c>
      <c r="AA12" s="8"/>
      <c r="AB12" s="31">
        <f t="shared" si="14"/>
        <v>15.392596085828812</v>
      </c>
      <c r="AC12" s="12">
        <v>0.29687000000000002</v>
      </c>
      <c r="AD12" s="12">
        <v>0.45695999999999998</v>
      </c>
      <c r="AE12" s="12">
        <f t="shared" si="15"/>
        <v>2.9687000000000002E-2</v>
      </c>
      <c r="AF12" s="19">
        <f t="shared" si="16"/>
        <v>13.565771520000002</v>
      </c>
      <c r="AH12" s="5">
        <f t="shared" si="17"/>
        <v>5.1039045000000004E-4</v>
      </c>
      <c r="AI12" s="5">
        <f t="shared" si="18"/>
        <v>5.1599360000000006E-4</v>
      </c>
      <c r="AJ12" s="9">
        <f t="shared" si="0"/>
        <v>0.15714841573910546</v>
      </c>
      <c r="AK12" s="9">
        <f t="shared" si="19"/>
        <v>2.7903466980676632E-2</v>
      </c>
    </row>
    <row r="13" spans="1:37" ht="15" thickTop="1" x14ac:dyDescent="0.3">
      <c r="B13" s="4"/>
      <c r="C13" s="2"/>
      <c r="D13" s="2"/>
      <c r="E13" s="2"/>
      <c r="F13" s="2"/>
      <c r="G13" s="2"/>
      <c r="H13" s="5"/>
      <c r="I13" s="9"/>
      <c r="J13" s="5"/>
      <c r="K13" s="5"/>
      <c r="L13" s="5"/>
      <c r="M13" s="5"/>
      <c r="N13" s="5"/>
      <c r="O13" s="5"/>
      <c r="P13" s="9"/>
      <c r="Q13" s="5"/>
      <c r="R13" s="5"/>
      <c r="S13" s="5"/>
      <c r="T13" s="5"/>
      <c r="U13" s="21"/>
      <c r="AA13" s="2"/>
      <c r="AB13" s="4"/>
      <c r="AC13" s="2"/>
      <c r="AD13" s="2"/>
      <c r="AE13" s="2"/>
      <c r="AF13" s="2"/>
    </row>
    <row r="14" spans="1:37" x14ac:dyDescent="0.3">
      <c r="A14" s="21"/>
      <c r="B14" s="52"/>
      <c r="C14" s="52"/>
      <c r="D14" s="52"/>
      <c r="E14" s="52"/>
      <c r="F14" s="52"/>
      <c r="G14" s="5"/>
      <c r="H14" s="5"/>
      <c r="I14" s="52"/>
      <c r="J14" s="52"/>
      <c r="K14" s="52"/>
      <c r="L14" s="52"/>
      <c r="M14" s="52"/>
      <c r="N14" s="5"/>
      <c r="O14" s="2"/>
      <c r="P14" s="4"/>
      <c r="Q14" s="2"/>
      <c r="R14" s="2"/>
      <c r="S14" s="2"/>
      <c r="T14" s="2"/>
    </row>
    <row r="15" spans="1:37" ht="15" thickBot="1" x14ac:dyDescent="0.35">
      <c r="A15" s="21"/>
      <c r="B15" s="9"/>
      <c r="C15" s="5"/>
      <c r="D15" s="5"/>
      <c r="E15" s="5"/>
      <c r="F15" s="5"/>
      <c r="G15" s="5"/>
      <c r="H15" s="5"/>
      <c r="I15" s="9"/>
      <c r="J15" s="5"/>
      <c r="K15" s="5"/>
      <c r="L15" s="5"/>
      <c r="M15" s="5"/>
      <c r="N15" s="5"/>
      <c r="O15" s="2"/>
      <c r="P15" s="2"/>
      <c r="Q15" s="4"/>
      <c r="R15" s="2"/>
      <c r="S15" s="2"/>
      <c r="T15" s="2"/>
      <c r="U15" s="2"/>
      <c r="V15" s="2"/>
    </row>
    <row r="16" spans="1:37" ht="15.6" thickTop="1" thickBot="1" x14ac:dyDescent="0.35">
      <c r="B16" s="49" t="s">
        <v>7</v>
      </c>
      <c r="C16" s="50"/>
      <c r="D16" s="50"/>
      <c r="E16" s="50"/>
      <c r="F16" s="51"/>
      <c r="G16" s="2"/>
      <c r="H16" s="5"/>
      <c r="I16" s="9"/>
      <c r="J16" s="9"/>
      <c r="K16" s="9"/>
      <c r="L16" s="9"/>
      <c r="M16" s="39"/>
      <c r="N16" s="5"/>
      <c r="O16" s="2"/>
      <c r="P16" s="2"/>
      <c r="Q16" s="49" t="s">
        <v>8</v>
      </c>
      <c r="R16" s="50"/>
      <c r="S16" s="50"/>
      <c r="T16" s="50"/>
      <c r="U16" s="51"/>
      <c r="V16" s="2"/>
    </row>
    <row r="17" spans="1:26" ht="15.6" thickTop="1" thickBot="1" x14ac:dyDescent="0.35">
      <c r="B17" s="16" t="s">
        <v>0</v>
      </c>
      <c r="C17" s="17" t="s">
        <v>1</v>
      </c>
      <c r="D17" s="17" t="s">
        <v>2</v>
      </c>
      <c r="E17" s="17" t="s">
        <v>3</v>
      </c>
      <c r="F17" s="17" t="s">
        <v>4</v>
      </c>
      <c r="G17" s="2"/>
      <c r="H17" s="5"/>
      <c r="I17" s="9"/>
      <c r="J17" s="9"/>
      <c r="K17" s="9"/>
      <c r="L17" s="9"/>
      <c r="M17" s="39"/>
      <c r="N17" s="5"/>
      <c r="O17" s="2"/>
      <c r="P17" s="2"/>
      <c r="Q17" s="16" t="s">
        <v>0</v>
      </c>
      <c r="R17" s="17" t="s">
        <v>1</v>
      </c>
      <c r="S17" s="17" t="s">
        <v>2</v>
      </c>
      <c r="T17" s="17" t="s">
        <v>3</v>
      </c>
      <c r="U17" s="17" t="s">
        <v>4</v>
      </c>
      <c r="V17" s="2"/>
    </row>
    <row r="18" spans="1:26" ht="15" thickTop="1" x14ac:dyDescent="0.3">
      <c r="A18" s="10"/>
      <c r="B18" s="27">
        <f>D18*10/C18</f>
        <v>16.180776874860346</v>
      </c>
      <c r="C18" s="11">
        <v>0.85033000000000003</v>
      </c>
      <c r="D18" s="11">
        <v>1.3758999999999999</v>
      </c>
      <c r="E18" s="11">
        <f>C18/10</f>
        <v>8.5032999999999997E-2</v>
      </c>
      <c r="F18" s="32">
        <f>C18*D18*1000/10</f>
        <v>116.99690469999999</v>
      </c>
      <c r="G18" s="2"/>
      <c r="H18" s="5">
        <f>C18*0.000035+100*0.000005</f>
        <v>5.2976154999999998E-4</v>
      </c>
      <c r="I18" s="5">
        <f>D18*0.000035+100*0.000005</f>
        <v>5.4815650000000001E-4</v>
      </c>
      <c r="J18" s="9">
        <f>B18*SQRT((H18/C18)^2+(I18/D18)^2 + (0.01)^2)</f>
        <v>0.16224959578356868</v>
      </c>
      <c r="K18" s="9">
        <f>F18*SQRT((H18/C18)^2+(I18/D18)^2 + (0.01)^2)</f>
        <v>1.1731637264584394</v>
      </c>
      <c r="L18" s="9"/>
      <c r="M18" s="39"/>
      <c r="N18" s="5"/>
      <c r="O18" s="2"/>
      <c r="P18" s="8"/>
      <c r="Q18" s="27">
        <f>S18*10/R18</f>
        <v>16.618803543082869</v>
      </c>
      <c r="R18" s="11">
        <v>0.82526999999999995</v>
      </c>
      <c r="S18" s="11">
        <v>1.3714999999999999</v>
      </c>
      <c r="T18" s="11">
        <f>R18/10</f>
        <v>8.2526999999999989E-2</v>
      </c>
      <c r="U18" s="32">
        <f>R18*S18*1000/10</f>
        <v>113.18578049999999</v>
      </c>
      <c r="V18" s="2"/>
      <c r="W18" s="5">
        <f>R18*0.000035+100*0.000005</f>
        <v>5.2888445000000002E-4</v>
      </c>
      <c r="X18" s="5">
        <f>S18*0.000035+100*0.000005</f>
        <v>5.4800249999999997E-4</v>
      </c>
      <c r="Y18" s="9">
        <f>Q18*SQRT((W18/R18)^2+(X18/S18)^2 + (0.01)^2)</f>
        <v>0.16666129344512767</v>
      </c>
      <c r="Z18" s="9">
        <f>U18*SQRT((W18/R18)^2+(X18/S18)^2)</f>
        <v>8.5480085418035021E-2</v>
      </c>
    </row>
    <row r="19" spans="1:26" x14ac:dyDescent="0.3">
      <c r="A19" s="10"/>
      <c r="B19" s="28">
        <f t="shared" ref="B19:B26" si="20">D19*10/C19</f>
        <v>16.137738017891952</v>
      </c>
      <c r="C19" s="24">
        <v>0.80035999999999996</v>
      </c>
      <c r="D19" s="24">
        <v>1.2916000000000001</v>
      </c>
      <c r="E19" s="24">
        <f t="shared" ref="E19:E26" si="21">C19/10</f>
        <v>8.0035999999999996E-2</v>
      </c>
      <c r="F19" s="25">
        <f t="shared" ref="F19:F26" si="22">C19*D19*1000/10</f>
        <v>103.3744976</v>
      </c>
      <c r="G19" s="2"/>
      <c r="H19" s="5">
        <f t="shared" ref="H19:H26" si="23">C19*0.000035+100*0.000005</f>
        <v>5.280126E-4</v>
      </c>
      <c r="I19" s="5">
        <f t="shared" ref="I19:I26" si="24">D19*0.000035+100*0.000005</f>
        <v>5.4520600000000001E-4</v>
      </c>
      <c r="J19" s="9">
        <f t="shared" ref="J19:J26" si="25">B19*SQRT((H19/C19)^2+(I19/D19)^2 + (0.01)^2)</f>
        <v>0.16187157721700307</v>
      </c>
      <c r="K19" s="9">
        <f t="shared" ref="K19:K26" si="26">F19*SQRT((H19/C19)^2+(I19/D19)^2 + (0.01)^2)</f>
        <v>1.0369106842591533</v>
      </c>
      <c r="L19" s="9"/>
      <c r="M19" s="39"/>
      <c r="N19" s="5"/>
      <c r="O19" s="2"/>
      <c r="P19" s="8"/>
      <c r="Q19" s="28">
        <f t="shared" ref="Q19:Q26" si="27">S19*10/R19</f>
        <v>16.575189274650693</v>
      </c>
      <c r="R19" s="24">
        <v>0.77797000000000005</v>
      </c>
      <c r="S19" s="24">
        <v>1.2895000000000001</v>
      </c>
      <c r="T19" s="24">
        <f t="shared" ref="T19:T26" si="28">R19/10</f>
        <v>7.7797000000000005E-2</v>
      </c>
      <c r="U19" s="25">
        <f t="shared" ref="U19:U26" si="29">R19*S19*1000/10</f>
        <v>100.31923150000001</v>
      </c>
      <c r="V19" s="2"/>
      <c r="W19" s="5">
        <f t="shared" ref="W19:W26" si="30">R19*0.000035+100*0.000005</f>
        <v>5.2722895000000003E-4</v>
      </c>
      <c r="X19" s="5">
        <f t="shared" ref="X19:X26" si="31">S19*0.000035+100*0.000005</f>
        <v>5.4513249999999999E-4</v>
      </c>
      <c r="Y19" s="9">
        <f t="shared" ref="Y19:Y26" si="32">Q19*SQRT((W19/R19)^2+(X19/S19)^2 + (0.01)^2)</f>
        <v>0.16627979249556626</v>
      </c>
      <c r="Z19" s="9">
        <f t="shared" ref="Z19:Z26" si="33">U19*SQRT((W19/R19)^2+(X19/S19)^2)</f>
        <v>8.0129271217102727E-2</v>
      </c>
    </row>
    <row r="20" spans="1:26" x14ac:dyDescent="0.3">
      <c r="A20" s="10"/>
      <c r="B20" s="28">
        <f t="shared" si="20"/>
        <v>16.10188554416143</v>
      </c>
      <c r="C20" s="24">
        <v>0.75575000000000003</v>
      </c>
      <c r="D20" s="24">
        <v>1.2169000000000001</v>
      </c>
      <c r="E20" s="24">
        <f t="shared" si="21"/>
        <v>7.5575000000000003E-2</v>
      </c>
      <c r="F20" s="25">
        <f t="shared" si="22"/>
        <v>91.967217500000004</v>
      </c>
      <c r="G20" s="2"/>
      <c r="H20" s="5">
        <f t="shared" si="23"/>
        <v>5.2645125000000002E-4</v>
      </c>
      <c r="I20" s="5">
        <f t="shared" si="24"/>
        <v>5.4259149999999999E-4</v>
      </c>
      <c r="J20" s="9">
        <f t="shared" si="25"/>
        <v>0.16156864389663647</v>
      </c>
      <c r="K20" s="9">
        <f t="shared" si="26"/>
        <v>0.92281233608755331</v>
      </c>
      <c r="L20" s="9"/>
      <c r="M20" s="39"/>
      <c r="N20" s="5"/>
      <c r="O20" s="2"/>
      <c r="P20" s="8"/>
      <c r="Q20" s="27">
        <f t="shared" si="27"/>
        <v>16.539820603424847</v>
      </c>
      <c r="R20" s="11">
        <v>0.73580000000000001</v>
      </c>
      <c r="S20" s="11">
        <v>1.2170000000000001</v>
      </c>
      <c r="T20" s="11">
        <f t="shared" si="28"/>
        <v>7.3580000000000007E-2</v>
      </c>
      <c r="U20" s="18">
        <f t="shared" si="29"/>
        <v>89.546860000000009</v>
      </c>
      <c r="V20" s="2"/>
      <c r="W20" s="5">
        <f t="shared" si="30"/>
        <v>5.2575300000000001E-4</v>
      </c>
      <c r="X20" s="5">
        <f t="shared" si="31"/>
        <v>5.4259499999999999E-4</v>
      </c>
      <c r="Y20" s="9">
        <f t="shared" si="32"/>
        <v>0.16598378364440247</v>
      </c>
      <c r="Z20" s="9">
        <f t="shared" si="33"/>
        <v>7.5418214955412829E-2</v>
      </c>
    </row>
    <row r="21" spans="1:26" x14ac:dyDescent="0.3">
      <c r="A21" s="10"/>
      <c r="B21" s="27">
        <f t="shared" si="20"/>
        <v>16.05643212508884</v>
      </c>
      <c r="C21" s="11">
        <v>0.70350000000000001</v>
      </c>
      <c r="D21" s="11">
        <v>1.12957</v>
      </c>
      <c r="E21" s="11">
        <f t="shared" si="21"/>
        <v>7.0349999999999996E-2</v>
      </c>
      <c r="F21" s="18">
        <f t="shared" si="22"/>
        <v>79.465249499999999</v>
      </c>
      <c r="G21" s="2"/>
      <c r="H21" s="5">
        <f t="shared" si="23"/>
        <v>5.2462250000000004E-4</v>
      </c>
      <c r="I21" s="5">
        <f t="shared" si="24"/>
        <v>5.3953495000000004E-4</v>
      </c>
      <c r="J21" s="9">
        <f t="shared" si="25"/>
        <v>0.16119271431427595</v>
      </c>
      <c r="K21" s="9">
        <f t="shared" si="26"/>
        <v>0.79776248924885529</v>
      </c>
      <c r="L21" s="9"/>
      <c r="M21" s="39"/>
      <c r="N21" s="5"/>
      <c r="O21" s="2"/>
      <c r="P21" s="8"/>
      <c r="Q21" s="28">
        <f t="shared" si="27"/>
        <v>16.497702682673783</v>
      </c>
      <c r="R21" s="24">
        <v>0.67469999999999997</v>
      </c>
      <c r="S21" s="24">
        <v>1.1131</v>
      </c>
      <c r="T21" s="24">
        <f t="shared" si="28"/>
        <v>6.7470000000000002E-2</v>
      </c>
      <c r="U21" s="25">
        <f t="shared" si="29"/>
        <v>75.100856999999991</v>
      </c>
      <c r="V21" s="2"/>
      <c r="W21" s="5">
        <f t="shared" si="30"/>
        <v>5.236145E-4</v>
      </c>
      <c r="X21" s="5">
        <f t="shared" si="31"/>
        <v>5.3895850000000003E-4</v>
      </c>
      <c r="Y21" s="9">
        <f t="shared" si="32"/>
        <v>0.16566579560721478</v>
      </c>
      <c r="Z21" s="9">
        <f t="shared" si="33"/>
        <v>6.8696988160874495E-2</v>
      </c>
    </row>
    <row r="22" spans="1:26" x14ac:dyDescent="0.3">
      <c r="A22" s="10"/>
      <c r="B22" s="28">
        <f t="shared" si="20"/>
        <v>16.013748940578207</v>
      </c>
      <c r="C22" s="24">
        <v>0.63714000000000004</v>
      </c>
      <c r="D22" s="24">
        <v>1.0203</v>
      </c>
      <c r="E22" s="24">
        <f t="shared" si="21"/>
        <v>6.3714000000000007E-2</v>
      </c>
      <c r="F22" s="25">
        <f t="shared" si="22"/>
        <v>65.007394199999993</v>
      </c>
      <c r="G22" s="2"/>
      <c r="H22" s="5">
        <f t="shared" si="23"/>
        <v>5.2229990000000003E-4</v>
      </c>
      <c r="I22" s="5">
        <f t="shared" si="24"/>
        <v>5.3571049999999996E-4</v>
      </c>
      <c r="J22" s="9">
        <f t="shared" si="25"/>
        <v>0.16089449632613645</v>
      </c>
      <c r="K22" s="9">
        <f t="shared" si="26"/>
        <v>0.65314699175656921</v>
      </c>
      <c r="L22" s="9"/>
      <c r="M22" s="39"/>
      <c r="N22" s="5"/>
      <c r="O22" s="2"/>
      <c r="P22" s="8"/>
      <c r="Q22" s="27">
        <f t="shared" si="27"/>
        <v>16.462484545848653</v>
      </c>
      <c r="R22" s="11">
        <v>0.62280999999999997</v>
      </c>
      <c r="S22" s="11">
        <v>1.0253000000000001</v>
      </c>
      <c r="T22" s="11">
        <f t="shared" si="28"/>
        <v>6.2280999999999996E-2</v>
      </c>
      <c r="U22" s="18">
        <f t="shared" si="29"/>
        <v>63.856709299999999</v>
      </c>
      <c r="V22" s="2"/>
      <c r="W22" s="5">
        <f t="shared" si="30"/>
        <v>5.2179834999999998E-4</v>
      </c>
      <c r="X22" s="5">
        <f t="shared" si="31"/>
        <v>5.358855E-4</v>
      </c>
      <c r="Y22" s="9">
        <f t="shared" si="32"/>
        <v>0.16542553204119417</v>
      </c>
      <c r="Z22" s="9">
        <f t="shared" si="33"/>
        <v>6.3056889898455273E-2</v>
      </c>
    </row>
    <row r="23" spans="1:26" x14ac:dyDescent="0.3">
      <c r="A23" s="10"/>
      <c r="B23" s="27">
        <f t="shared" si="20"/>
        <v>15.972154457377851</v>
      </c>
      <c r="C23" s="11">
        <v>0.57387999999999995</v>
      </c>
      <c r="D23" s="11">
        <v>0.91661000000000004</v>
      </c>
      <c r="E23" s="11">
        <f t="shared" si="21"/>
        <v>5.7387999999999995E-2</v>
      </c>
      <c r="F23" s="18">
        <f t="shared" si="22"/>
        <v>52.602414679999995</v>
      </c>
      <c r="G23" s="2"/>
      <c r="H23" s="5">
        <f t="shared" si="23"/>
        <v>5.2008580000000005E-4</v>
      </c>
      <c r="I23" s="5">
        <f t="shared" si="24"/>
        <v>5.3208135000000001E-4</v>
      </c>
      <c r="J23" s="9">
        <f t="shared" si="25"/>
        <v>0.16064389115020922</v>
      </c>
      <c r="K23" s="9">
        <f t="shared" si="26"/>
        <v>0.52906178691433503</v>
      </c>
      <c r="L23" s="9"/>
      <c r="M23" s="39"/>
      <c r="N23" s="5"/>
      <c r="O23" s="2"/>
      <c r="P23" s="8"/>
      <c r="Q23" s="28">
        <f t="shared" si="27"/>
        <v>16.421409507321648</v>
      </c>
      <c r="R23" s="24">
        <v>0.55452000000000001</v>
      </c>
      <c r="S23" s="24">
        <v>0.91059999999999997</v>
      </c>
      <c r="T23" s="24">
        <f t="shared" si="28"/>
        <v>5.5452000000000001E-2</v>
      </c>
      <c r="U23" s="25">
        <f t="shared" si="29"/>
        <v>50.494591199999995</v>
      </c>
      <c r="V23" s="2"/>
      <c r="W23" s="5">
        <f t="shared" si="30"/>
        <v>5.1940820000000003E-4</v>
      </c>
      <c r="X23" s="5">
        <f t="shared" si="31"/>
        <v>5.3187099999999995E-4</v>
      </c>
      <c r="Y23" s="9">
        <f t="shared" si="32"/>
        <v>0.16521156481582749</v>
      </c>
      <c r="Z23" s="9">
        <f t="shared" si="33"/>
        <v>5.5739492052497383E-2</v>
      </c>
    </row>
    <row r="24" spans="1:26" x14ac:dyDescent="0.3">
      <c r="A24" s="10"/>
      <c r="B24" s="28">
        <f t="shared" si="20"/>
        <v>15.92863475177305</v>
      </c>
      <c r="C24" s="24">
        <v>0.49631999999999998</v>
      </c>
      <c r="D24" s="24">
        <v>0.79056999999999999</v>
      </c>
      <c r="E24" s="24">
        <f t="shared" si="21"/>
        <v>4.9631999999999996E-2</v>
      </c>
      <c r="F24" s="25">
        <f t="shared" si="22"/>
        <v>39.237570239999997</v>
      </c>
      <c r="G24" s="2"/>
      <c r="H24" s="5">
        <f t="shared" si="23"/>
        <v>5.1737120000000004E-4</v>
      </c>
      <c r="I24" s="5">
        <f t="shared" si="24"/>
        <v>5.2766995000000003E-4</v>
      </c>
      <c r="J24" s="9">
        <f t="shared" si="25"/>
        <v>0.16050194161209771</v>
      </c>
      <c r="K24" s="9">
        <f t="shared" si="26"/>
        <v>0.39537011839385994</v>
      </c>
      <c r="L24" s="9"/>
      <c r="M24" s="39"/>
      <c r="N24" s="5"/>
      <c r="O24" s="2"/>
      <c r="P24" s="8"/>
      <c r="Q24" s="27">
        <f t="shared" si="27"/>
        <v>16.442980650473444</v>
      </c>
      <c r="R24" s="11">
        <v>0.48580000000000001</v>
      </c>
      <c r="S24" s="11">
        <v>0.79879999999999995</v>
      </c>
      <c r="T24" s="11">
        <f t="shared" si="28"/>
        <v>4.8579999999999998E-2</v>
      </c>
      <c r="U24" s="18">
        <f t="shared" si="29"/>
        <v>38.805703999999999</v>
      </c>
      <c r="V24" s="2"/>
      <c r="W24" s="5">
        <f t="shared" si="30"/>
        <v>5.1700300000000004E-4</v>
      </c>
      <c r="X24" s="5">
        <f t="shared" si="31"/>
        <v>5.2795800000000003E-4</v>
      </c>
      <c r="Y24" s="9">
        <f t="shared" si="32"/>
        <v>0.16571508534801302</v>
      </c>
      <c r="Z24" s="9">
        <f t="shared" si="33"/>
        <v>4.8614518801265452E-2</v>
      </c>
    </row>
    <row r="25" spans="1:26" x14ac:dyDescent="0.3">
      <c r="A25" s="10"/>
      <c r="B25" s="28">
        <f t="shared" si="20"/>
        <v>15.886537041594881</v>
      </c>
      <c r="C25" s="24">
        <v>0.40629999999999999</v>
      </c>
      <c r="D25" s="24">
        <v>0.64546999999999999</v>
      </c>
      <c r="E25" s="24">
        <f t="shared" si="21"/>
        <v>4.0629999999999999E-2</v>
      </c>
      <c r="F25" s="25">
        <f t="shared" si="22"/>
        <v>26.225446099999999</v>
      </c>
      <c r="G25" s="2"/>
      <c r="H25" s="5">
        <f t="shared" si="23"/>
        <v>5.1422049999999997E-4</v>
      </c>
      <c r="I25" s="5">
        <f t="shared" si="24"/>
        <v>5.2259145000000003E-4</v>
      </c>
      <c r="J25" s="9">
        <f t="shared" si="25"/>
        <v>0.16064838907691087</v>
      </c>
      <c r="K25" s="9">
        <f t="shared" si="26"/>
        <v>0.26519786267815831</v>
      </c>
      <c r="L25" s="5"/>
      <c r="M25" s="5"/>
      <c r="N25" s="5"/>
      <c r="O25" s="2"/>
      <c r="P25" s="8"/>
      <c r="Q25" s="28">
        <f t="shared" si="27"/>
        <v>16.340983606557376</v>
      </c>
      <c r="R25" s="24">
        <v>0.39650000000000002</v>
      </c>
      <c r="S25" s="24">
        <v>0.64792000000000005</v>
      </c>
      <c r="T25" s="24">
        <f t="shared" si="28"/>
        <v>3.9650000000000005E-2</v>
      </c>
      <c r="U25" s="25">
        <f t="shared" si="29"/>
        <v>25.690028000000002</v>
      </c>
      <c r="V25" s="2"/>
      <c r="W25" s="5">
        <f t="shared" si="30"/>
        <v>5.1387749999999999E-4</v>
      </c>
      <c r="X25" s="5">
        <f t="shared" si="31"/>
        <v>5.226772E-4</v>
      </c>
      <c r="Y25" s="9">
        <f t="shared" si="32"/>
        <v>0.16530297799522256</v>
      </c>
      <c r="Z25" s="9">
        <f t="shared" si="33"/>
        <v>3.9218076350362084E-2</v>
      </c>
    </row>
    <row r="26" spans="1:26" ht="15" thickBot="1" x14ac:dyDescent="0.35">
      <c r="A26" s="10"/>
      <c r="B26" s="31">
        <f t="shared" si="20"/>
        <v>15.843725171853947</v>
      </c>
      <c r="C26" s="12">
        <v>0.28949000000000003</v>
      </c>
      <c r="D26" s="12">
        <v>0.45866000000000001</v>
      </c>
      <c r="E26" s="12">
        <f t="shared" si="21"/>
        <v>2.8949000000000003E-2</v>
      </c>
      <c r="F26" s="19">
        <f t="shared" si="22"/>
        <v>13.277748339999999</v>
      </c>
      <c r="G26" s="2"/>
      <c r="H26" s="5">
        <f t="shared" si="23"/>
        <v>5.1013215E-4</v>
      </c>
      <c r="I26" s="5">
        <f t="shared" si="24"/>
        <v>5.1605309999999997E-4</v>
      </c>
      <c r="J26" s="9">
        <f t="shared" si="25"/>
        <v>0.16186300777246085</v>
      </c>
      <c r="K26" s="9">
        <f t="shared" si="26"/>
        <v>0.13564841976533185</v>
      </c>
      <c r="P26" s="8"/>
      <c r="Q26" s="31">
        <f t="shared" si="27"/>
        <v>16.29910873440285</v>
      </c>
      <c r="R26" s="12">
        <v>0.28050000000000003</v>
      </c>
      <c r="S26" s="12">
        <v>0.45718999999999999</v>
      </c>
      <c r="T26" s="12">
        <f t="shared" si="28"/>
        <v>2.8050000000000002E-2</v>
      </c>
      <c r="U26" s="19">
        <f t="shared" si="29"/>
        <v>12.824179500000003</v>
      </c>
      <c r="V26" s="2"/>
      <c r="W26" s="5">
        <f t="shared" si="30"/>
        <v>5.0981750000000004E-4</v>
      </c>
      <c r="X26" s="5">
        <f t="shared" si="31"/>
        <v>5.1600164999999999E-4</v>
      </c>
      <c r="Y26" s="9">
        <f t="shared" si="32"/>
        <v>0.16667959949736069</v>
      </c>
      <c r="Z26" s="9">
        <f t="shared" si="33"/>
        <v>2.7436676778253795E-2</v>
      </c>
    </row>
    <row r="27" spans="1:26" ht="15" thickTop="1" x14ac:dyDescent="0.3">
      <c r="P27" s="2"/>
      <c r="Q27" s="4"/>
      <c r="R27" s="2"/>
      <c r="S27" s="2"/>
      <c r="T27" s="2"/>
      <c r="U27" s="2"/>
      <c r="V27" s="2"/>
    </row>
    <row r="29" spans="1:26" x14ac:dyDescent="0.3">
      <c r="C29" s="41"/>
    </row>
    <row r="30" spans="1:26" x14ac:dyDescent="0.3">
      <c r="C30" s="41"/>
    </row>
    <row r="33" spans="4:6" x14ac:dyDescent="0.3">
      <c r="D33" t="s">
        <v>11</v>
      </c>
      <c r="F33" s="9"/>
    </row>
    <row r="34" spans="4:6" x14ac:dyDescent="0.3">
      <c r="F34" s="9"/>
    </row>
    <row r="35" spans="4:6" x14ac:dyDescent="0.3">
      <c r="F35" s="9"/>
    </row>
    <row r="36" spans="4:6" x14ac:dyDescent="0.3">
      <c r="F36" s="9"/>
    </row>
    <row r="37" spans="4:6" x14ac:dyDescent="0.3">
      <c r="F37" s="9"/>
    </row>
    <row r="38" spans="4:6" x14ac:dyDescent="0.3">
      <c r="F38" s="9"/>
    </row>
    <row r="39" spans="4:6" x14ac:dyDescent="0.3">
      <c r="F39" s="9"/>
    </row>
    <row r="40" spans="4:6" x14ac:dyDescent="0.3">
      <c r="F40" s="9"/>
    </row>
    <row r="41" spans="4:6" x14ac:dyDescent="0.3">
      <c r="F41" s="9"/>
    </row>
  </sheetData>
  <mergeCells count="7">
    <mergeCell ref="AB2:AF2"/>
    <mergeCell ref="Q2:U2"/>
    <mergeCell ref="Q16:U16"/>
    <mergeCell ref="B2:F2"/>
    <mergeCell ref="B14:F14"/>
    <mergeCell ref="I14:M14"/>
    <mergeCell ref="B16:F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7FBA-4E1A-4BDD-9CCA-C80B7E6FD3BF}">
  <dimension ref="B1:N26"/>
  <sheetViews>
    <sheetView workbookViewId="0">
      <selection activeCell="G26" sqref="G26"/>
    </sheetView>
  </sheetViews>
  <sheetFormatPr defaultRowHeight="14.4" x14ac:dyDescent="0.3"/>
  <cols>
    <col min="2" max="2" width="12.5546875" customWidth="1"/>
    <col min="3" max="3" width="15.6640625" customWidth="1"/>
    <col min="10" max="10" width="26" customWidth="1"/>
    <col min="11" max="11" width="21.44140625" customWidth="1"/>
    <col min="12" max="12" width="20.44140625" customWidth="1"/>
    <col min="13" max="13" width="19.5546875" customWidth="1"/>
    <col min="14" max="14" width="18.77734375" customWidth="1"/>
  </cols>
  <sheetData>
    <row r="1" spans="2:14" ht="15" thickBot="1" x14ac:dyDescent="0.35"/>
    <row r="2" spans="2:14" ht="15.6" thickTop="1" thickBot="1" x14ac:dyDescent="0.35">
      <c r="B2" s="43" t="s">
        <v>10</v>
      </c>
      <c r="C2" s="42" t="s">
        <v>17</v>
      </c>
      <c r="E2">
        <v>5.5E-2</v>
      </c>
      <c r="J2">
        <v>3.3899999999999998E-3</v>
      </c>
      <c r="K2">
        <v>3.47E-3</v>
      </c>
      <c r="L2">
        <v>3.2499999999999999E-3</v>
      </c>
      <c r="M2">
        <v>3.2499999999999999E-3</v>
      </c>
      <c r="N2">
        <v>3.0000000000000001E-3</v>
      </c>
    </row>
    <row r="3" spans="2:14" ht="15.6" thickTop="1" thickBot="1" x14ac:dyDescent="0.35">
      <c r="B3" s="16" t="s">
        <v>12</v>
      </c>
      <c r="C3" s="44" t="s">
        <v>16</v>
      </c>
      <c r="E3">
        <v>10</v>
      </c>
      <c r="J3" s="45">
        <v>4.8309700000000003E-5</v>
      </c>
      <c r="K3" s="45">
        <v>4.3472700000000001E-5</v>
      </c>
      <c r="L3" s="45">
        <v>1.4539099999999999E-5</v>
      </c>
      <c r="M3" s="45">
        <v>1.46058E-5</v>
      </c>
      <c r="N3" s="45">
        <v>2.1509099999999999E-4</v>
      </c>
    </row>
    <row r="4" spans="2:14" ht="15.6" thickTop="1" thickBot="1" x14ac:dyDescent="0.35">
      <c r="B4" s="16" t="s">
        <v>13</v>
      </c>
      <c r="C4" s="15" t="s">
        <v>15</v>
      </c>
      <c r="E4">
        <v>0.36499999999999999</v>
      </c>
      <c r="J4">
        <f>J2*1000</f>
        <v>3.3899999999999997</v>
      </c>
      <c r="K4">
        <f t="shared" ref="K4:N4" si="0">K2*1000</f>
        <v>3.47</v>
      </c>
      <c r="L4">
        <f t="shared" si="0"/>
        <v>3.25</v>
      </c>
      <c r="M4">
        <f t="shared" si="0"/>
        <v>3.25</v>
      </c>
      <c r="N4">
        <f t="shared" si="0"/>
        <v>3</v>
      </c>
    </row>
    <row r="5" spans="2:14" ht="15.6" thickTop="1" thickBot="1" x14ac:dyDescent="0.35">
      <c r="B5" s="12" t="s">
        <v>14</v>
      </c>
      <c r="C5" s="14" t="s">
        <v>16</v>
      </c>
      <c r="E5">
        <v>10</v>
      </c>
      <c r="J5" s="46">
        <f>J3*1000</f>
        <v>4.8309700000000004E-2</v>
      </c>
      <c r="K5" s="46">
        <f t="shared" ref="K5:N5" si="1">K3*1000</f>
        <v>4.3472700000000003E-2</v>
      </c>
      <c r="L5" s="46">
        <f t="shared" si="1"/>
        <v>1.4539099999999999E-2</v>
      </c>
      <c r="M5" s="46">
        <f t="shared" si="1"/>
        <v>1.46058E-2</v>
      </c>
      <c r="N5" s="46">
        <f t="shared" si="1"/>
        <v>0.215091</v>
      </c>
    </row>
    <row r="6" spans="2:14" ht="15" thickTop="1" x14ac:dyDescent="0.3"/>
    <row r="7" spans="2:14" x14ac:dyDescent="0.3">
      <c r="B7" s="47" t="s">
        <v>28</v>
      </c>
      <c r="C7">
        <f>SQRT((0.005/0.055)^2 + (0.1/10)^2) * E3/E2</f>
        <v>16.628624936235564</v>
      </c>
      <c r="J7" t="s">
        <v>18</v>
      </c>
      <c r="K7" t="s">
        <v>19</v>
      </c>
      <c r="L7" t="s">
        <v>20</v>
      </c>
      <c r="M7" t="s">
        <v>21</v>
      </c>
      <c r="N7" t="s">
        <v>22</v>
      </c>
    </row>
    <row r="9" spans="2:14" x14ac:dyDescent="0.3">
      <c r="C9">
        <f>$C$7*C19/((10/0.055)^2)</f>
        <v>1.509823423986113E-5</v>
      </c>
      <c r="D9">
        <f t="shared" ref="D9:G9" si="2">$C$7*D19/((10/0.055)^2)</f>
        <v>1.4750148147875862E-5</v>
      </c>
      <c r="E9">
        <f t="shared" si="2"/>
        <v>1.5748619714808996E-5</v>
      </c>
      <c r="F9">
        <f t="shared" si="2"/>
        <v>1.5748619714808996E-5</v>
      </c>
      <c r="G9">
        <f t="shared" si="2"/>
        <v>1.7061004691043081E-5</v>
      </c>
    </row>
    <row r="10" spans="2:14" x14ac:dyDescent="0.3">
      <c r="C10">
        <f>0.002*C19/$E$4</f>
        <v>1.644680613847174E-4</v>
      </c>
      <c r="D10">
        <f t="shared" ref="D10:G10" si="3">0.002*D19/$E$4</f>
        <v>1.6067629051705822E-4</v>
      </c>
      <c r="E10">
        <f t="shared" si="3"/>
        <v>1.7155283941359755E-4</v>
      </c>
      <c r="F10">
        <f t="shared" si="3"/>
        <v>1.7155283941359755E-4</v>
      </c>
      <c r="G10">
        <f t="shared" si="3"/>
        <v>1.8584890936473069E-4</v>
      </c>
    </row>
    <row r="11" spans="2:14" x14ac:dyDescent="0.3">
      <c r="C11">
        <f>0.00015*C19/C17</f>
        <v>1.0038602408933419E-4</v>
      </c>
      <c r="D11">
        <f t="shared" ref="D11:G11" si="4">0.00015*D19/D17</f>
        <v>9.8071648894191055E-5</v>
      </c>
      <c r="E11">
        <f t="shared" si="4"/>
        <v>1.0471034512702859E-4</v>
      </c>
      <c r="F11">
        <f t="shared" si="4"/>
        <v>1.0471034512702859E-4</v>
      </c>
      <c r="G11">
        <f t="shared" si="4"/>
        <v>1.1343620722094764E-4</v>
      </c>
    </row>
    <row r="12" spans="2:14" x14ac:dyDescent="0.3">
      <c r="C12">
        <f>J5*C19/C16</f>
        <v>4.2773923117303954E-4</v>
      </c>
      <c r="D12">
        <f t="shared" ref="D12:G12" si="5">K5*D19/D16</f>
        <v>3.6736840688584075E-4</v>
      </c>
      <c r="E12">
        <f t="shared" si="5"/>
        <v>1.400602644529471E-4</v>
      </c>
      <c r="F12">
        <f t="shared" si="5"/>
        <v>1.4070280901478459E-4</v>
      </c>
      <c r="G12">
        <f t="shared" si="5"/>
        <v>2.4317776889869651E-3</v>
      </c>
    </row>
    <row r="13" spans="2:14" x14ac:dyDescent="0.3">
      <c r="B13" s="48" t="s">
        <v>29</v>
      </c>
      <c r="C13">
        <f>SQRT(C9^2 + C10^2 + C11^2 + C12^2)</f>
        <v>4.6937820956002656E-4</v>
      </c>
      <c r="D13">
        <f t="shared" ref="D13:G13" si="6">SQRT(D9^2 + D10^2 + D11^2 + D12^2)</f>
        <v>4.1305209344509142E-4</v>
      </c>
      <c r="E13">
        <f t="shared" si="6"/>
        <v>2.4547816560549772E-4</v>
      </c>
      <c r="F13">
        <f t="shared" si="6"/>
        <v>2.4584534279717738E-4</v>
      </c>
      <c r="G13">
        <f t="shared" si="6"/>
        <v>2.4415653578711725E-3</v>
      </c>
    </row>
    <row r="15" spans="2:14" x14ac:dyDescent="0.3">
      <c r="B15" t="s">
        <v>23</v>
      </c>
      <c r="C15">
        <v>20</v>
      </c>
      <c r="D15">
        <v>30</v>
      </c>
      <c r="E15">
        <v>40</v>
      </c>
      <c r="F15">
        <v>50</v>
      </c>
      <c r="G15">
        <v>60</v>
      </c>
    </row>
    <row r="16" spans="2:14" x14ac:dyDescent="0.3">
      <c r="B16" t="s">
        <v>24</v>
      </c>
      <c r="C16">
        <v>3.39</v>
      </c>
      <c r="D16">
        <v>3.47</v>
      </c>
      <c r="E16">
        <v>3.25</v>
      </c>
      <c r="F16">
        <v>3.25</v>
      </c>
      <c r="G16">
        <v>3</v>
      </c>
    </row>
    <row r="17" spans="2:10" x14ac:dyDescent="0.3">
      <c r="B17" t="s">
        <v>25</v>
      </c>
      <c r="C17">
        <v>4.4850000000000001E-2</v>
      </c>
      <c r="D17">
        <v>4.4850000000000001E-2</v>
      </c>
      <c r="E17">
        <v>4.4850000000000001E-2</v>
      </c>
      <c r="F17">
        <v>4.4850000000000001E-2</v>
      </c>
      <c r="G17">
        <v>4.4850000000000001E-2</v>
      </c>
    </row>
    <row r="18" spans="2:10" x14ac:dyDescent="0.3">
      <c r="B18" t="s">
        <v>27</v>
      </c>
      <c r="C18">
        <f>C17/C16</f>
        <v>1.3230088495575221E-2</v>
      </c>
      <c r="D18">
        <f t="shared" ref="D18" si="7">D17/D16</f>
        <v>1.292507204610951E-2</v>
      </c>
      <c r="E18">
        <f t="shared" ref="E18" si="8">E17/E16</f>
        <v>1.38E-2</v>
      </c>
      <c r="F18">
        <f t="shared" ref="F18" si="9">F17/F16</f>
        <v>1.38E-2</v>
      </c>
      <c r="G18">
        <f t="shared" ref="G18" si="10">G17/G16</f>
        <v>1.495E-2</v>
      </c>
    </row>
    <row r="19" spans="2:10" x14ac:dyDescent="0.3">
      <c r="B19" t="s">
        <v>26</v>
      </c>
      <c r="C19">
        <f>C18*LN(10/0.055)*1000/(2*PI()*365)</f>
        <v>3.0015421202710925E-2</v>
      </c>
      <c r="D19">
        <f t="shared" ref="D19:G19" si="11">D18*LN(10/0.055)*1000/(2*PI()*365)</f>
        <v>2.9323423019363127E-2</v>
      </c>
      <c r="E19">
        <f t="shared" si="11"/>
        <v>3.1308393192981551E-2</v>
      </c>
      <c r="F19">
        <f t="shared" si="11"/>
        <v>3.1308393192981551E-2</v>
      </c>
      <c r="G19">
        <f t="shared" si="11"/>
        <v>3.3917425959063351E-2</v>
      </c>
      <c r="J19">
        <f>LN(G19)</f>
        <v>-3.3838263565787168</v>
      </c>
    </row>
    <row r="20" spans="2:10" x14ac:dyDescent="0.3">
      <c r="J20" t="e">
        <f>LN(G20)</f>
        <v>#NUM!</v>
      </c>
    </row>
    <row r="21" spans="2:10" x14ac:dyDescent="0.3">
      <c r="J21" t="e">
        <f>LN(G21)</f>
        <v>#NUM!</v>
      </c>
    </row>
    <row r="22" spans="2:10" x14ac:dyDescent="0.3">
      <c r="C22">
        <f>LN(C19)</f>
        <v>-3.5060439893029662</v>
      </c>
      <c r="D22">
        <f t="shared" ref="D22:G22" si="12">LN(D19)</f>
        <v>-3.5293686618693747</v>
      </c>
      <c r="E22">
        <f t="shared" si="12"/>
        <v>-3.4638690642522532</v>
      </c>
      <c r="F22">
        <f t="shared" si="12"/>
        <v>-3.4638690642522532</v>
      </c>
      <c r="G22">
        <f t="shared" si="12"/>
        <v>-3.3838263565787168</v>
      </c>
      <c r="J22" t="e">
        <f>LN(G22)</f>
        <v>#NUM!</v>
      </c>
    </row>
    <row r="23" spans="2:10" x14ac:dyDescent="0.3">
      <c r="C23">
        <f>LN(273+C15)</f>
        <v>5.6801726090170677</v>
      </c>
      <c r="D23">
        <f t="shared" ref="D23:G23" si="13">LN(273+D15)</f>
        <v>5.7137328055093688</v>
      </c>
      <c r="E23">
        <f t="shared" si="13"/>
        <v>5.7462031905401529</v>
      </c>
      <c r="F23">
        <f t="shared" si="13"/>
        <v>5.7776523232226564</v>
      </c>
      <c r="G23">
        <f t="shared" si="13"/>
        <v>5.8081424899804439</v>
      </c>
      <c r="J23">
        <f>LN(G23)</f>
        <v>1.7592608106203929</v>
      </c>
    </row>
    <row r="25" spans="2:10" x14ac:dyDescent="0.3">
      <c r="C25">
        <f>C13*1/C19</f>
        <v>1.5637901810207928E-2</v>
      </c>
      <c r="D25">
        <f t="shared" ref="D25:G25" si="14">D13*1/D19</f>
        <v>1.4086080372415623E-2</v>
      </c>
      <c r="E25">
        <f t="shared" si="14"/>
        <v>7.8406503997952518E-3</v>
      </c>
      <c r="F25">
        <f t="shared" si="14"/>
        <v>7.8523781556534469E-3</v>
      </c>
      <c r="G25">
        <f t="shared" si="14"/>
        <v>7.1985573457668067E-2</v>
      </c>
    </row>
    <row r="26" spans="2:10" x14ac:dyDescent="0.3">
      <c r="C26">
        <f>0.2/(C15+273)</f>
        <v>6.8259385665529011E-4</v>
      </c>
      <c r="D26">
        <f t="shared" ref="D26:G26" si="15">0.2/(D15+273)</f>
        <v>6.6006600660066007E-4</v>
      </c>
      <c r="E26">
        <f t="shared" si="15"/>
        <v>6.3897763578274762E-4</v>
      </c>
      <c r="F26">
        <f t="shared" si="15"/>
        <v>6.1919504643962852E-4</v>
      </c>
      <c r="G26">
        <f t="shared" si="15"/>
        <v>6.0060060060060068E-4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</dc:creator>
  <cp:lastModifiedBy>Глеб</cp:lastModifiedBy>
  <dcterms:created xsi:type="dcterms:W3CDTF">2022-03-26T06:32:37Z</dcterms:created>
  <dcterms:modified xsi:type="dcterms:W3CDTF">2022-05-18T10:23:07Z</dcterms:modified>
</cp:coreProperties>
</file>