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NEO\EF_CERTI\Arquivos VS Code\C138\certificados.xlsx\"/>
    </mc:Choice>
  </mc:AlternateContent>
  <xr:revisionPtr revIDLastSave="0" documentId="8_{0487A0AD-171A-4FDD-A05C-C70AB1BBC926}" xr6:coauthVersionLast="47" xr6:coauthVersionMax="47" xr10:uidLastSave="{00000000-0000-0000-0000-000000000000}"/>
  <bookViews>
    <workbookView xWindow="3384" yWindow="3360" windowWidth="17280" windowHeight="8880" tabRatio="779" firstSheet="8" activeTab="8"/>
  </bookViews>
  <sheets>
    <sheet name="Geral" sheetId="5" state="hidden" r:id="rId1"/>
    <sheet name="Padroes" sheetId="11" state="hidden" r:id="rId2"/>
    <sheet name="CalAnterior" sheetId="21" state="hidden" r:id="rId3"/>
    <sheet name="Cola" sheetId="15" state="hidden" r:id="rId4"/>
    <sheet name="Cola2" sheetId="20" state="hidden" r:id="rId5"/>
    <sheet name="Dados" sheetId="17" state="hidden" r:id="rId6"/>
    <sheet name="Dados2" sheetId="19" state="hidden" r:id="rId7"/>
    <sheet name="Tabelle1" sheetId="16" state="hidden" r:id="rId8"/>
    <sheet name="certificado" sheetId="14" r:id="rId9"/>
    <sheet name="certificado (2)" sheetId="22" state="hidden" r:id="rId10"/>
    <sheet name="Ra" sheetId="13" state="hidden" r:id="rId11"/>
    <sheet name="RSm" sheetId="12" state="hidden" r:id="rId12"/>
    <sheet name="cut-off" sheetId="18" state="hidden" r:id="rId13"/>
  </sheets>
  <definedNames>
    <definedName name="_xlnm.Print_Area" localSheetId="8">certificado!$A$1:$J$193</definedName>
    <definedName name="_xlnm.Print_Area" localSheetId="9">'certificado (2)'!$A$1:$G$155</definedName>
    <definedName name="_xlnm.Print_Area" localSheetId="3">Cola!$A$1:$G$126</definedName>
    <definedName name="_xlnm.Print_Area" localSheetId="4">Cola2!$A$1:$G$126</definedName>
    <definedName name="_xlnm.Print_Area" localSheetId="12">'cut-off'!$A$1:$H$29</definedName>
    <definedName name="_xlnm.Print_Area" localSheetId="10">Ra!$A$1:$H$29</definedName>
    <definedName name="_xlnm.Print_Area" localSheetId="11">RSm!$A$1:$H$29</definedName>
    <definedName name="balanço" localSheetId="12">'cut-off'!$A$1:$H$29</definedName>
    <definedName name="balanço" localSheetId="11">RSm!$A$1:$H$29</definedName>
    <definedName name="certificado" localSheetId="9">'certificado (2)'!$A$1:$G$215</definedName>
    <definedName name="certificado">certificado!$A$1:$G$254</definedName>
    <definedName name="nome" localSheetId="4">Cola2!$B$126</definedName>
    <definedName name="nome">Cola!$B$126</definedName>
    <definedName name="planilha" localSheetId="4">Cola2!$A$1:$G$128</definedName>
    <definedName name="planilha">Cola!$A$1:$G$128</definedName>
    <definedName name="ra">Ra!$A$1:$H$29</definedName>
    <definedName name="re" localSheetId="8">Cola!#REF!</definedName>
    <definedName name="re" localSheetId="9">Cola!#REF!</definedName>
    <definedName name="Ret" localSheetId="12">'cut-off'!$A$1:$H$29</definedName>
    <definedName name="Ret">RSm!$A$1:$H$29</definedName>
    <definedName name="rsm" localSheetId="12">'cut-off'!$A$1:$H$29</definedName>
    <definedName name="rsm">RSm!$A$1:$H$29</definedName>
    <definedName name="SERV" localSheetId="4">Cola2!$D$7</definedName>
    <definedName name="SERV" localSheetId="12">Cola!$D$7</definedName>
    <definedName name="SERV" localSheetId="11">Cola!$D$7</definedName>
    <definedName name="SERV">Cola!$D$7</definedName>
    <definedName name="st" localSheetId="8">Cola!#REF!</definedName>
    <definedName name="st" localSheetId="9">Cola!#REF!</definedName>
    <definedName name="temp" localSheetId="4">Cola2!$C$10</definedName>
    <definedName name="temp">Cola!$C$10</definedName>
    <definedName name="_xlnm.Print_Titles" localSheetId="8">certificado!$1:$5</definedName>
    <definedName name="_xlnm.Print_Titles" localSheetId="9">'certificado (2)'!$1:$5</definedName>
    <definedName name="_xlnm.Print_Titles" localSheetId="3">Cola!$1:$11</definedName>
    <definedName name="_xlnm.Print_Titles" localSheetId="4">Cola2!$1:$11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" l="1"/>
  <c r="A128" i="14"/>
  <c r="A93" i="14"/>
  <c r="X2" i="20"/>
  <c r="X1" i="20"/>
  <c r="W2" i="20"/>
  <c r="U2" i="20"/>
  <c r="W1" i="20"/>
  <c r="U1" i="20"/>
  <c r="W2" i="15"/>
  <c r="X2" i="15" s="1"/>
  <c r="U2" i="15"/>
  <c r="W1" i="15"/>
  <c r="U1" i="15"/>
  <c r="X1" i="15" s="1"/>
  <c r="L18" i="14"/>
  <c r="A7" i="14"/>
  <c r="M141" i="19"/>
  <c r="Q141" i="19" s="1"/>
  <c r="M66" i="19"/>
  <c r="Q66" i="19" s="1"/>
  <c r="M141" i="17"/>
  <c r="Q141" i="17"/>
  <c r="M66" i="17"/>
  <c r="Q66" i="17" s="1"/>
  <c r="C34" i="19"/>
  <c r="L8" i="19" s="1"/>
  <c r="L8" i="17"/>
  <c r="M36" i="17" s="1"/>
  <c r="J50" i="14"/>
  <c r="I50" i="14"/>
  <c r="E14" i="14"/>
  <c r="C68" i="19"/>
  <c r="D68" i="19"/>
  <c r="E68" i="19"/>
  <c r="F68" i="19"/>
  <c r="C69" i="19"/>
  <c r="D69" i="19"/>
  <c r="E69" i="19"/>
  <c r="F69" i="19"/>
  <c r="C70" i="19"/>
  <c r="D70" i="19"/>
  <c r="E70" i="19"/>
  <c r="F70" i="19"/>
  <c r="C71" i="19"/>
  <c r="D71" i="19"/>
  <c r="E71" i="19"/>
  <c r="F71" i="19"/>
  <c r="C72" i="19"/>
  <c r="D72" i="19"/>
  <c r="E72" i="19"/>
  <c r="F72" i="19"/>
  <c r="C73" i="19"/>
  <c r="D73" i="19"/>
  <c r="E73" i="19"/>
  <c r="F73" i="19"/>
  <c r="C74" i="19"/>
  <c r="D74" i="19"/>
  <c r="E74" i="19"/>
  <c r="F74" i="19"/>
  <c r="C75" i="19"/>
  <c r="D75" i="19"/>
  <c r="E75" i="19"/>
  <c r="F75" i="19"/>
  <c r="C76" i="19"/>
  <c r="D76" i="19"/>
  <c r="E76" i="19"/>
  <c r="F76" i="19"/>
  <c r="C77" i="19"/>
  <c r="D77" i="19"/>
  <c r="E77" i="19"/>
  <c r="F77" i="19"/>
  <c r="C78" i="19"/>
  <c r="D78" i="19"/>
  <c r="E78" i="19"/>
  <c r="F78" i="19"/>
  <c r="D67" i="19"/>
  <c r="E67" i="19"/>
  <c r="F67" i="19"/>
  <c r="C67" i="19"/>
  <c r="E9" i="14"/>
  <c r="L7" i="14"/>
  <c r="L8" i="14" s="1"/>
  <c r="E37" i="14"/>
  <c r="E34" i="14"/>
  <c r="J12" i="17"/>
  <c r="E31" i="14"/>
  <c r="L184" i="14"/>
  <c r="L40" i="14"/>
  <c r="L41" i="14"/>
  <c r="L42" i="14"/>
  <c r="L43" i="14"/>
  <c r="A53" i="14"/>
  <c r="G101" i="19"/>
  <c r="G101" i="17"/>
  <c r="A164" i="14"/>
  <c r="A148" i="14"/>
  <c r="L185" i="14"/>
  <c r="A18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64" i="14"/>
  <c r="G60" i="19"/>
  <c r="G60" i="17"/>
  <c r="I62" i="17"/>
  <c r="I61" i="17"/>
  <c r="I60" i="17"/>
  <c r="C59" i="19"/>
  <c r="C58" i="19"/>
  <c r="C100" i="17"/>
  <c r="C100" i="19"/>
  <c r="C99" i="17"/>
  <c r="C99" i="19" s="1"/>
  <c r="D108" i="19"/>
  <c r="E108" i="19"/>
  <c r="F108" i="19"/>
  <c r="D109" i="19"/>
  <c r="E109" i="19"/>
  <c r="F109" i="19"/>
  <c r="D110" i="19"/>
  <c r="E110" i="19"/>
  <c r="F110" i="19"/>
  <c r="D111" i="19"/>
  <c r="E111" i="19"/>
  <c r="F111" i="19"/>
  <c r="D112" i="19"/>
  <c r="E112" i="19"/>
  <c r="F112" i="19"/>
  <c r="D113" i="19"/>
  <c r="E113" i="19"/>
  <c r="F113" i="19"/>
  <c r="D114" i="19"/>
  <c r="E114" i="19"/>
  <c r="F114" i="19"/>
  <c r="D115" i="19"/>
  <c r="E115" i="19"/>
  <c r="F115" i="19"/>
  <c r="D116" i="19"/>
  <c r="E116" i="19"/>
  <c r="F116" i="19"/>
  <c r="D117" i="19"/>
  <c r="E117" i="19"/>
  <c r="F117" i="19"/>
  <c r="D118" i="19"/>
  <c r="E118" i="19"/>
  <c r="F118" i="19"/>
  <c r="D119" i="19"/>
  <c r="E119" i="19"/>
  <c r="F119" i="19"/>
  <c r="C109" i="19"/>
  <c r="C110" i="19"/>
  <c r="C111" i="19"/>
  <c r="C112" i="19"/>
  <c r="C113" i="19"/>
  <c r="C114" i="19"/>
  <c r="C115" i="19"/>
  <c r="C116" i="19"/>
  <c r="C117" i="19"/>
  <c r="C118" i="19"/>
  <c r="C119" i="19"/>
  <c r="C108" i="19"/>
  <c r="L137" i="14"/>
  <c r="B21" i="16"/>
  <c r="E21" i="16"/>
  <c r="C61" i="17" s="1"/>
  <c r="B20" i="16"/>
  <c r="C108" i="17"/>
  <c r="A188" i="14"/>
  <c r="S82" i="14"/>
  <c r="A56" i="14"/>
  <c r="G50" i="14"/>
  <c r="A50" i="14"/>
  <c r="E45" i="14"/>
  <c r="E44" i="14"/>
  <c r="E28" i="14"/>
  <c r="L17" i="14"/>
  <c r="L16" i="14"/>
  <c r="L15" i="14"/>
  <c r="L14" i="14"/>
  <c r="A5" i="14"/>
  <c r="F154" i="22"/>
  <c r="A154" i="22"/>
  <c r="F153" i="22"/>
  <c r="A153" i="22"/>
  <c r="D107" i="22"/>
  <c r="I104" i="22"/>
  <c r="D90" i="22"/>
  <c r="D71" i="22"/>
  <c r="D54" i="22"/>
  <c r="E41" i="22"/>
  <c r="E33" i="22"/>
  <c r="A32" i="22"/>
  <c r="L30" i="22"/>
  <c r="A30" i="22"/>
  <c r="A29" i="22"/>
  <c r="A28" i="22"/>
  <c r="A26" i="22"/>
  <c r="B24" i="22"/>
  <c r="B23" i="22"/>
  <c r="A23" i="22"/>
  <c r="A22" i="22"/>
  <c r="A20" i="22"/>
  <c r="F16" i="22"/>
  <c r="E16" i="22"/>
  <c r="C16" i="22"/>
  <c r="F15" i="22"/>
  <c r="C15" i="22"/>
  <c r="A13" i="22"/>
  <c r="C11" i="22"/>
  <c r="A11" i="22"/>
  <c r="C9" i="22"/>
  <c r="C8" i="22"/>
  <c r="A8" i="22"/>
  <c r="H7" i="22"/>
  <c r="A7" i="22"/>
  <c r="A5" i="22"/>
  <c r="A4" i="22"/>
  <c r="A3" i="22"/>
  <c r="H9" i="17"/>
  <c r="H10" i="17"/>
  <c r="H8" i="17"/>
  <c r="E25" i="14"/>
  <c r="J1" i="19"/>
  <c r="B94" i="22" s="1"/>
  <c r="B133" i="19"/>
  <c r="G102" i="19"/>
  <c r="G61" i="19"/>
  <c r="G23" i="19" s="1"/>
  <c r="G102" i="17"/>
  <c r="G61" i="17"/>
  <c r="G23" i="17"/>
  <c r="E132" i="14"/>
  <c r="E116" i="14"/>
  <c r="G109" i="19"/>
  <c r="C9" i="19"/>
  <c r="C8" i="19"/>
  <c r="F7" i="19"/>
  <c r="R142" i="19"/>
  <c r="K140" i="19"/>
  <c r="A130" i="19"/>
  <c r="O129" i="19"/>
  <c r="O128" i="19"/>
  <c r="R127" i="19"/>
  <c r="K125" i="19"/>
  <c r="M122" i="19"/>
  <c r="M121" i="19"/>
  <c r="G119" i="19"/>
  <c r="G118" i="19"/>
  <c r="G117" i="19"/>
  <c r="G116" i="19"/>
  <c r="G115" i="19"/>
  <c r="G114" i="19"/>
  <c r="G113" i="19"/>
  <c r="O112" i="19"/>
  <c r="G112" i="19"/>
  <c r="O111" i="19"/>
  <c r="G111" i="19"/>
  <c r="R110" i="19"/>
  <c r="G110" i="19"/>
  <c r="K108" i="19"/>
  <c r="G108" i="19"/>
  <c r="M105" i="19"/>
  <c r="M104" i="19"/>
  <c r="O97" i="19"/>
  <c r="O96" i="19"/>
  <c r="R95" i="19"/>
  <c r="Q93" i="19"/>
  <c r="M93" i="19"/>
  <c r="K92" i="19"/>
  <c r="M89" i="19"/>
  <c r="A89" i="19"/>
  <c r="M88" i="19"/>
  <c r="G78" i="19"/>
  <c r="G77" i="19"/>
  <c r="G76" i="19"/>
  <c r="G75" i="19"/>
  <c r="G74" i="19"/>
  <c r="G73" i="19"/>
  <c r="G72" i="19"/>
  <c r="B90" i="19" s="1"/>
  <c r="G71" i="19"/>
  <c r="G70" i="19"/>
  <c r="G69" i="19"/>
  <c r="G68" i="19"/>
  <c r="R67" i="19"/>
  <c r="G67" i="19"/>
  <c r="K65" i="19"/>
  <c r="O53" i="19"/>
  <c r="O52" i="19"/>
  <c r="R51" i="19"/>
  <c r="K49" i="19"/>
  <c r="M46" i="19"/>
  <c r="M45" i="19"/>
  <c r="O36" i="19"/>
  <c r="O35" i="19"/>
  <c r="R34" i="19"/>
  <c r="K32" i="19"/>
  <c r="M29" i="19"/>
  <c r="M28" i="19"/>
  <c r="C22" i="19"/>
  <c r="O21" i="19"/>
  <c r="O20" i="19"/>
  <c r="R19" i="19"/>
  <c r="Q17" i="19"/>
  <c r="M17" i="19"/>
  <c r="K16" i="19"/>
  <c r="M13" i="19"/>
  <c r="M12" i="19"/>
  <c r="C11" i="19"/>
  <c r="G10" i="19"/>
  <c r="C10" i="19"/>
  <c r="D7" i="19"/>
  <c r="T187" i="14"/>
  <c r="E97" i="14"/>
  <c r="R142" i="17"/>
  <c r="K140" i="17"/>
  <c r="R67" i="17"/>
  <c r="K65" i="17"/>
  <c r="O129" i="17"/>
  <c r="O128" i="17"/>
  <c r="R127" i="17"/>
  <c r="K125" i="17"/>
  <c r="M122" i="17"/>
  <c r="M121" i="17"/>
  <c r="O112" i="17"/>
  <c r="O111" i="17"/>
  <c r="R110" i="17"/>
  <c r="K108" i="17"/>
  <c r="M105" i="17"/>
  <c r="M104" i="17"/>
  <c r="O97" i="17"/>
  <c r="O96" i="17"/>
  <c r="R95" i="17"/>
  <c r="Q93" i="17"/>
  <c r="M93" i="17"/>
  <c r="K92" i="17"/>
  <c r="M89" i="17"/>
  <c r="M88" i="17"/>
  <c r="D108" i="17"/>
  <c r="E108" i="17"/>
  <c r="F108" i="17"/>
  <c r="L101" i="14" s="1"/>
  <c r="C109" i="17"/>
  <c r="D109" i="17"/>
  <c r="E109" i="17"/>
  <c r="F109" i="17"/>
  <c r="C110" i="17"/>
  <c r="D110" i="17"/>
  <c r="E110" i="17"/>
  <c r="F110" i="17"/>
  <c r="C111" i="17"/>
  <c r="D111" i="17"/>
  <c r="E111" i="17"/>
  <c r="F111" i="17"/>
  <c r="C112" i="17"/>
  <c r="D112" i="17"/>
  <c r="E112" i="17"/>
  <c r="F112" i="17"/>
  <c r="C113" i="17"/>
  <c r="D113" i="17"/>
  <c r="E113" i="17"/>
  <c r="F113" i="17"/>
  <c r="C114" i="17"/>
  <c r="D114" i="17"/>
  <c r="E114" i="17"/>
  <c r="F114" i="17"/>
  <c r="C115" i="17"/>
  <c r="D115" i="17"/>
  <c r="E115" i="17"/>
  <c r="F115" i="17"/>
  <c r="C116" i="17"/>
  <c r="D116" i="17"/>
  <c r="E116" i="17"/>
  <c r="F116" i="17"/>
  <c r="C117" i="17"/>
  <c r="D117" i="17"/>
  <c r="E117" i="17"/>
  <c r="F117" i="17"/>
  <c r="C118" i="17"/>
  <c r="D118" i="17"/>
  <c r="E118" i="17"/>
  <c r="F118" i="17"/>
  <c r="C119" i="17"/>
  <c r="D119" i="17"/>
  <c r="E119" i="17"/>
  <c r="F119" i="17"/>
  <c r="A130" i="17"/>
  <c r="B83" i="22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F67" i="17"/>
  <c r="F68" i="17"/>
  <c r="F69" i="17"/>
  <c r="F70" i="17"/>
  <c r="F71" i="17"/>
  <c r="F72" i="17"/>
  <c r="F73" i="17"/>
  <c r="F74" i="17"/>
  <c r="F79" i="17" s="1"/>
  <c r="F75" i="17"/>
  <c r="F76" i="17"/>
  <c r="F77" i="17"/>
  <c r="F78" i="17"/>
  <c r="E67" i="17"/>
  <c r="E79" i="17" s="1"/>
  <c r="E68" i="17"/>
  <c r="E69" i="17"/>
  <c r="E81" i="17" s="1"/>
  <c r="E70" i="17"/>
  <c r="E71" i="17"/>
  <c r="E72" i="17"/>
  <c r="E73" i="17"/>
  <c r="E74" i="17"/>
  <c r="E75" i="17"/>
  <c r="E76" i="17"/>
  <c r="E77" i="17"/>
  <c r="E78" i="17"/>
  <c r="M45" i="17"/>
  <c r="M46" i="17"/>
  <c r="B30" i="17"/>
  <c r="C30" i="17"/>
  <c r="C30" i="19"/>
  <c r="D30" i="17"/>
  <c r="D30" i="19" s="1"/>
  <c r="E30" i="17"/>
  <c r="E30" i="19" s="1"/>
  <c r="F30" i="17"/>
  <c r="F30" i="19" s="1"/>
  <c r="M12" i="17"/>
  <c r="M13" i="17"/>
  <c r="C67" i="17"/>
  <c r="C68" i="17"/>
  <c r="C69" i="17"/>
  <c r="C70" i="17"/>
  <c r="C71" i="17"/>
  <c r="C72" i="17"/>
  <c r="C73" i="17"/>
  <c r="C74" i="17"/>
  <c r="B86" i="17" s="1"/>
  <c r="C75" i="17"/>
  <c r="C76" i="17"/>
  <c r="C77" i="17"/>
  <c r="C78" i="17"/>
  <c r="F29" i="17"/>
  <c r="F29" i="19" s="1"/>
  <c r="E29" i="17"/>
  <c r="E29" i="19"/>
  <c r="D29" i="17"/>
  <c r="C29" i="17"/>
  <c r="C29" i="19"/>
  <c r="B29" i="17"/>
  <c r="F28" i="17"/>
  <c r="F28" i="19" s="1"/>
  <c r="E28" i="17"/>
  <c r="E28" i="19" s="1"/>
  <c r="D28" i="17"/>
  <c r="D28" i="19" s="1"/>
  <c r="C28" i="17"/>
  <c r="B28" i="17"/>
  <c r="G28" i="17" s="1"/>
  <c r="L5" i="17" s="1"/>
  <c r="E81" i="14"/>
  <c r="O52" i="17"/>
  <c r="O53" i="17"/>
  <c r="R51" i="17"/>
  <c r="O20" i="17"/>
  <c r="O21" i="17"/>
  <c r="Q17" i="17"/>
  <c r="R19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M28" i="17"/>
  <c r="M29" i="17"/>
  <c r="R34" i="17"/>
  <c r="O35" i="17"/>
  <c r="O36" i="17"/>
  <c r="K49" i="17"/>
  <c r="G10" i="17"/>
  <c r="C10" i="17"/>
  <c r="C11" i="17"/>
  <c r="C22" i="17"/>
  <c r="E22" i="14"/>
  <c r="A89" i="17"/>
  <c r="B58" i="22"/>
  <c r="G67" i="17"/>
  <c r="G68" i="17"/>
  <c r="G69" i="17"/>
  <c r="G70" i="17"/>
  <c r="G71" i="17"/>
  <c r="G72" i="17"/>
  <c r="G73" i="17"/>
  <c r="G74" i="17"/>
  <c r="G75" i="17"/>
  <c r="G76" i="17"/>
  <c r="G77" i="17"/>
  <c r="G78" i="17"/>
  <c r="B6" i="17"/>
  <c r="C9" i="17"/>
  <c r="C8" i="17"/>
  <c r="F7" i="17"/>
  <c r="E7" i="17"/>
  <c r="D7" i="17"/>
  <c r="K32" i="17"/>
  <c r="M17" i="17"/>
  <c r="K16" i="17"/>
  <c r="C26" i="16"/>
  <c r="C27" i="16" s="1"/>
  <c r="B26" i="16"/>
  <c r="F7" i="13"/>
  <c r="D7" i="13"/>
  <c r="C7" i="13"/>
  <c r="G23" i="13"/>
  <c r="D23" i="13"/>
  <c r="H22" i="13"/>
  <c r="G22" i="13"/>
  <c r="B11" i="13"/>
  <c r="C11" i="13"/>
  <c r="D11" i="13"/>
  <c r="E11" i="13"/>
  <c r="F11" i="13"/>
  <c r="G11" i="13"/>
  <c r="H11" i="13"/>
  <c r="B12" i="13"/>
  <c r="C12" i="13"/>
  <c r="D12" i="13"/>
  <c r="E12" i="13"/>
  <c r="F12" i="13"/>
  <c r="G12" i="13"/>
  <c r="B26" i="13" s="1"/>
  <c r="H12" i="13"/>
  <c r="B13" i="13"/>
  <c r="C13" i="13"/>
  <c r="D13" i="13"/>
  <c r="E13" i="13"/>
  <c r="F13" i="13"/>
  <c r="G13" i="13"/>
  <c r="H13" i="13"/>
  <c r="B10" i="13"/>
  <c r="C10" i="13"/>
  <c r="D10" i="13"/>
  <c r="E10" i="13"/>
  <c r="F10" i="13"/>
  <c r="G10" i="13"/>
  <c r="H10" i="13"/>
  <c r="E7" i="13"/>
  <c r="A7" i="13"/>
  <c r="C7" i="12"/>
  <c r="D7" i="12"/>
  <c r="F7" i="12"/>
  <c r="D23" i="12"/>
  <c r="G23" i="12"/>
  <c r="G22" i="12"/>
  <c r="H22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G14" i="12"/>
  <c r="B26" i="12"/>
  <c r="G13" i="12"/>
  <c r="G12" i="12"/>
  <c r="H11" i="12"/>
  <c r="B12" i="12"/>
  <c r="C12" i="12"/>
  <c r="D12" i="12"/>
  <c r="E12" i="12"/>
  <c r="F12" i="12"/>
  <c r="H12" i="12"/>
  <c r="B13" i="12"/>
  <c r="C13" i="12"/>
  <c r="D13" i="12"/>
  <c r="E13" i="12"/>
  <c r="F13" i="12"/>
  <c r="H13" i="12"/>
  <c r="B14" i="12"/>
  <c r="C14" i="12"/>
  <c r="D14" i="12"/>
  <c r="E14" i="12"/>
  <c r="F14" i="12"/>
  <c r="H14" i="12"/>
  <c r="E7" i="12"/>
  <c r="A7" i="12"/>
  <c r="A23" i="16"/>
  <c r="A21" i="16"/>
  <c r="A20" i="16"/>
  <c r="B66" i="22"/>
  <c r="H11" i="17"/>
  <c r="Q29" i="14"/>
  <c r="B75" i="22"/>
  <c r="L126" i="14"/>
  <c r="L95" i="14"/>
  <c r="G62" i="19"/>
  <c r="A114" i="14" s="1"/>
  <c r="G22" i="19"/>
  <c r="A113" i="14"/>
  <c r="A87" i="22"/>
  <c r="L138" i="14"/>
  <c r="L134" i="14"/>
  <c r="L130" i="14"/>
  <c r="L129" i="14"/>
  <c r="L141" i="14"/>
  <c r="L133" i="14"/>
  <c r="L140" i="14"/>
  <c r="L113" i="14"/>
  <c r="L124" i="14"/>
  <c r="L143" i="14"/>
  <c r="L132" i="14"/>
  <c r="L135" i="14"/>
  <c r="L131" i="14"/>
  <c r="L108" i="14"/>
  <c r="L104" i="14"/>
  <c r="L103" i="14"/>
  <c r="G103" i="19"/>
  <c r="A130" i="14" s="1"/>
  <c r="A104" i="22"/>
  <c r="A129" i="14"/>
  <c r="L136" i="14"/>
  <c r="I42" i="19"/>
  <c r="L92" i="14"/>
  <c r="L85" i="14"/>
  <c r="L78" i="14"/>
  <c r="L84" i="14"/>
  <c r="B86" i="19"/>
  <c r="D86" i="19" s="1"/>
  <c r="E86" i="19"/>
  <c r="L125" i="14"/>
  <c r="L123" i="14"/>
  <c r="L121" i="14"/>
  <c r="L117" i="14"/>
  <c r="C83" i="19"/>
  <c r="C81" i="19"/>
  <c r="L77" i="14"/>
  <c r="L115" i="14"/>
  <c r="L116" i="14"/>
  <c r="C79" i="19"/>
  <c r="C28" i="19"/>
  <c r="M19" i="19"/>
  <c r="Q19" i="19" s="1"/>
  <c r="B30" i="19"/>
  <c r="L93" i="14"/>
  <c r="L82" i="14"/>
  <c r="L89" i="14"/>
  <c r="L90" i="14"/>
  <c r="L81" i="14"/>
  <c r="L91" i="14"/>
  <c r="L83" i="14"/>
  <c r="L80" i="14"/>
  <c r="L79" i="14"/>
  <c r="L88" i="14"/>
  <c r="L86" i="14"/>
  <c r="L87" i="14"/>
  <c r="C21" i="19"/>
  <c r="A17" i="22"/>
  <c r="C17" i="22"/>
  <c r="E120" i="17"/>
  <c r="M127" i="17" s="1"/>
  <c r="Q127" i="17" s="1"/>
  <c r="B29" i="19"/>
  <c r="G29" i="19" s="1"/>
  <c r="L6" i="19" s="1"/>
  <c r="B28" i="19"/>
  <c r="G28" i="19" s="1"/>
  <c r="L5" i="19" s="1"/>
  <c r="G30" i="17"/>
  <c r="L7" i="17" s="1"/>
  <c r="F120" i="17"/>
  <c r="L145" i="14"/>
  <c r="M97" i="17"/>
  <c r="Q97" i="17"/>
  <c r="L139" i="14"/>
  <c r="M21" i="17"/>
  <c r="M129" i="17"/>
  <c r="Q129" i="17"/>
  <c r="M112" i="17"/>
  <c r="Q112" i="17"/>
  <c r="M53" i="17"/>
  <c r="Q53" i="17"/>
  <c r="Q21" i="17"/>
  <c r="B89" i="19"/>
  <c r="B119" i="22"/>
  <c r="B89" i="17"/>
  <c r="D89" i="17"/>
  <c r="E89" i="17" s="1"/>
  <c r="B129" i="17"/>
  <c r="V18" i="17"/>
  <c r="B130" i="17"/>
  <c r="D130" i="17"/>
  <c r="E130" i="17" s="1"/>
  <c r="F122" i="19"/>
  <c r="F124" i="17"/>
  <c r="D29" i="19"/>
  <c r="C124" i="17"/>
  <c r="E83" i="19"/>
  <c r="D81" i="19"/>
  <c r="E17" i="22"/>
  <c r="F17" i="22"/>
  <c r="B87" i="19"/>
  <c r="M33" i="19" s="1"/>
  <c r="Q33" i="19" s="1"/>
  <c r="I30" i="17"/>
  <c r="E122" i="17"/>
  <c r="E124" i="17"/>
  <c r="D83" i="19"/>
  <c r="D79" i="19"/>
  <c r="L144" i="14"/>
  <c r="B130" i="19"/>
  <c r="L122" i="14"/>
  <c r="L119" i="14"/>
  <c r="L114" i="14"/>
  <c r="L163" i="14"/>
  <c r="L112" i="14"/>
  <c r="L147" i="14"/>
  <c r="L128" i="14"/>
  <c r="L111" i="14"/>
  <c r="L118" i="14"/>
  <c r="A18" i="22"/>
  <c r="C18" i="22"/>
  <c r="L142" i="14"/>
  <c r="E18" i="22"/>
  <c r="F18" i="22" s="1"/>
  <c r="D130" i="19"/>
  <c r="E130" i="19" s="1"/>
  <c r="D87" i="19"/>
  <c r="E87" i="19" s="1"/>
  <c r="G29" i="17"/>
  <c r="D120" i="17"/>
  <c r="M110" i="17"/>
  <c r="Q110" i="17" s="1"/>
  <c r="C83" i="17"/>
  <c r="D129" i="17"/>
  <c r="E129" i="17"/>
  <c r="F122" i="17"/>
  <c r="M126" i="17"/>
  <c r="Q126" i="17" s="1"/>
  <c r="M142" i="17"/>
  <c r="Q142" i="17" s="1"/>
  <c r="Q147" i="17" s="1"/>
  <c r="M67" i="17"/>
  <c r="Q67" i="17" s="1"/>
  <c r="D81" i="17"/>
  <c r="Q36" i="17"/>
  <c r="C61" i="19"/>
  <c r="C102" i="17"/>
  <c r="C102" i="19" s="1"/>
  <c r="M20" i="19" l="1"/>
  <c r="Q20" i="19" s="1"/>
  <c r="M128" i="19"/>
  <c r="Q128" i="19" s="1"/>
  <c r="M111" i="19"/>
  <c r="Q111" i="19" s="1"/>
  <c r="M35" i="19"/>
  <c r="Q35" i="19" s="1"/>
  <c r="M52" i="19"/>
  <c r="Q52" i="19" s="1"/>
  <c r="M96" i="19"/>
  <c r="Q96" i="19" s="1"/>
  <c r="R147" i="17"/>
  <c r="O148" i="17" s="1"/>
  <c r="L6" i="17"/>
  <c r="A46" i="22"/>
  <c r="M34" i="19"/>
  <c r="Q34" i="19" s="1"/>
  <c r="D89" i="19"/>
  <c r="E89" i="19" s="1"/>
  <c r="B87" i="17"/>
  <c r="D79" i="17"/>
  <c r="L127" i="14"/>
  <c r="F79" i="19"/>
  <c r="L120" i="14"/>
  <c r="F83" i="19"/>
  <c r="E81" i="19"/>
  <c r="E79" i="19"/>
  <c r="B88" i="19"/>
  <c r="A68" i="22"/>
  <c r="G103" i="17"/>
  <c r="A95" i="14" s="1"/>
  <c r="A94" i="14"/>
  <c r="B90" i="17"/>
  <c r="C79" i="17"/>
  <c r="M51" i="17"/>
  <c r="Q51" i="17" s="1"/>
  <c r="G62" i="17"/>
  <c r="G22" i="17"/>
  <c r="A78" i="14"/>
  <c r="A40" i="22"/>
  <c r="B23" i="16"/>
  <c r="A51" i="22"/>
  <c r="M97" i="19"/>
  <c r="Q97" i="19" s="1"/>
  <c r="M112" i="19"/>
  <c r="Q112" i="19" s="1"/>
  <c r="M36" i="19"/>
  <c r="Q36" i="19" s="1"/>
  <c r="M53" i="19"/>
  <c r="Q53" i="19" s="1"/>
  <c r="M129" i="19"/>
  <c r="Q129" i="19" s="1"/>
  <c r="M21" i="19"/>
  <c r="Q21" i="19" s="1"/>
  <c r="C81" i="17"/>
  <c r="D83" i="17"/>
  <c r="F83" i="17"/>
  <c r="C122" i="19"/>
  <c r="C124" i="19"/>
  <c r="C120" i="19"/>
  <c r="B127" i="19"/>
  <c r="D122" i="19"/>
  <c r="D124" i="19"/>
  <c r="D120" i="19"/>
  <c r="B128" i="19"/>
  <c r="E120" i="19"/>
  <c r="E124" i="19"/>
  <c r="E122" i="19"/>
  <c r="B129" i="19"/>
  <c r="F124" i="19"/>
  <c r="F120" i="19"/>
  <c r="Q72" i="17"/>
  <c r="G30" i="19"/>
  <c r="L7" i="19" s="1"/>
  <c r="I30" i="19"/>
  <c r="D86" i="17"/>
  <c r="E86" i="17" s="1"/>
  <c r="M18" i="17"/>
  <c r="Q18" i="17" s="1"/>
  <c r="L100" i="14"/>
  <c r="L105" i="14"/>
  <c r="B127" i="17"/>
  <c r="L97" i="14"/>
  <c r="L102" i="14"/>
  <c r="L94" i="14"/>
  <c r="L96" i="14"/>
  <c r="C120" i="17"/>
  <c r="L110" i="14"/>
  <c r="L98" i="14"/>
  <c r="L109" i="14"/>
  <c r="L107" i="14"/>
  <c r="L106" i="14"/>
  <c r="L99" i="14"/>
  <c r="C122" i="17"/>
  <c r="Q39" i="19"/>
  <c r="B111" i="22"/>
  <c r="C28" i="16"/>
  <c r="B67" i="19"/>
  <c r="B108" i="19" s="1"/>
  <c r="B67" i="17"/>
  <c r="B108" i="17" s="1"/>
  <c r="B102" i="22"/>
  <c r="A66" i="14"/>
  <c r="F81" i="19"/>
  <c r="E83" i="17"/>
  <c r="B128" i="17"/>
  <c r="D124" i="17"/>
  <c r="D122" i="17"/>
  <c r="B88" i="17"/>
  <c r="M18" i="19"/>
  <c r="Q18" i="19" s="1"/>
  <c r="Q24" i="19" s="1"/>
  <c r="F81" i="17"/>
  <c r="R24" i="19" l="1"/>
  <c r="O25" i="19" s="1"/>
  <c r="R39" i="19"/>
  <c r="O40" i="19" s="1"/>
  <c r="Q40" i="19" s="1"/>
  <c r="M51" i="19"/>
  <c r="Q51" i="19" s="1"/>
  <c r="M94" i="19"/>
  <c r="Q94" i="19" s="1"/>
  <c r="D127" i="19"/>
  <c r="E127" i="19" s="1"/>
  <c r="I127" i="19"/>
  <c r="M19" i="17"/>
  <c r="Q19" i="17" s="1"/>
  <c r="Q24" i="17" s="1"/>
  <c r="M67" i="19"/>
  <c r="Q67" i="19" s="1"/>
  <c r="Q72" i="19" s="1"/>
  <c r="M50" i="17"/>
  <c r="Q50" i="17" s="1"/>
  <c r="D88" i="17"/>
  <c r="E88" i="17" s="1"/>
  <c r="M95" i="17"/>
  <c r="Q95" i="17" s="1"/>
  <c r="D129" i="19"/>
  <c r="E129" i="19" s="1"/>
  <c r="M126" i="19"/>
  <c r="Q126" i="19" s="1"/>
  <c r="M95" i="19"/>
  <c r="Q95" i="19" s="1"/>
  <c r="B22" i="16"/>
  <c r="E20" i="16" s="1"/>
  <c r="C60" i="17" s="1"/>
  <c r="B27" i="16"/>
  <c r="V17" i="17"/>
  <c r="M109" i="17"/>
  <c r="Q109" i="17" s="1"/>
  <c r="D128" i="17"/>
  <c r="E128" i="17" s="1"/>
  <c r="M127" i="19"/>
  <c r="Q127" i="19" s="1"/>
  <c r="B68" i="17"/>
  <c r="B109" i="17" s="1"/>
  <c r="C29" i="16"/>
  <c r="B68" i="19"/>
  <c r="B109" i="19" s="1"/>
  <c r="D128" i="19"/>
  <c r="E128" i="19" s="1"/>
  <c r="M109" i="19"/>
  <c r="Q109" i="19" s="1"/>
  <c r="M20" i="17"/>
  <c r="Q20" i="17" s="1"/>
  <c r="M35" i="17"/>
  <c r="Q35" i="17" s="1"/>
  <c r="M128" i="17"/>
  <c r="Q128" i="17" s="1"/>
  <c r="Q132" i="17" s="1"/>
  <c r="M52" i="17"/>
  <c r="Q52" i="17" s="1"/>
  <c r="M111" i="17"/>
  <c r="Q111" i="17" s="1"/>
  <c r="M96" i="17"/>
  <c r="Q96" i="17" s="1"/>
  <c r="I127" i="17"/>
  <c r="D127" i="17"/>
  <c r="E127" i="17" s="1"/>
  <c r="M94" i="17"/>
  <c r="Q94" i="17" s="1"/>
  <c r="V16" i="17"/>
  <c r="R72" i="17"/>
  <c r="O73" i="17" s="1"/>
  <c r="M110" i="19"/>
  <c r="Q110" i="19" s="1"/>
  <c r="A79" i="14"/>
  <c r="C21" i="17"/>
  <c r="L31" i="22"/>
  <c r="M34" i="17"/>
  <c r="Q34" i="17" s="1"/>
  <c r="G101" i="14"/>
  <c r="I101" i="14" s="1"/>
  <c r="E75" i="22"/>
  <c r="F75" i="22" s="1"/>
  <c r="N148" i="17"/>
  <c r="M142" i="19"/>
  <c r="Q142" i="19" s="1"/>
  <c r="Q147" i="19" s="1"/>
  <c r="M50" i="19"/>
  <c r="Q50" i="19" s="1"/>
  <c r="Q56" i="19" s="1"/>
  <c r="D88" i="19"/>
  <c r="E88" i="19" s="1"/>
  <c r="D87" i="17"/>
  <c r="E87" i="17" s="1"/>
  <c r="M33" i="17"/>
  <c r="Q33" i="17" s="1"/>
  <c r="Q39" i="17" s="1"/>
  <c r="Q148" i="17"/>
  <c r="R24" i="17" l="1"/>
  <c r="O25" i="17" s="1"/>
  <c r="Q25" i="17" s="1"/>
  <c r="Q41" i="19"/>
  <c r="Q42" i="19"/>
  <c r="R39" i="17"/>
  <c r="O40" i="17" s="1"/>
  <c r="Q40" i="17"/>
  <c r="R72" i="19"/>
  <c r="O73" i="19" s="1"/>
  <c r="Q73" i="19" s="1"/>
  <c r="Q115" i="19"/>
  <c r="Q56" i="17"/>
  <c r="N73" i="17"/>
  <c r="E58" i="22"/>
  <c r="F58" i="22" s="1"/>
  <c r="G85" i="14"/>
  <c r="I85" i="14" s="1"/>
  <c r="R132" i="17"/>
  <c r="O133" i="17" s="1"/>
  <c r="A67" i="19"/>
  <c r="A108" i="19" s="1"/>
  <c r="A67" i="17"/>
  <c r="A108" i="17" s="1"/>
  <c r="B28" i="16"/>
  <c r="Q100" i="19"/>
  <c r="E92" i="22"/>
  <c r="F92" i="22" s="1"/>
  <c r="N40" i="19"/>
  <c r="G118" i="14"/>
  <c r="I118" i="14" s="1"/>
  <c r="Q73" i="17"/>
  <c r="R147" i="19"/>
  <c r="O148" i="19" s="1"/>
  <c r="Q148" i="19"/>
  <c r="Q115" i="17"/>
  <c r="Q149" i="17"/>
  <c r="Q57" i="19"/>
  <c r="R56" i="19"/>
  <c r="O57" i="19" s="1"/>
  <c r="A65" i="14"/>
  <c r="C60" i="19"/>
  <c r="C101" i="17"/>
  <c r="C101" i="19" s="1"/>
  <c r="Q100" i="17"/>
  <c r="B69" i="19"/>
  <c r="B110" i="19" s="1"/>
  <c r="B69" i="17"/>
  <c r="B110" i="17" s="1"/>
  <c r="C30" i="16"/>
  <c r="Q132" i="19"/>
  <c r="E91" i="22"/>
  <c r="F91" i="22" s="1"/>
  <c r="N25" i="19"/>
  <c r="G117" i="14"/>
  <c r="I117" i="14" s="1"/>
  <c r="Q25" i="19"/>
  <c r="Q74" i="19" l="1"/>
  <c r="Q75" i="19"/>
  <c r="Q76" i="19" s="1"/>
  <c r="Q27" i="17"/>
  <c r="Q26" i="17"/>
  <c r="R115" i="19"/>
  <c r="O116" i="19" s="1"/>
  <c r="G136" i="14"/>
  <c r="I136" i="14" s="1"/>
  <c r="E111" i="22"/>
  <c r="F111" i="22" s="1"/>
  <c r="N148" i="19"/>
  <c r="G100" i="14"/>
  <c r="I100" i="14" s="1"/>
  <c r="N133" i="17"/>
  <c r="E74" i="22"/>
  <c r="F74" i="22" s="1"/>
  <c r="G120" i="14"/>
  <c r="I120" i="14" s="1"/>
  <c r="E94" i="22"/>
  <c r="F94" i="22" s="1"/>
  <c r="N73" i="19"/>
  <c r="Q42" i="17"/>
  <c r="Q41" i="17"/>
  <c r="R132" i="19"/>
  <c r="O133" i="19" s="1"/>
  <c r="Q133" i="19" s="1"/>
  <c r="N40" i="17"/>
  <c r="G83" i="14"/>
  <c r="I83" i="14" s="1"/>
  <c r="E56" i="22"/>
  <c r="F56" i="22" s="1"/>
  <c r="Q58" i="19"/>
  <c r="Q59" i="19"/>
  <c r="C75" i="22"/>
  <c r="G108" i="14"/>
  <c r="E83" i="22"/>
  <c r="C101" i="14"/>
  <c r="D83" i="22"/>
  <c r="C108" i="14"/>
  <c r="Q153" i="17"/>
  <c r="C83" i="22"/>
  <c r="E108" i="14"/>
  <c r="Q43" i="19"/>
  <c r="Q44" i="19" s="1"/>
  <c r="D92" i="22"/>
  <c r="E118" i="14"/>
  <c r="Q75" i="17"/>
  <c r="Q76" i="17" s="1"/>
  <c r="Q74" i="17"/>
  <c r="G119" i="14"/>
  <c r="I119" i="14" s="1"/>
  <c r="N57" i="19"/>
  <c r="E93" i="22"/>
  <c r="F93" i="22" s="1"/>
  <c r="Q133" i="17"/>
  <c r="B70" i="19"/>
  <c r="B111" i="19" s="1"/>
  <c r="C31" i="16"/>
  <c r="B70" i="17"/>
  <c r="B111" i="17" s="1"/>
  <c r="Q150" i="17"/>
  <c r="Q151" i="17" s="1"/>
  <c r="R100" i="19"/>
  <c r="O101" i="19" s="1"/>
  <c r="Q101" i="19" s="1"/>
  <c r="Q26" i="19"/>
  <c r="Q27" i="19"/>
  <c r="R100" i="17"/>
  <c r="O101" i="17" s="1"/>
  <c r="Q101" i="17" s="1"/>
  <c r="R115" i="17"/>
  <c r="O116" i="17" s="1"/>
  <c r="Q116" i="17" s="1"/>
  <c r="A68" i="19"/>
  <c r="A109" i="19" s="1"/>
  <c r="B29" i="16"/>
  <c r="A68" i="17"/>
  <c r="A109" i="17" s="1"/>
  <c r="R56" i="17"/>
  <c r="O57" i="17" s="1"/>
  <c r="Q151" i="19"/>
  <c r="Q149" i="19"/>
  <c r="E55" i="22"/>
  <c r="F55" i="22" s="1"/>
  <c r="G82" i="14"/>
  <c r="I82" i="14" s="1"/>
  <c r="N25" i="17"/>
  <c r="Q102" i="17" l="1"/>
  <c r="Q103" i="17"/>
  <c r="Q102" i="19"/>
  <c r="Q103" i="19"/>
  <c r="Q118" i="17"/>
  <c r="Q117" i="17"/>
  <c r="Q135" i="19"/>
  <c r="Q134" i="19"/>
  <c r="A69" i="17"/>
  <c r="A110" i="17" s="1"/>
  <c r="A69" i="19"/>
  <c r="A110" i="19" s="1"/>
  <c r="B30" i="16"/>
  <c r="D93" i="22"/>
  <c r="E119" i="14"/>
  <c r="Q60" i="19"/>
  <c r="Q61" i="19" s="1"/>
  <c r="Q43" i="17"/>
  <c r="Q44" i="17" s="1"/>
  <c r="E83" i="14"/>
  <c r="D56" i="22"/>
  <c r="E109" i="22"/>
  <c r="F109" i="22" s="1"/>
  <c r="G134" i="14"/>
  <c r="I134" i="14" s="1"/>
  <c r="N116" i="19"/>
  <c r="E85" i="14"/>
  <c r="D58" i="22"/>
  <c r="Q77" i="17"/>
  <c r="Q116" i="19"/>
  <c r="E108" i="22"/>
  <c r="F108" i="22" s="1"/>
  <c r="N101" i="19"/>
  <c r="G133" i="14"/>
  <c r="I133" i="14" s="1"/>
  <c r="Q153" i="19"/>
  <c r="C119" i="22"/>
  <c r="C136" i="14"/>
  <c r="C111" i="22"/>
  <c r="C144" i="14"/>
  <c r="E144" i="14"/>
  <c r="D119" i="22"/>
  <c r="E119" i="22"/>
  <c r="G144" i="14"/>
  <c r="E101" i="14"/>
  <c r="D75" i="22"/>
  <c r="Q152" i="17"/>
  <c r="Q78" i="17"/>
  <c r="G92" i="14"/>
  <c r="C58" i="22"/>
  <c r="E66" i="22"/>
  <c r="C85" i="14"/>
  <c r="C92" i="14"/>
  <c r="D66" i="22"/>
  <c r="C66" i="22"/>
  <c r="E92" i="14"/>
  <c r="Q150" i="19"/>
  <c r="Q152" i="19"/>
  <c r="E136" i="14"/>
  <c r="D111" i="22"/>
  <c r="C32" i="16"/>
  <c r="B71" i="19"/>
  <c r="B112" i="19" s="1"/>
  <c r="B71" i="17"/>
  <c r="B112" i="17" s="1"/>
  <c r="N57" i="17"/>
  <c r="E57" i="22"/>
  <c r="F57" i="22" s="1"/>
  <c r="G84" i="14"/>
  <c r="I84" i="14" s="1"/>
  <c r="G98" i="14"/>
  <c r="I98" i="14" s="1"/>
  <c r="E72" i="22"/>
  <c r="F72" i="22" s="1"/>
  <c r="N101" i="17"/>
  <c r="D55" i="22"/>
  <c r="Q28" i="17"/>
  <c r="Q29" i="17" s="1"/>
  <c r="E82" i="14"/>
  <c r="N133" i="19"/>
  <c r="G135" i="14"/>
  <c r="I135" i="14" s="1"/>
  <c r="E110" i="22"/>
  <c r="F110" i="22" s="1"/>
  <c r="D94" i="22"/>
  <c r="E120" i="14"/>
  <c r="Q77" i="19"/>
  <c r="N116" i="17"/>
  <c r="E73" i="22"/>
  <c r="F73" i="22" s="1"/>
  <c r="G99" i="14"/>
  <c r="I99" i="14" s="1"/>
  <c r="Q57" i="17"/>
  <c r="E117" i="14"/>
  <c r="Q28" i="19"/>
  <c r="Q29" i="19" s="1"/>
  <c r="D91" i="22"/>
  <c r="Q135" i="17"/>
  <c r="Q134" i="17"/>
  <c r="E125" i="14"/>
  <c r="C100" i="22"/>
  <c r="D100" i="22"/>
  <c r="C118" i="14"/>
  <c r="C125" i="14"/>
  <c r="C92" i="22"/>
  <c r="G125" i="14"/>
  <c r="E100" i="22"/>
  <c r="Q78" i="19"/>
  <c r="C120" i="14"/>
  <c r="C94" i="22"/>
  <c r="E102" i="22"/>
  <c r="C127" i="14"/>
  <c r="C102" i="22"/>
  <c r="D102" i="22"/>
  <c r="E127" i="14"/>
  <c r="G127" i="14"/>
  <c r="C90" i="14" l="1"/>
  <c r="C64" i="22"/>
  <c r="E64" i="22"/>
  <c r="C56" i="22"/>
  <c r="G90" i="14"/>
  <c r="C83" i="14"/>
  <c r="E90" i="14"/>
  <c r="D64" i="22"/>
  <c r="Q136" i="17"/>
  <c r="Q137" i="17" s="1"/>
  <c r="D74" i="22"/>
  <c r="W18" i="17"/>
  <c r="E100" i="14"/>
  <c r="Q117" i="19"/>
  <c r="Q118" i="19"/>
  <c r="D101" i="22"/>
  <c r="E126" i="14"/>
  <c r="E101" i="22"/>
  <c r="G126" i="14"/>
  <c r="C101" i="22"/>
  <c r="C93" i="22"/>
  <c r="C126" i="14"/>
  <c r="C119" i="14"/>
  <c r="B72" i="17"/>
  <c r="B113" i="17" s="1"/>
  <c r="C33" i="16"/>
  <c r="B72" i="19"/>
  <c r="B113" i="19" s="1"/>
  <c r="D73" i="22"/>
  <c r="W17" i="17"/>
  <c r="E99" i="14"/>
  <c r="Q119" i="17"/>
  <c r="Q120" i="17" s="1"/>
  <c r="C124" i="14"/>
  <c r="G124" i="14"/>
  <c r="C117" i="14"/>
  <c r="C99" i="22"/>
  <c r="C91" i="22"/>
  <c r="D99" i="22"/>
  <c r="E99" i="22"/>
  <c r="E124" i="14"/>
  <c r="E133" i="14"/>
  <c r="D108" i="22"/>
  <c r="Q104" i="19"/>
  <c r="Q105" i="19" s="1"/>
  <c r="E135" i="14"/>
  <c r="D110" i="22"/>
  <c r="Q136" i="19"/>
  <c r="Q137" i="19" s="1"/>
  <c r="A70" i="17"/>
  <c r="A111" i="17" s="1"/>
  <c r="B31" i="16"/>
  <c r="A70" i="19"/>
  <c r="A111" i="19" s="1"/>
  <c r="E89" i="14"/>
  <c r="D63" i="22"/>
  <c r="C55" i="22"/>
  <c r="C82" i="14"/>
  <c r="C63" i="22"/>
  <c r="C89" i="14"/>
  <c r="G89" i="14"/>
  <c r="E63" i="22"/>
  <c r="Q59" i="17"/>
  <c r="Q58" i="17"/>
  <c r="E98" i="14"/>
  <c r="D72" i="22"/>
  <c r="Q104" i="17"/>
  <c r="Q105" i="17" s="1"/>
  <c r="W16" i="17"/>
  <c r="C133" i="14" l="1"/>
  <c r="E116" i="22"/>
  <c r="G141" i="14"/>
  <c r="C116" i="22"/>
  <c r="C141" i="14"/>
  <c r="E141" i="14"/>
  <c r="C108" i="22"/>
  <c r="D116" i="22"/>
  <c r="B73" i="17"/>
  <c r="B114" i="17" s="1"/>
  <c r="C34" i="16"/>
  <c r="B73" i="19"/>
  <c r="B114" i="19" s="1"/>
  <c r="A71" i="19"/>
  <c r="A112" i="19" s="1"/>
  <c r="A71" i="17"/>
  <c r="A112" i="17" s="1"/>
  <c r="B32" i="16"/>
  <c r="E81" i="22"/>
  <c r="G106" i="14"/>
  <c r="D81" i="22"/>
  <c r="E106" i="14"/>
  <c r="C73" i="22"/>
  <c r="C106" i="14"/>
  <c r="C81" i="22"/>
  <c r="C99" i="14"/>
  <c r="D109" i="22"/>
  <c r="Q119" i="19"/>
  <c r="Q120" i="19" s="1"/>
  <c r="E134" i="14"/>
  <c r="D118" i="22"/>
  <c r="C143" i="14"/>
  <c r="C135" i="14"/>
  <c r="E118" i="22"/>
  <c r="E143" i="14"/>
  <c r="C118" i="22"/>
  <c r="C110" i="22"/>
  <c r="G143" i="14"/>
  <c r="E105" i="14"/>
  <c r="D80" i="22"/>
  <c r="C98" i="14"/>
  <c r="C105" i="14"/>
  <c r="E80" i="22"/>
  <c r="G105" i="14"/>
  <c r="C72" i="22"/>
  <c r="C80" i="22"/>
  <c r="E84" i="14"/>
  <c r="D57" i="22"/>
  <c r="Q60" i="17"/>
  <c r="Q61" i="17" s="1"/>
  <c r="C107" i="14"/>
  <c r="C74" i="22"/>
  <c r="G107" i="14"/>
  <c r="D82" i="22"/>
  <c r="C100" i="14"/>
  <c r="E107" i="14"/>
  <c r="C82" i="22"/>
  <c r="E82" i="22"/>
  <c r="B33" i="16" l="1"/>
  <c r="A72" i="19"/>
  <c r="A113" i="19" s="1"/>
  <c r="A72" i="17"/>
  <c r="A113" i="17" s="1"/>
  <c r="E65" i="22"/>
  <c r="C65" i="22"/>
  <c r="C91" i="14"/>
  <c r="G91" i="14"/>
  <c r="C84" i="14"/>
  <c r="D65" i="22"/>
  <c r="E91" i="14"/>
  <c r="C57" i="22"/>
  <c r="E117" i="22"/>
  <c r="E142" i="14"/>
  <c r="G142" i="14"/>
  <c r="D117" i="22"/>
  <c r="C134" i="14"/>
  <c r="C142" i="14"/>
  <c r="C117" i="22"/>
  <c r="C109" i="22"/>
  <c r="B74" i="19"/>
  <c r="B115" i="19" s="1"/>
  <c r="C35" i="16"/>
  <c r="B74" i="17"/>
  <c r="B115" i="17" s="1"/>
  <c r="B75" i="17" l="1"/>
  <c r="B116" i="17" s="1"/>
  <c r="B75" i="19"/>
  <c r="B116" i="19" s="1"/>
  <c r="C36" i="16"/>
  <c r="B34" i="16"/>
  <c r="A73" i="17"/>
  <c r="A114" i="17" s="1"/>
  <c r="A73" i="19"/>
  <c r="A114" i="19" s="1"/>
  <c r="A74" i="19" l="1"/>
  <c r="A115" i="19" s="1"/>
  <c r="A74" i="17"/>
  <c r="A115" i="17" s="1"/>
  <c r="B35" i="16"/>
  <c r="C37" i="16"/>
  <c r="B76" i="17"/>
  <c r="B117" i="17" s="1"/>
  <c r="B76" i="19"/>
  <c r="B117" i="19" s="1"/>
  <c r="B77" i="19" l="1"/>
  <c r="B118" i="19" s="1"/>
  <c r="C38" i="16"/>
  <c r="B77" i="17"/>
  <c r="B118" i="17" s="1"/>
  <c r="A75" i="17"/>
  <c r="A116" i="17" s="1"/>
  <c r="A75" i="19"/>
  <c r="A116" i="19" s="1"/>
  <c r="B36" i="16"/>
  <c r="A76" i="19" l="1"/>
  <c r="A117" i="19" s="1"/>
  <c r="B37" i="16"/>
  <c r="A76" i="17"/>
  <c r="A117" i="17" s="1"/>
  <c r="B78" i="17"/>
  <c r="B119" i="17" s="1"/>
  <c r="B78" i="19"/>
  <c r="B119" i="19" s="1"/>
  <c r="A77" i="17" l="1"/>
  <c r="A118" i="17" s="1"/>
  <c r="A77" i="19"/>
  <c r="A118" i="19" s="1"/>
  <c r="B38" i="16"/>
  <c r="A78" i="19" l="1"/>
  <c r="A119" i="19" s="1"/>
  <c r="A78" i="17"/>
  <c r="A119" i="17" s="1"/>
</calcChain>
</file>

<file path=xl/comments1.xml><?xml version="1.0" encoding="utf-8"?>
<comments xmlns="http://schemas.openxmlformats.org/spreadsheetml/2006/main">
  <authors>
    <author>Klaus Rauber</author>
    <author>Leodir José Copatti</author>
  </authors>
  <commentList>
    <comment ref="C58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60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Klaus Rauber</author>
    <author>Leodir José Copatti</author>
  </authors>
  <commentList>
    <comment ref="C58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60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Klaus Rauber</author>
    <author>Leodir José Copatti</author>
    <author>RCN</author>
  </authors>
  <commentList>
    <comment ref="C58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60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9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100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101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2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27" authorId="2" shapeId="0">
      <text>
        <r>
          <rPr>
            <b/>
            <sz val="8"/>
            <color indexed="81"/>
            <rFont val="Tahoma"/>
            <family val="2"/>
          </rPr>
          <t>Conferencia do arquivo.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Klaus Rauber</author>
    <author>Leodir José Copatti</author>
    <author>RCN</author>
  </authors>
  <commentList>
    <comment ref="C58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60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9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100" authorId="0" shapeId="0">
      <text>
        <r>
          <rPr>
            <b/>
            <sz val="8"/>
            <color indexed="81"/>
            <rFont val="Tahoma"/>
            <family val="2"/>
          </rPr>
          <t>Ver Tabela 1</t>
        </r>
      </text>
    </comment>
    <comment ref="C101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2" authorId="1" shapeId="0">
      <text>
        <r>
          <rPr>
            <b/>
            <sz val="12"/>
            <color indexed="81"/>
            <rFont val="Tahoma"/>
            <family val="2"/>
          </rPr>
          <t>Ver tabela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27" authorId="2" shapeId="0">
      <text>
        <r>
          <rPr>
            <b/>
            <sz val="8"/>
            <color indexed="81"/>
            <rFont val="Tahoma"/>
            <family val="2"/>
          </rPr>
          <t>Conferencia do arquivo.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<sst xmlns="http://schemas.openxmlformats.org/spreadsheetml/2006/main" count="1479" uniqueCount="506">
  <si>
    <t>Razão Social:</t>
  </si>
  <si>
    <t>Informações da Calibração</t>
  </si>
  <si>
    <t>Periodicidade</t>
  </si>
  <si>
    <t>Nome Fantasia</t>
  </si>
  <si>
    <t>CNPJ</t>
  </si>
  <si>
    <t>Home Page</t>
  </si>
  <si>
    <t>Endereço</t>
  </si>
  <si>
    <t>Bairro</t>
  </si>
  <si>
    <t>Cidade</t>
  </si>
  <si>
    <t>Estado</t>
  </si>
  <si>
    <t>CEP</t>
  </si>
  <si>
    <t>Telefone</t>
  </si>
  <si>
    <t>Fax</t>
  </si>
  <si>
    <t>E-mail</t>
  </si>
  <si>
    <t>Cadastro Indefinido 1</t>
  </si>
  <si>
    <t>Cadastro Indefinido 2</t>
  </si>
  <si>
    <t>Cadastro Indefinido 3</t>
  </si>
  <si>
    <t>Cadastro Indefinido 4</t>
  </si>
  <si>
    <t>Campo Indefinido 1</t>
  </si>
  <si>
    <t>Campo Indefinido 2</t>
  </si>
  <si>
    <t>Campo Indefinido 3</t>
  </si>
  <si>
    <t>Campo Indefinido 4</t>
  </si>
  <si>
    <t>Informações do Instrumento</t>
  </si>
  <si>
    <t>Descrição do Instrumento</t>
  </si>
  <si>
    <t>Fabricante</t>
  </si>
  <si>
    <t>Campo Indefinido 14</t>
  </si>
  <si>
    <t>Observações</t>
  </si>
  <si>
    <t>Número do Protocolo</t>
  </si>
  <si>
    <t>Sufixo</t>
  </si>
  <si>
    <t>Código do Procedimento</t>
  </si>
  <si>
    <t>Nome do Procedimento</t>
  </si>
  <si>
    <t>Equipamento de Comunicação</t>
  </si>
  <si>
    <t>Documento de Consulta</t>
  </si>
  <si>
    <t>Responsável Validação</t>
  </si>
  <si>
    <t>Data Validação</t>
  </si>
  <si>
    <t>Número da Calibração</t>
  </si>
  <si>
    <t>Certificado Externo</t>
  </si>
  <si>
    <t>Temperatura</t>
  </si>
  <si>
    <t>Umidade</t>
  </si>
  <si>
    <t>Tempo Gasto</t>
  </si>
  <si>
    <t>Fornecedor da Calibração</t>
  </si>
  <si>
    <t>Unidade</t>
  </si>
  <si>
    <t>Referência</t>
  </si>
  <si>
    <t>Medido</t>
  </si>
  <si>
    <t>Erro</t>
  </si>
  <si>
    <t>Incerteza</t>
  </si>
  <si>
    <t>Data Calibração</t>
  </si>
  <si>
    <t>Status</t>
  </si>
  <si>
    <t>Características dos Padrões Utilizados na Calibração</t>
  </si>
  <si>
    <t>Lista Distinta de Padrões Utilizados</t>
  </si>
  <si>
    <t>Nome da Característica</t>
  </si>
  <si>
    <t>Nº Calibração</t>
  </si>
  <si>
    <t>Código do Instrumento</t>
  </si>
  <si>
    <t>Informações Gerais do Solicitante</t>
  </si>
  <si>
    <t>Data da Calibração</t>
  </si>
  <si>
    <t>Motivo da Calibração</t>
  </si>
  <si>
    <t>Data Abertura</t>
  </si>
  <si>
    <t>Procedimento</t>
  </si>
  <si>
    <t>Classe do Instrumento</t>
  </si>
  <si>
    <t>Tipo do Instrumento</t>
  </si>
  <si>
    <t>Informações do Procedimento</t>
  </si>
  <si>
    <t>Nota Fiscal de Entrada</t>
  </si>
  <si>
    <t>Sufixo Cotação</t>
  </si>
  <si>
    <t>Informações do Protocolo / Item</t>
  </si>
  <si>
    <t>EIE</t>
  </si>
  <si>
    <t xml:space="preserve">EIC </t>
  </si>
  <si>
    <t>ESC</t>
  </si>
  <si>
    <t xml:space="preserve">ESE </t>
  </si>
  <si>
    <t>Código do Padrão</t>
  </si>
  <si>
    <t>Data Próxima</t>
  </si>
  <si>
    <t xml:space="preserve">                               Informações do Padrões da Calibração          </t>
  </si>
  <si>
    <t>Responsável Cadastro Calibração</t>
  </si>
  <si>
    <t>Título do Responsável Calibração</t>
  </si>
  <si>
    <t>Data Revisão Calibração</t>
  </si>
  <si>
    <t>Título do Responsável Revisão</t>
  </si>
  <si>
    <t>Responsável Revisão  Calibração</t>
  </si>
  <si>
    <t>Versão da Calibração</t>
  </si>
  <si>
    <t>Observação da Calibração</t>
  </si>
  <si>
    <t>Título do Responsável</t>
  </si>
  <si>
    <t>Número Cotação</t>
  </si>
  <si>
    <t>Responsável Abertura</t>
  </si>
  <si>
    <t>Observação Protocolo</t>
  </si>
  <si>
    <t>Número do Item</t>
  </si>
  <si>
    <t>Sufixo da Calibração Complemento</t>
  </si>
  <si>
    <t>Sufixo da Calibração</t>
  </si>
  <si>
    <t>Data Digitação</t>
  </si>
  <si>
    <t>Informações Gerais do Contratante</t>
  </si>
  <si>
    <t>UF</t>
  </si>
  <si>
    <t>IM- Inscrição Municipal</t>
  </si>
  <si>
    <t>IE -Inscrição Estadual</t>
  </si>
  <si>
    <t>Logradoruro</t>
  </si>
  <si>
    <t>Complemento</t>
  </si>
  <si>
    <t>Caixa Postal</t>
  </si>
  <si>
    <t>DDD</t>
  </si>
  <si>
    <t>DDI</t>
  </si>
  <si>
    <t>País</t>
  </si>
  <si>
    <t>Número</t>
  </si>
  <si>
    <t>Estado de Conservação</t>
  </si>
  <si>
    <t>Laboratório</t>
  </si>
  <si>
    <t>N. Série</t>
  </si>
  <si>
    <t>Limite Inferior</t>
  </si>
  <si>
    <t>Limite superior</t>
  </si>
  <si>
    <t>Resolução</t>
  </si>
  <si>
    <t>Quantidade</t>
  </si>
  <si>
    <t>Classe/Modelo</t>
  </si>
  <si>
    <t>Limite Superior</t>
  </si>
  <si>
    <t>Procedimento de Calibração</t>
  </si>
  <si>
    <t>Revisão</t>
  </si>
  <si>
    <t>[Aux] n. Identific.</t>
  </si>
  <si>
    <t>[Aux] n. Série</t>
  </si>
  <si>
    <t>[Aux] Limite Inferior</t>
  </si>
  <si>
    <t>[Aux] Limite Superior</t>
  </si>
  <si>
    <t>[Aux] Resolução</t>
  </si>
  <si>
    <t>[Aux] Unidade</t>
  </si>
  <si>
    <t>Número da Calibração Complemento</t>
  </si>
  <si>
    <t>Logradouro</t>
  </si>
  <si>
    <t>----------------------------------------------------------</t>
  </si>
  <si>
    <t>Observação</t>
  </si>
  <si>
    <t>DQ-158</t>
  </si>
  <si>
    <t>REVISÃO: 002</t>
  </si>
  <si>
    <t xml:space="preserve">       PLANILHA PARA DETERMINAÇÃO DE INCERTEZAS DE MEDIÇÃO</t>
  </si>
  <si>
    <t>DATA: 17/04/97</t>
  </si>
  <si>
    <t>FOLHA: 01/01</t>
  </si>
  <si>
    <t xml:space="preserve">Serviço nº:
</t>
  </si>
  <si>
    <t>Sistema de Medição ou
Medida Materializada</t>
  </si>
  <si>
    <t xml:space="preserve">PC
</t>
  </si>
  <si>
    <t xml:space="preserve">Revisão
</t>
  </si>
  <si>
    <t xml:space="preserve">Data
</t>
  </si>
  <si>
    <t>Sigla
executor</t>
  </si>
  <si>
    <t>Rubr.
executor</t>
  </si>
  <si>
    <t>Rubrica
Gerente</t>
  </si>
  <si>
    <t>SÍMBOLO</t>
  </si>
  <si>
    <t>COMPONENTES DE INCERTEZA</t>
  </si>
  <si>
    <t>VALOR
 +/- [µm]</t>
  </si>
  <si>
    <t>DISTR. DE PROBAB.</t>
  </si>
  <si>
    <t>DIVISOR</t>
  </si>
  <si>
    <t>Upad</t>
  </si>
  <si>
    <t>Ua</t>
  </si>
  <si>
    <t>Uvib</t>
  </si>
  <si>
    <t>Uond</t>
  </si>
  <si>
    <t>Uarc_braço</t>
  </si>
  <si>
    <t>INCERTEZA COMBINADA</t>
  </si>
  <si>
    <t>NORMAL</t>
  </si>
  <si>
    <t>INCERTEZA EXPANDIDA (aprox. 95%)</t>
  </si>
  <si>
    <t>Observações:</t>
  </si>
  <si>
    <t>FONTES DE INCERTEZA PARA CALIBRAÇAO DE PADRÕES DE RUGOSIDADE (Parâmetros Horizontais)</t>
  </si>
  <si>
    <r>
      <t>c</t>
    </r>
    <r>
      <rPr>
        <b/>
        <i/>
        <vertAlign val="subscript"/>
        <sz val="14"/>
        <rFont val="Footlight MT Light"/>
        <family val="1"/>
      </rPr>
      <t>i</t>
    </r>
  </si>
  <si>
    <r>
      <t>u</t>
    </r>
    <r>
      <rPr>
        <b/>
        <i/>
        <vertAlign val="subscript"/>
        <sz val="14"/>
        <rFont val="Footlight MT Light"/>
        <family val="1"/>
      </rPr>
      <t>i</t>
    </r>
    <r>
      <rPr>
        <b/>
        <i/>
        <sz val="11"/>
        <rFont val="Footlight MT Light"/>
        <family val="1"/>
      </rPr>
      <t xml:space="preserve">  </t>
    </r>
    <r>
      <rPr>
        <b/>
        <sz val="11"/>
        <rFont val="Futura Bk BT"/>
        <family val="2"/>
      </rPr>
      <t>[µm]</t>
    </r>
  </si>
  <si>
    <r>
      <t>v</t>
    </r>
    <r>
      <rPr>
        <b/>
        <i/>
        <vertAlign val="subscript"/>
        <sz val="14"/>
        <rFont val="Footlight MT Light"/>
        <family val="1"/>
      </rPr>
      <t>i</t>
    </r>
    <r>
      <rPr>
        <b/>
        <i/>
        <sz val="11"/>
        <rFont val="Footlight MT Light"/>
        <family val="1"/>
      </rPr>
      <t xml:space="preserve"> </t>
    </r>
    <r>
      <rPr>
        <b/>
        <sz val="11"/>
        <rFont val="Futura Bk BT"/>
        <family val="2"/>
      </rPr>
      <t>ou</t>
    </r>
    <r>
      <rPr>
        <b/>
        <i/>
        <sz val="11"/>
        <rFont val="Footlight MT Light"/>
        <family val="1"/>
      </rPr>
      <t xml:space="preserve"> </t>
    </r>
    <r>
      <rPr>
        <b/>
        <i/>
        <sz val="20"/>
        <rFont val="Footlight MT Light"/>
        <family val="1"/>
      </rPr>
      <t>v</t>
    </r>
    <r>
      <rPr>
        <b/>
        <i/>
        <vertAlign val="subscript"/>
        <sz val="14"/>
        <rFont val="Footlight MT Light"/>
        <family val="1"/>
      </rPr>
      <t>eff</t>
    </r>
  </si>
  <si>
    <r>
      <t>u</t>
    </r>
    <r>
      <rPr>
        <i/>
        <vertAlign val="subscript"/>
        <sz val="14"/>
        <rFont val="Footlight MT Light"/>
        <family val="1"/>
      </rPr>
      <t>c</t>
    </r>
  </si>
  <si>
    <r>
      <t>U</t>
    </r>
    <r>
      <rPr>
        <i/>
        <vertAlign val="subscript"/>
        <sz val="14"/>
        <rFont val="Footlight MT Light"/>
        <family val="1"/>
      </rPr>
      <t>95</t>
    </r>
  </si>
  <si>
    <t>Ub</t>
  </si>
  <si>
    <t>FONTES DE INCERTEZA PARA CALIBRAÇAO DE PADRÃO DE GEOMETRIA (Parâmetros Verticais)</t>
  </si>
  <si>
    <t>Nº de Série:</t>
  </si>
  <si>
    <t>Nº de Identificação:</t>
  </si>
  <si>
    <t>Fabricante:</t>
  </si>
  <si>
    <t>5.1 Medição do Perfil de Rugosidade:</t>
  </si>
  <si>
    <t>Condições Ambientais Durante a Calibração:</t>
  </si>
  <si>
    <t>6. RESULTADOS:</t>
  </si>
  <si>
    <t>Parâmetro</t>
  </si>
  <si>
    <t>k</t>
  </si>
  <si>
    <t>[µm]</t>
  </si>
  <si>
    <t>Ra</t>
  </si>
  <si>
    <t>Rz</t>
  </si>
  <si>
    <t>Rz1max</t>
  </si>
  <si>
    <t>Máximo</t>
  </si>
  <si>
    <t>Mínimo</t>
  </si>
  <si>
    <t>Desvio</t>
  </si>
  <si>
    <t>Padrão [µm]</t>
  </si>
  <si>
    <t>7. Perfil de Rugosidade (Com filtro):</t>
  </si>
  <si>
    <t>DQ-244</t>
  </si>
  <si>
    <t>REVISÃO: 000</t>
  </si>
  <si>
    <t xml:space="preserve">      PLANILHA PARA CALIBRAÇÃO</t>
  </si>
  <si>
    <t>ISODOC</t>
  </si>
  <si>
    <t>RC 1963</t>
  </si>
  <si>
    <t>Objeto:</t>
  </si>
  <si>
    <t>Serviço Nº</t>
  </si>
  <si>
    <t>Contratante</t>
  </si>
  <si>
    <t>Solicitante</t>
  </si>
  <si>
    <t>Rub. Ger.</t>
  </si>
  <si>
    <t>Especificação:</t>
  </si>
  <si>
    <t>N. Série (Fabric.):</t>
  </si>
  <si>
    <t>OPERADORES</t>
  </si>
  <si>
    <t>N. Ident. (Solic.):</t>
  </si>
  <si>
    <t>Ciclos</t>
  </si>
  <si>
    <t>Sigla</t>
  </si>
  <si>
    <t>Rubrica</t>
  </si>
  <si>
    <t>Data</t>
  </si>
  <si>
    <t>Var. Temperatura [°C]:</t>
  </si>
  <si>
    <t>Umidade Relativa [%]:</t>
  </si>
  <si>
    <t>DADOS COMPLEMENTARES</t>
  </si>
  <si>
    <t>Velocidade de Medição [mm/s]:</t>
  </si>
  <si>
    <t>Faixa de Medição [µm]:</t>
  </si>
  <si>
    <t>Raio  do apalpador [µm]:</t>
  </si>
  <si>
    <t>Erro de forma [µm]:</t>
  </si>
  <si>
    <t>Ra [µm]</t>
  </si>
  <si>
    <t>Comprimento do apalpador [mm]:</t>
  </si>
  <si>
    <t>Força de Medição [mN]:</t>
  </si>
  <si>
    <t>Rz [µm]</t>
  </si>
  <si>
    <t>Ângulo do apalpador [°]:</t>
  </si>
  <si>
    <t>Inc. INMETRO P.V. [%]:</t>
  </si>
  <si>
    <t>Rz1max [µm]</t>
  </si>
  <si>
    <t>Inc. INMETRO P.H. [%]:</t>
  </si>
  <si>
    <t>MEDIÇÃO DA VIBRAÇÃO</t>
  </si>
  <si>
    <t>Posição X início [mm]:</t>
  </si>
  <si>
    <t>Comp. avaliado [mm]:</t>
  </si>
  <si>
    <t>Filtro de Onda:</t>
  </si>
  <si>
    <t>Largura de banda:</t>
  </si>
  <si>
    <t>SMP:</t>
  </si>
  <si>
    <t>Serviço nº:</t>
  </si>
  <si>
    <t>PLANILHA DE CÁLCULO DE INCERTEZAS PARA OS PARÂMETROS DE RUGOSIDADE, (Ra)</t>
  </si>
  <si>
    <t>Medidas em µm</t>
  </si>
  <si>
    <t>Símbolo</t>
  </si>
  <si>
    <t>Dist. de Prob.</t>
  </si>
  <si>
    <t>Divisor</t>
  </si>
  <si>
    <t>C</t>
  </si>
  <si>
    <t>Parâmetro:</t>
  </si>
  <si>
    <t>Ciclo 1</t>
  </si>
  <si>
    <t>Ciclo 2</t>
  </si>
  <si>
    <t>Ciclo 3</t>
  </si>
  <si>
    <t>Ciclo 4</t>
  </si>
  <si>
    <t>Ciclo 5</t>
  </si>
  <si>
    <t>Média</t>
  </si>
  <si>
    <t>Normal</t>
  </si>
  <si>
    <t>Incerteza devido vibração</t>
  </si>
  <si>
    <t>Retangular</t>
  </si>
  <si>
    <t>Infinito</t>
  </si>
  <si>
    <t>Incerteza Combinada</t>
  </si>
  <si>
    <t>FATOR DE CORREÇÃO PARA PARAMETROS VERTICAIS</t>
  </si>
  <si>
    <t>Incerteza Expandida</t>
  </si>
  <si>
    <t>MEDIÇÃO COM PADRÃO DE RUGOSIDADE</t>
  </si>
  <si>
    <t>Lx [mm]:</t>
  </si>
  <si>
    <t>Filtro de forma:</t>
  </si>
  <si>
    <t>Ly [mm]:</t>
  </si>
  <si>
    <t>Posição Y início [mm]:</t>
  </si>
  <si>
    <t>Posição</t>
  </si>
  <si>
    <t>Parâmetros</t>
  </si>
  <si>
    <t>X [mm]:</t>
  </si>
  <si>
    <t>Y [mm]:</t>
  </si>
  <si>
    <t>Ra max</t>
  </si>
  <si>
    <t>Rz max</t>
  </si>
  <si>
    <t>Rz1max max</t>
  </si>
  <si>
    <t>RSm max</t>
  </si>
  <si>
    <t>Ra min</t>
  </si>
  <si>
    <t>Rz min</t>
  </si>
  <si>
    <t>Rz1max min</t>
  </si>
  <si>
    <t>RSm min</t>
  </si>
  <si>
    <t>SMC [µm]</t>
  </si>
  <si>
    <t>SMP [µm]</t>
  </si>
  <si>
    <t>Desvio [µm]</t>
  </si>
  <si>
    <t>Desvio [%]</t>
  </si>
  <si>
    <t>Pt</t>
  </si>
  <si>
    <r>
      <t>n</t>
    </r>
    <r>
      <rPr>
        <i/>
        <vertAlign val="subscript"/>
        <sz val="12"/>
        <rFont val="Futura Bk BT"/>
        <family val="2"/>
      </rPr>
      <t>eff</t>
    </r>
  </si>
  <si>
    <r>
      <t>u</t>
    </r>
    <r>
      <rPr>
        <i/>
        <vertAlign val="subscript"/>
        <sz val="9"/>
        <rFont val="Futura Bk BT"/>
        <family val="2"/>
      </rPr>
      <t>c</t>
    </r>
  </si>
  <si>
    <r>
      <t>U</t>
    </r>
    <r>
      <rPr>
        <i/>
        <vertAlign val="subscript"/>
        <sz val="9"/>
        <rFont val="Futura Bk BT"/>
        <family val="2"/>
      </rPr>
      <t>95</t>
    </r>
  </si>
  <si>
    <t>Eingabe</t>
  </si>
  <si>
    <t>Ergebnis</t>
  </si>
  <si>
    <t>X</t>
  </si>
  <si>
    <t>Y</t>
  </si>
  <si>
    <t>(X;Y)</t>
  </si>
  <si>
    <t>Padrão de geometria</t>
  </si>
  <si>
    <t>RC 2754</t>
  </si>
  <si>
    <t>K</t>
  </si>
  <si>
    <t>Veff</t>
  </si>
  <si>
    <t>U</t>
  </si>
  <si>
    <t>Distancia entre raio e haste [mm]:</t>
  </si>
  <si>
    <t>Rt [µm]</t>
  </si>
  <si>
    <r>
      <t>Filtro de forma</t>
    </r>
    <r>
      <rPr>
        <sz val="11"/>
        <rFont val="Futura Bk BT"/>
        <family val="2"/>
      </rPr>
      <t>:</t>
    </r>
  </si>
  <si>
    <r>
      <t>Filtro (</t>
    </r>
    <r>
      <rPr>
        <sz val="11"/>
        <rFont val="Symbol"/>
        <family val="1"/>
        <charset val="2"/>
      </rPr>
      <t>l</t>
    </r>
    <r>
      <rPr>
        <sz val="11"/>
        <rFont val="Futura Bk BT"/>
        <family val="2"/>
      </rPr>
      <t>c) [mm]:</t>
    </r>
  </si>
  <si>
    <r>
      <t>Filtro (</t>
    </r>
    <r>
      <rPr>
        <sz val="11"/>
        <rFont val="Symbol"/>
        <family val="1"/>
        <charset val="2"/>
      </rPr>
      <t>l</t>
    </r>
    <r>
      <rPr>
        <sz val="11"/>
        <rFont val="Futura Bk BT"/>
        <family val="2"/>
      </rPr>
      <t>s) [mm]:</t>
    </r>
  </si>
  <si>
    <t>2ª VIA</t>
  </si>
  <si>
    <t>MEDIÇÃO DE PADRÃO DE RUGOSIDADE</t>
  </si>
  <si>
    <t>LS LINE</t>
  </si>
  <si>
    <t>Gaussiano</t>
  </si>
  <si>
    <t>300:1</t>
  </si>
  <si>
    <t>Valores de medição</t>
  </si>
  <si>
    <t>Med</t>
  </si>
  <si>
    <t>RZ1max</t>
  </si>
  <si>
    <t>Vibração Ra</t>
  </si>
  <si>
    <t>Vibração Rz</t>
  </si>
  <si>
    <t>Vibração Rz1max</t>
  </si>
  <si>
    <t>Incerteza da Máquina</t>
  </si>
  <si>
    <t>Ra Constante</t>
  </si>
  <si>
    <t>Ra Divisor</t>
  </si>
  <si>
    <t>Desvio Padrão</t>
  </si>
  <si>
    <t>Componentes de Incertezas</t>
  </si>
  <si>
    <t>Valor</t>
  </si>
  <si>
    <t>Incerteza Tipo A</t>
  </si>
  <si>
    <t>Diferença Pt</t>
  </si>
  <si>
    <t>Diferença na medição do Pt</t>
  </si>
  <si>
    <t>U%</t>
  </si>
  <si>
    <t>U%final</t>
  </si>
  <si>
    <t>Uµm Fi</t>
  </si>
  <si>
    <t>Casas Dec.</t>
  </si>
  <si>
    <t>Máq.</t>
  </si>
  <si>
    <t>4.2. Padrão de Amplificação Vertical</t>
  </si>
  <si>
    <t>4.1. Máquina de Medir Rugosidade</t>
  </si>
  <si>
    <t>Ra:</t>
  </si>
  <si>
    <t>Rz:</t>
  </si>
  <si>
    <t>Rzmax:</t>
  </si>
  <si>
    <t>RSm</t>
  </si>
  <si>
    <t>Geometria</t>
  </si>
  <si>
    <t>Tipo de Perfil</t>
  </si>
  <si>
    <t>PLANILHA DE CÁLCULO DE INCERTEZAS PARA OS PARÂMETROS DE RUGOSIDADE, (Rz)</t>
  </si>
  <si>
    <t>PLANILHA DE CÁLCULO DE INCERTEZAS PARA OS PARÂMETROS DE RUGOSIDADE, (Rmax)</t>
  </si>
  <si>
    <t>RSm:</t>
  </si>
  <si>
    <t>Valor Medido</t>
  </si>
  <si>
    <r>
      <t>n</t>
    </r>
    <r>
      <rPr>
        <i/>
        <vertAlign val="subscript"/>
        <sz val="11"/>
        <rFont val="Arial"/>
        <family val="2"/>
      </rPr>
      <t>eff</t>
    </r>
  </si>
  <si>
    <t>Rsm</t>
  </si>
  <si>
    <t>rsm</t>
  </si>
  <si>
    <t>R = Resultado da medição do parâmetro em questão, em µm.</t>
  </si>
  <si>
    <t>- Temperatura: (20,0 ± 0,5) ºC</t>
  </si>
  <si>
    <t>CÁLCULO DA INCERTEZA PARA RUGOSIDADE, cut-1</t>
  </si>
  <si>
    <t>CÁLCULO DA INCERTEZA PARA RUGOSIDADE, cut-2</t>
  </si>
  <si>
    <t>Figura</t>
  </si>
  <si>
    <t>PDF?</t>
  </si>
  <si>
    <t>Corte Gr'afico</t>
  </si>
  <si>
    <t>Sup</t>
  </si>
  <si>
    <t>Inf</t>
  </si>
  <si>
    <t>Dir</t>
  </si>
  <si>
    <t>esq</t>
  </si>
  <si>
    <t>Página 3 de 4</t>
  </si>
  <si>
    <t>Página 4 de 4</t>
  </si>
  <si>
    <t>Página 2 de 4</t>
  </si>
  <si>
    <t>Página 1 de 4</t>
  </si>
  <si>
    <t>Cutoffs Utilizados</t>
  </si>
  <si>
    <t>Padrão 1</t>
  </si>
  <si>
    <t>Padrão 2</t>
  </si>
  <si>
    <t>Lc</t>
  </si>
  <si>
    <t>Ls</t>
  </si>
  <si>
    <t>Incerteza PT</t>
  </si>
  <si>
    <t>µm</t>
  </si>
  <si>
    <t>Incerteza Ra</t>
  </si>
  <si>
    <t>Incerteza Rz</t>
  </si>
  <si>
    <t>Incerteza Rz1max</t>
  </si>
  <si>
    <t>%</t>
  </si>
  <si>
    <t>3</t>
  </si>
  <si>
    <t>MAHR</t>
  </si>
  <si>
    <t>Padrão de Trabalho - LMD</t>
  </si>
  <si>
    <t>Bom</t>
  </si>
  <si>
    <t>LMD</t>
  </si>
  <si>
    <t xml:space="preserve"> </t>
  </si>
  <si>
    <t>Máquina de Medir Rugosidade</t>
  </si>
  <si>
    <t>CERTI</t>
  </si>
  <si>
    <t>TAYLOR HOBSON</t>
  </si>
  <si>
    <t>Rugosímetro / Perfilômetro</t>
  </si>
  <si>
    <t>112-2007</t>
  </si>
  <si>
    <t>RL 0834</t>
  </si>
  <si>
    <t>Padrão de profundidade - 2 ranhuras</t>
  </si>
  <si>
    <t>0,06</t>
  </si>
  <si>
    <t>Padrão de Profundidade</t>
  </si>
  <si>
    <t>Padrão de Rugosidade</t>
  </si>
  <si>
    <t>Regular</t>
  </si>
  <si>
    <t>PEN 10-1</t>
  </si>
  <si>
    <t>SIM</t>
  </si>
  <si>
    <t>Enviados</t>
  </si>
  <si>
    <t>Av.</t>
  </si>
  <si>
    <t>Brasil</t>
  </si>
  <si>
    <t>Laboratório de Metrologia Dimensional</t>
  </si>
  <si>
    <t>Instrumento</t>
  </si>
  <si>
    <t>12</t>
  </si>
  <si>
    <t>1</t>
  </si>
  <si>
    <t>(20,0 ± 0,5) ºC</t>
  </si>
  <si>
    <t>(50 ± 10) %ur</t>
  </si>
  <si>
    <t>00:00:19</t>
  </si>
  <si>
    <t>Periódica</t>
  </si>
  <si>
    <t>Teclado</t>
  </si>
  <si>
    <t>Gabriel Scopel de Lima</t>
  </si>
  <si>
    <t>Técnico Metrologista</t>
  </si>
  <si>
    <t>Signatário Autorizado</t>
  </si>
  <si>
    <t>Original</t>
  </si>
  <si>
    <t>CMI-LMD-PC-245</t>
  </si>
  <si>
    <t>CMI-LMD-</t>
  </si>
  <si>
    <t>Serviço</t>
  </si>
  <si>
    <t>N. Erro</t>
  </si>
  <si>
    <t>Desc. Erro</t>
  </si>
  <si>
    <t>Referencia</t>
  </si>
  <si>
    <t>6</t>
  </si>
  <si>
    <t>CENTRO DE METROLOGIA E INSTRUMENTAÇÃO</t>
  </si>
  <si>
    <t>Pertencente à Rede Brasileira de Calibração - RBC</t>
  </si>
  <si>
    <t>Certificado de Calibração</t>
  </si>
  <si>
    <t>SOLICITANTE</t>
  </si>
  <si>
    <t>CONTRATANTE</t>
  </si>
  <si>
    <t>DESCRIÇÃO DO ITEM</t>
  </si>
  <si>
    <t>NÚMERO DE SÉRIE</t>
  </si>
  <si>
    <t>IDENTIFICAÇÃO</t>
  </si>
  <si>
    <t>FABRICANTE</t>
  </si>
  <si>
    <t>DATA DA CALIBRAÇÃO</t>
  </si>
  <si>
    <t>DATA DA EMISSÃO</t>
  </si>
  <si>
    <t>Executor da Calibração:</t>
  </si>
  <si>
    <t>Padrões utilizados</t>
  </si>
  <si>
    <t>Identificação</t>
  </si>
  <si>
    <t>Descrição</t>
  </si>
  <si>
    <t>Certificado</t>
  </si>
  <si>
    <t>Origem</t>
  </si>
  <si>
    <t>Procedimento de calibração</t>
  </si>
  <si>
    <t>Os parâmetros de rugosidade estão definidos segundo normas ISO 4287, ISO 4288  e ISO 13565-2. Os filtros usados correspondem a norma ISO 3274 e ISO 13565-1.</t>
  </si>
  <si>
    <t>O padrão foi medido segundo o plano de calibração que se encontra na figura abaixo.</t>
  </si>
  <si>
    <t>Resultados</t>
  </si>
  <si>
    <r>
      <rPr>
        <i/>
        <sz val="11"/>
        <rFont val="Symbol"/>
        <family val="1"/>
        <charset val="2"/>
      </rPr>
      <t>n</t>
    </r>
    <r>
      <rPr>
        <i/>
        <vertAlign val="subscript"/>
        <sz val="11"/>
        <rFont val="Nunito Sans"/>
      </rPr>
      <t>eff</t>
    </r>
  </si>
  <si>
    <t>VALORES NOMINAIS</t>
  </si>
  <si>
    <t xml:space="preserve">Ra: </t>
  </si>
  <si>
    <t xml:space="preserve">Rz: </t>
  </si>
  <si>
    <t xml:space="preserve">Rzmax: </t>
  </si>
  <si>
    <t xml:space="preserve">RSm: </t>
  </si>
  <si>
    <t>Signatário Autorizado:</t>
  </si>
  <si>
    <t>Obs. Canc. E Sub.</t>
  </si>
  <si>
    <r>
      <t>A incerteza expandida (U) de medição relatada é declarada como a incerteza padrão de medição multiplicada pelo fator de abrangência k, o qual para uma distribuição t com  graus de liberdade efetivos (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) corresponde a uma probabilidade de abrangência de aproximadamente 95%. A incerteza de medição foi determinada de acordo com a publicação EA-4/02. Os valores de k e 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 são apresentados na tabela de resultados.</t>
    </r>
  </si>
  <si>
    <t>Os resultados deste certificado referem-se exclusivamente ao instrumento submetido à calibração, nas condições específicas, não sendo extensivo a quaisquer lotes. Esta calibração não isenta o instrumento do controle metrológico estabelecido a regulamentação metrológica.</t>
  </si>
  <si>
    <t>A CERTI autoriza a reprodução deste certificado, desde que qualquer cópia sempre apresente seu conteúdo integral. O ajuste de instrumento, quando realizado, não faz parte do escopo de acreditação do laboratório.</t>
  </si>
  <si>
    <t>Cut-off</t>
  </si>
  <si>
    <t>Cut-off gráfico 1</t>
  </si>
  <si>
    <t>Cut-off gráfico 2</t>
  </si>
  <si>
    <t>Corte Gráfico</t>
  </si>
  <si>
    <t xml:space="preserve">Observações: </t>
  </si>
  <si>
    <t>Este certificado atende aos requisitos de acreditação pela Cgcre, que avaliou a competência do laboratório e comprovou sua rastreabilidade a padrões nacionais de medida.</t>
  </si>
  <si>
    <t xml:space="preserve">A Cgcre é signatária do Acordo de Reconhecimento Mútuo da ILAC - International Laboratory Accreditation Cooperation e do Acordo Bilateral de Reconhecimento Mútuo com a EA - European Cooperation for Accreditation. </t>
  </si>
  <si>
    <t>Rz Constante</t>
  </si>
  <si>
    <t>Rz Divisor</t>
  </si>
  <si>
    <t>Rz1máx Constante</t>
  </si>
  <si>
    <t>Rz1máx Divisor</t>
  </si>
  <si>
    <t>Resultados para o CALI</t>
  </si>
  <si>
    <t>Ref</t>
  </si>
  <si>
    <t>Validade</t>
  </si>
  <si>
    <t>Pt Esfera Calibração</t>
  </si>
  <si>
    <t>245-07A</t>
  </si>
  <si>
    <t>Valor do Pt medido</t>
  </si>
  <si>
    <t>0,008+R/33</t>
  </si>
  <si>
    <t>Incerteza Rt</t>
  </si>
  <si>
    <t>Incerteza Rk</t>
  </si>
  <si>
    <t>0,008+R/37</t>
  </si>
  <si>
    <t>Incerteza Rpk</t>
  </si>
  <si>
    <t>0,005+R/60</t>
  </si>
  <si>
    <t>Incerteza Rvk</t>
  </si>
  <si>
    <t>0,005+R/33</t>
  </si>
  <si>
    <t>Incerteza Mr1</t>
  </si>
  <si>
    <t>Incerteza Mr2</t>
  </si>
  <si>
    <t>Incerteza Rsm</t>
  </si>
  <si>
    <t>0,05</t>
  </si>
  <si>
    <t>0,003+R/38</t>
  </si>
  <si>
    <t>0,09</t>
  </si>
  <si>
    <t>0,0653</t>
  </si>
  <si>
    <t>0,005+R/35</t>
  </si>
  <si>
    <t>Verificação:</t>
  </si>
  <si>
    <t>Vmax</t>
  </si>
  <si>
    <t>s</t>
  </si>
  <si>
    <t>1350</t>
  </si>
  <si>
    <t>23</t>
  </si>
  <si>
    <t>Franciele Machado De Sa</t>
  </si>
  <si>
    <t>Auxiliar Administrativa</t>
  </si>
  <si>
    <t>07/12/2023 15:08:14</t>
  </si>
  <si>
    <t>981607</t>
  </si>
  <si>
    <t>1770</t>
  </si>
  <si>
    <t>EXPRESSO SAO MIGUEL</t>
  </si>
  <si>
    <t>19924</t>
  </si>
  <si>
    <t>09/01-16:06</t>
  </si>
  <si>
    <t>STARA (01-00)</t>
  </si>
  <si>
    <t>STARA S A INDÚSTRIA DE IMPLEMENTOS AGRÍCOLAS</t>
  </si>
  <si>
    <t>91.495.499/0001-00</t>
  </si>
  <si>
    <t>081/0003082</t>
  </si>
  <si>
    <t>stara@stara.com.br</t>
  </si>
  <si>
    <t>Stara</t>
  </si>
  <si>
    <t>Sede</t>
  </si>
  <si>
    <t>Não-Me-Toque</t>
  </si>
  <si>
    <t>Rio Grande do Sul</t>
  </si>
  <si>
    <t>RS</t>
  </si>
  <si>
    <t>99.470-000</t>
  </si>
  <si>
    <t>3332-2800</t>
  </si>
  <si>
    <t>Grande</t>
  </si>
  <si>
    <t>Maquinas Agrícolas</t>
  </si>
  <si>
    <t>PA01</t>
  </si>
  <si>
    <t>MITUTOYO</t>
  </si>
  <si>
    <t>350141104</t>
  </si>
  <si>
    <t>178-602</t>
  </si>
  <si>
    <t>Gabriel Francisco Gheno Cazakevicius</t>
  </si>
  <si>
    <t>15/12/2023</t>
  </si>
  <si>
    <t>Padrão muito riscado.</t>
  </si>
  <si>
    <t>Padrao Rugosidade até 4 cut-offs (Padrão Duplo)</t>
  </si>
  <si>
    <t>26/02/21 - Nova versão do SAC 245-07 no modelo novo, prevendo medição de até 4 cut-offs no mesmo certificado.</t>
  </si>
  <si>
    <t>26/04/21 - Ajuste  na função para comparação vibração da calibração padrão e da calibração máquina.</t>
  </si>
  <si>
    <t>31/05/21 - Ajuste erro na U cut-off 2.</t>
  </si>
  <si>
    <t>23/06/21 - Ajuste erro na fórmula diferença pt calibração rugosímetro e da medição</t>
  </si>
  <si>
    <t>24/06/21 - Retirado o "." no final da descrição do valor nominal da rugosidade. (FAD)        30/07/21- SEM EFEITO</t>
  </si>
  <si>
    <t>20/10/21 - Problemas de formatação arrumados, criada nova versão. (GFC).</t>
  </si>
  <si>
    <t>Verificação não controlada a máquina é verificada antes de iniciar qualquer serviço.</t>
  </si>
  <si>
    <t>Form Taylor Surf Series 2 50i</t>
  </si>
  <si>
    <t xml:space="preserve"> [CRITÉRIO=0,08 um, para o Pt]</t>
  </si>
  <si>
    <t>GFC</t>
  </si>
  <si>
    <t>Mitutoyo</t>
  </si>
  <si>
    <t>Perfil modificado.pdf</t>
  </si>
  <si>
    <t>025</t>
  </si>
  <si>
    <t>080</t>
  </si>
  <si>
    <t>2169/13</t>
  </si>
  <si>
    <t>2,97</t>
  </si>
  <si>
    <t>2,966</t>
  </si>
  <si>
    <t>9,427</t>
  </si>
  <si>
    <t>9,637</t>
  </si>
  <si>
    <t>2021/14</t>
  </si>
  <si>
    <t>2,951</t>
  </si>
  <si>
    <t>9,354</t>
  </si>
  <si>
    <t>9,389</t>
  </si>
  <si>
    <t>3464/21</t>
  </si>
  <si>
    <t>2,938</t>
  </si>
  <si>
    <t/>
  </si>
  <si>
    <t>9,273</t>
  </si>
  <si>
    <t>9,312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</si>
</sst>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83" formatCode="_(&quot;R$&quot;* #,##0.00_);_(&quot;R$&quot;* \(#,##0.00\);_(&quot;R$&quot;* &quot;-&quot;??_);_(@_)"/>
    <numFmt numFmtId="184" formatCode="mmmm/yyyy"/>
    <numFmt numFmtId="185" formatCode="0.0000"/>
    <numFmt numFmtId="186" formatCode="mmmm\-yyyy"/>
    <numFmt numFmtId="187" formatCode="0.000"/>
    <numFmt numFmtId="188" formatCode="0.00000"/>
    <numFmt numFmtId="189" formatCode="0.0"/>
    <numFmt numFmtId="190" formatCode="0.000000"/>
    <numFmt numFmtId="191" formatCode="0.000000000"/>
    <numFmt numFmtId="192" formatCode="000"/>
    <numFmt numFmtId="193" formatCode="0000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  <numFmt numFmtId="197" formatCode="&quot;+/- &quot;#.##"/>
    <numFmt numFmtId="198" formatCode="&quot;+/- &quot;0.##"/>
    <numFmt numFmtId="199" formatCode="&quot;+/- &quot;#.0"/>
  </numFmts>
  <fonts count="1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Futura Bk BT"/>
      <family val="2"/>
    </font>
    <font>
      <sz val="10"/>
      <name val="Futura Bk BT"/>
      <family val="2"/>
    </font>
    <font>
      <sz val="7"/>
      <name val="Futura Bk BT"/>
      <family val="2"/>
    </font>
    <font>
      <b/>
      <sz val="13"/>
      <name val="Futura Md BT"/>
      <family val="2"/>
    </font>
    <font>
      <b/>
      <sz val="14"/>
      <name val="Futura Md BT"/>
      <family val="2"/>
    </font>
    <font>
      <b/>
      <sz val="11"/>
      <name val="Futura Md BT"/>
      <family val="2"/>
    </font>
    <font>
      <sz val="11"/>
      <name val="Futura Md BT"/>
      <family val="2"/>
    </font>
    <font>
      <b/>
      <sz val="12"/>
      <name val="Futura Bk BT"/>
      <family val="2"/>
    </font>
    <font>
      <sz val="12"/>
      <name val="Futura Bk BT"/>
      <family val="2"/>
    </font>
    <font>
      <sz val="11"/>
      <name val="Arial"/>
      <family val="2"/>
    </font>
    <font>
      <b/>
      <sz val="12"/>
      <name val="Futura Bk BT"/>
      <family val="2"/>
    </font>
    <font>
      <b/>
      <sz val="11"/>
      <name val="Futura Md BT"/>
      <family val="2"/>
    </font>
    <font>
      <b/>
      <i/>
      <vertAlign val="subscript"/>
      <sz val="14"/>
      <name val="Footlight MT Light"/>
      <family val="1"/>
    </font>
    <font>
      <b/>
      <i/>
      <sz val="20"/>
      <name val="Footlight MT Light"/>
      <family val="1"/>
    </font>
    <font>
      <b/>
      <i/>
      <sz val="11"/>
      <name val="Footlight MT Light"/>
      <family val="1"/>
    </font>
    <font>
      <b/>
      <sz val="11"/>
      <name val="Futura Bk BT"/>
      <family val="2"/>
    </font>
    <font>
      <sz val="11"/>
      <name val="Footlight MT Light"/>
      <family val="1"/>
    </font>
    <font>
      <sz val="16"/>
      <name val="Footlight MT Light"/>
      <family val="1"/>
    </font>
    <font>
      <i/>
      <vertAlign val="subscript"/>
      <sz val="14"/>
      <name val="Footlight MT Light"/>
      <family val="1"/>
    </font>
    <font>
      <i/>
      <sz val="20"/>
      <name val="Footlight MT Light"/>
      <family val="1"/>
    </font>
    <font>
      <sz val="11"/>
      <color indexed="9"/>
      <name val="Futura Md BT"/>
      <family val="2"/>
    </font>
    <font>
      <sz val="11"/>
      <name val="Futura Md BT"/>
      <family val="2"/>
    </font>
    <font>
      <sz val="10"/>
      <color indexed="9"/>
      <name val="Futura Bk BT"/>
      <family val="2"/>
    </font>
    <font>
      <i/>
      <sz val="16"/>
      <name val="Footlight MT Light"/>
      <family val="1"/>
    </font>
    <font>
      <sz val="6"/>
      <color indexed="9"/>
      <name val="Futura Bk BT"/>
      <family val="2"/>
    </font>
    <font>
      <sz val="11"/>
      <color indexed="9"/>
      <name val="Futura Bk BT"/>
      <family val="2"/>
    </font>
    <font>
      <sz val="11"/>
      <color indexed="8"/>
      <name val="Futura Bk BT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i/>
      <sz val="25"/>
      <color indexed="8"/>
      <name val="Arial"/>
      <family val="2"/>
    </font>
    <font>
      <sz val="10"/>
      <color indexed="8"/>
      <name val="Futura Bk BT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Futura Bk BT"/>
      <family val="2"/>
    </font>
    <font>
      <sz val="11"/>
      <color indexed="12"/>
      <name val="Futura Bk BT"/>
      <family val="2"/>
    </font>
    <font>
      <b/>
      <sz val="11"/>
      <name val="Arial"/>
      <family val="2"/>
    </font>
    <font>
      <sz val="11"/>
      <color indexed="39"/>
      <name val="Futura Bk BT"/>
      <family val="2"/>
    </font>
    <font>
      <b/>
      <sz val="11"/>
      <color indexed="12"/>
      <name val="Futura Bk BT"/>
      <family val="2"/>
    </font>
    <font>
      <sz val="12"/>
      <color indexed="12"/>
      <name val="Arial"/>
      <family val="2"/>
    </font>
    <font>
      <sz val="12"/>
      <color indexed="12"/>
      <name val="Symbol"/>
      <family val="1"/>
      <charset val="2"/>
    </font>
    <font>
      <i/>
      <sz val="12"/>
      <color indexed="12"/>
      <name val="Futura Bk BT"/>
      <family val="2"/>
    </font>
    <font>
      <sz val="11"/>
      <color indexed="12"/>
      <name val="Arial"/>
      <family val="2"/>
    </font>
    <font>
      <b/>
      <sz val="10"/>
      <name val="Futura Bk BT"/>
      <family val="2"/>
    </font>
    <font>
      <sz val="10"/>
      <color indexed="12"/>
      <name val="Arial"/>
      <family val="2"/>
    </font>
    <font>
      <i/>
      <vertAlign val="subscript"/>
      <sz val="12"/>
      <name val="Futura Bk BT"/>
      <family val="2"/>
    </font>
    <font>
      <sz val="12"/>
      <name val="Symbol"/>
      <family val="1"/>
      <charset val="2"/>
    </font>
    <font>
      <i/>
      <sz val="9"/>
      <name val="Futura Bk BT"/>
      <family val="2"/>
    </font>
    <font>
      <i/>
      <vertAlign val="subscript"/>
      <sz val="9"/>
      <name val="Futura Bk BT"/>
      <family val="2"/>
    </font>
    <font>
      <sz val="9"/>
      <color indexed="63"/>
      <name val="Futura Bk BT"/>
      <family val="2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1"/>
      <name val="Futura Bk BT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0"/>
      <color indexed="13"/>
      <name val="Arial"/>
      <family val="2"/>
    </font>
    <font>
      <b/>
      <sz val="11.5"/>
      <color indexed="8"/>
      <name val="Futura Bk BT"/>
      <family val="2"/>
    </font>
    <font>
      <sz val="11"/>
      <name val="Symbol"/>
      <family val="1"/>
      <charset val="2"/>
    </font>
    <font>
      <sz val="11"/>
      <name val="Futura Bk BT"/>
      <family val="2"/>
    </font>
    <font>
      <b/>
      <sz val="11.5"/>
      <name val="Arial"/>
      <family val="2"/>
    </font>
    <font>
      <sz val="10"/>
      <color indexed="9"/>
      <name val="Arial"/>
      <family val="2"/>
    </font>
    <font>
      <sz val="30"/>
      <color indexed="8"/>
      <name val="Humanst521 BT"/>
      <family val="2"/>
    </font>
    <font>
      <sz val="9"/>
      <color indexed="8"/>
      <name val="Arial"/>
      <family val="2"/>
    </font>
    <font>
      <b/>
      <sz val="12"/>
      <color indexed="8"/>
      <name val="Humanst521 BT"/>
      <family val="2"/>
    </font>
    <font>
      <sz val="21"/>
      <color indexed="8"/>
      <name val="Humanst521 BT"/>
      <family val="2"/>
    </font>
    <font>
      <sz val="10"/>
      <name val="Monotype Corsiva"/>
      <family val="4"/>
    </font>
    <font>
      <sz val="9"/>
      <color indexed="12"/>
      <name val="Arial"/>
      <family val="2"/>
    </font>
    <font>
      <sz val="9"/>
      <color indexed="12"/>
      <name val="Futura Bk BT"/>
      <family val="2"/>
    </font>
    <font>
      <b/>
      <sz val="9"/>
      <color indexed="12"/>
      <name val="Futura Bk BT"/>
      <family val="2"/>
    </font>
    <font>
      <sz val="11"/>
      <color indexed="22"/>
      <name val="Futura Bk BT"/>
      <family val="2"/>
    </font>
    <font>
      <sz val="10"/>
      <color indexed="9"/>
      <name val="Arial"/>
      <family val="2"/>
    </font>
    <font>
      <i/>
      <sz val="11"/>
      <name val="Symbol"/>
      <family val="1"/>
      <charset val="2"/>
    </font>
    <font>
      <i/>
      <vertAlign val="subscript"/>
      <sz val="11"/>
      <name val="Arial"/>
      <family val="2"/>
    </font>
    <font>
      <i/>
      <sz val="8"/>
      <name val="Arial"/>
      <family val="2"/>
    </font>
    <font>
      <b/>
      <sz val="10"/>
      <name val="Futura Bk BT"/>
      <family val="2"/>
    </font>
    <font>
      <b/>
      <sz val="14"/>
      <color indexed="10"/>
      <name val="Arial"/>
      <family val="2"/>
    </font>
    <font>
      <b/>
      <sz val="10"/>
      <color indexed="10"/>
      <name val="Futura Bk BT"/>
      <family val="2"/>
    </font>
    <font>
      <sz val="11"/>
      <color indexed="10"/>
      <name val="Futura Bk BT"/>
      <family val="2"/>
    </font>
    <font>
      <b/>
      <sz val="16"/>
      <name val="Futura Bk BT"/>
      <family val="2"/>
    </font>
    <font>
      <sz val="10"/>
      <name val="Nunito Sans"/>
    </font>
    <font>
      <b/>
      <sz val="10"/>
      <name val="Nunito Sans"/>
    </font>
    <font>
      <sz val="11"/>
      <name val="Nunito Sans"/>
    </font>
    <font>
      <sz val="9"/>
      <name val="Nunito Sans"/>
    </font>
    <font>
      <i/>
      <sz val="11"/>
      <name val="Nunito Sans"/>
    </font>
    <font>
      <i/>
      <vertAlign val="subscript"/>
      <sz val="11"/>
      <name val="Nunito Sans"/>
    </font>
    <font>
      <b/>
      <sz val="9"/>
      <name val="Nunito Sans"/>
    </font>
    <font>
      <b/>
      <sz val="11"/>
      <name val="Nunito Sans"/>
    </font>
    <font>
      <vertAlign val="subscript"/>
      <sz val="9"/>
      <name val="Nunito Sans"/>
    </font>
    <font>
      <sz val="9"/>
      <name val="Symbol"/>
      <family val="1"/>
      <charset val="2"/>
    </font>
    <font>
      <sz val="14"/>
      <color rgb="FF00578D"/>
      <name val="Nunito Sans"/>
    </font>
    <font>
      <sz val="9"/>
      <color rgb="FF00578D"/>
      <name val="Nunito Sans"/>
    </font>
    <font>
      <sz val="10"/>
      <color rgb="FF00578D"/>
      <name val="Nunito Sans"/>
    </font>
    <font>
      <b/>
      <sz val="22"/>
      <color rgb="FF00578D"/>
      <name val="Nunito Sans"/>
    </font>
    <font>
      <sz val="11"/>
      <color rgb="FF00578D"/>
      <name val="Nunito Sans"/>
    </font>
    <font>
      <i/>
      <sz val="25"/>
      <color rgb="FF00578D"/>
      <name val="Nunito Sans"/>
    </font>
    <font>
      <b/>
      <sz val="11.5"/>
      <color rgb="FF00578D"/>
      <name val="Nunito Sans"/>
    </font>
    <font>
      <b/>
      <sz val="10"/>
      <color rgb="FF00578D"/>
      <name val="Nunito Sans"/>
    </font>
    <font>
      <b/>
      <sz val="9"/>
      <color rgb="FF00578D"/>
      <name val="Nunito Sans"/>
    </font>
    <font>
      <b/>
      <sz val="10"/>
      <color rgb="FFFF0000"/>
      <name val="Nunito Sans"/>
    </font>
    <font>
      <b/>
      <sz val="11"/>
      <color rgb="FFFF0000"/>
      <name val="Nunito Sans"/>
    </font>
    <font>
      <sz val="9"/>
      <color rgb="FFFF0000"/>
      <name val="Nunito Sans"/>
    </font>
    <font>
      <sz val="10"/>
      <color rgb="FFFF0000"/>
      <name val="Nunito Sans"/>
    </font>
    <font>
      <b/>
      <sz val="14"/>
      <color rgb="FF00578D"/>
      <name val="Nunito Sans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578D"/>
      </bottom>
      <diagonal/>
    </border>
  </borders>
  <cellStyleXfs count="7">
    <xf numFmtId="0" fontId="0" fillId="0" borderId="0"/>
    <xf numFmtId="183" fontId="1" fillId="0" borderId="0" applyFont="0" applyFill="0" applyBorder="0" applyAlignment="0" applyProtection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</cellStyleXfs>
  <cellXfs count="932">
    <xf numFmtId="0" fontId="0" fillId="0" borderId="0" xfId="0"/>
    <xf numFmtId="49" fontId="0" fillId="0" borderId="0" xfId="0" applyNumberFormat="1" applyAlignment="1">
      <alignment horizontal="left"/>
    </xf>
    <xf numFmtId="18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2" fillId="0" borderId="1" xfId="0" applyFont="1" applyFill="1" applyBorder="1"/>
    <xf numFmtId="49" fontId="2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184" fontId="2" fillId="0" borderId="2" xfId="0" applyNumberFormat="1" applyFont="1" applyBorder="1" applyAlignment="1">
      <alignment horizontal="left"/>
    </xf>
    <xf numFmtId="184" fontId="0" fillId="0" borderId="2" xfId="0" applyNumberForma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2" fillId="0" borderId="1" xfId="0" applyFont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0" fillId="0" borderId="0" xfId="0" applyAlignment="1"/>
    <xf numFmtId="0" fontId="4" fillId="0" borderId="3" xfId="0" applyNumberFormat="1" applyFont="1" applyBorder="1" applyAlignment="1">
      <alignment horizontal="left"/>
    </xf>
    <xf numFmtId="18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2" xfId="0" quotePrefix="1" applyNumberForma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19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NumberFormat="1" applyFont="1" applyAlignment="1">
      <alignment horizontal="left"/>
    </xf>
    <xf numFmtId="0" fontId="2" fillId="0" borderId="2" xfId="0" applyFont="1" applyBorder="1" applyAlignment="1"/>
    <xf numFmtId="49" fontId="4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/>
    <xf numFmtId="0" fontId="4" fillId="0" borderId="0" xfId="0" applyFont="1" applyAlignment="1"/>
    <xf numFmtId="0" fontId="4" fillId="0" borderId="2" xfId="0" applyFont="1" applyBorder="1" applyAlignment="1"/>
    <xf numFmtId="14" fontId="4" fillId="0" borderId="0" xfId="0" applyNumberFormat="1" applyFont="1" applyAlignment="1"/>
    <xf numFmtId="0" fontId="4" fillId="0" borderId="0" xfId="0" applyFont="1" applyFill="1" applyBorder="1" applyAlignment="1"/>
    <xf numFmtId="184" fontId="4" fillId="0" borderId="0" xfId="0" applyNumberFormat="1" applyFont="1" applyFill="1" applyBorder="1" applyAlignment="1"/>
    <xf numFmtId="186" fontId="4" fillId="0" borderId="0" xfId="0" applyNumberFormat="1" applyFont="1" applyFill="1" applyBorder="1" applyAlignment="1"/>
    <xf numFmtId="184" fontId="4" fillId="0" borderId="0" xfId="0" applyNumberFormat="1" applyFont="1" applyAlignment="1"/>
    <xf numFmtId="186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14" fontId="0" fillId="0" borderId="0" xfId="0" applyNumberFormat="1" applyAlignment="1"/>
    <xf numFmtId="49" fontId="4" fillId="0" borderId="0" xfId="0" applyNumberFormat="1" applyFont="1" applyBorder="1" applyAlignment="1">
      <alignment horizontal="left"/>
    </xf>
    <xf numFmtId="0" fontId="7" fillId="0" borderId="0" xfId="0" applyFont="1" applyProtection="1">
      <protection hidden="1"/>
    </xf>
    <xf numFmtId="0" fontId="8" fillId="0" borderId="5" xfId="0" applyFont="1" applyBorder="1" applyProtection="1">
      <protection hidden="1"/>
    </xf>
    <xf numFmtId="0" fontId="9" fillId="0" borderId="0" xfId="0" applyFont="1" applyAlignment="1" applyProtection="1">
      <alignment horizontal="centerContinuous"/>
      <protection hidden="1"/>
    </xf>
    <xf numFmtId="0" fontId="10" fillId="0" borderId="0" xfId="0" applyFont="1" applyAlignment="1" applyProtection="1">
      <alignment horizontal="centerContinuous"/>
      <protection hidden="1"/>
    </xf>
    <xf numFmtId="0" fontId="8" fillId="0" borderId="5" xfId="0" applyFont="1" applyBorder="1" applyAlignment="1" applyProtection="1">
      <alignment horizontal="left"/>
      <protection hidden="1"/>
    </xf>
    <xf numFmtId="0" fontId="8" fillId="0" borderId="6" xfId="0" applyFont="1" applyBorder="1" applyAlignment="1" applyProtection="1">
      <alignment horizontal="left"/>
      <protection hidden="1"/>
    </xf>
    <xf numFmtId="0" fontId="8" fillId="0" borderId="7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11" fillId="0" borderId="8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wrapText="1"/>
      <protection hidden="1"/>
    </xf>
    <xf numFmtId="0" fontId="11" fillId="0" borderId="9" xfId="0" applyFont="1" applyBorder="1" applyAlignment="1" applyProtection="1">
      <alignment horizontal="centerContinuous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49" fontId="6" fillId="0" borderId="11" xfId="0" applyNumberFormat="1" applyFont="1" applyBorder="1" applyAlignment="1" applyProtection="1">
      <alignment horizontal="center" vertical="center"/>
      <protection hidden="1"/>
    </xf>
    <xf numFmtId="49" fontId="6" fillId="0" borderId="12" xfId="0" applyNumberFormat="1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/>
      <protection hidden="1"/>
    </xf>
    <xf numFmtId="192" fontId="6" fillId="0" borderId="12" xfId="0" applyNumberFormat="1" applyFont="1" applyBorder="1" applyAlignment="1" applyProtection="1">
      <alignment horizontal="center"/>
      <protection hidden="1"/>
    </xf>
    <xf numFmtId="49" fontId="6" fillId="0" borderId="12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centerContinuous" vertical="center"/>
      <protection hidden="1"/>
    </xf>
    <xf numFmtId="2" fontId="13" fillId="0" borderId="12" xfId="0" applyNumberFormat="1" applyFont="1" applyBorder="1" applyAlignment="1" applyProtection="1">
      <alignment horizontal="center" vertical="center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center" vertical="center" wrapText="1"/>
      <protection hidden="1"/>
    </xf>
    <xf numFmtId="2" fontId="13" fillId="0" borderId="0" xfId="0" applyNumberFormat="1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Continuous" vertical="center"/>
      <protection hidden="1"/>
    </xf>
    <xf numFmtId="0" fontId="17" fillId="0" borderId="15" xfId="0" applyFont="1" applyBorder="1" applyAlignment="1" applyProtection="1">
      <alignment horizontal="center" vertical="center" wrapText="1"/>
      <protection hidden="1"/>
    </xf>
    <xf numFmtId="0" fontId="19" fillId="0" borderId="15" xfId="0" applyFont="1" applyBorder="1" applyAlignment="1" applyProtection="1">
      <alignment horizontal="center" vertical="center" wrapText="1"/>
      <protection hidden="1"/>
    </xf>
    <xf numFmtId="0" fontId="19" fillId="0" borderId="16" xfId="0" applyFont="1" applyBorder="1" applyAlignment="1" applyProtection="1">
      <alignment horizontal="center" vertical="center" wrapText="1"/>
      <protection hidden="1"/>
    </xf>
    <xf numFmtId="0" fontId="6" fillId="0" borderId="0" xfId="0" applyFont="1" applyProtection="1">
      <protection hidden="1"/>
    </xf>
    <xf numFmtId="49" fontId="22" fillId="0" borderId="8" xfId="0" applyNumberFormat="1" applyFont="1" applyBorder="1" applyAlignment="1" applyProtection="1">
      <alignment horizontal="center" vertical="center"/>
      <protection hidden="1"/>
    </xf>
    <xf numFmtId="49" fontId="22" fillId="0" borderId="9" xfId="0" applyNumberFormat="1" applyFont="1" applyBorder="1" applyAlignment="1" applyProtection="1">
      <alignment horizontal="center" vertical="center"/>
      <protection hidden="1"/>
    </xf>
    <xf numFmtId="190" fontId="22" fillId="0" borderId="9" xfId="0" applyNumberFormat="1" applyFont="1" applyBorder="1" applyAlignment="1" applyProtection="1">
      <alignment horizontal="center" vertical="center"/>
      <protection hidden="1"/>
    </xf>
    <xf numFmtId="1" fontId="22" fillId="0" borderId="9" xfId="0" applyNumberFormat="1" applyFont="1" applyBorder="1" applyAlignment="1" applyProtection="1">
      <alignment horizontal="center" vertical="center"/>
      <protection hidden="1"/>
    </xf>
    <xf numFmtId="49" fontId="22" fillId="0" borderId="10" xfId="0" applyNumberFormat="1" applyFont="1" applyBorder="1" applyAlignment="1" applyProtection="1">
      <alignment horizontal="center" vertical="center"/>
      <protection hidden="1"/>
    </xf>
    <xf numFmtId="49" fontId="22" fillId="0" borderId="17" xfId="0" applyNumberFormat="1" applyFont="1" applyBorder="1" applyAlignment="1" applyProtection="1">
      <alignment horizontal="center" vertical="center"/>
      <protection hidden="1"/>
    </xf>
    <xf numFmtId="49" fontId="22" fillId="0" borderId="5" xfId="0" applyNumberFormat="1" applyFont="1" applyBorder="1" applyAlignment="1" applyProtection="1">
      <alignment horizontal="center" vertical="center"/>
      <protection hidden="1"/>
    </xf>
    <xf numFmtId="190" fontId="22" fillId="0" borderId="5" xfId="0" applyNumberFormat="1" applyFont="1" applyBorder="1" applyAlignment="1" applyProtection="1">
      <alignment horizontal="center" vertical="center"/>
      <protection hidden="1"/>
    </xf>
    <xf numFmtId="1" fontId="22" fillId="0" borderId="5" xfId="0" applyNumberFormat="1" applyFont="1" applyBorder="1" applyAlignment="1" applyProtection="1">
      <alignment horizontal="center" vertical="center"/>
      <protection hidden="1"/>
    </xf>
    <xf numFmtId="49" fontId="22" fillId="0" borderId="18" xfId="0" applyNumberFormat="1" applyFont="1" applyBorder="1" applyAlignment="1" applyProtection="1">
      <alignment horizontal="center" vertical="center"/>
      <protection hidden="1"/>
    </xf>
    <xf numFmtId="183" fontId="7" fillId="0" borderId="0" xfId="1" applyFont="1" applyProtection="1">
      <protection hidden="1"/>
    </xf>
    <xf numFmtId="2" fontId="22" fillId="0" borderId="5" xfId="0" applyNumberFormat="1" applyFont="1" applyBorder="1" applyAlignment="1" applyProtection="1">
      <alignment horizontal="center" vertical="center"/>
      <protection hidden="1"/>
    </xf>
    <xf numFmtId="185" fontId="22" fillId="0" borderId="5" xfId="0" applyNumberFormat="1" applyFont="1" applyBorder="1" applyAlignment="1" applyProtection="1">
      <alignment horizontal="center" vertic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188" fontId="6" fillId="0" borderId="5" xfId="0" applyNumberFormat="1" applyFont="1" applyBorder="1" applyAlignment="1" applyProtection="1">
      <alignment horizontal="center" vertical="center"/>
      <protection hidden="1"/>
    </xf>
    <xf numFmtId="185" fontId="6" fillId="0" borderId="5" xfId="0" applyNumberFormat="1" applyFont="1" applyBorder="1" applyAlignment="1" applyProtection="1">
      <alignment horizontal="center" vertical="center"/>
      <protection hidden="1"/>
    </xf>
    <xf numFmtId="1" fontId="6" fillId="0" borderId="5" xfId="0" applyNumberFormat="1" applyFont="1" applyBorder="1" applyAlignment="1" applyProtection="1">
      <alignment horizontal="center" vertical="center"/>
      <protection hidden="1"/>
    </xf>
    <xf numFmtId="1" fontId="6" fillId="0" borderId="18" xfId="0" applyNumberFormat="1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18" xfId="0" applyFont="1" applyBorder="1" applyAlignment="1" applyProtection="1">
      <alignment vertical="center"/>
      <protection hidden="1"/>
    </xf>
    <xf numFmtId="0" fontId="1" fillId="0" borderId="11" xfId="0" applyFont="1" applyBorder="1" applyAlignment="1" applyProtection="1">
      <alignment vertical="center"/>
      <protection hidden="1"/>
    </xf>
    <xf numFmtId="0" fontId="1" fillId="0" borderId="12" xfId="0" applyFont="1" applyBorder="1" applyAlignment="1" applyProtection="1">
      <alignment vertical="center"/>
      <protection hidden="1"/>
    </xf>
    <xf numFmtId="0" fontId="1" fillId="0" borderId="13" xfId="0" applyFont="1" applyBorder="1" applyAlignment="1" applyProtection="1">
      <alignment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17" fillId="0" borderId="20" xfId="0" applyFont="1" applyBorder="1" applyAlignment="1" applyProtection="1">
      <alignment horizontal="center" vertical="center"/>
      <protection hidden="1"/>
    </xf>
    <xf numFmtId="0" fontId="26" fillId="2" borderId="0" xfId="0" applyFont="1" applyFill="1" applyBorder="1" applyAlignment="1" applyProtection="1">
      <alignment horizontal="center" vertical="center"/>
      <protection hidden="1"/>
    </xf>
    <xf numFmtId="0" fontId="27" fillId="0" borderId="20" xfId="0" applyFont="1" applyBorder="1" applyAlignment="1" applyProtection="1">
      <alignment horizontal="center" vertical="center"/>
      <protection hidden="1"/>
    </xf>
    <xf numFmtId="0" fontId="28" fillId="2" borderId="21" xfId="0" applyFont="1" applyFill="1" applyBorder="1" applyAlignment="1" applyProtection="1">
      <alignment horizontal="center" vertical="center"/>
      <protection hidden="1"/>
    </xf>
    <xf numFmtId="0" fontId="28" fillId="2" borderId="22" xfId="0" applyFont="1" applyFill="1" applyBorder="1" applyAlignment="1" applyProtection="1">
      <alignment horizontal="center" vertical="center"/>
      <protection hidden="1"/>
    </xf>
    <xf numFmtId="190" fontId="6" fillId="0" borderId="20" xfId="0" applyNumberFormat="1" applyFont="1" applyBorder="1" applyAlignment="1" applyProtection="1">
      <alignment horizontal="center" vertical="center"/>
      <protection hidden="1"/>
    </xf>
    <xf numFmtId="1" fontId="6" fillId="0" borderId="23" xfId="0" applyNumberFormat="1" applyFont="1" applyBorder="1" applyAlignment="1" applyProtection="1">
      <alignment horizontal="center" vertical="center"/>
      <protection hidden="1"/>
    </xf>
    <xf numFmtId="0" fontId="29" fillId="0" borderId="11" xfId="0" applyFont="1" applyBorder="1" applyAlignment="1" applyProtection="1">
      <alignment horizontal="center" vertical="center"/>
      <protection hidden="1"/>
    </xf>
    <xf numFmtId="188" fontId="17" fillId="0" borderId="12" xfId="0" applyNumberFormat="1" applyFont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2" fontId="30" fillId="2" borderId="24" xfId="0" applyNumberFormat="1" applyFont="1" applyFill="1" applyBorder="1" applyAlignment="1" applyProtection="1">
      <alignment vertical="center"/>
      <protection hidden="1"/>
    </xf>
    <xf numFmtId="0" fontId="28" fillId="2" borderId="25" xfId="0" applyFont="1" applyFill="1" applyBorder="1" applyAlignment="1" applyProtection="1">
      <alignment horizontal="center" vertical="center"/>
      <protection hidden="1"/>
    </xf>
    <xf numFmtId="187" fontId="6" fillId="0" borderId="5" xfId="0" applyNumberFormat="1" applyFont="1" applyBorder="1" applyAlignment="1" applyProtection="1">
      <alignment horizontal="center" vertical="center"/>
      <protection hidden="1"/>
    </xf>
    <xf numFmtId="0" fontId="31" fillId="2" borderId="13" xfId="0" applyFont="1" applyFill="1" applyBorder="1" applyAlignment="1" applyProtection="1">
      <alignment horizontal="center" vertical="center"/>
      <protection hidden="1"/>
    </xf>
    <xf numFmtId="0" fontId="27" fillId="0" borderId="1" xfId="0" applyFont="1" applyBorder="1" applyProtection="1">
      <protection hidden="1"/>
    </xf>
    <xf numFmtId="0" fontId="6" fillId="0" borderId="0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6" fillId="0" borderId="2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7" fillId="0" borderId="0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28" xfId="0" applyFont="1" applyBorder="1" applyProtection="1">
      <protection hidden="1"/>
    </xf>
    <xf numFmtId="0" fontId="6" fillId="0" borderId="4" xfId="0" applyFont="1" applyBorder="1" applyProtection="1">
      <protection hidden="1"/>
    </xf>
    <xf numFmtId="0" fontId="7" fillId="0" borderId="4" xfId="0" applyFont="1" applyBorder="1" applyProtection="1">
      <protection hidden="1"/>
    </xf>
    <xf numFmtId="0" fontId="7" fillId="0" borderId="29" xfId="0" applyFont="1" applyBorder="1" applyProtection="1">
      <protection hidden="1"/>
    </xf>
    <xf numFmtId="0" fontId="0" fillId="0" borderId="0" xfId="0" applyProtection="1">
      <protection hidden="1"/>
    </xf>
    <xf numFmtId="0" fontId="22" fillId="0" borderId="8" xfId="0" applyFont="1" applyBorder="1" applyAlignment="1" applyProtection="1">
      <alignment horizontal="center"/>
      <protection hidden="1"/>
    </xf>
    <xf numFmtId="0" fontId="22" fillId="0" borderId="9" xfId="0" applyFont="1" applyBorder="1" applyAlignment="1" applyProtection="1">
      <alignment horizontal="center"/>
      <protection hidden="1"/>
    </xf>
    <xf numFmtId="188" fontId="22" fillId="0" borderId="9" xfId="0" applyNumberFormat="1" applyFont="1" applyBorder="1" applyAlignment="1" applyProtection="1">
      <alignment horizontal="center"/>
      <protection hidden="1"/>
    </xf>
    <xf numFmtId="185" fontId="22" fillId="0" borderId="9" xfId="0" applyNumberFormat="1" applyFont="1" applyBorder="1" applyAlignment="1" applyProtection="1">
      <alignment horizontal="center"/>
      <protection hidden="1"/>
    </xf>
    <xf numFmtId="190" fontId="22" fillId="0" borderId="9" xfId="0" applyNumberFormat="1" applyFont="1" applyBorder="1" applyAlignment="1" applyProtection="1">
      <alignment horizontal="center"/>
      <protection hidden="1"/>
    </xf>
    <xf numFmtId="0" fontId="22" fillId="0" borderId="10" xfId="0" applyFont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5" xfId="0" applyFont="1" applyBorder="1" applyAlignment="1" applyProtection="1">
      <alignment horizontal="center"/>
      <protection hidden="1"/>
    </xf>
    <xf numFmtId="188" fontId="22" fillId="0" borderId="5" xfId="0" applyNumberFormat="1" applyFont="1" applyBorder="1" applyAlignment="1" applyProtection="1">
      <alignment horizontal="center"/>
      <protection hidden="1"/>
    </xf>
    <xf numFmtId="185" fontId="22" fillId="0" borderId="5" xfId="0" applyNumberFormat="1" applyFont="1" applyBorder="1" applyAlignment="1" applyProtection="1">
      <alignment horizontal="center"/>
      <protection hidden="1"/>
    </xf>
    <xf numFmtId="190" fontId="22" fillId="0" borderId="5" xfId="0" applyNumberFormat="1" applyFont="1" applyBorder="1" applyAlignment="1" applyProtection="1">
      <alignment horizontal="center"/>
      <protection hidden="1"/>
    </xf>
    <xf numFmtId="0" fontId="22" fillId="0" borderId="18" xfId="0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/>
      <protection hidden="1"/>
    </xf>
    <xf numFmtId="187" fontId="6" fillId="0" borderId="5" xfId="0" applyNumberFormat="1" applyFont="1" applyBorder="1" applyAlignment="1" applyProtection="1">
      <alignment horizontal="center"/>
      <protection hidden="1"/>
    </xf>
    <xf numFmtId="185" fontId="6" fillId="0" borderId="5" xfId="0" applyNumberFormat="1" applyFont="1" applyBorder="1" applyAlignment="1" applyProtection="1">
      <alignment horizontal="center"/>
      <protection hidden="1"/>
    </xf>
    <xf numFmtId="1" fontId="6" fillId="0" borderId="5" xfId="0" applyNumberFormat="1" applyFont="1" applyBorder="1" applyAlignment="1" applyProtection="1">
      <alignment horizontal="center"/>
      <protection hidden="1"/>
    </xf>
    <xf numFmtId="1" fontId="6" fillId="0" borderId="18" xfId="0" applyNumberFormat="1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188" fontId="6" fillId="0" borderId="5" xfId="0" applyNumberFormat="1" applyFont="1" applyBorder="1" applyAlignment="1" applyProtection="1">
      <alignment horizontal="center"/>
      <protection hidden="1"/>
    </xf>
    <xf numFmtId="0" fontId="1" fillId="0" borderId="17" xfId="0" applyFont="1" applyBorder="1" applyProtection="1">
      <protection hidden="1"/>
    </xf>
    <xf numFmtId="0" fontId="1" fillId="0" borderId="5" xfId="0" applyFont="1" applyBorder="1" applyProtection="1">
      <protection hidden="1"/>
    </xf>
    <xf numFmtId="0" fontId="1" fillId="0" borderId="18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3" xfId="0" applyFont="1" applyBorder="1" applyProtection="1"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17" fillId="0" borderId="20" xfId="0" applyFont="1" applyBorder="1" applyAlignment="1" applyProtection="1">
      <alignment horizontal="center"/>
      <protection hidden="1"/>
    </xf>
    <xf numFmtId="0" fontId="26" fillId="2" borderId="0" xfId="0" applyFont="1" applyFill="1" applyBorder="1" applyAlignment="1" applyProtection="1">
      <alignment horizontal="center"/>
      <protection hidden="1"/>
    </xf>
    <xf numFmtId="0" fontId="27" fillId="0" borderId="20" xfId="0" applyFont="1" applyBorder="1" applyAlignment="1" applyProtection="1">
      <alignment horizontal="center"/>
      <protection hidden="1"/>
    </xf>
    <xf numFmtId="0" fontId="28" fillId="2" borderId="21" xfId="0" applyFont="1" applyFill="1" applyBorder="1" applyAlignment="1" applyProtection="1">
      <alignment horizontal="center"/>
      <protection hidden="1"/>
    </xf>
    <xf numFmtId="0" fontId="28" fillId="2" borderId="22" xfId="0" applyFont="1" applyFill="1" applyBorder="1" applyAlignment="1" applyProtection="1">
      <alignment horizontal="center"/>
      <protection hidden="1"/>
    </xf>
    <xf numFmtId="188" fontId="6" fillId="0" borderId="20" xfId="0" applyNumberFormat="1" applyFont="1" applyBorder="1" applyAlignment="1" applyProtection="1">
      <alignment horizontal="center"/>
      <protection hidden="1"/>
    </xf>
    <xf numFmtId="1" fontId="6" fillId="0" borderId="23" xfId="0" applyNumberFormat="1" applyFont="1" applyBorder="1" applyAlignment="1" applyProtection="1">
      <alignment horizontal="center"/>
      <protection hidden="1"/>
    </xf>
    <xf numFmtId="0" fontId="29" fillId="0" borderId="11" xfId="0" applyFont="1" applyBorder="1" applyAlignment="1" applyProtection="1">
      <alignment horizontal="center"/>
      <protection hidden="1"/>
    </xf>
    <xf numFmtId="188" fontId="17" fillId="0" borderId="12" xfId="0" applyNumberFormat="1" applyFont="1" applyBorder="1" applyAlignment="1" applyProtection="1">
      <alignment horizontal="center"/>
      <protection hidden="1"/>
    </xf>
    <xf numFmtId="2" fontId="30" fillId="2" borderId="24" xfId="0" applyNumberFormat="1" applyFont="1" applyFill="1" applyBorder="1" applyProtection="1">
      <protection hidden="1"/>
    </xf>
    <xf numFmtId="0" fontId="28" fillId="2" borderId="25" xfId="0" applyFont="1" applyFill="1" applyBorder="1" applyAlignment="1" applyProtection="1">
      <alignment horizontal="center"/>
      <protection hidden="1"/>
    </xf>
    <xf numFmtId="0" fontId="31" fillId="2" borderId="13" xfId="0" applyFont="1" applyFill="1" applyBorder="1" applyAlignment="1" applyProtection="1">
      <alignment horizontal="center"/>
      <protection hidden="1"/>
    </xf>
    <xf numFmtId="0" fontId="32" fillId="0" borderId="0" xfId="3" applyFont="1"/>
    <xf numFmtId="0" fontId="0" fillId="0" borderId="0" xfId="0" applyAlignment="1" applyProtection="1">
      <alignment horizontal="centerContinuous"/>
      <protection hidden="1"/>
    </xf>
    <xf numFmtId="0" fontId="32" fillId="0" borderId="0" xfId="3" applyFont="1" applyAlignment="1">
      <alignment horizontal="left"/>
    </xf>
    <xf numFmtId="0" fontId="34" fillId="0" borderId="0" xfId="0" applyNumberFormat="1" applyFont="1" applyBorder="1" applyAlignment="1" applyProtection="1">
      <alignment horizontal="left"/>
      <protection hidden="1"/>
    </xf>
    <xf numFmtId="0" fontId="35" fillId="0" borderId="0" xfId="0" applyNumberFormat="1" applyFont="1" applyBorder="1" applyAlignment="1" applyProtection="1">
      <alignment horizontal="right"/>
      <protection hidden="1"/>
    </xf>
    <xf numFmtId="0" fontId="0" fillId="0" borderId="0" xfId="0" applyBorder="1" applyProtection="1">
      <protection hidden="1"/>
    </xf>
    <xf numFmtId="49" fontId="34" fillId="0" borderId="0" xfId="0" applyNumberFormat="1" applyFont="1" applyBorder="1" applyAlignment="1" applyProtection="1">
      <alignment horizontal="center"/>
      <protection hidden="1"/>
    </xf>
    <xf numFmtId="0" fontId="33" fillId="0" borderId="0" xfId="0" applyNumberFormat="1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Continuous"/>
      <protection hidden="1"/>
    </xf>
    <xf numFmtId="0" fontId="0" fillId="0" borderId="0" xfId="0" applyProtection="1">
      <protection locked="0"/>
    </xf>
    <xf numFmtId="0" fontId="34" fillId="0" borderId="0" xfId="0" applyNumberFormat="1" applyFont="1" applyBorder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8" fillId="0" borderId="0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30" xfId="0" applyFont="1" applyBorder="1" applyProtection="1">
      <protection hidden="1"/>
    </xf>
    <xf numFmtId="0" fontId="39" fillId="0" borderId="0" xfId="3" applyFont="1" applyProtection="1">
      <protection hidden="1"/>
    </xf>
    <xf numFmtId="0" fontId="39" fillId="0" borderId="31" xfId="3" applyFont="1" applyBorder="1" applyProtection="1">
      <protection hidden="1"/>
    </xf>
    <xf numFmtId="0" fontId="38" fillId="0" borderId="0" xfId="3" applyFont="1" applyProtection="1">
      <protection hidden="1"/>
    </xf>
    <xf numFmtId="0" fontId="38" fillId="0" borderId="22" xfId="3" applyFont="1" applyBorder="1" applyProtection="1">
      <protection hidden="1"/>
    </xf>
    <xf numFmtId="0" fontId="38" fillId="0" borderId="0" xfId="3" applyFont="1" applyBorder="1" applyProtection="1">
      <protection hidden="1"/>
    </xf>
    <xf numFmtId="0" fontId="38" fillId="0" borderId="25" xfId="3" applyFont="1" applyBorder="1" applyProtection="1">
      <protection hidden="1"/>
    </xf>
    <xf numFmtId="0" fontId="38" fillId="0" borderId="0" xfId="0" applyFont="1" applyAlignment="1" applyProtection="1">
      <protection hidden="1"/>
    </xf>
    <xf numFmtId="0" fontId="38" fillId="0" borderId="0" xfId="0" applyFont="1" applyProtection="1">
      <protection hidden="1"/>
    </xf>
    <xf numFmtId="0" fontId="4" fillId="0" borderId="0" xfId="0" applyFont="1" applyAlignment="1" applyProtection="1">
      <protection hidden="1"/>
    </xf>
    <xf numFmtId="0" fontId="38" fillId="0" borderId="0" xfId="0" applyFont="1" applyAlignment="1" applyProtection="1">
      <alignment horizontal="justify" vertical="top"/>
      <protection hidden="1"/>
    </xf>
    <xf numFmtId="0" fontId="38" fillId="0" borderId="0" xfId="0" applyFont="1" applyAlignment="1" applyProtection="1">
      <alignment horizontal="left" vertical="top"/>
      <protection hidden="1"/>
    </xf>
    <xf numFmtId="0" fontId="40" fillId="0" borderId="0" xfId="0" applyFont="1" applyAlignment="1" applyProtection="1">
      <alignment horizontal="justify" vertical="top"/>
      <protection hidden="1"/>
    </xf>
    <xf numFmtId="0" fontId="38" fillId="0" borderId="0" xfId="0" applyFont="1" applyAlignment="1" applyProtection="1">
      <alignment horizontal="left" vertical="top" wrapText="1"/>
      <protection hidden="1"/>
    </xf>
    <xf numFmtId="0" fontId="38" fillId="0" borderId="0" xfId="0" applyFont="1" applyAlignment="1">
      <alignment horizontal="justify" vertical="top"/>
    </xf>
    <xf numFmtId="0" fontId="4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/>
    </xf>
    <xf numFmtId="0" fontId="7" fillId="0" borderId="0" xfId="0" applyFont="1" applyAlignment="1" applyProtection="1">
      <protection hidden="1"/>
    </xf>
    <xf numFmtId="0" fontId="38" fillId="0" borderId="0" xfId="0" applyFont="1" applyAlignment="1" applyProtection="1">
      <alignment vertical="top"/>
      <protection hidden="1"/>
    </xf>
    <xf numFmtId="0" fontId="38" fillId="0" borderId="0" xfId="0" applyFont="1" applyAlignment="1" applyProtection="1">
      <alignment horizontal="justify" vertical="top" wrapText="1"/>
      <protection hidden="1"/>
    </xf>
    <xf numFmtId="0" fontId="31" fillId="0" borderId="0" xfId="0" applyFont="1" applyProtection="1">
      <protection hidden="1"/>
    </xf>
    <xf numFmtId="0" fontId="0" fillId="0" borderId="0" xfId="0" applyAlignment="1">
      <alignment horizontal="justify" vertical="top"/>
    </xf>
    <xf numFmtId="0" fontId="28" fillId="0" borderId="0" xfId="0" applyFont="1" applyProtection="1">
      <protection hidden="1"/>
    </xf>
    <xf numFmtId="2" fontId="38" fillId="0" borderId="0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vertical="center"/>
    </xf>
    <xf numFmtId="0" fontId="7" fillId="0" borderId="30" xfId="0" applyFont="1" applyBorder="1" applyAlignment="1" applyProtection="1">
      <alignment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187" fontId="38" fillId="0" borderId="0" xfId="0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center" vertical="center"/>
      <protection hidden="1"/>
    </xf>
    <xf numFmtId="1" fontId="38" fillId="0" borderId="0" xfId="0" applyNumberFormat="1" applyFont="1" applyAlignment="1" applyProtection="1">
      <alignment horizontal="center" vertical="center"/>
      <protection hidden="1"/>
    </xf>
    <xf numFmtId="0" fontId="38" fillId="0" borderId="0" xfId="0" applyFont="1" applyBorder="1" applyAlignment="1" applyProtection="1">
      <alignment horizontal="center" vertical="center"/>
      <protection hidden="1"/>
    </xf>
    <xf numFmtId="187" fontId="38" fillId="0" borderId="0" xfId="0" applyNumberFormat="1" applyFont="1" applyBorder="1" applyAlignment="1" applyProtection="1">
      <alignment horizontal="center" vertical="center"/>
      <protection hidden="1"/>
    </xf>
    <xf numFmtId="2" fontId="38" fillId="0" borderId="0" xfId="0" applyNumberFormat="1" applyFont="1" applyBorder="1" applyAlignment="1" applyProtection="1">
      <alignment horizontal="center" vertical="center"/>
      <protection hidden="1"/>
    </xf>
    <xf numFmtId="1" fontId="38" fillId="0" borderId="0" xfId="0" applyNumberFormat="1" applyFont="1" applyBorder="1" applyAlignment="1" applyProtection="1">
      <alignment horizontal="center" vertical="center"/>
      <protection hidden="1"/>
    </xf>
    <xf numFmtId="1" fontId="38" fillId="0" borderId="4" xfId="0" applyNumberFormat="1" applyFont="1" applyBorder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left"/>
      <protection hidden="1"/>
    </xf>
    <xf numFmtId="0" fontId="4" fillId="0" borderId="4" xfId="0" applyFont="1" applyBorder="1" applyAlignment="1" applyProtection="1">
      <alignment vertical="center"/>
      <protection hidden="1"/>
    </xf>
    <xf numFmtId="2" fontId="38" fillId="0" borderId="4" xfId="0" applyNumberFormat="1" applyFont="1" applyBorder="1" applyAlignment="1" applyProtection="1">
      <alignment horizontal="centerContinuous" vertical="center"/>
      <protection hidden="1"/>
    </xf>
    <xf numFmtId="0" fontId="38" fillId="0" borderId="0" xfId="0" applyFont="1" applyAlignment="1" applyProtection="1">
      <alignment vertical="center"/>
      <protection hidden="1"/>
    </xf>
    <xf numFmtId="0" fontId="38" fillId="0" borderId="0" xfId="0" applyFont="1" applyAlignment="1" applyProtection="1">
      <alignment horizontal="centerContinuous" vertical="center"/>
      <protection hidden="1"/>
    </xf>
    <xf numFmtId="0" fontId="38" fillId="0" borderId="0" xfId="0" applyFont="1" applyAlignment="1" applyProtection="1">
      <alignment horizontal="left"/>
      <protection hidden="1"/>
    </xf>
    <xf numFmtId="0" fontId="34" fillId="0" borderId="0" xfId="0" applyNumberFormat="1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Continuous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centerContinuous"/>
      <protection hidden="1"/>
    </xf>
    <xf numFmtId="0" fontId="7" fillId="0" borderId="0" xfId="0" applyFont="1" applyAlignment="1" applyProtection="1">
      <alignment horizontal="centerContinuous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Continuous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43" fillId="0" borderId="0" xfId="0" applyFont="1" applyProtection="1">
      <protection hidden="1"/>
    </xf>
    <xf numFmtId="0" fontId="38" fillId="0" borderId="0" xfId="0" applyFont="1" applyAlignment="1" applyProtection="1">
      <alignment horizontal="right"/>
      <protection hidden="1"/>
    </xf>
    <xf numFmtId="1" fontId="38" fillId="0" borderId="0" xfId="0" applyNumberFormat="1" applyFont="1" applyAlignment="1" applyProtection="1">
      <alignment horizontal="left"/>
      <protection hidden="1"/>
    </xf>
    <xf numFmtId="0" fontId="15" fillId="0" borderId="0" xfId="0" applyFont="1" applyProtection="1">
      <protection hidden="1"/>
    </xf>
    <xf numFmtId="0" fontId="38" fillId="0" borderId="0" xfId="0" applyFont="1" applyBorder="1" applyAlignment="1" applyProtection="1">
      <alignment horizontal="centerContinuous"/>
      <protection hidden="1"/>
    </xf>
    <xf numFmtId="0" fontId="43" fillId="0" borderId="0" xfId="0" applyFont="1" applyBorder="1" applyProtection="1">
      <protection hidden="1"/>
    </xf>
    <xf numFmtId="0" fontId="42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44" fillId="0" borderId="0" xfId="0" applyFont="1" applyAlignment="1" applyProtection="1">
      <alignment horizontal="center" vertical="center"/>
    </xf>
    <xf numFmtId="1" fontId="38" fillId="0" borderId="0" xfId="0" applyNumberFormat="1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 applyProtection="1">
      <alignment horizontal="centerContinuous"/>
      <protection hidden="1"/>
    </xf>
    <xf numFmtId="1" fontId="38" fillId="0" borderId="0" xfId="0" applyNumberFormat="1" applyFont="1" applyFill="1" applyBorder="1" applyAlignment="1" applyProtection="1">
      <alignment horizontal="centerContinuous"/>
      <protection hidden="1"/>
    </xf>
    <xf numFmtId="2" fontId="38" fillId="0" borderId="0" xfId="0" applyNumberFormat="1" applyFont="1" applyFill="1" applyBorder="1" applyAlignment="1" applyProtection="1">
      <alignment horizontal="center"/>
      <protection hidden="1"/>
    </xf>
    <xf numFmtId="0" fontId="38" fillId="0" borderId="0" xfId="0" applyFont="1" applyBorder="1" applyAlignment="1" applyProtection="1">
      <alignment horizontal="left"/>
      <protection hidden="1"/>
    </xf>
    <xf numFmtId="1" fontId="38" fillId="3" borderId="0" xfId="0" applyNumberFormat="1" applyFont="1" applyFill="1" applyBorder="1" applyAlignment="1" applyProtection="1">
      <alignment horizontal="left"/>
      <protection hidden="1"/>
    </xf>
    <xf numFmtId="2" fontId="38" fillId="0" borderId="0" xfId="0" applyNumberFormat="1" applyFont="1" applyBorder="1" applyAlignment="1" applyProtection="1">
      <alignment horizontal="left"/>
      <protection hidden="1"/>
    </xf>
    <xf numFmtId="0" fontId="42" fillId="0" borderId="0" xfId="0" applyFont="1" applyFill="1" applyBorder="1" applyAlignment="1" applyProtection="1">
      <alignment horizontal="centerContinuous"/>
      <protection hidden="1"/>
    </xf>
    <xf numFmtId="0" fontId="6" fillId="0" borderId="0" xfId="0" applyFont="1" applyFill="1" applyBorder="1" applyAlignment="1" applyProtection="1">
      <alignment horizontal="centerContinuous"/>
      <protection hidden="1"/>
    </xf>
    <xf numFmtId="0" fontId="6" fillId="0" borderId="0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left"/>
      <protection hidden="1"/>
    </xf>
    <xf numFmtId="0" fontId="6" fillId="0" borderId="0" xfId="0" applyFont="1" applyAlignment="1" applyProtection="1">
      <alignment vertical="center"/>
    </xf>
    <xf numFmtId="0" fontId="8" fillId="0" borderId="5" xfId="0" applyFont="1" applyBorder="1" applyAlignment="1" applyProtection="1">
      <alignment horizontal="center" vertical="center"/>
    </xf>
    <xf numFmtId="0" fontId="44" fillId="0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centerContinuous" vertical="center"/>
    </xf>
    <xf numFmtId="0" fontId="6" fillId="0" borderId="0" xfId="0" applyFont="1" applyAlignment="1" applyProtection="1">
      <alignment horizontal="centerContinuous" vertical="center"/>
    </xf>
    <xf numFmtId="0" fontId="6" fillId="0" borderId="0" xfId="0" applyFont="1" applyBorder="1" applyAlignment="1" applyProtection="1">
      <alignment horizontal="centerContinuous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0" fontId="44" fillId="0" borderId="0" xfId="0" applyFont="1" applyFill="1" applyAlignment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horizontal="left" vertical="center"/>
    </xf>
    <xf numFmtId="49" fontId="44" fillId="0" borderId="0" xfId="0" applyNumberFormat="1" applyFont="1" applyFill="1" applyBorder="1" applyAlignment="1" applyProtection="1">
      <alignment horizontal="center" vertical="center"/>
      <protection locked="0"/>
    </xf>
    <xf numFmtId="187" fontId="44" fillId="0" borderId="0" xfId="0" applyNumberFormat="1" applyFont="1" applyFill="1" applyAlignment="1" applyProtection="1">
      <alignment horizontal="center" vertical="center"/>
    </xf>
    <xf numFmtId="187" fontId="44" fillId="0" borderId="0" xfId="0" applyNumberFormat="1" applyFont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187" fontId="6" fillId="0" borderId="0" xfId="0" applyNumberFormat="1" applyFont="1" applyAlignment="1" applyProtection="1">
      <alignment vertical="center"/>
    </xf>
    <xf numFmtId="0" fontId="43" fillId="0" borderId="0" xfId="0" applyFont="1" applyFill="1" applyBorder="1" applyAlignment="1" applyProtection="1">
      <alignment vertical="center"/>
    </xf>
    <xf numFmtId="0" fontId="45" fillId="0" borderId="1" xfId="0" applyFont="1" applyBorder="1" applyAlignment="1" applyProtection="1">
      <alignment horizontal="centerContinuous" vertical="center"/>
    </xf>
    <xf numFmtId="0" fontId="6" fillId="0" borderId="26" xfId="0" applyFont="1" applyBorder="1" applyAlignment="1" applyProtection="1">
      <alignment horizontal="centerContinuous" vertical="center"/>
    </xf>
    <xf numFmtId="0" fontId="6" fillId="0" borderId="32" xfId="0" applyFont="1" applyBorder="1" applyAlignment="1" applyProtection="1">
      <alignment horizontal="centerContinuous" vertical="center"/>
    </xf>
    <xf numFmtId="0" fontId="6" fillId="0" borderId="33" xfId="0" applyFont="1" applyBorder="1" applyAlignment="1" applyProtection="1">
      <alignment horizontal="centerContinuous" vertical="center"/>
    </xf>
    <xf numFmtId="0" fontId="6" fillId="0" borderId="34" xfId="0" applyFont="1" applyBorder="1" applyAlignment="1" applyProtection="1">
      <alignment vertical="center"/>
    </xf>
    <xf numFmtId="49" fontId="7" fillId="0" borderId="35" xfId="0" applyNumberFormat="1" applyFont="1" applyBorder="1" applyAlignment="1" applyProtection="1">
      <alignment vertical="center"/>
    </xf>
    <xf numFmtId="0" fontId="6" fillId="0" borderId="31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vertical="center"/>
    </xf>
    <xf numFmtId="192" fontId="6" fillId="0" borderId="5" xfId="0" applyNumberFormat="1" applyFont="1" applyFill="1" applyBorder="1" applyAlignment="1" applyProtection="1">
      <alignment horizontal="center" vertical="center"/>
    </xf>
    <xf numFmtId="0" fontId="46" fillId="0" borderId="0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horizontal="left" vertical="center"/>
    </xf>
    <xf numFmtId="0" fontId="11" fillId="0" borderId="36" xfId="0" applyFont="1" applyBorder="1" applyAlignment="1" applyProtection="1">
      <alignment horizontal="centerContinuous" vertical="center"/>
    </xf>
    <xf numFmtId="0" fontId="6" fillId="0" borderId="36" xfId="0" applyFont="1" applyBorder="1" applyAlignment="1" applyProtection="1">
      <alignment horizontal="centerContinuous" vertical="center"/>
    </xf>
    <xf numFmtId="0" fontId="6" fillId="0" borderId="37" xfId="0" applyFont="1" applyBorder="1" applyAlignment="1" applyProtection="1">
      <alignment horizontal="centerContinuous" vertical="center"/>
    </xf>
    <xf numFmtId="0" fontId="43" fillId="0" borderId="0" xfId="0" applyFont="1" applyFill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vertical="center"/>
    </xf>
    <xf numFmtId="0" fontId="6" fillId="0" borderId="30" xfId="0" applyFont="1" applyBorder="1" applyAlignment="1" applyProtection="1">
      <alignment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39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198" fontId="44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quotePrefix="1" applyFont="1" applyBorder="1" applyAlignment="1" applyProtection="1">
      <alignment horizontal="center" vertical="center"/>
    </xf>
    <xf numFmtId="0" fontId="44" fillId="4" borderId="5" xfId="0" applyFont="1" applyFill="1" applyBorder="1" applyAlignment="1" applyProtection="1">
      <alignment horizontal="center" vertical="center"/>
      <protection locked="0"/>
    </xf>
    <xf numFmtId="0" fontId="46" fillId="0" borderId="5" xfId="0" applyFont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/>
    </xf>
    <xf numFmtId="0" fontId="47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center" vertical="center"/>
    </xf>
    <xf numFmtId="189" fontId="44" fillId="0" borderId="0" xfId="0" applyNumberFormat="1" applyFont="1" applyFill="1" applyBorder="1" applyAlignment="1" applyProtection="1">
      <alignment horizontal="center" vertical="center"/>
    </xf>
    <xf numFmtId="0" fontId="6" fillId="0" borderId="28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2" fontId="44" fillId="0" borderId="0" xfId="0" applyNumberFormat="1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44" fillId="4" borderId="0" xfId="0" applyFont="1" applyFill="1" applyBorder="1" applyAlignment="1" applyProtection="1">
      <alignment horizontal="center" vertical="center"/>
      <protection locked="0"/>
    </xf>
    <xf numFmtId="0" fontId="44" fillId="4" borderId="3" xfId="0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3" xfId="0" applyFont="1" applyBorder="1" applyAlignment="1" applyProtection="1">
      <alignment vertical="center"/>
    </xf>
    <xf numFmtId="0" fontId="43" fillId="0" borderId="40" xfId="0" applyFont="1" applyBorder="1" applyAlignment="1" applyProtection="1">
      <alignment horizontal="center" vertical="center"/>
    </xf>
    <xf numFmtId="0" fontId="43" fillId="0" borderId="1" xfId="0" applyFont="1" applyBorder="1" applyAlignment="1" applyProtection="1">
      <alignment horizontal="centerContinuous" vertical="center"/>
    </xf>
    <xf numFmtId="0" fontId="43" fillId="0" borderId="26" xfId="0" applyFont="1" applyBorder="1" applyAlignment="1" applyProtection="1">
      <alignment horizontal="centerContinuous" vertical="center"/>
    </xf>
    <xf numFmtId="0" fontId="43" fillId="0" borderId="1" xfId="0" applyFont="1" applyBorder="1" applyAlignment="1" applyProtection="1">
      <alignment horizontal="center" vertical="center"/>
    </xf>
    <xf numFmtId="2" fontId="43" fillId="0" borderId="27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vertical="center"/>
    </xf>
    <xf numFmtId="0" fontId="44" fillId="0" borderId="0" xfId="0" applyFont="1" applyFill="1" applyBorder="1" applyAlignment="1" applyProtection="1">
      <alignment horizontal="left" vertical="center"/>
    </xf>
    <xf numFmtId="0" fontId="43" fillId="0" borderId="41" xfId="0" applyFont="1" applyBorder="1" applyAlignment="1" applyProtection="1">
      <alignment horizontal="center" vertical="center"/>
    </xf>
    <xf numFmtId="0" fontId="43" fillId="0" borderId="28" xfId="0" applyFont="1" applyBorder="1" applyAlignment="1" applyProtection="1">
      <alignment horizontal="center" vertical="center"/>
    </xf>
    <xf numFmtId="2" fontId="43" fillId="0" borderId="29" xfId="0" applyNumberFormat="1" applyFont="1" applyBorder="1" applyAlignment="1" applyProtection="1">
      <alignment horizontal="center" vertical="center"/>
    </xf>
    <xf numFmtId="189" fontId="6" fillId="0" borderId="0" xfId="0" applyNumberFormat="1" applyFont="1" applyAlignment="1" applyProtection="1">
      <alignment vertical="center"/>
    </xf>
    <xf numFmtId="0" fontId="43" fillId="0" borderId="42" xfId="0" applyFont="1" applyBorder="1" applyAlignment="1" applyProtection="1">
      <alignment horizontal="center" vertical="center"/>
    </xf>
    <xf numFmtId="0" fontId="43" fillId="0" borderId="15" xfId="0" applyFont="1" applyBorder="1" applyAlignment="1" applyProtection="1">
      <alignment horizontal="center" vertical="center" wrapText="1"/>
    </xf>
    <xf numFmtId="0" fontId="43" fillId="0" borderId="15" xfId="0" applyFont="1" applyBorder="1" applyAlignment="1" applyProtection="1">
      <alignment horizontal="center" vertical="center"/>
    </xf>
    <xf numFmtId="0" fontId="55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0" fontId="56" fillId="0" borderId="8" xfId="0" applyFont="1" applyBorder="1" applyAlignment="1" applyProtection="1">
      <alignment horizontal="center" vertical="center"/>
    </xf>
    <xf numFmtId="0" fontId="43" fillId="0" borderId="9" xfId="0" applyFont="1" applyBorder="1" applyAlignment="1" applyProtection="1">
      <alignment horizontal="center" vertical="center"/>
    </xf>
    <xf numFmtId="185" fontId="43" fillId="0" borderId="9" xfId="0" applyNumberFormat="1" applyFont="1" applyBorder="1" applyAlignment="1" applyProtection="1">
      <alignment horizontal="center" vertical="center"/>
    </xf>
    <xf numFmtId="2" fontId="43" fillId="0" borderId="9" xfId="0" applyNumberFormat="1" applyFont="1" applyBorder="1" applyAlignment="1" applyProtection="1">
      <alignment horizontal="center" vertical="center"/>
    </xf>
    <xf numFmtId="0" fontId="43" fillId="0" borderId="10" xfId="0" applyFont="1" applyBorder="1" applyAlignment="1" applyProtection="1">
      <alignment horizontal="center" vertical="center"/>
    </xf>
    <xf numFmtId="185" fontId="47" fillId="0" borderId="3" xfId="0" applyNumberFormat="1" applyFont="1" applyFill="1" applyBorder="1" applyAlignment="1" applyProtection="1">
      <alignment horizontal="center" vertical="center"/>
    </xf>
    <xf numFmtId="0" fontId="56" fillId="0" borderId="17" xfId="0" applyFont="1" applyBorder="1" applyAlignment="1" applyProtection="1">
      <alignment horizontal="center" vertical="center"/>
    </xf>
    <xf numFmtId="188" fontId="43" fillId="0" borderId="5" xfId="0" applyNumberFormat="1" applyFont="1" applyBorder="1" applyAlignment="1" applyProtection="1">
      <alignment horizontal="center" vertical="center"/>
    </xf>
    <xf numFmtId="185" fontId="43" fillId="0" borderId="5" xfId="0" applyNumberFormat="1" applyFont="1" applyBorder="1" applyAlignment="1" applyProtection="1">
      <alignment horizontal="center" vertical="center"/>
    </xf>
    <xf numFmtId="2" fontId="43" fillId="0" borderId="5" xfId="0" applyNumberFormat="1" applyFont="1" applyBorder="1" applyAlignment="1" applyProtection="1">
      <alignment horizontal="center" vertical="center"/>
    </xf>
    <xf numFmtId="0" fontId="43" fillId="0" borderId="5" xfId="0" applyFont="1" applyBorder="1" applyAlignment="1" applyProtection="1">
      <alignment horizontal="center" vertical="center"/>
    </xf>
    <xf numFmtId="0" fontId="43" fillId="0" borderId="18" xfId="0" applyFont="1" applyBorder="1" applyAlignment="1" applyProtection="1">
      <alignment horizontal="center" vertical="center"/>
    </xf>
    <xf numFmtId="0" fontId="56" fillId="0" borderId="11" xfId="0" applyFont="1" applyBorder="1" applyAlignment="1" applyProtection="1">
      <alignment horizontal="center" vertical="center"/>
    </xf>
    <xf numFmtId="188" fontId="43" fillId="0" borderId="12" xfId="0" applyNumberFormat="1" applyFont="1" applyBorder="1" applyAlignment="1" applyProtection="1">
      <alignment horizontal="center" vertical="center"/>
    </xf>
    <xf numFmtId="185" fontId="43" fillId="0" borderId="12" xfId="0" applyNumberFormat="1" applyFont="1" applyBorder="1" applyAlignment="1" applyProtection="1">
      <alignment horizontal="center" vertical="center"/>
    </xf>
    <xf numFmtId="2" fontId="43" fillId="0" borderId="12" xfId="0" applyNumberFormat="1" applyFont="1" applyBorder="1" applyAlignment="1" applyProtection="1">
      <alignment horizontal="center" vertical="center"/>
    </xf>
    <xf numFmtId="0" fontId="43" fillId="0" borderId="12" xfId="0" applyFont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0" fillId="0" borderId="2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9" xfId="0" applyBorder="1" applyAlignment="1">
      <alignment vertical="center"/>
    </xf>
    <xf numFmtId="0" fontId="56" fillId="0" borderId="43" xfId="0" applyFont="1" applyBorder="1" applyAlignment="1" applyProtection="1">
      <alignment horizontal="center" vertical="center"/>
    </xf>
    <xf numFmtId="0" fontId="43" fillId="0" borderId="43" xfId="0" applyFont="1" applyBorder="1" applyAlignment="1" applyProtection="1">
      <alignment horizontal="center" vertical="center"/>
    </xf>
    <xf numFmtId="0" fontId="58" fillId="5" borderId="2" xfId="0" applyFont="1" applyFill="1" applyBorder="1" applyAlignment="1" applyProtection="1">
      <alignment horizontal="center" vertical="center"/>
    </xf>
    <xf numFmtId="0" fontId="58" fillId="5" borderId="3" xfId="0" applyFont="1" applyFill="1" applyBorder="1" applyAlignment="1" applyProtection="1">
      <alignment horizontal="center" vertical="center"/>
    </xf>
    <xf numFmtId="188" fontId="43" fillId="0" borderId="43" xfId="0" applyNumberFormat="1" applyFont="1" applyBorder="1" applyAlignment="1" applyProtection="1">
      <alignment horizontal="center" vertical="center"/>
    </xf>
    <xf numFmtId="1" fontId="43" fillId="0" borderId="43" xfId="0" applyNumberFormat="1" applyFont="1" applyBorder="1" applyAlignment="1" applyProtection="1">
      <alignment horizontal="center" vertical="center"/>
    </xf>
    <xf numFmtId="0" fontId="56" fillId="0" borderId="44" xfId="0" applyFont="1" applyBorder="1" applyAlignment="1" applyProtection="1">
      <alignment horizontal="center" vertical="center"/>
    </xf>
    <xf numFmtId="0" fontId="43" fillId="0" borderId="44" xfId="0" applyFont="1" applyBorder="1" applyAlignment="1" applyProtection="1">
      <alignment horizontal="center" vertical="center" wrapText="1"/>
    </xf>
    <xf numFmtId="2" fontId="58" fillId="5" borderId="28" xfId="0" applyNumberFormat="1" applyFont="1" applyFill="1" applyBorder="1" applyAlignment="1" applyProtection="1">
      <alignment vertical="center"/>
    </xf>
    <xf numFmtId="0" fontId="58" fillId="5" borderId="29" xfId="0" applyFont="1" applyFill="1" applyBorder="1" applyAlignment="1" applyProtection="1">
      <alignment horizontal="center" vertical="center"/>
    </xf>
    <xf numFmtId="187" fontId="43" fillId="0" borderId="44" xfId="0" applyNumberFormat="1" applyFont="1" applyBorder="1" applyAlignment="1" applyProtection="1">
      <alignment horizontal="center" vertical="center"/>
    </xf>
    <xf numFmtId="0" fontId="43" fillId="5" borderId="41" xfId="0" applyFont="1" applyFill="1" applyBorder="1" applyAlignment="1" applyProtection="1">
      <alignment horizontal="center" vertical="center"/>
    </xf>
    <xf numFmtId="0" fontId="43" fillId="0" borderId="45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43" fillId="0" borderId="2" xfId="0" applyFont="1" applyBorder="1" applyAlignment="1" applyProtection="1">
      <alignment horizontal="center" vertical="center"/>
    </xf>
    <xf numFmtId="2" fontId="43" fillId="0" borderId="3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185" fontId="6" fillId="0" borderId="3" xfId="0" applyNumberFormat="1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0" xfId="0" applyNumberFormat="1" applyFont="1" applyBorder="1" applyAlignment="1" applyProtection="1">
      <alignment horizontal="center"/>
    </xf>
    <xf numFmtId="0" fontId="6" fillId="0" borderId="0" xfId="0" applyFont="1" applyBorder="1" applyProtection="1"/>
    <xf numFmtId="0" fontId="44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87" fontId="6" fillId="0" borderId="3" xfId="0" applyNumberFormat="1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187" fontId="6" fillId="0" borderId="4" xfId="0" applyNumberFormat="1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6" fillId="0" borderId="4" xfId="0" applyFont="1" applyBorder="1" applyProtection="1"/>
    <xf numFmtId="0" fontId="0" fillId="0" borderId="4" xfId="0" applyBorder="1" applyAlignment="1">
      <alignment horizontal="center" vertical="center"/>
    </xf>
    <xf numFmtId="187" fontId="44" fillId="0" borderId="29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5" fillId="0" borderId="0" xfId="0" applyFont="1" applyFill="1" applyBorder="1" applyAlignment="1" applyProtection="1">
      <alignment horizontal="center" vertical="center"/>
    </xf>
    <xf numFmtId="2" fontId="6" fillId="0" borderId="2" xfId="0" applyNumberFormat="1" applyFont="1" applyBorder="1" applyAlignment="1" applyProtection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87" fontId="44" fillId="4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 applyProtection="1">
      <alignment vertical="center"/>
    </xf>
    <xf numFmtId="187" fontId="44" fillId="0" borderId="0" xfId="0" applyNumberFormat="1" applyFont="1" applyFill="1" applyBorder="1" applyAlignment="1">
      <alignment horizontal="center" vertical="center"/>
    </xf>
    <xf numFmtId="2" fontId="44" fillId="0" borderId="0" xfId="0" applyNumberFormat="1" applyFont="1" applyFill="1" applyBorder="1" applyAlignment="1">
      <alignment horizontal="center" vertical="center"/>
    </xf>
    <xf numFmtId="0" fontId="0" fillId="0" borderId="3" xfId="0" applyBorder="1"/>
    <xf numFmtId="187" fontId="0" fillId="0" borderId="30" xfId="0" applyNumberFormat="1" applyBorder="1" applyAlignment="1">
      <alignment horizontal="center" vertical="center"/>
    </xf>
    <xf numFmtId="187" fontId="0" fillId="0" borderId="0" xfId="0" applyNumberFormat="1" applyBorder="1" applyAlignment="1">
      <alignment horizontal="center" vertical="center"/>
    </xf>
    <xf numFmtId="187" fontId="47" fillId="0" borderId="0" xfId="0" applyNumberFormat="1" applyFont="1" applyBorder="1" applyAlignment="1">
      <alignment horizontal="center" vertical="center"/>
    </xf>
    <xf numFmtId="2" fontId="47" fillId="0" borderId="0" xfId="0" applyNumberFormat="1" applyFont="1" applyBorder="1" applyAlignment="1">
      <alignment horizontal="center" vertical="center"/>
    </xf>
    <xf numFmtId="0" fontId="6" fillId="0" borderId="29" xfId="0" applyFont="1" applyBorder="1" applyAlignment="1" applyProtection="1">
      <alignment vertical="center"/>
    </xf>
    <xf numFmtId="0" fontId="60" fillId="0" borderId="0" xfId="0" applyFont="1" applyFill="1" applyBorder="1" applyAlignment="1" applyProtection="1">
      <alignment horizontal="center" vertical="center"/>
      <protection locked="0"/>
    </xf>
    <xf numFmtId="185" fontId="47" fillId="0" borderId="0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65" fillId="0" borderId="1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5" fillId="0" borderId="13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53" fillId="0" borderId="9" xfId="0" applyFont="1" applyBorder="1" applyAlignment="1">
      <alignment horizontal="center"/>
    </xf>
    <xf numFmtId="0" fontId="53" fillId="0" borderId="10" xfId="0" applyFont="1" applyBorder="1" applyAlignment="1">
      <alignment horizontal="center"/>
    </xf>
    <xf numFmtId="0" fontId="66" fillId="6" borderId="0" xfId="0" applyFont="1" applyFill="1" applyAlignment="1">
      <alignment horizontal="center"/>
    </xf>
    <xf numFmtId="0" fontId="65" fillId="0" borderId="5" xfId="0" applyFont="1" applyBorder="1" applyAlignment="1">
      <alignment horizontal="center"/>
    </xf>
    <xf numFmtId="0" fontId="34" fillId="7" borderId="0" xfId="0" applyFont="1" applyFill="1" applyAlignment="1">
      <alignment horizontal="center"/>
    </xf>
    <xf numFmtId="0" fontId="65" fillId="0" borderId="12" xfId="0" applyFont="1" applyBorder="1" applyAlignment="1">
      <alignment horizontal="center"/>
    </xf>
    <xf numFmtId="0" fontId="6" fillId="0" borderId="30" xfId="0" applyNumberFormat="1" applyFont="1" applyFill="1" applyBorder="1" applyAlignment="1" applyProtection="1">
      <alignment horizontal="center" vertical="center"/>
    </xf>
    <xf numFmtId="0" fontId="38" fillId="0" borderId="0" xfId="0" applyNumberFormat="1" applyFont="1" applyAlignment="1" applyProtection="1">
      <alignment horizontal="left"/>
      <protection hidden="1"/>
    </xf>
    <xf numFmtId="0" fontId="38" fillId="0" borderId="0" xfId="0" applyNumberFormat="1" applyFont="1" applyBorder="1" applyAlignment="1" applyProtection="1">
      <alignment horizontal="left"/>
      <protection hidden="1"/>
    </xf>
    <xf numFmtId="49" fontId="4" fillId="0" borderId="0" xfId="0" applyNumberFormat="1" applyFont="1" applyAlignment="1" applyProtection="1">
      <alignment horizontal="centerContinuous"/>
      <protection hidden="1"/>
    </xf>
    <xf numFmtId="49" fontId="4" fillId="0" borderId="0" xfId="0" applyNumberFormat="1" applyFont="1" applyBorder="1" applyAlignment="1" applyProtection="1">
      <alignment horizontal="centerContinuous"/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0" fontId="6" fillId="0" borderId="12" xfId="0" applyNumberFormat="1" applyFont="1" applyBorder="1" applyAlignment="1" applyProtection="1">
      <alignment horizontal="center" vertical="center"/>
      <protection hidden="1"/>
    </xf>
    <xf numFmtId="0" fontId="35" fillId="0" borderId="0" xfId="0" applyNumberFormat="1" applyFont="1" applyBorder="1" applyAlignment="1" applyProtection="1">
      <alignment horizontal="right" vertical="center"/>
      <protection hidden="1"/>
    </xf>
    <xf numFmtId="0" fontId="38" fillId="0" borderId="0" xfId="0" applyFont="1" applyAlignment="1" applyProtection="1">
      <alignment horizontal="left"/>
    </xf>
    <xf numFmtId="0" fontId="38" fillId="0" borderId="0" xfId="0" applyFont="1" applyAlignment="1" applyProtection="1">
      <alignment horizontal="centerContinuous"/>
    </xf>
    <xf numFmtId="0" fontId="38" fillId="0" borderId="0" xfId="0" applyFont="1" applyProtection="1"/>
    <xf numFmtId="0" fontId="4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6" fillId="0" borderId="0" xfId="0" applyFont="1" applyProtection="1"/>
    <xf numFmtId="0" fontId="7" fillId="0" borderId="0" xfId="0" applyFont="1" applyProtection="1"/>
    <xf numFmtId="0" fontId="34" fillId="0" borderId="0" xfId="0" applyNumberFormat="1" applyFont="1" applyBorder="1" applyAlignment="1" applyProtection="1">
      <alignment horizontal="right"/>
      <protection hidden="1"/>
    </xf>
    <xf numFmtId="49" fontId="46" fillId="0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16" fontId="6" fillId="0" borderId="0" xfId="0" applyNumberFormat="1" applyFont="1" applyAlignment="1" applyProtection="1">
      <alignment horizontal="left" vertical="center"/>
    </xf>
    <xf numFmtId="0" fontId="6" fillId="0" borderId="6" xfId="0" applyFont="1" applyBorder="1" applyAlignment="1" applyProtection="1">
      <alignment horizontal="centerContinuous" vertical="center"/>
    </xf>
    <xf numFmtId="0" fontId="46" fillId="0" borderId="24" xfId="0" applyFont="1" applyFill="1" applyBorder="1" applyAlignment="1" applyProtection="1">
      <alignment vertical="center"/>
    </xf>
    <xf numFmtId="0" fontId="6" fillId="0" borderId="47" xfId="0" applyFont="1" applyBorder="1" applyAlignment="1" applyProtection="1">
      <alignment horizontal="center" vertical="center"/>
    </xf>
    <xf numFmtId="0" fontId="70" fillId="0" borderId="0" xfId="0" applyFont="1" applyAlignment="1" applyProtection="1">
      <alignment horizontal="center"/>
      <protection hidden="1"/>
    </xf>
    <xf numFmtId="0" fontId="71" fillId="0" borderId="0" xfId="0" applyFont="1" applyBorder="1" applyAlignment="1" applyProtection="1">
      <protection hidden="1"/>
    </xf>
    <xf numFmtId="0" fontId="72" fillId="0" borderId="0" xfId="3" applyFont="1" applyAlignment="1">
      <alignment horizontal="left" vertical="center"/>
    </xf>
    <xf numFmtId="0" fontId="7" fillId="0" borderId="0" xfId="0" applyFont="1" applyAlignment="1" applyProtection="1">
      <alignment horizontal="left"/>
      <protection hidden="1"/>
    </xf>
    <xf numFmtId="0" fontId="71" fillId="0" borderId="0" xfId="3" applyFont="1" applyBorder="1" applyProtection="1">
      <protection hidden="1"/>
    </xf>
    <xf numFmtId="0" fontId="34" fillId="0" borderId="0" xfId="2" applyNumberFormat="1" applyFont="1" applyBorder="1" applyAlignment="1" applyProtection="1">
      <alignment horizontal="left"/>
      <protection hidden="1"/>
    </xf>
    <xf numFmtId="14" fontId="73" fillId="0" borderId="0" xfId="2" applyNumberFormat="1" applyFont="1" applyBorder="1" applyAlignment="1" applyProtection="1">
      <alignment horizontal="left"/>
      <protection hidden="1"/>
    </xf>
    <xf numFmtId="9" fontId="74" fillId="0" borderId="0" xfId="4" applyFont="1" applyBorder="1" applyAlignment="1" applyProtection="1">
      <alignment horizontal="center" vertical="top" wrapText="1"/>
    </xf>
    <xf numFmtId="0" fontId="71" fillId="0" borderId="0" xfId="0" applyFont="1" applyBorder="1" applyProtection="1">
      <protection hidden="1"/>
    </xf>
    <xf numFmtId="0" fontId="4" fillId="0" borderId="0" xfId="3" applyFont="1" applyBorder="1" applyProtection="1">
      <protection hidden="1"/>
    </xf>
    <xf numFmtId="0" fontId="71" fillId="0" borderId="0" xfId="0" applyNumberFormat="1" applyFont="1" applyBorder="1" applyAlignment="1" applyProtection="1">
      <alignment horizontal="left"/>
      <protection hidden="1"/>
    </xf>
    <xf numFmtId="0" fontId="7" fillId="0" borderId="0" xfId="3" applyNumberFormat="1" applyFont="1" applyBorder="1" applyProtection="1">
      <protection hidden="1"/>
    </xf>
    <xf numFmtId="0" fontId="76" fillId="0" borderId="0" xfId="0" applyFont="1" applyBorder="1" applyProtection="1">
      <protection hidden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 applyProtection="1"/>
    <xf numFmtId="0" fontId="53" fillId="0" borderId="0" xfId="0" applyFont="1" applyFill="1" applyBorder="1" applyAlignment="1">
      <alignment horizontal="center" vertical="center"/>
    </xf>
    <xf numFmtId="187" fontId="44" fillId="0" borderId="0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</xf>
    <xf numFmtId="0" fontId="69" fillId="4" borderId="44" xfId="0" applyFont="1" applyFill="1" applyBorder="1" applyAlignment="1" applyProtection="1">
      <alignment horizontal="center" vertical="center"/>
      <protection locked="0"/>
    </xf>
    <xf numFmtId="14" fontId="67" fillId="0" borderId="0" xfId="0" applyNumberFormat="1" applyFont="1" applyBorder="1" applyAlignment="1" applyProtection="1">
      <alignment horizontal="centerContinuous" vertical="justify"/>
      <protection hidden="1"/>
    </xf>
    <xf numFmtId="49" fontId="36" fillId="0" borderId="0" xfId="0" applyNumberFormat="1" applyFont="1" applyBorder="1" applyAlignment="1" applyProtection="1">
      <alignment horizontal="centerContinuous" vertical="justify"/>
      <protection hidden="1"/>
    </xf>
    <xf numFmtId="0" fontId="36" fillId="0" borderId="0" xfId="0" applyFont="1" applyBorder="1" applyAlignment="1" applyProtection="1">
      <alignment horizontal="centerContinuous" vertical="justify"/>
      <protection hidden="1"/>
    </xf>
    <xf numFmtId="0" fontId="37" fillId="0" borderId="0" xfId="0" applyFont="1" applyBorder="1" applyAlignment="1" applyProtection="1">
      <alignment horizontal="centerContinuous" vertical="justify"/>
      <protection hidden="1"/>
    </xf>
    <xf numFmtId="0" fontId="7" fillId="0" borderId="0" xfId="0" applyFont="1" applyAlignment="1" applyProtection="1">
      <alignment horizontal="centerContinuous" vertical="justify"/>
      <protection hidden="1"/>
    </xf>
    <xf numFmtId="0" fontId="44" fillId="0" borderId="0" xfId="0" applyFont="1" applyFill="1" applyBorder="1" applyAlignment="1">
      <alignment horizontal="center" vertical="center"/>
    </xf>
    <xf numFmtId="187" fontId="44" fillId="0" borderId="0" xfId="0" applyNumberFormat="1" applyFont="1" applyFill="1" applyBorder="1" applyAlignment="1" applyProtection="1">
      <alignment horizontal="center" vertical="center"/>
    </xf>
    <xf numFmtId="185" fontId="47" fillId="0" borderId="0" xfId="0" applyNumberFormat="1" applyFont="1" applyFill="1" applyBorder="1" applyAlignment="1" applyProtection="1">
      <alignment horizontal="center" vertical="center"/>
    </xf>
    <xf numFmtId="0" fontId="44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46" fontId="60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vertical="center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</xf>
    <xf numFmtId="0" fontId="49" fillId="0" borderId="0" xfId="0" applyFont="1" applyFill="1" applyBorder="1" applyAlignment="1" applyProtection="1">
      <alignment horizontal="center" vertical="center"/>
    </xf>
    <xf numFmtId="0" fontId="50" fillId="0" borderId="0" xfId="0" applyFont="1" applyFill="1" applyBorder="1" applyAlignment="1" applyProtection="1">
      <alignment horizontal="center" vertical="center"/>
    </xf>
    <xf numFmtId="185" fontId="44" fillId="0" borderId="0" xfId="0" applyNumberFormat="1" applyFont="1" applyFill="1" applyBorder="1" applyAlignment="1" applyProtection="1">
      <alignment horizontal="center" vertical="center"/>
    </xf>
    <xf numFmtId="188" fontId="44" fillId="0" borderId="0" xfId="0" applyNumberFormat="1" applyFont="1" applyFill="1" applyBorder="1" applyAlignment="1" applyProtection="1">
      <alignment horizontal="center" vertical="center"/>
    </xf>
    <xf numFmtId="1" fontId="44" fillId="0" borderId="0" xfId="0" applyNumberFormat="1" applyFont="1" applyFill="1" applyBorder="1" applyAlignment="1" applyProtection="1">
      <alignment horizontal="center" vertical="center"/>
    </xf>
    <xf numFmtId="0" fontId="44" fillId="0" borderId="0" xfId="0" applyNumberFormat="1" applyFont="1" applyFill="1" applyBorder="1" applyAlignment="1" applyProtection="1">
      <alignment horizontal="center" vertical="center"/>
    </xf>
    <xf numFmtId="191" fontId="51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>
      <alignment vertical="center"/>
    </xf>
    <xf numFmtId="0" fontId="43" fillId="0" borderId="0" xfId="0" applyFont="1" applyFill="1" applyBorder="1" applyAlignment="1" applyProtection="1">
      <alignment horizontal="centerContinuous" vertical="center"/>
    </xf>
    <xf numFmtId="2" fontId="43" fillId="0" borderId="0" xfId="0" applyNumberFormat="1" applyFont="1" applyFill="1" applyBorder="1" applyAlignment="1" applyProtection="1">
      <alignment horizontal="center" vertical="center"/>
    </xf>
    <xf numFmtId="189" fontId="6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56" fillId="0" borderId="0" xfId="0" applyFont="1" applyFill="1" applyBorder="1" applyAlignment="1" applyProtection="1">
      <alignment horizontal="center" vertical="center"/>
    </xf>
    <xf numFmtId="185" fontId="43" fillId="0" borderId="0" xfId="0" applyNumberFormat="1" applyFont="1" applyFill="1" applyBorder="1" applyAlignment="1" applyProtection="1">
      <alignment horizontal="center" vertical="center"/>
    </xf>
    <xf numFmtId="188" fontId="43" fillId="0" borderId="0" xfId="0" applyNumberFormat="1" applyFont="1" applyFill="1" applyBorder="1" applyAlignment="1" applyProtection="1">
      <alignment horizontal="center" vertical="center"/>
    </xf>
    <xf numFmtId="189" fontId="6" fillId="0" borderId="0" xfId="0" applyNumberFormat="1" applyFont="1" applyFill="1" applyBorder="1" applyAlignment="1" applyProtection="1">
      <alignment horizontal="center" vertical="center"/>
    </xf>
    <xf numFmtId="0" fontId="58" fillId="0" borderId="0" xfId="0" applyFont="1" applyFill="1" applyBorder="1" applyAlignment="1" applyProtection="1">
      <alignment horizontal="center" vertical="center"/>
    </xf>
    <xf numFmtId="1" fontId="43" fillId="0" borderId="0" xfId="0" applyNumberFormat="1" applyFont="1" applyFill="1" applyBorder="1" applyAlignment="1" applyProtection="1">
      <alignment horizontal="center" vertical="center"/>
    </xf>
    <xf numFmtId="2" fontId="58" fillId="0" borderId="0" xfId="0" applyNumberFormat="1" applyFont="1" applyFill="1" applyBorder="1" applyAlignment="1" applyProtection="1">
      <alignment vertical="center"/>
    </xf>
    <xf numFmtId="187" fontId="43" fillId="0" borderId="0" xfId="0" applyNumberFormat="1" applyFont="1" applyFill="1" applyBorder="1" applyAlignment="1" applyProtection="1">
      <alignment horizontal="center" vertical="center"/>
    </xf>
    <xf numFmtId="49" fontId="56" fillId="0" borderId="0" xfId="0" applyNumberFormat="1" applyFont="1" applyFill="1" applyBorder="1" applyAlignment="1" applyProtection="1">
      <alignment horizontal="center" vertical="center"/>
    </xf>
    <xf numFmtId="185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left" vertical="center"/>
    </xf>
    <xf numFmtId="187" fontId="6" fillId="0" borderId="0" xfId="0" applyNumberFormat="1" applyFont="1" applyFill="1" applyBorder="1" applyAlignment="1" applyProtection="1">
      <alignment horizontal="center"/>
    </xf>
    <xf numFmtId="0" fontId="15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46" fontId="44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 applyProtection="1">
      <alignment vertical="center"/>
    </xf>
    <xf numFmtId="0" fontId="59" fillId="0" borderId="0" xfId="0" applyFont="1" applyFill="1" applyBorder="1" applyAlignment="1">
      <alignment horizontal="center" vertical="center"/>
    </xf>
    <xf numFmtId="187" fontId="0" fillId="0" borderId="0" xfId="0" applyNumberFormat="1" applyFill="1" applyBorder="1" applyAlignment="1">
      <alignment horizontal="center" vertical="center"/>
    </xf>
    <xf numFmtId="187" fontId="47" fillId="0" borderId="0" xfId="0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44" fillId="0" borderId="4" xfId="0" applyFont="1" applyFill="1" applyBorder="1" applyAlignment="1" applyProtection="1">
      <alignment horizontal="center" vertical="center"/>
    </xf>
    <xf numFmtId="197" fontId="44" fillId="0" borderId="3" xfId="0" applyNumberFormat="1" applyFont="1" applyFill="1" applyBorder="1" applyAlignment="1" applyProtection="1">
      <alignment horizontal="center" vertical="center"/>
    </xf>
    <xf numFmtId="0" fontId="44" fillId="0" borderId="3" xfId="0" applyFont="1" applyFill="1" applyBorder="1" applyAlignment="1" applyProtection="1">
      <alignment horizontal="center" vertical="center"/>
    </xf>
    <xf numFmtId="199" fontId="44" fillId="0" borderId="3" xfId="0" applyNumberFormat="1" applyFont="1" applyFill="1" applyBorder="1" applyAlignment="1" applyProtection="1">
      <alignment horizontal="center" vertical="center"/>
    </xf>
    <xf numFmtId="0" fontId="44" fillId="0" borderId="3" xfId="0" applyFont="1" applyFill="1" applyBorder="1" applyAlignment="1" applyProtection="1">
      <alignment horizontal="center" vertical="center"/>
      <protection locked="0"/>
    </xf>
    <xf numFmtId="2" fontId="44" fillId="0" borderId="31" xfId="0" applyNumberFormat="1" applyFont="1" applyFill="1" applyBorder="1" applyAlignment="1" applyProtection="1">
      <alignment horizontal="center" vertical="center"/>
      <protection locked="0"/>
    </xf>
    <xf numFmtId="49" fontId="46" fillId="0" borderId="18" xfId="0" applyNumberFormat="1" applyFont="1" applyFill="1" applyBorder="1" applyAlignment="1" applyProtection="1">
      <alignment horizontal="center" vertical="center"/>
      <protection locked="0"/>
    </xf>
    <xf numFmtId="49" fontId="44" fillId="0" borderId="3" xfId="0" applyNumberFormat="1" applyFont="1" applyFill="1" applyBorder="1" applyAlignment="1" applyProtection="1">
      <alignment horizontal="center" vertical="center"/>
      <protection locked="0"/>
    </xf>
    <xf numFmtId="0" fontId="38" fillId="0" borderId="0" xfId="3" applyNumberFormat="1" applyFont="1" applyBorder="1" applyAlignment="1" applyProtection="1">
      <alignment horizontal="left"/>
      <protection hidden="1"/>
    </xf>
    <xf numFmtId="0" fontId="38" fillId="0" borderId="0" xfId="0" applyFont="1" applyFill="1" applyBorder="1" applyAlignment="1" applyProtection="1">
      <alignment horizontal="center" vertical="center"/>
    </xf>
    <xf numFmtId="185" fontId="38" fillId="0" borderId="0" xfId="0" applyNumberFormat="1" applyFont="1" applyFill="1" applyBorder="1" applyAlignment="1" applyProtection="1">
      <alignment horizontal="center" vertical="center"/>
    </xf>
    <xf numFmtId="1" fontId="38" fillId="0" borderId="0" xfId="0" applyNumberFormat="1" applyFont="1" applyFill="1" applyBorder="1" applyAlignment="1" applyProtection="1">
      <alignment horizontal="center" vertical="center"/>
    </xf>
    <xf numFmtId="0" fontId="78" fillId="0" borderId="0" xfId="0" applyFont="1" applyFill="1" applyBorder="1" applyAlignment="1" applyProtection="1">
      <alignment horizontal="center" vertical="center"/>
    </xf>
    <xf numFmtId="49" fontId="78" fillId="0" borderId="0" xfId="0" applyNumberFormat="1" applyFont="1" applyFill="1" applyBorder="1" applyAlignment="1" applyProtection="1">
      <alignment horizontal="center" vertical="center"/>
      <protection locked="0"/>
    </xf>
    <xf numFmtId="187" fontId="78" fillId="0" borderId="0" xfId="0" applyNumberFormat="1" applyFont="1" applyFill="1" applyBorder="1" applyAlignment="1" applyProtection="1">
      <alignment horizontal="center" vertical="center"/>
    </xf>
    <xf numFmtId="0" fontId="77" fillId="0" borderId="0" xfId="0" applyFont="1" applyFill="1" applyBorder="1" applyAlignment="1" applyProtection="1">
      <alignment horizontal="center" vertical="center"/>
    </xf>
    <xf numFmtId="2" fontId="78" fillId="0" borderId="0" xfId="0" applyNumberFormat="1" applyFont="1" applyFill="1" applyBorder="1" applyAlignment="1" applyProtection="1">
      <alignment horizontal="center" vertical="center"/>
    </xf>
    <xf numFmtId="185" fontId="78" fillId="0" borderId="0" xfId="0" applyNumberFormat="1" applyFont="1" applyFill="1" applyBorder="1" applyAlignment="1" applyProtection="1">
      <alignment horizontal="center" vertical="center"/>
    </xf>
    <xf numFmtId="188" fontId="78" fillId="0" borderId="0" xfId="0" applyNumberFormat="1" applyFont="1" applyFill="1" applyBorder="1" applyAlignment="1" applyProtection="1">
      <alignment horizontal="center" vertical="center"/>
    </xf>
    <xf numFmtId="191" fontId="77" fillId="0" borderId="0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80" fillId="0" borderId="0" xfId="0" applyNumberFormat="1" applyFont="1" applyAlignment="1" applyProtection="1">
      <alignment horizontal="center" vertical="center"/>
    </xf>
    <xf numFmtId="49" fontId="44" fillId="0" borderId="0" xfId="0" applyNumberFormat="1" applyFont="1" applyFill="1" applyBorder="1" applyAlignment="1" applyProtection="1">
      <alignment horizontal="left" vertical="center"/>
      <protection locked="0"/>
    </xf>
    <xf numFmtId="0" fontId="44" fillId="0" borderId="0" xfId="0" applyNumberFormat="1" applyFont="1" applyFill="1" applyAlignment="1" applyProtection="1">
      <alignment horizontal="center" vertical="center"/>
    </xf>
    <xf numFmtId="185" fontId="44" fillId="0" borderId="0" xfId="0" applyNumberFormat="1" applyFont="1" applyFill="1" applyBorder="1" applyAlignment="1" applyProtection="1">
      <alignment horizontal="center" vertical="center"/>
      <protection locked="0"/>
    </xf>
    <xf numFmtId="188" fontId="6" fillId="0" borderId="0" xfId="0" applyNumberFormat="1" applyFont="1" applyAlignment="1" applyProtection="1">
      <alignment vertical="center"/>
    </xf>
    <xf numFmtId="1" fontId="6" fillId="0" borderId="0" xfId="0" applyNumberFormat="1" applyFont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188" fontId="6" fillId="0" borderId="0" xfId="0" applyNumberFormat="1" applyFont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38" fillId="0" borderId="0" xfId="3" applyFont="1" applyAlignment="1" applyProtection="1">
      <alignment horizontal="left"/>
      <protection hidden="1"/>
    </xf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81" fillId="0" borderId="0" xfId="0" applyFont="1"/>
    <xf numFmtId="0" fontId="6" fillId="8" borderId="0" xfId="0" applyFont="1" applyFill="1" applyAlignment="1" applyProtection="1">
      <alignment horizontal="center" vertical="center"/>
    </xf>
    <xf numFmtId="0" fontId="7" fillId="0" borderId="0" xfId="0" applyFont="1" applyBorder="1" applyAlignment="1" applyProtection="1">
      <alignment vertical="top"/>
      <protection hidden="1"/>
    </xf>
    <xf numFmtId="0" fontId="39" fillId="0" borderId="35" xfId="0" applyFont="1" applyBorder="1" applyProtection="1">
      <protection hidden="1"/>
    </xf>
    <xf numFmtId="0" fontId="39" fillId="0" borderId="35" xfId="0" applyFont="1" applyBorder="1" applyAlignment="1" applyProtection="1">
      <alignment horizontal="left"/>
      <protection hidden="1"/>
    </xf>
    <xf numFmtId="0" fontId="7" fillId="0" borderId="35" xfId="0" applyFont="1" applyBorder="1" applyProtection="1">
      <protection hidden="1"/>
    </xf>
    <xf numFmtId="0" fontId="38" fillId="0" borderId="35" xfId="0" applyFont="1" applyBorder="1" applyAlignment="1" applyProtection="1">
      <protection hidden="1"/>
    </xf>
    <xf numFmtId="0" fontId="6" fillId="0" borderId="0" xfId="0" applyFont="1" applyFill="1" applyAlignment="1" applyProtection="1">
      <alignment horizontal="center" vertical="center"/>
    </xf>
    <xf numFmtId="0" fontId="4" fillId="0" borderId="4" xfId="0" applyFont="1" applyBorder="1" applyProtection="1">
      <protection hidden="1"/>
    </xf>
    <xf numFmtId="1" fontId="38" fillId="0" borderId="4" xfId="0" applyNumberFormat="1" applyFont="1" applyBorder="1" applyAlignment="1" applyProtection="1">
      <alignment horizontal="center"/>
      <protection hidden="1"/>
    </xf>
    <xf numFmtId="2" fontId="38" fillId="0" borderId="4" xfId="0" applyNumberFormat="1" applyFont="1" applyBorder="1" applyAlignment="1" applyProtection="1">
      <alignment horizontal="centerContinuous"/>
      <protection hidden="1"/>
    </xf>
    <xf numFmtId="0" fontId="38" fillId="0" borderId="4" xfId="0" applyFont="1" applyBorder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2" fontId="38" fillId="0" borderId="0" xfId="0" applyNumberFormat="1" applyFont="1" applyBorder="1" applyAlignment="1" applyProtection="1">
      <alignment horizontal="centerContinuous" vertical="center"/>
      <protection hidden="1"/>
    </xf>
    <xf numFmtId="2" fontId="82" fillId="0" borderId="0" xfId="0" applyNumberFormat="1" applyFont="1" applyBorder="1" applyAlignment="1" applyProtection="1">
      <alignment horizontal="centerContinuous" vertical="center"/>
      <protection hidden="1"/>
    </xf>
    <xf numFmtId="1" fontId="38" fillId="0" borderId="30" xfId="0" applyNumberFormat="1" applyFont="1" applyBorder="1" applyAlignment="1" applyProtection="1">
      <alignment horizontal="center" vertical="center"/>
      <protection hidden="1"/>
    </xf>
    <xf numFmtId="0" fontId="7" fillId="0" borderId="26" xfId="0" applyFont="1" applyBorder="1" applyProtection="1">
      <protection hidden="1"/>
    </xf>
    <xf numFmtId="0" fontId="38" fillId="0" borderId="26" xfId="0" applyFont="1" applyBorder="1" applyAlignment="1" applyProtection="1">
      <alignment horizontal="center" vertical="center"/>
      <protection hidden="1"/>
    </xf>
    <xf numFmtId="187" fontId="38" fillId="0" borderId="2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Fill="1" applyBorder="1" applyProtection="1">
      <protection hidden="1"/>
    </xf>
    <xf numFmtId="0" fontId="8" fillId="0" borderId="5" xfId="0" applyFont="1" applyFill="1" applyBorder="1" applyProtection="1">
      <protection hidden="1"/>
    </xf>
    <xf numFmtId="0" fontId="9" fillId="0" borderId="5" xfId="0" applyFont="1" applyFill="1" applyBorder="1" applyAlignment="1" applyProtection="1">
      <alignment horizontal="centerContinuous"/>
      <protection hidden="1"/>
    </xf>
    <xf numFmtId="0" fontId="10" fillId="0" borderId="5" xfId="0" applyFont="1" applyFill="1" applyBorder="1" applyAlignment="1" applyProtection="1">
      <alignment horizontal="centerContinuous"/>
      <protection hidden="1"/>
    </xf>
    <xf numFmtId="0" fontId="8" fillId="0" borderId="5" xfId="0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alignment horizontal="center" vertical="center" wrapText="1"/>
      <protection hidden="1"/>
    </xf>
    <xf numFmtId="0" fontId="11" fillId="0" borderId="5" xfId="0" applyFont="1" applyFill="1" applyBorder="1" applyAlignment="1" applyProtection="1">
      <alignment horizontal="center" wrapText="1"/>
      <protection hidden="1"/>
    </xf>
    <xf numFmtId="0" fontId="11" fillId="0" borderId="5" xfId="0" applyFont="1" applyFill="1" applyBorder="1" applyAlignment="1" applyProtection="1">
      <alignment horizontal="centerContinuous" vertical="center" wrapText="1"/>
      <protection hidden="1"/>
    </xf>
    <xf numFmtId="0" fontId="12" fillId="0" borderId="5" xfId="0" applyFont="1" applyFill="1" applyBorder="1" applyAlignment="1" applyProtection="1">
      <alignment vertical="center"/>
      <protection hidden="1"/>
    </xf>
    <xf numFmtId="49" fontId="6" fillId="0" borderId="5" xfId="0" applyNumberFormat="1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/>
      <protection hidden="1"/>
    </xf>
    <xf numFmtId="0" fontId="6" fillId="0" borderId="5" xfId="0" applyNumberFormat="1" applyFont="1" applyFill="1" applyBorder="1" applyAlignment="1" applyProtection="1">
      <alignment horizontal="center" vertical="center"/>
      <protection hidden="1"/>
    </xf>
    <xf numFmtId="49" fontId="6" fillId="0" borderId="5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 applyProtection="1">
      <alignment horizontal="centerContinuous" vertical="center"/>
      <protection hidden="1"/>
    </xf>
    <xf numFmtId="2" fontId="13" fillId="0" borderId="5" xfId="0" applyNumberFormat="1" applyFont="1" applyFill="1" applyBorder="1" applyAlignment="1" applyProtection="1">
      <alignment horizontal="center" vertical="center"/>
      <protection hidden="1"/>
    </xf>
    <xf numFmtId="0" fontId="14" fillId="0" borderId="5" xfId="0" applyFont="1" applyFill="1" applyBorder="1" applyAlignment="1" applyProtection="1">
      <alignment horizontal="center" vertical="center"/>
      <protection hidden="1"/>
    </xf>
    <xf numFmtId="0" fontId="7" fillId="0" borderId="5" xfId="0" applyFont="1" applyFill="1" applyBorder="1" applyAlignment="1" applyProtection="1">
      <alignment vertical="center"/>
      <protection hidden="1"/>
    </xf>
    <xf numFmtId="0" fontId="11" fillId="0" borderId="5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14" fontId="15" fillId="0" borderId="5" xfId="0" applyNumberFormat="1" applyFont="1" applyFill="1" applyBorder="1" applyAlignment="1" applyProtection="1">
      <alignment horizontal="center"/>
      <protection hidden="1"/>
    </xf>
    <xf numFmtId="0" fontId="16" fillId="0" borderId="5" xfId="0" applyFont="1" applyFill="1" applyBorder="1" applyAlignment="1" applyProtection="1">
      <alignment horizontal="center" vertical="center" wrapText="1"/>
      <protection hidden="1"/>
    </xf>
    <xf numFmtId="0" fontId="17" fillId="0" borderId="5" xfId="0" applyFont="1" applyFill="1" applyBorder="1" applyAlignment="1" applyProtection="1">
      <alignment horizontal="center" vertical="center"/>
      <protection hidden="1"/>
    </xf>
    <xf numFmtId="0" fontId="17" fillId="0" borderId="5" xfId="0" applyFont="1" applyFill="1" applyBorder="1" applyAlignment="1" applyProtection="1">
      <alignment horizontal="centerContinuous" vertical="center"/>
      <protection hidden="1"/>
    </xf>
    <xf numFmtId="0" fontId="17" fillId="0" borderId="5" xfId="0" applyFont="1" applyFill="1" applyBorder="1" applyAlignment="1" applyProtection="1">
      <alignment horizontal="center" vertical="center" wrapText="1"/>
      <protection hidden="1"/>
    </xf>
    <xf numFmtId="0" fontId="19" fillId="0" borderId="5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Protection="1">
      <protection hidden="1"/>
    </xf>
    <xf numFmtId="49" fontId="22" fillId="0" borderId="5" xfId="0" applyNumberFormat="1" applyFont="1" applyFill="1" applyBorder="1" applyAlignment="1" applyProtection="1">
      <alignment horizontal="center" vertical="center"/>
      <protection hidden="1"/>
    </xf>
    <xf numFmtId="190" fontId="22" fillId="0" borderId="5" xfId="0" applyNumberFormat="1" applyFont="1" applyFill="1" applyBorder="1" applyAlignment="1" applyProtection="1">
      <alignment horizontal="center" vertical="center"/>
      <protection hidden="1"/>
    </xf>
    <xf numFmtId="1" fontId="22" fillId="0" borderId="5" xfId="0" applyNumberFormat="1" applyFont="1" applyFill="1" applyBorder="1" applyAlignment="1" applyProtection="1">
      <alignment horizontal="center" vertical="center"/>
      <protection hidden="1"/>
    </xf>
    <xf numFmtId="183" fontId="7" fillId="0" borderId="5" xfId="1" applyFont="1" applyFill="1" applyBorder="1" applyProtection="1">
      <protection hidden="1"/>
    </xf>
    <xf numFmtId="2" fontId="22" fillId="0" borderId="5" xfId="0" applyNumberFormat="1" applyFont="1" applyFill="1" applyBorder="1" applyAlignment="1" applyProtection="1">
      <alignment horizontal="center" vertical="center"/>
      <protection hidden="1"/>
    </xf>
    <xf numFmtId="185" fontId="22" fillId="0" borderId="5" xfId="0" applyNumberFormat="1" applyFont="1" applyFill="1" applyBorder="1" applyAlignment="1" applyProtection="1">
      <alignment horizontal="center" vertical="center"/>
      <protection hidden="1"/>
    </xf>
    <xf numFmtId="0" fontId="23" fillId="0" borderId="5" xfId="0" applyFont="1" applyFill="1" applyBorder="1" applyAlignment="1" applyProtection="1">
      <alignment horizontal="center" vertical="center"/>
      <protection hidden="1"/>
    </xf>
    <xf numFmtId="188" fontId="6" fillId="0" borderId="5" xfId="0" applyNumberFormat="1" applyFont="1" applyFill="1" applyBorder="1" applyAlignment="1" applyProtection="1">
      <alignment horizontal="center" vertical="center"/>
      <protection hidden="1"/>
    </xf>
    <xf numFmtId="185" fontId="6" fillId="0" borderId="5" xfId="0" applyNumberFormat="1" applyFont="1" applyFill="1" applyBorder="1" applyAlignment="1" applyProtection="1">
      <alignment horizontal="center" vertical="center"/>
      <protection hidden="1"/>
    </xf>
    <xf numFmtId="1" fontId="6" fillId="0" borderId="5" xfId="0" applyNumberFormat="1" applyFont="1" applyFill="1" applyBorder="1" applyAlignment="1" applyProtection="1">
      <alignment horizontal="center" vertical="center"/>
      <protection hidden="1"/>
    </xf>
    <xf numFmtId="0" fontId="1" fillId="0" borderId="5" xfId="0" applyFont="1" applyFill="1" applyBorder="1" applyAlignment="1" applyProtection="1">
      <alignment vertical="center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Fill="1" applyBorder="1" applyAlignment="1" applyProtection="1">
      <alignment horizontal="center" vertical="center"/>
      <protection hidden="1"/>
    </xf>
    <xf numFmtId="0" fontId="28" fillId="0" borderId="5" xfId="0" applyFont="1" applyFill="1" applyBorder="1" applyAlignment="1" applyProtection="1">
      <alignment horizontal="center" vertical="center"/>
      <protection hidden="1"/>
    </xf>
    <xf numFmtId="190" fontId="6" fillId="0" borderId="5" xfId="0" applyNumberFormat="1" applyFont="1" applyFill="1" applyBorder="1" applyAlignment="1" applyProtection="1">
      <alignment horizontal="center" vertical="center"/>
      <protection hidden="1"/>
    </xf>
    <xf numFmtId="0" fontId="29" fillId="0" borderId="5" xfId="0" applyFont="1" applyFill="1" applyBorder="1" applyAlignment="1" applyProtection="1">
      <alignment horizontal="center" vertical="center"/>
      <protection hidden="1"/>
    </xf>
    <xf numFmtId="188" fontId="17" fillId="0" borderId="5" xfId="0" applyNumberFormat="1" applyFont="1" applyFill="1" applyBorder="1" applyAlignment="1" applyProtection="1">
      <alignment horizontal="center" vertical="center"/>
      <protection hidden="1"/>
    </xf>
    <xf numFmtId="0" fontId="27" fillId="0" borderId="5" xfId="0" applyFont="1" applyFill="1" applyBorder="1" applyAlignment="1" applyProtection="1">
      <alignment horizontal="center" vertical="center" wrapText="1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7" fontId="6" fillId="0" borderId="5" xfId="0" applyNumberFormat="1" applyFont="1" applyFill="1" applyBorder="1" applyAlignment="1" applyProtection="1">
      <alignment horizontal="center" vertical="center"/>
      <protection hidden="1"/>
    </xf>
    <xf numFmtId="0" fontId="31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Fill="1" applyBorder="1" applyProtection="1">
      <protection hidden="1"/>
    </xf>
    <xf numFmtId="0" fontId="0" fillId="0" borderId="5" xfId="0" applyFill="1" applyBorder="1" applyProtection="1">
      <protection hidden="1"/>
    </xf>
    <xf numFmtId="0" fontId="84" fillId="0" borderId="0" xfId="0" applyFont="1" applyAlignment="1" applyProtection="1">
      <alignment vertical="top"/>
      <protection hidden="1"/>
    </xf>
    <xf numFmtId="49" fontId="38" fillId="0" borderId="0" xfId="0" applyNumberFormat="1" applyFont="1" applyAlignment="1" applyProtection="1">
      <alignment horizontal="left" vertical="top"/>
      <protection hidden="1"/>
    </xf>
    <xf numFmtId="0" fontId="6" fillId="0" borderId="3" xfId="0" applyFont="1" applyBorder="1" applyAlignment="1" applyProtection="1">
      <alignment horizontal="center" vertical="center"/>
    </xf>
    <xf numFmtId="188" fontId="43" fillId="0" borderId="28" xfId="0" applyNumberFormat="1" applyFont="1" applyBorder="1" applyAlignment="1" applyProtection="1">
      <alignment horizontal="center" vertical="center"/>
    </xf>
    <xf numFmtId="188" fontId="43" fillId="0" borderId="29" xfId="0" applyNumberFormat="1" applyFont="1" applyBorder="1" applyAlignment="1" applyProtection="1">
      <alignment horizontal="center" vertical="center"/>
    </xf>
    <xf numFmtId="0" fontId="38" fillId="9" borderId="0" xfId="0" applyFont="1" applyFill="1" applyBorder="1" applyAlignment="1" applyProtection="1">
      <alignment horizontal="center" vertical="center"/>
    </xf>
    <xf numFmtId="0" fontId="77" fillId="9" borderId="0" xfId="0" applyNumberFormat="1" applyFont="1" applyFill="1" applyBorder="1" applyAlignment="1" applyProtection="1">
      <alignment horizontal="center" vertical="center"/>
    </xf>
    <xf numFmtId="187" fontId="6" fillId="0" borderId="0" xfId="0" applyNumberFormat="1" applyFont="1" applyAlignment="1" applyProtection="1">
      <alignment horizontal="center" vertical="center"/>
    </xf>
    <xf numFmtId="0" fontId="43" fillId="0" borderId="26" xfId="0" applyFont="1" applyBorder="1" applyAlignment="1" applyProtection="1">
      <alignment horizontal="center" vertical="center"/>
    </xf>
    <xf numFmtId="49" fontId="2" fillId="0" borderId="0" xfId="0" applyNumberFormat="1" applyFont="1" applyAlignment="1"/>
    <xf numFmtId="0" fontId="6" fillId="9" borderId="2" xfId="0" applyFont="1" applyFill="1" applyBorder="1" applyAlignment="1" applyProtection="1">
      <alignment vertical="center"/>
    </xf>
    <xf numFmtId="2" fontId="6" fillId="9" borderId="0" xfId="0" applyNumberFormat="1" applyFont="1" applyFill="1" applyBorder="1" applyAlignment="1">
      <alignment horizontal="center" vertical="center"/>
    </xf>
    <xf numFmtId="187" fontId="6" fillId="9" borderId="0" xfId="0" applyNumberFormat="1" applyFont="1" applyFill="1" applyBorder="1" applyAlignment="1">
      <alignment horizontal="center" vertical="center"/>
    </xf>
    <xf numFmtId="187" fontId="6" fillId="9" borderId="0" xfId="0" applyNumberFormat="1" applyFont="1" applyFill="1" applyBorder="1" applyAlignment="1" applyProtection="1">
      <alignment horizontal="center" vertical="center"/>
    </xf>
    <xf numFmtId="187" fontId="4" fillId="9" borderId="0" xfId="0" applyNumberFormat="1" applyFont="1" applyFill="1" applyBorder="1" applyAlignment="1">
      <alignment horizontal="center" vertical="center"/>
    </xf>
    <xf numFmtId="185" fontId="6" fillId="9" borderId="0" xfId="0" applyNumberFormat="1" applyFont="1" applyFill="1" applyBorder="1" applyAlignment="1">
      <alignment horizontal="center" vertical="center"/>
    </xf>
    <xf numFmtId="185" fontId="6" fillId="9" borderId="0" xfId="0" applyNumberFormat="1" applyFont="1" applyFill="1" applyBorder="1" applyAlignment="1" applyProtection="1">
      <alignment horizontal="center" vertical="center"/>
    </xf>
    <xf numFmtId="185" fontId="4" fillId="9" borderId="0" xfId="0" applyNumberFormat="1" applyFont="1" applyFill="1" applyBorder="1" applyAlignment="1">
      <alignment horizontal="center" vertical="center"/>
    </xf>
    <xf numFmtId="0" fontId="43" fillId="0" borderId="18" xfId="0" applyFont="1" applyFill="1" applyBorder="1" applyAlignment="1" applyProtection="1">
      <alignment horizontal="center" vertical="center"/>
    </xf>
    <xf numFmtId="0" fontId="43" fillId="0" borderId="3" xfId="0" applyFont="1" applyBorder="1" applyAlignment="1" applyProtection="1">
      <alignment horizontal="center" vertical="center"/>
    </xf>
    <xf numFmtId="2" fontId="82" fillId="0" borderId="0" xfId="0" applyNumberFormat="1" applyFont="1" applyBorder="1" applyAlignment="1" applyProtection="1">
      <alignment horizontal="center" vertical="center"/>
      <protection hidden="1"/>
    </xf>
    <xf numFmtId="0" fontId="0" fillId="0" borderId="26" xfId="0" applyBorder="1"/>
    <xf numFmtId="0" fontId="0" fillId="9" borderId="0" xfId="0" applyFill="1" applyAlignment="1">
      <alignment vertical="center"/>
    </xf>
    <xf numFmtId="0" fontId="86" fillId="9" borderId="0" xfId="0" applyFont="1" applyFill="1" applyAlignment="1">
      <alignment vertical="center"/>
    </xf>
    <xf numFmtId="0" fontId="87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85" fillId="0" borderId="0" xfId="0" applyFont="1" applyProtection="1"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5" fillId="11" borderId="48" xfId="0" applyFont="1" applyFill="1" applyBorder="1" applyAlignment="1" applyProtection="1">
      <alignment horizontal="center" vertical="center"/>
      <protection hidden="1"/>
    </xf>
    <xf numFmtId="0" fontId="89" fillId="11" borderId="49" xfId="0" applyFont="1" applyFill="1" applyBorder="1" applyAlignment="1" applyProtection="1">
      <alignment horizontal="center" vertical="center"/>
      <protection locked="0" hidden="1"/>
    </xf>
    <xf numFmtId="0" fontId="34" fillId="0" borderId="0" xfId="0" applyFont="1" applyBorder="1" applyAlignment="1" applyProtection="1">
      <alignment horizontal="center" vertical="center"/>
      <protection hidden="1"/>
    </xf>
    <xf numFmtId="0" fontId="6" fillId="12" borderId="0" xfId="0" applyFont="1" applyFill="1" applyAlignment="1" applyProtection="1">
      <alignment vertical="center"/>
    </xf>
    <xf numFmtId="0" fontId="6" fillId="12" borderId="2" xfId="0" applyFont="1" applyFill="1" applyBorder="1" applyAlignment="1" applyProtection="1">
      <alignment horizontal="center" vertical="center"/>
    </xf>
    <xf numFmtId="0" fontId="6" fillId="12" borderId="3" xfId="0" applyFont="1" applyFill="1" applyBorder="1" applyAlignment="1" applyProtection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49" fontId="38" fillId="0" borderId="0" xfId="3" applyNumberFormat="1" applyFont="1" applyAlignment="1" applyProtection="1">
      <alignment horizontal="left"/>
      <protection hidden="1"/>
    </xf>
    <xf numFmtId="0" fontId="100" fillId="0" borderId="0" xfId="3" applyFont="1" applyAlignment="1">
      <alignment horizontal="center" vertical="center"/>
    </xf>
    <xf numFmtId="0" fontId="90" fillId="0" borderId="0" xfId="0" applyFont="1" applyProtection="1">
      <protection hidden="1"/>
    </xf>
    <xf numFmtId="0" fontId="101" fillId="0" borderId="0" xfId="3" applyFont="1" applyAlignment="1">
      <alignment horizontal="center" vertical="center"/>
    </xf>
    <xf numFmtId="0" fontId="102" fillId="0" borderId="0" xfId="3" applyFont="1" applyBorder="1" applyProtection="1">
      <protection hidden="1"/>
    </xf>
    <xf numFmtId="0" fontId="103" fillId="0" borderId="0" xfId="0" applyFont="1" applyAlignment="1" applyProtection="1">
      <alignment horizontal="center" vertical="center"/>
      <protection hidden="1"/>
    </xf>
    <xf numFmtId="0" fontId="90" fillId="0" borderId="0" xfId="0" applyFont="1" applyBorder="1" applyProtection="1">
      <protection hidden="1"/>
    </xf>
    <xf numFmtId="0" fontId="102" fillId="0" borderId="0" xfId="0" applyFont="1" applyBorder="1" applyProtection="1">
      <protection hidden="1"/>
    </xf>
    <xf numFmtId="0" fontId="91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3" fillId="0" borderId="0" xfId="0" applyFont="1" applyBorder="1" applyProtection="1">
      <protection hidden="1"/>
    </xf>
    <xf numFmtId="0" fontId="90" fillId="0" borderId="0" xfId="0" applyFont="1" applyAlignment="1" applyProtection="1">
      <alignment horizontal="left"/>
      <protection hidden="1"/>
    </xf>
    <xf numFmtId="0" fontId="90" fillId="0" borderId="30" xfId="0" applyFont="1" applyBorder="1" applyProtection="1">
      <protection hidden="1"/>
    </xf>
    <xf numFmtId="0" fontId="93" fillId="0" borderId="0" xfId="3" applyFont="1" applyBorder="1" applyProtection="1">
      <protection hidden="1"/>
    </xf>
    <xf numFmtId="0" fontId="93" fillId="0" borderId="0" xfId="3" applyNumberFormat="1" applyFont="1" applyBorder="1" applyAlignment="1" applyProtection="1">
      <alignment horizontal="left"/>
      <protection hidden="1"/>
    </xf>
    <xf numFmtId="0" fontId="90" fillId="0" borderId="0" xfId="0" applyFont="1" applyBorder="1" applyAlignment="1" applyProtection="1">
      <alignment vertical="top"/>
      <protection hidden="1"/>
    </xf>
    <xf numFmtId="0" fontId="93" fillId="0" borderId="0" xfId="0" applyFont="1" applyProtection="1">
      <protection hidden="1"/>
    </xf>
    <xf numFmtId="0" fontId="90" fillId="0" borderId="0" xfId="0" applyFont="1" applyAlignment="1" applyProtection="1">
      <protection hidden="1"/>
    </xf>
    <xf numFmtId="0" fontId="93" fillId="0" borderId="0" xfId="0" applyFont="1" applyAlignment="1" applyProtection="1">
      <alignment horizontal="justify" vertical="top"/>
      <protection hidden="1"/>
    </xf>
    <xf numFmtId="0" fontId="90" fillId="0" borderId="0" xfId="0" applyFont="1"/>
    <xf numFmtId="0" fontId="93" fillId="0" borderId="0" xfId="0" applyFont="1" applyAlignment="1" applyProtection="1">
      <alignment horizontal="left" vertical="top"/>
      <protection hidden="1"/>
    </xf>
    <xf numFmtId="0" fontId="93" fillId="0" borderId="0" xfId="0" applyFont="1" applyAlignment="1" applyProtection="1">
      <protection hidden="1"/>
    </xf>
    <xf numFmtId="0" fontId="93" fillId="0" borderId="0" xfId="0" applyFont="1" applyAlignment="1" applyProtection="1">
      <alignment vertical="top"/>
      <protection hidden="1"/>
    </xf>
    <xf numFmtId="49" fontId="93" fillId="0" borderId="0" xfId="0" applyNumberFormat="1" applyFont="1" applyAlignment="1" applyProtection="1">
      <alignment horizontal="left" vertical="top"/>
      <protection hidden="1"/>
    </xf>
    <xf numFmtId="0" fontId="93" fillId="0" borderId="0" xfId="0" applyFont="1" applyAlignment="1" applyProtection="1">
      <alignment horizontal="justify" vertical="top" wrapText="1"/>
      <protection hidden="1"/>
    </xf>
    <xf numFmtId="2" fontId="93" fillId="0" borderId="0" xfId="0" applyNumberFormat="1" applyFont="1" applyBorder="1" applyAlignment="1" applyProtection="1">
      <alignment horizontal="center"/>
      <protection hidden="1"/>
    </xf>
    <xf numFmtId="0" fontId="90" fillId="0" borderId="4" xfId="0" applyFont="1" applyBorder="1" applyProtection="1">
      <protection hidden="1"/>
    </xf>
    <xf numFmtId="1" fontId="93" fillId="0" borderId="4" xfId="0" applyNumberFormat="1" applyFont="1" applyBorder="1" applyAlignment="1" applyProtection="1">
      <alignment horizontal="center"/>
      <protection hidden="1"/>
    </xf>
    <xf numFmtId="2" fontId="93" fillId="0" borderId="4" xfId="0" applyNumberFormat="1" applyFont="1" applyBorder="1" applyAlignment="1" applyProtection="1">
      <alignment horizontal="centerContinuous"/>
      <protection hidden="1"/>
    </xf>
    <xf numFmtId="0" fontId="93" fillId="0" borderId="4" xfId="0" applyFont="1" applyBorder="1" applyProtection="1">
      <protection hidden="1"/>
    </xf>
    <xf numFmtId="2" fontId="93" fillId="0" borderId="0" xfId="0" applyNumberFormat="1" applyFont="1" applyBorder="1" applyAlignment="1" applyProtection="1">
      <alignment horizontal="center" vertical="center"/>
      <protection hidden="1"/>
    </xf>
    <xf numFmtId="0" fontId="93" fillId="0" borderId="0" xfId="0" applyFont="1" applyAlignment="1" applyProtection="1">
      <alignment horizontal="center" vertical="center"/>
      <protection hidden="1"/>
    </xf>
    <xf numFmtId="0" fontId="90" fillId="0" borderId="0" xfId="0" applyFont="1" applyBorder="1"/>
    <xf numFmtId="187" fontId="93" fillId="0" borderId="0" xfId="0" applyNumberFormat="1" applyFont="1" applyAlignment="1" applyProtection="1">
      <alignment horizontal="center" vertical="center"/>
      <protection hidden="1"/>
    </xf>
    <xf numFmtId="1" fontId="93" fillId="0" borderId="0" xfId="0" applyNumberFormat="1" applyFont="1" applyAlignment="1" applyProtection="1">
      <alignment horizontal="center" vertical="center"/>
      <protection hidden="1"/>
    </xf>
    <xf numFmtId="2" fontId="93" fillId="0" borderId="0" xfId="0" applyNumberFormat="1" applyFont="1" applyAlignment="1" applyProtection="1">
      <alignment horizontal="center" vertical="center"/>
      <protection hidden="1"/>
    </xf>
    <xf numFmtId="0" fontId="93" fillId="0" borderId="0" xfId="0" applyFont="1" applyBorder="1" applyAlignment="1" applyProtection="1">
      <alignment horizontal="center" vertical="center"/>
      <protection hidden="1"/>
    </xf>
    <xf numFmtId="187" fontId="93" fillId="0" borderId="0" xfId="0" applyNumberFormat="1" applyFont="1" applyBorder="1" applyAlignment="1" applyProtection="1">
      <alignment horizontal="center" vertical="center"/>
      <protection hidden="1"/>
    </xf>
    <xf numFmtId="1" fontId="93" fillId="0" borderId="0" xfId="0" applyNumberFormat="1" applyFont="1" applyBorder="1" applyAlignment="1" applyProtection="1">
      <alignment horizontal="center" vertical="center"/>
      <protection hidden="1"/>
    </xf>
    <xf numFmtId="0" fontId="90" fillId="0" borderId="26" xfId="0" applyFont="1" applyBorder="1" applyProtection="1">
      <protection hidden="1"/>
    </xf>
    <xf numFmtId="0" fontId="90" fillId="0" borderId="0" xfId="0" applyFont="1" applyAlignment="1" applyProtection="1">
      <alignment vertical="center"/>
      <protection hidden="1"/>
    </xf>
    <xf numFmtId="0" fontId="90" fillId="0" borderId="4" xfId="0" applyFont="1" applyBorder="1" applyAlignment="1" applyProtection="1">
      <alignment vertical="center"/>
      <protection hidden="1"/>
    </xf>
    <xf numFmtId="1" fontId="93" fillId="0" borderId="4" xfId="0" applyNumberFormat="1" applyFont="1" applyBorder="1" applyAlignment="1" applyProtection="1">
      <alignment horizontal="center" vertical="center"/>
      <protection hidden="1"/>
    </xf>
    <xf numFmtId="2" fontId="93" fillId="0" borderId="4" xfId="0" applyNumberFormat="1" applyFont="1" applyBorder="1" applyAlignment="1" applyProtection="1">
      <alignment horizontal="centerContinuous" vertical="center"/>
      <protection hidden="1"/>
    </xf>
    <xf numFmtId="0" fontId="93" fillId="0" borderId="0" xfId="0" applyFont="1" applyAlignment="1" applyProtection="1">
      <alignment horizontal="left"/>
      <protection hidden="1"/>
    </xf>
    <xf numFmtId="0" fontId="90" fillId="0" borderId="26" xfId="0" applyFont="1" applyBorder="1"/>
    <xf numFmtId="0" fontId="92" fillId="0" borderId="0" xfId="0" applyFont="1" applyProtection="1"/>
    <xf numFmtId="0" fontId="90" fillId="0" borderId="0" xfId="0" applyFont="1" applyProtection="1"/>
    <xf numFmtId="0" fontId="92" fillId="0" borderId="0" xfId="0" applyFont="1" applyAlignment="1" applyProtection="1">
      <alignment horizontal="centerContinuous"/>
      <protection hidden="1"/>
    </xf>
    <xf numFmtId="0" fontId="93" fillId="0" borderId="0" xfId="0" applyFont="1" applyAlignment="1" applyProtection="1">
      <alignment horizontal="centerContinuous"/>
    </xf>
    <xf numFmtId="0" fontId="93" fillId="0" borderId="0" xfId="0" applyFont="1" applyProtection="1"/>
    <xf numFmtId="0" fontId="91" fillId="0" borderId="0" xfId="0" applyFont="1" applyAlignment="1" applyProtection="1">
      <alignment horizontal="right"/>
    </xf>
    <xf numFmtId="0" fontId="91" fillId="0" borderId="0" xfId="0" applyFont="1" applyAlignment="1" applyProtection="1">
      <alignment horizontal="left"/>
    </xf>
    <xf numFmtId="0" fontId="92" fillId="0" borderId="0" xfId="0" applyFont="1" applyBorder="1" applyProtection="1">
      <protection hidden="1"/>
    </xf>
    <xf numFmtId="0" fontId="93" fillId="0" borderId="0" xfId="0" applyFont="1" applyAlignment="1" applyProtection="1">
      <alignment horizontal="centerContinuous"/>
      <protection hidden="1"/>
    </xf>
    <xf numFmtId="0" fontId="93" fillId="0" borderId="0" xfId="0" applyFont="1" applyAlignment="1" applyProtection="1">
      <alignment horizontal="right"/>
      <protection hidden="1"/>
    </xf>
    <xf numFmtId="1" fontId="93" fillId="0" borderId="0" xfId="0" applyNumberFormat="1" applyFont="1" applyAlignment="1" applyProtection="1">
      <alignment horizontal="left"/>
      <protection hidden="1"/>
    </xf>
    <xf numFmtId="0" fontId="93" fillId="0" borderId="0" xfId="0" applyFont="1" applyBorder="1" applyAlignment="1" applyProtection="1">
      <alignment horizontal="centerContinuous"/>
      <protection hidden="1"/>
    </xf>
    <xf numFmtId="0" fontId="96" fillId="0" borderId="0" xfId="0" applyFont="1" applyBorder="1" applyProtection="1">
      <protection hidden="1"/>
    </xf>
    <xf numFmtId="0" fontId="91" fillId="0" borderId="0" xfId="0" applyFont="1" applyAlignment="1" applyProtection="1">
      <alignment horizontal="right"/>
      <protection hidden="1"/>
    </xf>
    <xf numFmtId="0" fontId="91" fillId="0" borderId="0" xfId="0" applyFont="1" applyAlignment="1" applyProtection="1">
      <alignment horizontal="left"/>
      <protection hidden="1"/>
    </xf>
    <xf numFmtId="0" fontId="92" fillId="0" borderId="0" xfId="0" applyFont="1" applyFill="1" applyBorder="1" applyAlignment="1" applyProtection="1">
      <alignment horizontal="centerContinuous"/>
      <protection hidden="1"/>
    </xf>
    <xf numFmtId="0" fontId="92" fillId="0" borderId="0" xfId="0" applyFont="1" applyFill="1" applyBorder="1" applyProtection="1">
      <protection hidden="1"/>
    </xf>
    <xf numFmtId="0" fontId="92" fillId="0" borderId="0" xfId="0" applyFont="1" applyFill="1" applyBorder="1" applyAlignment="1" applyProtection="1">
      <alignment horizontal="left"/>
      <protection hidden="1"/>
    </xf>
    <xf numFmtId="1" fontId="93" fillId="0" borderId="0" xfId="0" applyNumberFormat="1" applyFont="1" applyFill="1" applyBorder="1" applyAlignment="1" applyProtection="1">
      <alignment horizontal="center"/>
      <protection hidden="1"/>
    </xf>
    <xf numFmtId="0" fontId="93" fillId="0" borderId="0" xfId="0" applyFont="1" applyFill="1" applyBorder="1" applyAlignment="1" applyProtection="1">
      <alignment horizontal="centerContinuous"/>
      <protection hidden="1"/>
    </xf>
    <xf numFmtId="1" fontId="93" fillId="0" borderId="0" xfId="0" applyNumberFormat="1" applyFont="1" applyFill="1" applyBorder="1" applyAlignment="1" applyProtection="1">
      <alignment horizontal="centerContinuous"/>
      <protection hidden="1"/>
    </xf>
    <xf numFmtId="2" fontId="93" fillId="0" borderId="0" xfId="0" applyNumberFormat="1" applyFont="1" applyFill="1" applyBorder="1" applyAlignment="1" applyProtection="1">
      <alignment horizontal="center"/>
      <protection hidden="1"/>
    </xf>
    <xf numFmtId="0" fontId="93" fillId="0" borderId="0" xfId="0" applyFont="1" applyBorder="1" applyAlignment="1" applyProtection="1">
      <alignment horizontal="left"/>
      <protection hidden="1"/>
    </xf>
    <xf numFmtId="1" fontId="93" fillId="3" borderId="0" xfId="0" applyNumberFormat="1" applyFont="1" applyFill="1" applyBorder="1" applyAlignment="1" applyProtection="1">
      <alignment horizontal="left"/>
      <protection hidden="1"/>
    </xf>
    <xf numFmtId="2" fontId="93" fillId="0" borderId="0" xfId="0" applyNumberFormat="1" applyFont="1" applyBorder="1" applyAlignment="1" applyProtection="1">
      <alignment horizontal="left"/>
      <protection hidden="1"/>
    </xf>
    <xf numFmtId="0" fontId="96" fillId="0" borderId="0" xfId="0" applyFont="1" applyFill="1" applyBorder="1" applyAlignment="1" applyProtection="1">
      <alignment horizontal="centerContinuous"/>
      <protection hidden="1"/>
    </xf>
    <xf numFmtId="0" fontId="102" fillId="0" borderId="0" xfId="0" applyFont="1" applyAlignment="1" applyProtection="1">
      <alignment horizontal="centerContinuous"/>
      <protection hidden="1"/>
    </xf>
    <xf numFmtId="0" fontId="102" fillId="0" borderId="0" xfId="0" applyFont="1" applyProtection="1">
      <protection hidden="1"/>
    </xf>
    <xf numFmtId="0" fontId="102" fillId="0" borderId="0" xfId="0" applyNumberFormat="1" applyFont="1" applyBorder="1" applyAlignment="1" applyProtection="1">
      <alignment horizontal="left"/>
      <protection hidden="1"/>
    </xf>
    <xf numFmtId="0" fontId="102" fillId="0" borderId="0" xfId="0" applyFont="1" applyBorder="1" applyAlignment="1" applyProtection="1">
      <alignment horizontal="centerContinuous"/>
      <protection hidden="1"/>
    </xf>
    <xf numFmtId="0" fontId="102" fillId="0" borderId="0" xfId="0" applyFont="1" applyProtection="1">
      <protection locked="0"/>
    </xf>
    <xf numFmtId="0" fontId="104" fillId="0" borderId="0" xfId="0" applyNumberFormat="1" applyFont="1" applyBorder="1" applyAlignment="1" applyProtection="1">
      <alignment horizontal="left"/>
      <protection hidden="1"/>
    </xf>
    <xf numFmtId="0" fontId="105" fillId="0" borderId="0" xfId="0" applyNumberFormat="1" applyFont="1" applyBorder="1" applyAlignment="1" applyProtection="1">
      <alignment horizontal="right"/>
      <protection hidden="1"/>
    </xf>
    <xf numFmtId="0" fontId="105" fillId="0" borderId="0" xfId="0" applyNumberFormat="1" applyFont="1" applyBorder="1" applyAlignment="1" applyProtection="1">
      <alignment horizontal="right" vertical="center"/>
      <protection hidden="1"/>
    </xf>
    <xf numFmtId="0" fontId="102" fillId="0" borderId="0" xfId="0" applyNumberFormat="1" applyFont="1" applyBorder="1" applyAlignment="1" applyProtection="1">
      <alignment horizontal="right"/>
      <protection hidden="1"/>
    </xf>
    <xf numFmtId="14" fontId="106" fillId="0" borderId="0" xfId="0" applyNumberFormat="1" applyFont="1" applyBorder="1" applyAlignment="1" applyProtection="1">
      <alignment horizontal="centerContinuous" vertical="justify"/>
      <protection hidden="1"/>
    </xf>
    <xf numFmtId="49" fontId="102" fillId="0" borderId="0" xfId="0" applyNumberFormat="1" applyFont="1" applyBorder="1" applyAlignment="1" applyProtection="1">
      <alignment horizontal="centerContinuous" vertical="justify"/>
      <protection hidden="1"/>
    </xf>
    <xf numFmtId="0" fontId="102" fillId="0" borderId="0" xfId="0" applyFont="1" applyBorder="1" applyAlignment="1" applyProtection="1">
      <alignment horizontal="centerContinuous" vertical="justify"/>
      <protection hidden="1"/>
    </xf>
    <xf numFmtId="0" fontId="107" fillId="0" borderId="0" xfId="0" applyFont="1" applyBorder="1" applyAlignment="1" applyProtection="1">
      <alignment horizontal="centerContinuous" vertical="justify"/>
      <protection hidden="1"/>
    </xf>
    <xf numFmtId="0" fontId="102" fillId="0" borderId="0" xfId="0" applyFont="1" applyAlignment="1" applyProtection="1">
      <alignment horizontal="centerContinuous" vertical="justify"/>
      <protection hidden="1"/>
    </xf>
    <xf numFmtId="0" fontId="102" fillId="0" borderId="0" xfId="0" applyFont="1" applyBorder="1" applyAlignment="1" applyProtection="1">
      <protection hidden="1"/>
    </xf>
    <xf numFmtId="0" fontId="101" fillId="0" borderId="0" xfId="0" applyFont="1" applyBorder="1" applyProtection="1">
      <protection hidden="1"/>
    </xf>
    <xf numFmtId="0" fontId="101" fillId="0" borderId="0" xfId="0" applyFont="1" applyProtection="1">
      <protection hidden="1"/>
    </xf>
    <xf numFmtId="0" fontId="102" fillId="0" borderId="0" xfId="0" applyFont="1"/>
    <xf numFmtId="0" fontId="101" fillId="0" borderId="0" xfId="0" applyFont="1" applyAlignment="1" applyProtection="1">
      <alignment horizontal="left"/>
      <protection hidden="1"/>
    </xf>
    <xf numFmtId="0" fontId="101" fillId="0" borderId="0" xfId="0" applyFont="1" applyAlignment="1" applyProtection="1">
      <alignment horizontal="centerContinuous"/>
      <protection hidden="1"/>
    </xf>
    <xf numFmtId="0" fontId="108" fillId="0" borderId="0" xfId="0" applyFont="1" applyBorder="1" applyProtection="1">
      <protection hidden="1"/>
    </xf>
    <xf numFmtId="0" fontId="107" fillId="0" borderId="0" xfId="0" applyFont="1" applyAlignment="1" applyProtection="1">
      <alignment horizontal="right"/>
      <protection hidden="1"/>
    </xf>
    <xf numFmtId="0" fontId="107" fillId="0" borderId="0" xfId="0" applyFont="1" applyAlignment="1" applyProtection="1">
      <alignment horizontal="left"/>
      <protection hidden="1"/>
    </xf>
    <xf numFmtId="0" fontId="93" fillId="0" borderId="0" xfId="0" applyFont="1" applyBorder="1" applyAlignment="1" applyProtection="1">
      <protection hidden="1"/>
    </xf>
    <xf numFmtId="49" fontId="90" fillId="0" borderId="0" xfId="0" applyNumberFormat="1" applyFont="1" applyBorder="1" applyAlignment="1" applyProtection="1">
      <alignment horizontal="center"/>
      <protection hidden="1"/>
    </xf>
    <xf numFmtId="0" fontId="90" fillId="0" borderId="0" xfId="0" applyNumberFormat="1" applyFont="1" applyBorder="1" applyAlignment="1" applyProtection="1">
      <alignment horizontal="center"/>
      <protection hidden="1"/>
    </xf>
    <xf numFmtId="0" fontId="90" fillId="0" borderId="0" xfId="0" applyFont="1" applyBorder="1" applyAlignment="1" applyProtection="1">
      <alignment horizontal="left" vertical="top" wrapText="1"/>
      <protection hidden="1"/>
    </xf>
    <xf numFmtId="0" fontId="103" fillId="0" borderId="0" xfId="3" applyFont="1" applyBorder="1" applyAlignment="1">
      <alignment horizontal="center" vertical="center"/>
    </xf>
    <xf numFmtId="0" fontId="109" fillId="0" borderId="0" xfId="0" applyFont="1" applyBorder="1" applyAlignment="1" applyProtection="1">
      <protection hidden="1"/>
    </xf>
    <xf numFmtId="0" fontId="92" fillId="0" borderId="0" xfId="0" applyFont="1" applyBorder="1" applyAlignment="1" applyProtection="1">
      <alignment horizontal="left"/>
      <protection hidden="1"/>
    </xf>
    <xf numFmtId="0" fontId="90" fillId="0" borderId="0" xfId="0" applyNumberFormat="1" applyFont="1" applyAlignment="1" applyProtection="1">
      <alignment horizontal="left"/>
      <protection hidden="1"/>
    </xf>
    <xf numFmtId="2" fontId="91" fillId="0" borderId="0" xfId="0" applyNumberFormat="1" applyFont="1" applyAlignment="1" applyProtection="1">
      <alignment horizontal="left"/>
      <protection hidden="1"/>
    </xf>
    <xf numFmtId="0" fontId="97" fillId="0" borderId="0" xfId="0" applyFont="1" applyProtection="1">
      <protection hidden="1"/>
    </xf>
    <xf numFmtId="0" fontId="92" fillId="0" borderId="0" xfId="0" applyFont="1" applyAlignment="1" applyProtection="1">
      <alignment horizontal="left"/>
      <protection hidden="1"/>
    </xf>
    <xf numFmtId="0" fontId="90" fillId="0" borderId="36" xfId="0" applyFont="1" applyBorder="1" applyAlignment="1" applyProtection="1">
      <alignment vertical="center"/>
      <protection hidden="1"/>
    </xf>
    <xf numFmtId="0" fontId="7" fillId="0" borderId="36" xfId="0" applyFont="1" applyBorder="1" applyProtection="1">
      <protection hidden="1"/>
    </xf>
    <xf numFmtId="0" fontId="97" fillId="0" borderId="0" xfId="0" applyFont="1" applyAlignment="1" applyProtection="1">
      <alignment horizontal="left" vertical="top"/>
      <protection hidden="1"/>
    </xf>
    <xf numFmtId="0" fontId="90" fillId="0" borderId="0" xfId="0" applyFont="1" applyBorder="1" applyAlignment="1" applyProtection="1">
      <alignment wrapText="1"/>
      <protection hidden="1"/>
    </xf>
    <xf numFmtId="2" fontId="93" fillId="0" borderId="4" xfId="0" applyNumberFormat="1" applyFont="1" applyBorder="1" applyAlignment="1" applyProtection="1">
      <alignment horizontal="center"/>
      <protection hidden="1"/>
    </xf>
    <xf numFmtId="0" fontId="92" fillId="0" borderId="4" xfId="0" applyFont="1" applyBorder="1" applyProtection="1">
      <protection hidden="1"/>
    </xf>
    <xf numFmtId="0" fontId="93" fillId="0" borderId="50" xfId="0" applyFont="1" applyBorder="1" applyProtection="1">
      <protection hidden="1"/>
    </xf>
    <xf numFmtId="0" fontId="90" fillId="0" borderId="50" xfId="0" applyFont="1" applyBorder="1" applyProtection="1">
      <protection hidden="1"/>
    </xf>
    <xf numFmtId="0" fontId="90" fillId="0" borderId="50" xfId="0" applyFont="1" applyBorder="1" applyAlignment="1" applyProtection="1">
      <alignment vertical="center"/>
      <protection hidden="1"/>
    </xf>
    <xf numFmtId="0" fontId="96" fillId="0" borderId="4" xfId="0" applyFont="1" applyBorder="1" applyAlignment="1" applyProtection="1">
      <alignment horizontal="left"/>
      <protection hidden="1"/>
    </xf>
    <xf numFmtId="0" fontId="90" fillId="0" borderId="4" xfId="0" applyFont="1" applyBorder="1" applyAlignment="1">
      <alignment vertical="center"/>
    </xf>
    <xf numFmtId="0" fontId="93" fillId="0" borderId="4" xfId="0" applyFont="1" applyBorder="1" applyAlignment="1" applyProtection="1">
      <alignment vertical="center"/>
      <protection hidden="1"/>
    </xf>
    <xf numFmtId="0" fontId="110" fillId="0" borderId="0" xfId="0" applyFont="1" applyProtection="1">
      <protection hidden="1"/>
    </xf>
    <xf numFmtId="0" fontId="97" fillId="0" borderId="0" xfId="0" applyFont="1" applyAlignment="1" applyProtection="1">
      <alignment vertical="top"/>
      <protection hidden="1"/>
    </xf>
    <xf numFmtId="0" fontId="4" fillId="11" borderId="0" xfId="0" applyFont="1" applyFill="1" applyAlignment="1">
      <alignment vertical="center"/>
    </xf>
    <xf numFmtId="0" fontId="93" fillId="0" borderId="0" xfId="0" applyFont="1" applyAlignment="1" applyProtection="1">
      <alignment horizontal="center"/>
    </xf>
    <xf numFmtId="0" fontId="92" fillId="0" borderId="0" xfId="0" applyFont="1" applyAlignment="1" applyProtection="1">
      <alignment horizontal="center"/>
      <protection hidden="1"/>
    </xf>
    <xf numFmtId="0" fontId="91" fillId="0" borderId="0" xfId="0" applyFont="1"/>
    <xf numFmtId="0" fontId="0" fillId="0" borderId="0" xfId="0" applyBorder="1" applyAlignment="1">
      <alignment horizontal="center"/>
    </xf>
    <xf numFmtId="0" fontId="65" fillId="0" borderId="0" xfId="0" applyFont="1" applyBorder="1" applyAlignment="1">
      <alignment horizontal="center"/>
    </xf>
    <xf numFmtId="0" fontId="0" fillId="10" borderId="17" xfId="0" applyFill="1" applyBorder="1" applyAlignment="1">
      <alignment horizontal="left"/>
    </xf>
    <xf numFmtId="0" fontId="4" fillId="10" borderId="18" xfId="0" applyFont="1" applyFill="1" applyBorder="1" applyAlignment="1" applyProtection="1">
      <alignment horizontal="center"/>
    </xf>
    <xf numFmtId="49" fontId="44" fillId="0" borderId="0" xfId="0" applyNumberFormat="1" applyFont="1" applyFill="1" applyBorder="1" applyAlignment="1" applyProtection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Fill="1" applyBorder="1" applyAlignment="1">
      <alignment horizontal="center" vertical="center"/>
    </xf>
    <xf numFmtId="49" fontId="79" fillId="0" borderId="0" xfId="0" applyNumberFormat="1" applyFont="1" applyFill="1" applyBorder="1" applyAlignment="1" applyProtection="1">
      <alignment horizontal="center" vertical="center"/>
    </xf>
    <xf numFmtId="49" fontId="43" fillId="0" borderId="0" xfId="0" applyNumberFormat="1" applyFont="1" applyFill="1" applyBorder="1" applyAlignment="1" applyProtection="1">
      <alignment horizontal="center" vertical="center"/>
    </xf>
    <xf numFmtId="49" fontId="78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/>
    <xf numFmtId="49" fontId="47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>
      <alignment vertical="center"/>
    </xf>
    <xf numFmtId="49" fontId="59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0" fontId="90" fillId="0" borderId="0" xfId="0" applyFont="1" applyBorder="1" applyAlignment="1" applyProtection="1">
      <alignment vertical="top" wrapText="1"/>
      <protection hidden="1"/>
    </xf>
    <xf numFmtId="49" fontId="44" fillId="13" borderId="0" xfId="0" applyNumberFormat="1" applyFont="1" applyFill="1" applyBorder="1" applyAlignment="1" applyProtection="1">
      <alignment horizontal="center" vertical="center"/>
    </xf>
    <xf numFmtId="49" fontId="78" fillId="13" borderId="0" xfId="0" applyNumberFormat="1" applyFont="1" applyFill="1" applyBorder="1" applyAlignment="1" applyProtection="1">
      <alignment horizontal="center" vertical="center"/>
      <protection locked="0"/>
    </xf>
    <xf numFmtId="0" fontId="92" fillId="0" borderId="0" xfId="0" applyFont="1" applyBorder="1" applyAlignment="1" applyProtection="1">
      <alignment vertical="top" wrapText="1"/>
      <protection hidden="1"/>
    </xf>
    <xf numFmtId="0" fontId="92" fillId="0" borderId="0" xfId="0" applyFont="1" applyBorder="1" applyAlignment="1" applyProtection="1">
      <alignment horizontal="justify" vertical="top" wrapText="1"/>
      <protection hidden="1"/>
    </xf>
    <xf numFmtId="0" fontId="92" fillId="0" borderId="0" xfId="0" applyFont="1" applyAlignment="1" applyProtection="1">
      <alignment vertical="top" wrapText="1"/>
      <protection hidden="1"/>
    </xf>
    <xf numFmtId="0" fontId="90" fillId="0" borderId="36" xfId="0" applyFont="1" applyBorder="1" applyProtection="1">
      <protection hidden="1"/>
    </xf>
    <xf numFmtId="0" fontId="92" fillId="0" borderId="26" xfId="0" applyFont="1" applyBorder="1" applyProtection="1">
      <protection hidden="1"/>
    </xf>
    <xf numFmtId="0" fontId="0" fillId="14" borderId="0" xfId="0" applyFill="1" applyAlignment="1">
      <alignment horizontal="center"/>
    </xf>
    <xf numFmtId="187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43" fillId="14" borderId="0" xfId="0" applyFont="1" applyFill="1" applyBorder="1" applyAlignment="1" applyProtection="1">
      <alignment horizontal="center" vertical="center"/>
    </xf>
    <xf numFmtId="0" fontId="2" fillId="14" borderId="0" xfId="0" applyFont="1" applyFill="1" applyAlignment="1">
      <alignment horizontal="center"/>
    </xf>
    <xf numFmtId="0" fontId="93" fillId="0" borderId="36" xfId="0" applyFont="1" applyBorder="1" applyProtection="1">
      <protection hidden="1"/>
    </xf>
    <xf numFmtId="0" fontId="93" fillId="0" borderId="36" xfId="0" applyFont="1" applyBorder="1" applyAlignment="1" applyProtection="1">
      <alignment horizontal="left"/>
      <protection hidden="1"/>
    </xf>
    <xf numFmtId="0" fontId="93" fillId="0" borderId="36" xfId="0" applyFont="1" applyBorder="1" applyAlignment="1" applyProtection="1">
      <protection hidden="1"/>
    </xf>
    <xf numFmtId="0" fontId="44" fillId="4" borderId="0" xfId="0" applyNumberFormat="1" applyFont="1" applyFill="1" applyBorder="1" applyAlignment="1" applyProtection="1">
      <alignment horizontal="center" vertical="center"/>
      <protection locked="0"/>
    </xf>
    <xf numFmtId="0" fontId="44" fillId="4" borderId="3" xfId="0" applyNumberFormat="1" applyFont="1" applyFill="1" applyBorder="1" applyAlignment="1" applyProtection="1">
      <alignment horizontal="center" vertical="center"/>
      <protection locked="0"/>
    </xf>
    <xf numFmtId="9" fontId="4" fillId="0" borderId="0" xfId="0" applyNumberFormat="1" applyFont="1" applyAlignment="1"/>
    <xf numFmtId="2" fontId="6" fillId="0" borderId="0" xfId="0" applyNumberFormat="1" applyFont="1" applyAlignment="1" applyProtection="1">
      <alignment horizontal="center" vertical="center"/>
    </xf>
    <xf numFmtId="0" fontId="111" fillId="0" borderId="50" xfId="0" applyFont="1" applyBorder="1" applyProtection="1">
      <protection hidden="1"/>
    </xf>
    <xf numFmtId="185" fontId="6" fillId="0" borderId="0" xfId="0" applyNumberFormat="1" applyFont="1" applyFill="1" applyBorder="1" applyAlignment="1" applyProtection="1">
      <alignment vertical="center"/>
    </xf>
    <xf numFmtId="0" fontId="92" fillId="0" borderId="0" xfId="0" applyFont="1" applyAlignment="1" applyProtection="1">
      <alignment vertical="top"/>
      <protection hidden="1"/>
    </xf>
    <xf numFmtId="0" fontId="91" fillId="0" borderId="0" xfId="0" applyFont="1" applyAlignment="1" applyProtection="1">
      <alignment vertical="top"/>
      <protection hidden="1"/>
    </xf>
    <xf numFmtId="0" fontId="90" fillId="0" borderId="0" xfId="0" applyFont="1" applyAlignment="1" applyProtection="1">
      <alignment vertical="top"/>
      <protection hidden="1"/>
    </xf>
    <xf numFmtId="0" fontId="93" fillId="0" borderId="0" xfId="0" applyFont="1" applyBorder="1" applyAlignment="1" applyProtection="1">
      <alignment vertical="top"/>
      <protection hidden="1"/>
    </xf>
    <xf numFmtId="0" fontId="92" fillId="0" borderId="0" xfId="3" applyFont="1" applyAlignment="1" applyProtection="1">
      <alignment vertical="top"/>
      <protection hidden="1"/>
    </xf>
    <xf numFmtId="0" fontId="92" fillId="0" borderId="0" xfId="0" applyNumberFormat="1" applyFont="1" applyAlignment="1" applyProtection="1">
      <alignment vertical="top"/>
      <protection hidden="1"/>
    </xf>
    <xf numFmtId="49" fontId="92" fillId="0" borderId="0" xfId="3" applyNumberFormat="1" applyFont="1" applyAlignment="1" applyProtection="1">
      <alignment vertical="top"/>
      <protection hidden="1"/>
    </xf>
    <xf numFmtId="0" fontId="92" fillId="0" borderId="0" xfId="3" applyFont="1" applyBorder="1" applyAlignment="1" applyProtection="1">
      <alignment vertical="top"/>
      <protection hidden="1"/>
    </xf>
    <xf numFmtId="0" fontId="92" fillId="0" borderId="0" xfId="3" applyFont="1" applyAlignment="1" applyProtection="1">
      <alignment horizontal="left" vertical="top"/>
      <protection hidden="1"/>
    </xf>
    <xf numFmtId="49" fontId="92" fillId="0" borderId="0" xfId="3" applyNumberFormat="1" applyFont="1" applyAlignment="1" applyProtection="1">
      <alignment horizontal="left" vertical="top"/>
      <protection hidden="1"/>
    </xf>
    <xf numFmtId="0" fontId="92" fillId="0" borderId="0" xfId="0" applyNumberFormat="1" applyFont="1" applyBorder="1" applyAlignment="1" applyProtection="1">
      <alignment vertical="top"/>
      <protection hidden="1"/>
    </xf>
    <xf numFmtId="0" fontId="92" fillId="0" borderId="0" xfId="0" applyNumberFormat="1" applyFont="1" applyBorder="1" applyAlignment="1" applyProtection="1">
      <alignment horizontal="left" vertical="top"/>
      <protection hidden="1"/>
    </xf>
    <xf numFmtId="0" fontId="92" fillId="0" borderId="0" xfId="3" applyFont="1" applyBorder="1" applyAlignment="1" applyProtection="1">
      <alignment horizontal="left" vertical="top"/>
      <protection hidden="1"/>
    </xf>
    <xf numFmtId="0" fontId="5" fillId="0" borderId="4" xfId="0" applyFont="1" applyBorder="1" applyAlignment="1">
      <alignment horizontal="left" vertical="center"/>
    </xf>
    <xf numFmtId="49" fontId="2" fillId="10" borderId="51" xfId="0" applyNumberFormat="1" applyFont="1" applyFill="1" applyBorder="1" applyAlignment="1">
      <alignment horizontal="center"/>
    </xf>
    <xf numFmtId="49" fontId="2" fillId="10" borderId="50" xfId="0" applyNumberFormat="1" applyFont="1" applyFill="1" applyBorder="1" applyAlignment="1">
      <alignment horizontal="center"/>
    </xf>
    <xf numFmtId="49" fontId="2" fillId="10" borderId="51" xfId="0" applyNumberFormat="1" applyFont="1" applyFill="1" applyBorder="1" applyAlignment="1">
      <alignment horizontal="left"/>
    </xf>
    <xf numFmtId="49" fontId="2" fillId="10" borderId="52" xfId="0" applyNumberFormat="1" applyFont="1" applyFill="1" applyBorder="1" applyAlignment="1">
      <alignment horizontal="left"/>
    </xf>
    <xf numFmtId="0" fontId="2" fillId="10" borderId="51" xfId="0" applyFont="1" applyFill="1" applyBorder="1" applyAlignment="1">
      <alignment horizontal="center"/>
    </xf>
    <xf numFmtId="0" fontId="2" fillId="10" borderId="52" xfId="0" applyFont="1" applyFill="1" applyBorder="1" applyAlignment="1">
      <alignment horizontal="center"/>
    </xf>
    <xf numFmtId="49" fontId="3" fillId="10" borderId="51" xfId="0" applyNumberFormat="1" applyFont="1" applyFill="1" applyBorder="1" applyAlignment="1">
      <alignment horizontal="left"/>
    </xf>
    <xf numFmtId="49" fontId="3" fillId="10" borderId="50" xfId="0" applyNumberFormat="1" applyFont="1" applyFill="1" applyBorder="1" applyAlignment="1">
      <alignment horizontal="left"/>
    </xf>
    <xf numFmtId="49" fontId="3" fillId="10" borderId="52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2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43" fillId="0" borderId="2" xfId="0" applyFont="1" applyBorder="1" applyAlignment="1" applyProtection="1">
      <alignment horizontal="center" vertical="center"/>
    </xf>
    <xf numFmtId="0" fontId="43" fillId="0" borderId="3" xfId="0" applyFont="1" applyBorder="1" applyAlignment="1" applyProtection="1">
      <alignment horizontal="center" vertical="center"/>
    </xf>
    <xf numFmtId="188" fontId="43" fillId="0" borderId="28" xfId="0" applyNumberFormat="1" applyFont="1" applyBorder="1" applyAlignment="1" applyProtection="1">
      <alignment horizontal="center" vertical="center"/>
    </xf>
    <xf numFmtId="188" fontId="43" fillId="0" borderId="29" xfId="0" applyNumberFormat="1" applyFont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/>
    </xf>
    <xf numFmtId="0" fontId="21" fillId="0" borderId="26" xfId="0" applyFont="1" applyFill="1" applyBorder="1" applyAlignment="1" applyProtection="1">
      <alignment horizontal="center" vertical="center"/>
    </xf>
    <xf numFmtId="0" fontId="21" fillId="0" borderId="27" xfId="0" applyFont="1" applyFill="1" applyBorder="1" applyAlignment="1" applyProtection="1">
      <alignment horizontal="center" vertical="center"/>
    </xf>
    <xf numFmtId="0" fontId="61" fillId="0" borderId="0" xfId="0" applyFont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7" xfId="0" applyFont="1" applyBorder="1" applyAlignment="1" applyProtection="1">
      <alignment horizontal="center" vertical="center"/>
    </xf>
    <xf numFmtId="0" fontId="65" fillId="0" borderId="8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93" fillId="0" borderId="0" xfId="0" applyFont="1" applyBorder="1" applyAlignment="1" applyProtection="1">
      <alignment horizontal="center" vertical="center"/>
      <protection hidden="1"/>
    </xf>
    <xf numFmtId="187" fontId="93" fillId="0" borderId="0" xfId="0" applyNumberFormat="1" applyFont="1" applyBorder="1" applyAlignment="1" applyProtection="1">
      <alignment horizontal="center" vertical="center"/>
      <protection hidden="1"/>
    </xf>
    <xf numFmtId="0" fontId="93" fillId="0" borderId="4" xfId="0" applyFont="1" applyBorder="1" applyAlignment="1" applyProtection="1">
      <alignment horizontal="center" vertical="center"/>
      <protection hidden="1"/>
    </xf>
    <xf numFmtId="187" fontId="93" fillId="0" borderId="4" xfId="0" applyNumberFormat="1" applyFont="1" applyBorder="1" applyAlignment="1" applyProtection="1">
      <alignment horizontal="center" vertical="center"/>
      <protection hidden="1"/>
    </xf>
    <xf numFmtId="0" fontId="93" fillId="0" borderId="0" xfId="0" applyFont="1" applyAlignment="1" applyProtection="1">
      <alignment horizontal="center" vertical="center"/>
      <protection hidden="1"/>
    </xf>
    <xf numFmtId="187" fontId="93" fillId="0" borderId="0" xfId="0" applyNumberFormat="1" applyFont="1" applyAlignment="1" applyProtection="1">
      <alignment horizontal="center" vertical="center"/>
      <protection hidden="1"/>
    </xf>
    <xf numFmtId="0" fontId="90" fillId="0" borderId="0" xfId="0" applyFont="1" applyAlignment="1" applyProtection="1">
      <alignment horizontal="center" vertical="center"/>
      <protection hidden="1"/>
    </xf>
    <xf numFmtId="2" fontId="93" fillId="0" borderId="0" xfId="0" applyNumberFormat="1" applyFont="1" applyBorder="1" applyAlignment="1" applyProtection="1">
      <alignment horizontal="center" vertical="center"/>
      <protection hidden="1"/>
    </xf>
    <xf numFmtId="0" fontId="93" fillId="0" borderId="30" xfId="0" applyFont="1" applyBorder="1" applyAlignment="1" applyProtection="1">
      <alignment horizontal="center"/>
      <protection hidden="1"/>
    </xf>
    <xf numFmtId="1" fontId="93" fillId="0" borderId="30" xfId="0" applyNumberFormat="1" applyFont="1" applyBorder="1" applyAlignment="1" applyProtection="1">
      <alignment horizontal="center" vertical="center"/>
      <protection hidden="1"/>
    </xf>
    <xf numFmtId="1" fontId="93" fillId="0" borderId="0" xfId="0" applyNumberFormat="1" applyFont="1" applyBorder="1" applyAlignment="1" applyProtection="1">
      <alignment horizontal="center" vertical="center"/>
      <protection hidden="1"/>
    </xf>
    <xf numFmtId="1" fontId="93" fillId="0" borderId="4" xfId="0" applyNumberFormat="1" applyFont="1" applyBorder="1" applyAlignment="1" applyProtection="1">
      <alignment horizontal="center" vertical="center"/>
      <protection hidden="1"/>
    </xf>
    <xf numFmtId="2" fontId="93" fillId="0" borderId="4" xfId="0" applyNumberFormat="1" applyFont="1" applyBorder="1" applyAlignment="1" applyProtection="1">
      <alignment horizontal="center" vertical="center"/>
      <protection hidden="1"/>
    </xf>
    <xf numFmtId="0" fontId="93" fillId="0" borderId="35" xfId="0" applyFont="1" applyBorder="1" applyAlignment="1" applyProtection="1">
      <alignment horizontal="center" vertical="center"/>
      <protection hidden="1"/>
    </xf>
    <xf numFmtId="187" fontId="93" fillId="0" borderId="35" xfId="0" applyNumberFormat="1" applyFont="1" applyBorder="1" applyAlignment="1" applyProtection="1">
      <alignment horizontal="center" vertical="center"/>
      <protection hidden="1"/>
    </xf>
    <xf numFmtId="1" fontId="93" fillId="0" borderId="35" xfId="0" applyNumberFormat="1" applyFont="1" applyBorder="1" applyAlignment="1" applyProtection="1">
      <alignment horizontal="center" vertical="center"/>
      <protection hidden="1"/>
    </xf>
    <xf numFmtId="2" fontId="93" fillId="0" borderId="35" xfId="0" applyNumberFormat="1" applyFont="1" applyBorder="1" applyAlignment="1" applyProtection="1">
      <alignment horizontal="center" vertical="center"/>
      <protection hidden="1"/>
    </xf>
    <xf numFmtId="1" fontId="93" fillId="0" borderId="0" xfId="0" applyNumberFormat="1" applyFont="1" applyAlignment="1" applyProtection="1">
      <alignment horizontal="center" vertical="center"/>
      <protection hidden="1"/>
    </xf>
    <xf numFmtId="2" fontId="93" fillId="0" borderId="26" xfId="0" applyNumberFormat="1" applyFont="1" applyBorder="1" applyAlignment="1" applyProtection="1">
      <alignment horizontal="center" vertical="center"/>
      <protection hidden="1"/>
    </xf>
    <xf numFmtId="0" fontId="93" fillId="0" borderId="26" xfId="0" applyFont="1" applyBorder="1" applyAlignment="1" applyProtection="1">
      <alignment horizontal="center" vertical="center"/>
      <protection hidden="1"/>
    </xf>
    <xf numFmtId="2" fontId="94" fillId="0" borderId="0" xfId="0" applyNumberFormat="1" applyFont="1" applyBorder="1" applyAlignment="1" applyProtection="1">
      <alignment horizontal="center" vertical="center"/>
      <protection hidden="1"/>
    </xf>
    <xf numFmtId="0" fontId="90" fillId="0" borderId="30" xfId="0" applyFont="1" applyBorder="1" applyAlignment="1" applyProtection="1">
      <alignment horizontal="center" vertical="center"/>
      <protection hidden="1"/>
    </xf>
    <xf numFmtId="0" fontId="92" fillId="0" borderId="30" xfId="0" applyFont="1" applyBorder="1" applyAlignment="1" applyProtection="1">
      <alignment horizontal="center"/>
      <protection hidden="1"/>
    </xf>
    <xf numFmtId="0" fontId="92" fillId="0" borderId="0" xfId="0" applyFont="1" applyAlignment="1" applyProtection="1">
      <alignment horizontal="justify" vertical="top" wrapText="1"/>
      <protection hidden="1"/>
    </xf>
    <xf numFmtId="0" fontId="90" fillId="0" borderId="0" xfId="0" applyFont="1" applyBorder="1" applyAlignment="1" applyProtection="1">
      <alignment horizontal="justify" wrapText="1"/>
      <protection hidden="1"/>
    </xf>
    <xf numFmtId="0" fontId="100" fillId="0" borderId="0" xfId="3" applyFont="1" applyAlignment="1">
      <alignment horizontal="center" vertical="center"/>
    </xf>
    <xf numFmtId="0" fontId="103" fillId="0" borderId="53" xfId="3" applyFont="1" applyBorder="1" applyAlignment="1">
      <alignment horizontal="center" vertical="center"/>
    </xf>
    <xf numFmtId="0" fontId="103" fillId="0" borderId="0" xfId="0" applyFont="1" applyAlignment="1" applyProtection="1">
      <alignment horizontal="center" vertical="center"/>
      <protection hidden="1"/>
    </xf>
    <xf numFmtId="0" fontId="101" fillId="0" borderId="0" xfId="3" applyFont="1" applyAlignment="1">
      <alignment horizontal="center" vertical="center"/>
    </xf>
    <xf numFmtId="0" fontId="92" fillId="0" borderId="0" xfId="0" applyFont="1" applyBorder="1" applyAlignment="1" applyProtection="1">
      <alignment horizontal="justify" vertical="top" wrapText="1"/>
      <protection hidden="1"/>
    </xf>
    <xf numFmtId="14" fontId="113" fillId="0" borderId="0" xfId="0" applyNumberFormat="1" applyFont="1" applyBorder="1" applyAlignment="1" applyProtection="1">
      <alignment horizontal="center" vertical="justify"/>
      <protection hidden="1"/>
    </xf>
    <xf numFmtId="0" fontId="90" fillId="0" borderId="0" xfId="0" applyFont="1" applyBorder="1" applyAlignment="1" applyProtection="1">
      <alignment horizontal="justify" vertical="top" wrapText="1"/>
      <protection hidden="1"/>
    </xf>
    <xf numFmtId="2" fontId="93" fillId="0" borderId="0" xfId="0" applyNumberFormat="1" applyFont="1" applyAlignment="1" applyProtection="1">
      <alignment horizontal="center" vertical="center"/>
      <protection hidden="1"/>
    </xf>
    <xf numFmtId="0" fontId="93" fillId="0" borderId="0" xfId="0" applyFont="1" applyAlignment="1" applyProtection="1">
      <alignment horizontal="justify" vertical="top" wrapText="1"/>
      <protection hidden="1"/>
    </xf>
    <xf numFmtId="0" fontId="93" fillId="0" borderId="0" xfId="0" applyFont="1" applyAlignment="1" applyProtection="1">
      <alignment horizontal="justify" vertical="center" wrapText="1"/>
      <protection hidden="1"/>
    </xf>
    <xf numFmtId="0" fontId="112" fillId="0" borderId="0" xfId="0" applyFont="1" applyBorder="1" applyAlignment="1" applyProtection="1">
      <alignment horizontal="center"/>
      <protection hidden="1"/>
    </xf>
    <xf numFmtId="0" fontId="112" fillId="0" borderId="0" xfId="0" applyFont="1" applyAlignment="1" applyProtection="1">
      <alignment horizontal="center"/>
      <protection hidden="1"/>
    </xf>
    <xf numFmtId="0" fontId="93" fillId="0" borderId="0" xfId="0" applyFont="1" applyBorder="1" applyAlignment="1" applyProtection="1">
      <alignment horizontal="justify" vertical="top" wrapText="1"/>
      <protection hidden="1"/>
    </xf>
    <xf numFmtId="49" fontId="75" fillId="0" borderId="0" xfId="2" applyNumberFormat="1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38" fillId="0" borderId="0" xfId="0" applyFont="1" applyAlignment="1" applyProtection="1">
      <alignment horizontal="left" vertical="top" wrapText="1"/>
      <protection hidden="1"/>
    </xf>
  </cellXfs>
  <cellStyles count="7">
    <cellStyle name="Moeda" xfId="1" builtinId="4"/>
    <cellStyle name="Normal" xfId="0" builtinId="0"/>
    <cellStyle name="Normal_bloco-em-v" xfId="2"/>
    <cellStyle name="Normal_certificado" xfId="3"/>
    <cellStyle name="Porcentagem" xfId="4" builtinId="5"/>
    <cellStyle name="Währung [0]_Messtellplan" xfId="5"/>
    <cellStyle name="Währung_Messtellplan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1668780</xdr:colOff>
      <xdr:row>0</xdr:row>
      <xdr:rowOff>830580</xdr:rowOff>
    </xdr:to>
    <xdr:pic>
      <xdr:nvPicPr>
        <xdr:cNvPr id="2991" name="Picture 6">
          <a:extLst>
            <a:ext uri="{FF2B5EF4-FFF2-40B4-BE49-F238E27FC236}">
              <a16:creationId xmlns:a16="http://schemas.microsoft.com/office/drawing/2014/main" id="{8EADCB00-5E6D-5F9F-1167-CFE80CF2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687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0</xdr:row>
      <xdr:rowOff>830580</xdr:rowOff>
    </xdr:to>
    <xdr:pic>
      <xdr:nvPicPr>
        <xdr:cNvPr id="39943" name="Picture 1">
          <a:extLst>
            <a:ext uri="{FF2B5EF4-FFF2-40B4-BE49-F238E27FC236}">
              <a16:creationId xmlns:a16="http://schemas.microsoft.com/office/drawing/2014/main" id="{11939695-FB69-68B4-33E3-AC04E683A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402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0</xdr:row>
      <xdr:rowOff>830580</xdr:rowOff>
    </xdr:to>
    <xdr:pic>
      <xdr:nvPicPr>
        <xdr:cNvPr id="39944" name="Picture 1">
          <a:extLst>
            <a:ext uri="{FF2B5EF4-FFF2-40B4-BE49-F238E27FC236}">
              <a16:creationId xmlns:a16="http://schemas.microsoft.com/office/drawing/2014/main" id="{DD1E0D85-92C8-A6D4-468C-3363C557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402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740178</xdr:colOff>
      <xdr:row>8</xdr:row>
      <xdr:rowOff>36380</xdr:rowOff>
    </xdr:from>
    <xdr:to>
      <xdr:col>12</xdr:col>
      <xdr:colOff>1416535</xdr:colOff>
      <xdr:row>10</xdr:row>
      <xdr:rowOff>107690</xdr:rowOff>
    </xdr:to>
    <xdr:sp macro="" textlink="">
      <xdr:nvSpPr>
        <xdr:cNvPr id="3" name="Seta para a esquerda 2">
          <a:extLst>
            <a:ext uri="{FF2B5EF4-FFF2-40B4-BE49-F238E27FC236}">
              <a16:creationId xmlns:a16="http://schemas.microsoft.com/office/drawing/2014/main" id="{DD06290D-5CAB-47F3-1E03-B8B8197C5C3A}"/>
            </a:ext>
          </a:extLst>
        </xdr:cNvPr>
        <xdr:cNvSpPr/>
      </xdr:nvSpPr>
      <xdr:spPr bwMode="auto">
        <a:xfrm>
          <a:off x="16236718" y="1750880"/>
          <a:ext cx="661327" cy="444500"/>
        </a:xfrm>
        <a:prstGeom prst="lef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pt-BR" sz="1400">
              <a:solidFill>
                <a:srgbClr val="FF0000"/>
              </a:solidFill>
            </a:rPr>
            <a:t>INCLUIR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167640</xdr:colOff>
          <xdr:row>16</xdr:row>
          <xdr:rowOff>22860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58C6B4A1-9728-0DB4-69AA-BB423F85A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443865</xdr:colOff>
      <xdr:row>6</xdr:row>
      <xdr:rowOff>0</xdr:rowOff>
    </xdr:from>
    <xdr:to>
      <xdr:col>7</xdr:col>
      <xdr:colOff>131</xdr:colOff>
      <xdr:row>8</xdr:row>
      <xdr:rowOff>66675</xdr:rowOff>
    </xdr:to>
    <xdr:sp macro="" textlink="$I$7">
      <xdr:nvSpPr>
        <xdr:cNvPr id="12383" name="Text Box 43">
          <a:extLst>
            <a:ext uri="{FF2B5EF4-FFF2-40B4-BE49-F238E27FC236}">
              <a16:creationId xmlns:a16="http://schemas.microsoft.com/office/drawing/2014/main" id="{CE481CC2-1011-C2FA-1833-A43913DDA3DA}"/>
            </a:ext>
          </a:extLst>
        </xdr:cNvPr>
        <xdr:cNvSpPr txBox="1">
          <a:spLocks noChangeArrowheads="1"/>
        </xdr:cNvSpPr>
      </xdr:nvSpPr>
      <xdr:spPr bwMode="auto">
        <a:xfrm>
          <a:off x="5800725" y="2486025"/>
          <a:ext cx="5715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fld id="{E73AB412-EA58-4C98-AB02-90C7010FDE7F}" type="TxLink">
            <a:rPr lang="pt-BR"/>
            <a:t> </a:t>
          </a:fld>
          <a:endParaRPr lang="pt-BR"/>
        </a:p>
      </xdr:txBody>
    </xdr:sp>
    <xdr:clientData/>
  </xdr:twoCellAnchor>
  <xdr:twoCellAnchor>
    <xdr:from>
      <xdr:col>18</xdr:col>
      <xdr:colOff>34738</xdr:colOff>
      <xdr:row>82</xdr:row>
      <xdr:rowOff>166408</xdr:rowOff>
    </xdr:from>
    <xdr:to>
      <xdr:col>21</xdr:col>
      <xdr:colOff>685932</xdr:colOff>
      <xdr:row>89</xdr:row>
      <xdr:rowOff>23533</xdr:rowOff>
    </xdr:to>
    <xdr:sp macro="" textlink="">
      <xdr:nvSpPr>
        <xdr:cNvPr id="12291" name="Text Box 3">
          <a:extLst>
            <a:ext uri="{FF2B5EF4-FFF2-40B4-BE49-F238E27FC236}">
              <a16:creationId xmlns:a16="http://schemas.microsoft.com/office/drawing/2014/main" id="{B13B0DD3-2F59-F7A1-9AF6-453E681AB53D}"/>
            </a:ext>
          </a:extLst>
        </xdr:cNvPr>
        <xdr:cNvSpPr txBox="1">
          <a:spLocks noChangeArrowheads="1"/>
        </xdr:cNvSpPr>
      </xdr:nvSpPr>
      <xdr:spPr bwMode="auto">
        <a:xfrm>
          <a:off x="11330267" y="18644908"/>
          <a:ext cx="2518522" cy="1347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incerteza expandida de medição (U) relatada  é declarada como a incerteza padrão de medição multiplicada pelo fator de abrangência k, o qual para uma distribuição t com  graus de liberdade efetivos (</a:t>
          </a:r>
          <a:r>
            <a:rPr lang="pt-BR" sz="1000" b="0" i="0" u="none" strike="noStrike" baseline="0">
              <a:solidFill>
                <a:srgbClr val="000000"/>
              </a:solidFill>
              <a:latin typeface="Symbol"/>
            </a:rPr>
            <a:t>n</a:t>
          </a:r>
          <a:r>
            <a:rPr lang="pt-B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eff</a:t>
          </a: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 corresponde a uma probabilidade de abrangência de aproximadamente 95%. A incerteza de medição foi determinada de acordo com a publicação EA-4/02. Os valores de k e </a:t>
          </a:r>
          <a:r>
            <a:rPr lang="pt-BR" sz="1000" b="0" i="0" u="none" strike="noStrike" baseline="0">
              <a:solidFill>
                <a:srgbClr val="000000"/>
              </a:solidFill>
              <a:latin typeface="Symbol"/>
            </a:rPr>
            <a:t>n</a:t>
          </a:r>
          <a:r>
            <a:rPr lang="pt-B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eff</a:t>
          </a: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são apresentados na tabela de resultados.</a:t>
          </a:r>
        </a:p>
      </xdr:txBody>
    </xdr:sp>
    <xdr:clientData/>
  </xdr:twoCellAnchor>
  <xdr:twoCellAnchor editAs="oneCell">
    <xdr:from>
      <xdr:col>0</xdr:col>
      <xdr:colOff>30480</xdr:colOff>
      <xdr:row>58</xdr:row>
      <xdr:rowOff>60960</xdr:rowOff>
    </xdr:from>
    <xdr:to>
      <xdr:col>3</xdr:col>
      <xdr:colOff>129540</xdr:colOff>
      <xdr:row>63</xdr:row>
      <xdr:rowOff>198120</xdr:rowOff>
    </xdr:to>
    <xdr:pic>
      <xdr:nvPicPr>
        <xdr:cNvPr id="36535" name="Picture 42" descr="rugosidade">
          <a:extLst>
            <a:ext uri="{FF2B5EF4-FFF2-40B4-BE49-F238E27FC236}">
              <a16:creationId xmlns:a16="http://schemas.microsoft.com/office/drawing/2014/main" id="{2F23C6B7-0C81-B10A-041A-746917065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1430000"/>
          <a:ext cx="2042160" cy="1203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</xdr:colOff>
      <xdr:row>74</xdr:row>
      <xdr:rowOff>0</xdr:rowOff>
    </xdr:from>
    <xdr:to>
      <xdr:col>8</xdr:col>
      <xdr:colOff>541177</xdr:colOff>
      <xdr:row>77</xdr:row>
      <xdr:rowOff>117661</xdr:rowOff>
    </xdr:to>
    <xdr:sp macro="" textlink="#REF!">
      <xdr:nvSpPr>
        <xdr:cNvPr id="12530" name="Text Box 242">
          <a:extLst>
            <a:ext uri="{FF2B5EF4-FFF2-40B4-BE49-F238E27FC236}">
              <a16:creationId xmlns:a16="http://schemas.microsoft.com/office/drawing/2014/main" id="{684B06FC-53D0-75F9-2BD7-F2C26B180751}"/>
            </a:ext>
          </a:extLst>
        </xdr:cNvPr>
        <xdr:cNvSpPr txBox="1">
          <a:spLocks noChangeArrowheads="1" noTextEdit="1"/>
        </xdr:cNvSpPr>
      </xdr:nvSpPr>
      <xdr:spPr bwMode="auto">
        <a:xfrm>
          <a:off x="3276600" y="8667750"/>
          <a:ext cx="30480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fld id="{FB11DB1A-5D9C-4450-BA47-C1AEE4201E18}" type="TxLink">
            <a:rPr lang="pt-BR" sz="900">
              <a:latin typeface="Arial" pitchFamily="34" charset="0"/>
              <a:cs typeface="Arial" pitchFamily="34" charset="0"/>
            </a:rPr>
            <a:t>​</a:t>
          </a:fld>
          <a:endParaRPr lang="pt-BR" sz="9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436245</xdr:colOff>
      <xdr:row>6</xdr:row>
      <xdr:rowOff>9525</xdr:rowOff>
    </xdr:from>
    <xdr:to>
      <xdr:col>6</xdr:col>
      <xdr:colOff>1026992</xdr:colOff>
      <xdr:row>7</xdr:row>
      <xdr:rowOff>74323</xdr:rowOff>
    </xdr:to>
    <xdr:sp macro="" textlink="$H$7">
      <xdr:nvSpPr>
        <xdr:cNvPr id="2" name="Text Box 43">
          <a:extLst>
            <a:ext uri="{FF2B5EF4-FFF2-40B4-BE49-F238E27FC236}">
              <a16:creationId xmlns:a16="http://schemas.microsoft.com/office/drawing/2014/main" id="{58B8A971-C03F-3DFD-6750-B06AC12157FF}"/>
            </a:ext>
          </a:extLst>
        </xdr:cNvPr>
        <xdr:cNvSpPr txBox="1">
          <a:spLocks noChangeArrowheads="1"/>
        </xdr:cNvSpPr>
      </xdr:nvSpPr>
      <xdr:spPr bwMode="auto">
        <a:xfrm>
          <a:off x="5800725" y="2486025"/>
          <a:ext cx="5715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fld id="{9672157C-EBFB-4EB4-8581-2C693D193AA2}" type="TxLink">
            <a:rPr lang="pt-BR"/>
            <a:t> </a:t>
          </a:fld>
          <a:endParaRPr lang="pt-BR"/>
        </a:p>
      </xdr:txBody>
    </xdr:sp>
    <xdr:clientData/>
  </xdr:twoCellAnchor>
  <xdr:twoCellAnchor>
    <xdr:from>
      <xdr:col>0</xdr:col>
      <xdr:colOff>0</xdr:colOff>
      <xdr:row>31</xdr:row>
      <xdr:rowOff>200025</xdr:rowOff>
    </xdr:from>
    <xdr:to>
      <xdr:col>3</xdr:col>
      <xdr:colOff>567682</xdr:colOff>
      <xdr:row>35</xdr:row>
      <xdr:rowOff>47625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664FA7E-6BE5-341F-5735-B1606B1CE26F}"/>
            </a:ext>
          </a:extLst>
        </xdr:cNvPr>
        <xdr:cNvSpPr txBox="1">
          <a:spLocks noChangeArrowheads="1"/>
        </xdr:cNvSpPr>
      </xdr:nvSpPr>
      <xdr:spPr bwMode="auto">
        <a:xfrm>
          <a:off x="0" y="7067550"/>
          <a:ext cx="2867025" cy="657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lnSpc>
              <a:spcPts val="800"/>
            </a:lnSpc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Os parâmetros de rugosidade, estão definidos segundo norma ISO 4287  e norma ISO 13565-2. Os filtros usados correspondem a norma ISO 3274 e ISO 13565-1.</a:t>
          </a:r>
        </a:p>
      </xdr:txBody>
    </xdr:sp>
    <xdr:clientData/>
  </xdr:twoCellAnchor>
  <xdr:twoCellAnchor>
    <xdr:from>
      <xdr:col>0</xdr:col>
      <xdr:colOff>0</xdr:colOff>
      <xdr:row>24</xdr:row>
      <xdr:rowOff>180975</xdr:rowOff>
    </xdr:from>
    <xdr:to>
      <xdr:col>3</xdr:col>
      <xdr:colOff>605782</xdr:colOff>
      <xdr:row>26</xdr:row>
      <xdr:rowOff>47625</xdr:rowOff>
    </xdr:to>
    <xdr:sp macro="" textlink="$A$26">
      <xdr:nvSpPr>
        <xdr:cNvPr id="4" name="Text Box 2">
          <a:extLst>
            <a:ext uri="{FF2B5EF4-FFF2-40B4-BE49-F238E27FC236}">
              <a16:creationId xmlns:a16="http://schemas.microsoft.com/office/drawing/2014/main" id="{4FA188AE-DE82-AB68-8DE6-B23AEE898B59}"/>
            </a:ext>
          </a:extLst>
        </xdr:cNvPr>
        <xdr:cNvSpPr txBox="1">
          <a:spLocks noChangeArrowheads="1"/>
        </xdr:cNvSpPr>
      </xdr:nvSpPr>
      <xdr:spPr bwMode="auto">
        <a:xfrm>
          <a:off x="0" y="5476875"/>
          <a:ext cx="2905125" cy="3429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fld id="{246A3D7C-1073-4A27-9A18-0343F547B4A3}" type="TxLink"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Rastreabilidade Metrológica: Certificado de Calibração CERTI 0006/23, de 17/01/23, válido até 01/26.</a:t>
          </a:fld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946785</xdr:colOff>
      <xdr:row>33</xdr:row>
      <xdr:rowOff>4887</xdr:rowOff>
    </xdr:from>
    <xdr:to>
      <xdr:col>7</xdr:col>
      <xdr:colOff>9481</xdr:colOff>
      <xdr:row>39</xdr:row>
      <xdr:rowOff>64762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7DFD17A3-940E-A4AF-5213-BCDE900D3A9A}"/>
            </a:ext>
          </a:extLst>
        </xdr:cNvPr>
        <xdr:cNvSpPr txBox="1">
          <a:spLocks noChangeArrowheads="1"/>
        </xdr:cNvSpPr>
      </xdr:nvSpPr>
      <xdr:spPr bwMode="auto">
        <a:xfrm>
          <a:off x="3238500" y="7258050"/>
          <a:ext cx="3143250" cy="131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incerteza expandida de medição (U) relatada  é declarada como a incerteza padrão de medição multiplicada pelo fator de abrangência k, o qual para uma distribuição t com  graus de liberdade efetivos (</a:t>
          </a:r>
          <a:r>
            <a:rPr lang="pt-BR" sz="1000" b="0" i="0" u="none" strike="noStrike" baseline="0">
              <a:solidFill>
                <a:srgbClr val="000000"/>
              </a:solidFill>
              <a:latin typeface="Symbol"/>
            </a:rPr>
            <a:t>n</a:t>
          </a:r>
          <a:r>
            <a:rPr lang="pt-B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eff</a:t>
          </a: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 corresponde a uma probabilidade de abrangência de aproximadamente 95%. A incerteza de medição foi determinada de acordo com a publicação EA-4/02. Os valores de k e </a:t>
          </a:r>
          <a:r>
            <a:rPr lang="pt-BR" sz="1000" b="0" i="0" u="none" strike="noStrike" baseline="0">
              <a:solidFill>
                <a:srgbClr val="000000"/>
              </a:solidFill>
              <a:latin typeface="Symbol"/>
            </a:rPr>
            <a:t>n</a:t>
          </a:r>
          <a:r>
            <a:rPr lang="pt-B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eff</a:t>
          </a: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são apresentados na tabela de resultados.</a:t>
          </a:r>
        </a:p>
      </xdr:txBody>
    </xdr:sp>
    <xdr:clientData/>
  </xdr:twoCellAnchor>
  <xdr:twoCellAnchor>
    <xdr:from>
      <xdr:col>0</xdr:col>
      <xdr:colOff>0</xdr:colOff>
      <xdr:row>34</xdr:row>
      <xdr:rowOff>78105</xdr:rowOff>
    </xdr:from>
    <xdr:to>
      <xdr:col>3</xdr:col>
      <xdr:colOff>577217</xdr:colOff>
      <xdr:row>36</xdr:row>
      <xdr:rowOff>152448</xdr:rowOff>
    </xdr:to>
    <xdr:sp macro="" textlink="$L$30">
      <xdr:nvSpPr>
        <xdr:cNvPr id="6" name="Text Box 4">
          <a:extLst>
            <a:ext uri="{FF2B5EF4-FFF2-40B4-BE49-F238E27FC236}">
              <a16:creationId xmlns:a16="http://schemas.microsoft.com/office/drawing/2014/main" id="{3B304F6F-4894-B41A-63CD-EF1EB3180F23}"/>
            </a:ext>
          </a:extLst>
        </xdr:cNvPr>
        <xdr:cNvSpPr txBox="1">
          <a:spLocks noChangeArrowheads="1"/>
        </xdr:cNvSpPr>
      </xdr:nvSpPr>
      <xdr:spPr bwMode="auto">
        <a:xfrm>
          <a:off x="0" y="7553325"/>
          <a:ext cx="28765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fld id="{DEA3BB5F-D349-4A9A-BC46-C123496251E6}" type="TxLink">
            <a:rPr lang="pt-BR" sz="900" b="0" i="0" u="none" strike="noStrike">
              <a:solidFill>
                <a:srgbClr val="000000"/>
              </a:solidFill>
              <a:latin typeface="Arial"/>
              <a:cs typeface="Arial"/>
            </a:rPr>
            <a:t>As medições foram executadas utilizando-se um apalpador de 2 µm, uma velocidade de medição de 0,5 mm/s  e com uma força de medição de 1,5 mN.</a:t>
          </a:fld>
          <a:endParaRPr lang="pt-BR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982980</xdr:colOff>
      <xdr:row>20</xdr:row>
      <xdr:rowOff>40005</xdr:rowOff>
    </xdr:from>
    <xdr:to>
      <xdr:col>6</xdr:col>
      <xdr:colOff>908698</xdr:colOff>
      <xdr:row>22</xdr:row>
      <xdr:rowOff>238179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D9BA6B1B-71F4-4219-1697-70278E69CFD1}"/>
            </a:ext>
          </a:extLst>
        </xdr:cNvPr>
        <xdr:cNvSpPr txBox="1">
          <a:spLocks noChangeArrowheads="1"/>
        </xdr:cNvSpPr>
      </xdr:nvSpPr>
      <xdr:spPr bwMode="auto">
        <a:xfrm>
          <a:off x="3267075" y="4533900"/>
          <a:ext cx="2990850" cy="5334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padrão foi medido segundo o plano de calibração que se encontra na figura abaixo.</a:t>
          </a:r>
        </a:p>
      </xdr:txBody>
    </xdr:sp>
    <xdr:clientData/>
  </xdr:twoCellAnchor>
  <xdr:twoCellAnchor editAs="oneCell">
    <xdr:from>
      <xdr:col>4</xdr:col>
      <xdr:colOff>312420</xdr:colOff>
      <xdr:row>23</xdr:row>
      <xdr:rowOff>91440</xdr:rowOff>
    </xdr:from>
    <xdr:to>
      <xdr:col>6</xdr:col>
      <xdr:colOff>228600</xdr:colOff>
      <xdr:row>28</xdr:row>
      <xdr:rowOff>99060</xdr:rowOff>
    </xdr:to>
    <xdr:pic>
      <xdr:nvPicPr>
        <xdr:cNvPr id="39364" name="Picture 42" descr="rugosidade">
          <a:extLst>
            <a:ext uri="{FF2B5EF4-FFF2-40B4-BE49-F238E27FC236}">
              <a16:creationId xmlns:a16="http://schemas.microsoft.com/office/drawing/2014/main" id="{4EBDD34A-ECCD-913F-743E-4EEAFEF8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940" y="5173980"/>
          <a:ext cx="204216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472440</xdr:colOff>
      <xdr:row>0</xdr:row>
      <xdr:rowOff>0</xdr:rowOff>
    </xdr:from>
    <xdr:to>
      <xdr:col>6</xdr:col>
      <xdr:colOff>209540</xdr:colOff>
      <xdr:row>0</xdr:row>
      <xdr:rowOff>838200</xdr:rowOff>
    </xdr:to>
    <xdr:sp macro="" textlink="">
      <xdr:nvSpPr>
        <xdr:cNvPr id="9" name="Text Box 46">
          <a:extLst>
            <a:ext uri="{FF2B5EF4-FFF2-40B4-BE49-F238E27FC236}">
              <a16:creationId xmlns:a16="http://schemas.microsoft.com/office/drawing/2014/main" id="{E7ECDCCF-7482-EE19-9240-54BB4049A96F}"/>
            </a:ext>
          </a:extLst>
        </xdr:cNvPr>
        <xdr:cNvSpPr txBox="1">
          <a:spLocks noChangeArrowheads="1"/>
        </xdr:cNvSpPr>
      </xdr:nvSpPr>
      <xdr:spPr bwMode="auto">
        <a:xfrm>
          <a:off x="1771650" y="0"/>
          <a:ext cx="3810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Humanst521 BT"/>
            </a:rPr>
            <a:t>Laboratório de 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Humanst521 BT"/>
            </a:rPr>
            <a:t>METROLOGIA DIMENSIONAL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Humanst521 BT"/>
            </a:rPr>
            <a:t>Pertencente à Rede Brasileira de Calibração</a:t>
          </a:r>
          <a:endParaRPr lang="pt-B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/>
        </a:p>
      </xdr:txBody>
    </xdr:sp>
    <xdr:clientData/>
  </xdr:twoCellAnchor>
  <xdr:twoCellAnchor>
    <xdr:from>
      <xdr:col>4</xdr:col>
      <xdr:colOff>0</xdr:colOff>
      <xdr:row>1</xdr:row>
      <xdr:rowOff>636270</xdr:rowOff>
    </xdr:from>
    <xdr:to>
      <xdr:col>5</xdr:col>
      <xdr:colOff>546745</xdr:colOff>
      <xdr:row>4</xdr:row>
      <xdr:rowOff>190559</xdr:rowOff>
    </xdr:to>
    <xdr:sp macro="" textlink="$A$3">
      <xdr:nvSpPr>
        <xdr:cNvPr id="10" name="AutoShape 47" descr="n. 0001/06">
          <a:extLst>
            <a:ext uri="{FF2B5EF4-FFF2-40B4-BE49-F238E27FC236}">
              <a16:creationId xmlns:a16="http://schemas.microsoft.com/office/drawing/2014/main" id="{95B8C337-3A61-29F3-43D3-1AF28C91B02F}"/>
            </a:ext>
          </a:extLst>
        </xdr:cNvPr>
        <xdr:cNvSpPr>
          <a:spLocks noChangeArrowheads="1" noTextEdit="1"/>
        </xdr:cNvSpPr>
      </xdr:nvSpPr>
      <xdr:spPr bwMode="auto">
        <a:xfrm>
          <a:off x="3305175" y="1714500"/>
          <a:ext cx="1590675" cy="514350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000" tIns="0" rIns="0" bIns="0" anchor="ctr" upright="1"/>
        <a:lstStyle/>
        <a:p>
          <a:pPr algn="ctr" rtl="0">
            <a:defRPr sz="1000"/>
          </a:pPr>
          <a:fld id="{A40C8147-66F9-4164-ABF1-5D0DBAD44C1B}" type="TxLink">
            <a:rPr lang="pt-BR" sz="2100" b="0" i="0" u="none" strike="noStrike">
              <a:solidFill>
                <a:srgbClr val="000000"/>
              </a:solidFill>
              <a:latin typeface="Humanst521 BT"/>
              <a:cs typeface="Arial"/>
            </a:rPr>
            <a:t>n. 3733/23</a:t>
          </a:fld>
          <a:endParaRPr lang="pt-BR" sz="2100" b="0" i="0" strike="noStrike">
            <a:solidFill>
              <a:srgbClr val="000000"/>
            </a:solidFill>
            <a:latin typeface="Humanst521 BT"/>
          </a:endParaRPr>
        </a:p>
      </xdr:txBody>
    </xdr:sp>
    <xdr:clientData/>
  </xdr:twoCellAnchor>
  <xdr:twoCellAnchor>
    <xdr:from>
      <xdr:col>0</xdr:col>
      <xdr:colOff>0</xdr:colOff>
      <xdr:row>1</xdr:row>
      <xdr:rowOff>647700</xdr:rowOff>
    </xdr:from>
    <xdr:to>
      <xdr:col>3</xdr:col>
      <xdr:colOff>398136</xdr:colOff>
      <xdr:row>3</xdr:row>
      <xdr:rowOff>125724</xdr:rowOff>
    </xdr:to>
    <xdr:sp macro="" textlink="$A$4">
      <xdr:nvSpPr>
        <xdr:cNvPr id="11" name="AutoShape 48" descr="n. 0001/06">
          <a:extLst>
            <a:ext uri="{FF2B5EF4-FFF2-40B4-BE49-F238E27FC236}">
              <a16:creationId xmlns:a16="http://schemas.microsoft.com/office/drawing/2014/main" id="{DA75190D-F4F2-AF2C-0D35-EE674A4CD770}"/>
            </a:ext>
          </a:extLst>
        </xdr:cNvPr>
        <xdr:cNvSpPr>
          <a:spLocks noChangeArrowheads="1" noTextEdit="1"/>
        </xdr:cNvSpPr>
      </xdr:nvSpPr>
      <xdr:spPr bwMode="auto">
        <a:xfrm>
          <a:off x="0" y="1733550"/>
          <a:ext cx="2705100" cy="209550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000" tIns="0" rIns="0" bIns="0" anchor="t" upright="1"/>
        <a:lstStyle/>
        <a:p>
          <a:pPr algn="l" rtl="0">
            <a:defRPr sz="1000"/>
          </a:pPr>
          <a:fld id="{D19DB97F-89C5-41C6-8EB3-11AFCC0059E9}" type="TxLink">
            <a:rPr lang="pt-BR" sz="1200" b="1" i="0" u="none" strike="noStrike">
              <a:solidFill>
                <a:srgbClr val="000000"/>
              </a:solidFill>
              <a:latin typeface="Futura Hv BT"/>
              <a:cs typeface="Arial"/>
            </a:rPr>
            <a:t>Data da Calibração:      15/12/23</a:t>
          </a:fld>
          <a:endParaRPr lang="pt-BR" sz="1200" b="1" i="0" strike="noStrike">
            <a:solidFill>
              <a:srgbClr val="000000"/>
            </a:solidFill>
            <a:latin typeface="Futura Hv BT"/>
          </a:endParaRPr>
        </a:p>
      </xdr:txBody>
    </xdr:sp>
    <xdr:clientData/>
  </xdr:twoCellAnchor>
  <xdr:twoCellAnchor>
    <xdr:from>
      <xdr:col>0</xdr:col>
      <xdr:colOff>0</xdr:colOff>
      <xdr:row>3</xdr:row>
      <xdr:rowOff>190500</xdr:rowOff>
    </xdr:from>
    <xdr:to>
      <xdr:col>3</xdr:col>
      <xdr:colOff>398136</xdr:colOff>
      <xdr:row>4</xdr:row>
      <xdr:rowOff>188644</xdr:rowOff>
    </xdr:to>
    <xdr:sp macro="" textlink="$A$5">
      <xdr:nvSpPr>
        <xdr:cNvPr id="12" name="AutoShape 50" descr="n. 0001/06">
          <a:extLst>
            <a:ext uri="{FF2B5EF4-FFF2-40B4-BE49-F238E27FC236}">
              <a16:creationId xmlns:a16="http://schemas.microsoft.com/office/drawing/2014/main" id="{6B848AEC-B739-82FF-FD98-1F7247F365CF}"/>
            </a:ext>
          </a:extLst>
        </xdr:cNvPr>
        <xdr:cNvSpPr>
          <a:spLocks noChangeArrowheads="1" noTextEdit="1"/>
        </xdr:cNvSpPr>
      </xdr:nvSpPr>
      <xdr:spPr bwMode="auto">
        <a:xfrm>
          <a:off x="0" y="2000250"/>
          <a:ext cx="2705100" cy="219075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000" tIns="0" rIns="0" bIns="0" anchor="t" upright="1"/>
        <a:lstStyle/>
        <a:p>
          <a:pPr algn="l" rtl="0">
            <a:defRPr sz="1000"/>
          </a:pPr>
          <a:fld id="{FA791551-A40D-4C80-B215-3EA45360EE90}" type="TxLink">
            <a:rPr lang="pt-BR" sz="1200" b="1" i="0" u="none" strike="noStrike">
              <a:solidFill>
                <a:srgbClr val="000000"/>
              </a:solidFill>
              <a:latin typeface="Futura Hv BT"/>
              <a:cs typeface="Arial"/>
            </a:rPr>
            <a:t>Data da Emissão:          15/12/23</a:t>
          </a:fld>
          <a:endParaRPr lang="pt-BR" sz="1200" b="1" i="0" strike="noStrike">
            <a:solidFill>
              <a:srgbClr val="000000"/>
            </a:solidFill>
            <a:latin typeface="Futura Hv BT"/>
          </a:endParaRPr>
        </a:p>
      </xdr:txBody>
    </xdr:sp>
    <xdr:clientData/>
  </xdr:twoCellAnchor>
  <xdr:twoCellAnchor>
    <xdr:from>
      <xdr:col>0</xdr:col>
      <xdr:colOff>0</xdr:colOff>
      <xdr:row>0</xdr:row>
      <xdr:rowOff>914400</xdr:rowOff>
    </xdr:from>
    <xdr:to>
      <xdr:col>5</xdr:col>
      <xdr:colOff>794379</xdr:colOff>
      <xdr:row>1</xdr:row>
      <xdr:rowOff>581025</xdr:rowOff>
    </xdr:to>
    <xdr:sp macro="" textlink="">
      <xdr:nvSpPr>
        <xdr:cNvPr id="13" name="Text Box 51">
          <a:extLst>
            <a:ext uri="{FF2B5EF4-FFF2-40B4-BE49-F238E27FC236}">
              <a16:creationId xmlns:a16="http://schemas.microsoft.com/office/drawing/2014/main" id="{C6BCCC53-5CA0-265B-04E2-EBDB5C7DE0B0}"/>
            </a:ext>
          </a:extLst>
        </xdr:cNvPr>
        <xdr:cNvSpPr txBox="1">
          <a:spLocks noChangeArrowheads="1"/>
        </xdr:cNvSpPr>
      </xdr:nvSpPr>
      <xdr:spPr bwMode="auto">
        <a:xfrm>
          <a:off x="0" y="914400"/>
          <a:ext cx="51435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50292" rIns="0" bIns="50292" anchor="ctr" upright="1"/>
        <a:lstStyle/>
        <a:p>
          <a:pPr algn="l" rtl="0">
            <a:defRPr sz="1000"/>
          </a:pPr>
          <a:r>
            <a:rPr lang="pt-BR" sz="3000" b="0" i="0" u="none" strike="noStrike" baseline="0">
              <a:solidFill>
                <a:srgbClr val="000000"/>
              </a:solidFill>
              <a:latin typeface="Humanst521 BT"/>
            </a:rPr>
            <a:t>Certificado de Calibração</a:t>
          </a:r>
          <a:endParaRPr lang="pt-BR"/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3</xdr:col>
      <xdr:colOff>605782</xdr:colOff>
      <xdr:row>30</xdr:row>
      <xdr:rowOff>152400</xdr:rowOff>
    </xdr:to>
    <xdr:sp macro="" textlink="$A$30">
      <xdr:nvSpPr>
        <xdr:cNvPr id="14" name="Text Box 2">
          <a:extLst>
            <a:ext uri="{FF2B5EF4-FFF2-40B4-BE49-F238E27FC236}">
              <a16:creationId xmlns:a16="http://schemas.microsoft.com/office/drawing/2014/main" id="{E9A32809-F3ED-EB30-5F6D-CCA69EE68A21}"/>
            </a:ext>
          </a:extLst>
        </xdr:cNvPr>
        <xdr:cNvSpPr txBox="1">
          <a:spLocks noChangeArrowheads="1" noTextEdit="1"/>
        </xdr:cNvSpPr>
      </xdr:nvSpPr>
      <xdr:spPr bwMode="auto">
        <a:xfrm>
          <a:off x="0" y="6467475"/>
          <a:ext cx="2905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fld id="{EC4B51A6-6591-4AD7-8093-1FDE2C15B743}" type="TxLink"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#N/D</a:t>
          </a:fld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984885</xdr:colOff>
      <xdr:row>38</xdr:row>
      <xdr:rowOff>152400</xdr:rowOff>
    </xdr:from>
    <xdr:to>
      <xdr:col>6</xdr:col>
      <xdr:colOff>982995</xdr:colOff>
      <xdr:row>41</xdr:row>
      <xdr:rowOff>57150</xdr:rowOff>
    </xdr:to>
    <xdr:sp macro="" textlink="$E$41">
      <xdr:nvSpPr>
        <xdr:cNvPr id="15" name="Text Box 242">
          <a:extLst>
            <a:ext uri="{FF2B5EF4-FFF2-40B4-BE49-F238E27FC236}">
              <a16:creationId xmlns:a16="http://schemas.microsoft.com/office/drawing/2014/main" id="{A169824E-1AC9-7497-464D-7684F0CD80FC}"/>
            </a:ext>
          </a:extLst>
        </xdr:cNvPr>
        <xdr:cNvSpPr txBox="1">
          <a:spLocks noChangeArrowheads="1" noTextEdit="1"/>
        </xdr:cNvSpPr>
      </xdr:nvSpPr>
      <xdr:spPr bwMode="auto">
        <a:xfrm>
          <a:off x="3276600" y="8458200"/>
          <a:ext cx="30480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fld id="{B25778EB-86E7-4527-AC9E-939B7090A0F4}" type="TxLink">
            <a:rPr lang="pt-BR" sz="900">
              <a:latin typeface="Arial" pitchFamily="34" charset="0"/>
              <a:cs typeface="Arial" pitchFamily="34" charset="0"/>
            </a:rPr>
            <a:t> </a:t>
          </a:fld>
          <a:endParaRPr lang="pt-BR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11</xdr:col>
      <xdr:colOff>7620</xdr:colOff>
      <xdr:row>0</xdr:row>
      <xdr:rowOff>160020</xdr:rowOff>
    </xdr:from>
    <xdr:to>
      <xdr:col>19</xdr:col>
      <xdr:colOff>167640</xdr:colOff>
      <xdr:row>38</xdr:row>
      <xdr:rowOff>198120</xdr:rowOff>
    </xdr:to>
    <xdr:pic>
      <xdr:nvPicPr>
        <xdr:cNvPr id="39372" name="Imagem 18">
          <a:extLst>
            <a:ext uri="{FF2B5EF4-FFF2-40B4-BE49-F238E27FC236}">
              <a16:creationId xmlns:a16="http://schemas.microsoft.com/office/drawing/2014/main" id="{387028BA-AF8F-BB3F-AC62-8B79F058E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60020"/>
          <a:ext cx="6438900" cy="835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7620</xdr:rowOff>
        </xdr:from>
        <xdr:to>
          <xdr:col>7</xdr:col>
          <xdr:colOff>129540</xdr:colOff>
          <xdr:row>134</xdr:row>
          <xdr:rowOff>114300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976217D3-61CF-8E7A-432B-D18CA69DA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297180</xdr:colOff>
      <xdr:row>3</xdr:row>
      <xdr:rowOff>114300</xdr:rowOff>
    </xdr:to>
    <xdr:pic>
      <xdr:nvPicPr>
        <xdr:cNvPr id="12202" name="Figura 3">
          <a:extLst>
            <a:ext uri="{FF2B5EF4-FFF2-40B4-BE49-F238E27FC236}">
              <a16:creationId xmlns:a16="http://schemas.microsoft.com/office/drawing/2014/main" id="{63DBB30B-2CA8-0B29-86E1-52C1E8FAD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87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297180</xdr:colOff>
      <xdr:row>3</xdr:row>
      <xdr:rowOff>114300</xdr:rowOff>
    </xdr:to>
    <xdr:pic>
      <xdr:nvPicPr>
        <xdr:cNvPr id="11178" name="Figura 3">
          <a:extLst>
            <a:ext uri="{FF2B5EF4-FFF2-40B4-BE49-F238E27FC236}">
              <a16:creationId xmlns:a16="http://schemas.microsoft.com/office/drawing/2014/main" id="{CE376AE7-8BC4-4023-5DCD-DADCB416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87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0</xdr:rowOff>
    </xdr:from>
    <xdr:to>
      <xdr:col>4</xdr:col>
      <xdr:colOff>784860</xdr:colOff>
      <xdr:row>45</xdr:row>
      <xdr:rowOff>22860</xdr:rowOff>
    </xdr:to>
    <xdr:pic>
      <xdr:nvPicPr>
        <xdr:cNvPr id="18285" name="Picture 2" descr="cut-off">
          <a:extLst>
            <a:ext uri="{FF2B5EF4-FFF2-40B4-BE49-F238E27FC236}">
              <a16:creationId xmlns:a16="http://schemas.microsoft.com/office/drawing/2014/main" id="{411D6E45-F7DA-7B2A-ABDC-3A440E612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0"/>
          <a:ext cx="6195060" cy="8595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V106"/>
  <sheetViews>
    <sheetView showGridLines="0" topLeftCell="B1" zoomScale="75" workbookViewId="0">
      <selection sqref="A1:J1"/>
    </sheetView>
  </sheetViews>
  <sheetFormatPr defaultRowHeight="13.2"/>
  <cols>
    <col min="1" max="6" width="30.6640625" customWidth="1"/>
    <col min="7" max="8" width="30.6640625" style="1" customWidth="1"/>
    <col min="9" max="9" width="30.6640625" style="2" customWidth="1"/>
    <col min="10" max="10" width="30.6640625" style="4" customWidth="1"/>
    <col min="11" max="11" width="35.6640625" style="4" bestFit="1" customWidth="1"/>
    <col min="12" max="12" width="30.6640625" style="1" customWidth="1"/>
  </cols>
  <sheetData>
    <row r="1" spans="1:256" ht="69.900000000000006" customHeight="1" thickBot="1">
      <c r="A1" s="26"/>
      <c r="B1" s="857" t="s">
        <v>1</v>
      </c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0.100000000000001" customHeight="1" thickBot="1">
      <c r="A2" s="862" t="s">
        <v>53</v>
      </c>
      <c r="B2" s="863"/>
      <c r="C2" s="862" t="s">
        <v>86</v>
      </c>
      <c r="D2" s="863"/>
      <c r="E2" s="862" t="s">
        <v>22</v>
      </c>
      <c r="F2" s="863"/>
      <c r="G2" s="858" t="s">
        <v>63</v>
      </c>
      <c r="H2" s="859"/>
      <c r="I2" s="858" t="s">
        <v>60</v>
      </c>
      <c r="J2" s="859"/>
      <c r="K2" s="860" t="s">
        <v>1</v>
      </c>
      <c r="L2" s="861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>
      <c r="A3" s="17" t="s">
        <v>3</v>
      </c>
      <c r="B3" s="27" t="s">
        <v>456</v>
      </c>
      <c r="C3" s="17" t="s">
        <v>3</v>
      </c>
      <c r="D3" s="27" t="s">
        <v>456</v>
      </c>
      <c r="E3" s="6" t="s">
        <v>52</v>
      </c>
      <c r="F3" s="573" t="s">
        <v>470</v>
      </c>
      <c r="G3" s="10" t="s">
        <v>27</v>
      </c>
      <c r="H3" s="5" t="s">
        <v>446</v>
      </c>
      <c r="I3" s="10" t="s">
        <v>29</v>
      </c>
      <c r="J3" s="4" t="s">
        <v>425</v>
      </c>
      <c r="K3" s="10" t="s">
        <v>35</v>
      </c>
      <c r="L3" s="28">
        <v>3733</v>
      </c>
      <c r="M3" s="20"/>
      <c r="N3" s="20" t="s">
        <v>340</v>
      </c>
      <c r="O3" s="20"/>
      <c r="P3" s="20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>
      <c r="A4" s="8" t="s">
        <v>0</v>
      </c>
      <c r="B4" s="27" t="s">
        <v>457</v>
      </c>
      <c r="C4" s="8" t="s">
        <v>0</v>
      </c>
      <c r="D4" s="27" t="s">
        <v>457</v>
      </c>
      <c r="E4" s="7" t="s">
        <v>23</v>
      </c>
      <c r="F4" s="573" t="s">
        <v>351</v>
      </c>
      <c r="G4" s="11" t="s">
        <v>28</v>
      </c>
      <c r="H4" s="5" t="s">
        <v>447</v>
      </c>
      <c r="I4" s="13" t="s">
        <v>30</v>
      </c>
      <c r="J4" s="4" t="s">
        <v>477</v>
      </c>
      <c r="K4" s="15" t="s">
        <v>84</v>
      </c>
      <c r="L4" s="38" t="s">
        <v>447</v>
      </c>
      <c r="M4" s="20"/>
      <c r="N4" s="20" t="s">
        <v>358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>
      <c r="A5" s="8" t="s">
        <v>4</v>
      </c>
      <c r="B5" s="27" t="s">
        <v>458</v>
      </c>
      <c r="C5" s="8" t="s">
        <v>4</v>
      </c>
      <c r="D5" s="27" t="s">
        <v>458</v>
      </c>
      <c r="E5" s="8" t="s">
        <v>59</v>
      </c>
      <c r="F5" s="573" t="s">
        <v>351</v>
      </c>
      <c r="G5" s="24" t="s">
        <v>82</v>
      </c>
      <c r="H5" s="1" t="s">
        <v>361</v>
      </c>
      <c r="I5" s="13" t="s">
        <v>32</v>
      </c>
      <c r="K5" s="15" t="s">
        <v>36</v>
      </c>
      <c r="L5" s="28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>
      <c r="A6" s="8" t="s">
        <v>89</v>
      </c>
      <c r="B6" s="27" t="s">
        <v>459</v>
      </c>
      <c r="C6" s="8" t="s">
        <v>89</v>
      </c>
      <c r="D6" s="27" t="s">
        <v>459</v>
      </c>
      <c r="E6" s="19" t="s">
        <v>58</v>
      </c>
      <c r="F6" s="573" t="s">
        <v>359</v>
      </c>
      <c r="G6" s="24" t="s">
        <v>80</v>
      </c>
      <c r="H6" s="1" t="s">
        <v>448</v>
      </c>
      <c r="I6" s="13" t="s">
        <v>33</v>
      </c>
      <c r="J6" s="4" t="s">
        <v>474</v>
      </c>
      <c r="K6" s="15" t="s">
        <v>114</v>
      </c>
      <c r="L6" s="38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>
      <c r="A7" s="18" t="s">
        <v>88</v>
      </c>
      <c r="B7" s="27"/>
      <c r="C7" s="18" t="s">
        <v>88</v>
      </c>
      <c r="D7" s="27"/>
      <c r="E7" s="7" t="s">
        <v>57</v>
      </c>
      <c r="F7" s="573"/>
      <c r="G7" s="24" t="s">
        <v>78</v>
      </c>
      <c r="H7" s="1" t="s">
        <v>449</v>
      </c>
      <c r="I7" s="13" t="s">
        <v>78</v>
      </c>
      <c r="J7" s="4" t="s">
        <v>368</v>
      </c>
      <c r="K7" s="15" t="s">
        <v>83</v>
      </c>
      <c r="L7" s="28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>
      <c r="A8" s="8" t="s">
        <v>5</v>
      </c>
      <c r="B8" s="27"/>
      <c r="C8" s="8" t="s">
        <v>5</v>
      </c>
      <c r="D8" s="27"/>
      <c r="E8" s="7" t="s">
        <v>24</v>
      </c>
      <c r="F8" s="573" t="s">
        <v>471</v>
      </c>
      <c r="G8" s="11" t="s">
        <v>56</v>
      </c>
      <c r="H8" s="1" t="s">
        <v>450</v>
      </c>
      <c r="I8" s="8" t="s">
        <v>34</v>
      </c>
      <c r="J8" s="574">
        <v>45139</v>
      </c>
      <c r="K8" s="15" t="s">
        <v>37</v>
      </c>
      <c r="L8" s="38" t="s">
        <v>362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>
      <c r="A9" s="8" t="s">
        <v>13</v>
      </c>
      <c r="B9" s="27" t="s">
        <v>460</v>
      </c>
      <c r="C9" s="8" t="s">
        <v>13</v>
      </c>
      <c r="D9" s="27" t="s">
        <v>460</v>
      </c>
      <c r="E9" s="7" t="s">
        <v>2</v>
      </c>
      <c r="F9" s="573" t="s">
        <v>360</v>
      </c>
      <c r="G9" s="11" t="s">
        <v>61</v>
      </c>
      <c r="H9" s="1" t="s">
        <v>451</v>
      </c>
      <c r="I9" s="13" t="s">
        <v>14</v>
      </c>
      <c r="K9" s="15" t="s">
        <v>38</v>
      </c>
      <c r="L9" s="28" t="s">
        <v>363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>
      <c r="A10" s="8" t="s">
        <v>90</v>
      </c>
      <c r="B10" s="27" t="s">
        <v>356</v>
      </c>
      <c r="C10" s="8" t="s">
        <v>115</v>
      </c>
      <c r="D10" s="27" t="s">
        <v>356</v>
      </c>
      <c r="E10" s="8" t="s">
        <v>97</v>
      </c>
      <c r="F10" s="573" t="s">
        <v>339</v>
      </c>
      <c r="G10" s="11" t="s">
        <v>14</v>
      </c>
      <c r="H10" s="1" t="s">
        <v>452</v>
      </c>
      <c r="I10" s="13" t="s">
        <v>15</v>
      </c>
      <c r="K10" s="15" t="s">
        <v>39</v>
      </c>
      <c r="L10" s="38" t="s">
        <v>364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>
      <c r="A11" s="8" t="s">
        <v>6</v>
      </c>
      <c r="B11" s="27" t="s">
        <v>461</v>
      </c>
      <c r="C11" s="8" t="s">
        <v>6</v>
      </c>
      <c r="D11" s="27" t="s">
        <v>461</v>
      </c>
      <c r="E11" s="8" t="s">
        <v>98</v>
      </c>
      <c r="F11" s="573" t="s">
        <v>340</v>
      </c>
      <c r="G11" s="11" t="s">
        <v>15</v>
      </c>
      <c r="H11" s="1" t="s">
        <v>447</v>
      </c>
      <c r="I11" s="13" t="s">
        <v>16</v>
      </c>
      <c r="K11" s="15" t="s">
        <v>54</v>
      </c>
      <c r="L11" s="28">
        <v>45275.535162037035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>
      <c r="A12" s="18" t="s">
        <v>96</v>
      </c>
      <c r="B12" s="27">
        <v>519</v>
      </c>
      <c r="C12" s="18" t="s">
        <v>96</v>
      </c>
      <c r="D12" s="27">
        <v>519</v>
      </c>
      <c r="E12" s="8" t="s">
        <v>16</v>
      </c>
      <c r="F12" s="573"/>
      <c r="G12" s="11" t="s">
        <v>16</v>
      </c>
      <c r="H12" s="1" t="s">
        <v>453</v>
      </c>
      <c r="I12" s="13" t="s">
        <v>17</v>
      </c>
      <c r="K12" s="15" t="s">
        <v>55</v>
      </c>
      <c r="L12" s="38" t="s">
        <v>365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>
      <c r="A13" s="8" t="s">
        <v>91</v>
      </c>
      <c r="B13" s="21"/>
      <c r="C13" s="8" t="s">
        <v>91</v>
      </c>
      <c r="D13" s="21"/>
      <c r="E13" s="8" t="s">
        <v>17</v>
      </c>
      <c r="F13" s="573"/>
      <c r="G13" s="11" t="s">
        <v>17</v>
      </c>
      <c r="H13" s="1" t="s">
        <v>354</v>
      </c>
      <c r="I13" s="8" t="s">
        <v>106</v>
      </c>
      <c r="J13" s="29" t="s">
        <v>371</v>
      </c>
      <c r="K13" s="15" t="s">
        <v>31</v>
      </c>
      <c r="L13" s="28" t="s">
        <v>366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>
      <c r="A14" s="8" t="s">
        <v>7</v>
      </c>
      <c r="B14" s="21" t="s">
        <v>462</v>
      </c>
      <c r="C14" s="8" t="s">
        <v>7</v>
      </c>
      <c r="D14" s="21" t="s">
        <v>462</v>
      </c>
      <c r="E14" s="7" t="s">
        <v>99</v>
      </c>
      <c r="F14" s="573" t="s">
        <v>472</v>
      </c>
      <c r="G14" s="7" t="s">
        <v>18</v>
      </c>
      <c r="H14" s="1" t="s">
        <v>355</v>
      </c>
      <c r="I14" s="13" t="s">
        <v>107</v>
      </c>
      <c r="K14" s="15" t="s">
        <v>40</v>
      </c>
      <c r="L14" s="38" t="s">
        <v>340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>
      <c r="A15" s="8" t="s">
        <v>8</v>
      </c>
      <c r="B15" s="21" t="s">
        <v>463</v>
      </c>
      <c r="C15" s="8" t="s">
        <v>8</v>
      </c>
      <c r="D15" s="21" t="s">
        <v>463</v>
      </c>
      <c r="E15" s="7" t="s">
        <v>100</v>
      </c>
      <c r="F15" s="573"/>
      <c r="G15" s="7" t="s">
        <v>19</v>
      </c>
      <c r="I15" s="13" t="s">
        <v>20</v>
      </c>
      <c r="J15" s="4" t="s">
        <v>372</v>
      </c>
      <c r="K15" s="15" t="s">
        <v>14</v>
      </c>
      <c r="L15" s="28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>
      <c r="A16" s="18" t="s">
        <v>9</v>
      </c>
      <c r="B16" s="21" t="s">
        <v>464</v>
      </c>
      <c r="C16" s="18" t="s">
        <v>9</v>
      </c>
      <c r="D16" s="21" t="s">
        <v>464</v>
      </c>
      <c r="E16" s="7" t="s">
        <v>101</v>
      </c>
      <c r="F16" s="573"/>
      <c r="G16" s="7" t="s">
        <v>18</v>
      </c>
      <c r="H16" s="1" t="s">
        <v>454</v>
      </c>
      <c r="I16" s="13" t="s">
        <v>21</v>
      </c>
      <c r="K16" s="15" t="s">
        <v>15</v>
      </c>
      <c r="L16" s="3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>
      <c r="A17" s="18" t="s">
        <v>87</v>
      </c>
      <c r="B17" s="21" t="s">
        <v>465</v>
      </c>
      <c r="C17" s="18" t="s">
        <v>87</v>
      </c>
      <c r="D17" s="21" t="s">
        <v>465</v>
      </c>
      <c r="E17" s="7" t="s">
        <v>102</v>
      </c>
      <c r="F17" s="573"/>
      <c r="G17" s="7" t="s">
        <v>19</v>
      </c>
      <c r="H17" s="1" t="s">
        <v>455</v>
      </c>
      <c r="I17" s="14"/>
      <c r="J17" s="4">
        <v>14</v>
      </c>
      <c r="K17" s="15" t="s">
        <v>16</v>
      </c>
      <c r="L17" s="28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>
      <c r="A18" s="18" t="s">
        <v>95</v>
      </c>
      <c r="B18" s="30" t="s">
        <v>357</v>
      </c>
      <c r="C18" s="18" t="s">
        <v>95</v>
      </c>
      <c r="D18" s="30" t="s">
        <v>357</v>
      </c>
      <c r="E18" s="7" t="s">
        <v>41</v>
      </c>
      <c r="F18" s="573" t="s">
        <v>331</v>
      </c>
      <c r="G18" s="11" t="s">
        <v>79</v>
      </c>
      <c r="I18" s="14"/>
      <c r="J18" s="4" t="s">
        <v>474</v>
      </c>
      <c r="K18" s="15" t="s">
        <v>17</v>
      </c>
      <c r="L18" s="38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>
      <c r="A19" s="8" t="s">
        <v>10</v>
      </c>
      <c r="B19" s="30" t="s">
        <v>466</v>
      </c>
      <c r="C19" s="8" t="s">
        <v>10</v>
      </c>
      <c r="D19" s="30" t="s">
        <v>466</v>
      </c>
      <c r="E19" s="7" t="s">
        <v>103</v>
      </c>
      <c r="F19" s="573" t="s">
        <v>361</v>
      </c>
      <c r="G19" s="11" t="s">
        <v>62</v>
      </c>
      <c r="I19" s="14"/>
      <c r="J19" s="4" t="s">
        <v>368</v>
      </c>
      <c r="K19" s="15" t="s">
        <v>18</v>
      </c>
      <c r="L19" s="2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>
      <c r="A20" s="8" t="s">
        <v>92</v>
      </c>
      <c r="B20" s="30">
        <v>53</v>
      </c>
      <c r="C20" s="8" t="s">
        <v>92</v>
      </c>
      <c r="D20" s="30">
        <v>53</v>
      </c>
      <c r="E20" s="7" t="s">
        <v>104</v>
      </c>
      <c r="F20" s="573" t="s">
        <v>473</v>
      </c>
      <c r="G20" s="24" t="s">
        <v>81</v>
      </c>
      <c r="I20" s="14"/>
      <c r="J20" s="574">
        <v>45097</v>
      </c>
      <c r="K20" s="15" t="s">
        <v>19</v>
      </c>
      <c r="L20" s="38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>
      <c r="A21" s="8" t="s">
        <v>93</v>
      </c>
      <c r="B21" s="30">
        <v>54</v>
      </c>
      <c r="C21" s="8" t="s">
        <v>93</v>
      </c>
      <c r="D21" s="30">
        <v>54</v>
      </c>
      <c r="E21" s="7" t="s">
        <v>108</v>
      </c>
      <c r="F21" s="573"/>
      <c r="G21" s="12"/>
      <c r="I21" s="14"/>
      <c r="J21" s="4" t="s">
        <v>478</v>
      </c>
      <c r="K21" s="15" t="s">
        <v>20</v>
      </c>
      <c r="L21" s="28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>
      <c r="A22" s="18" t="s">
        <v>94</v>
      </c>
      <c r="B22" s="30"/>
      <c r="C22" s="18" t="s">
        <v>94</v>
      </c>
      <c r="D22" s="30"/>
      <c r="E22" s="7" t="s">
        <v>109</v>
      </c>
      <c r="F22" s="573"/>
      <c r="G22" s="12"/>
      <c r="I22" s="14"/>
      <c r="J22" s="4" t="s">
        <v>479</v>
      </c>
      <c r="K22" s="15" t="s">
        <v>21</v>
      </c>
      <c r="L22" s="38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>
      <c r="A23" s="8" t="s">
        <v>11</v>
      </c>
      <c r="B23" s="30" t="s">
        <v>467</v>
      </c>
      <c r="C23" s="8" t="s">
        <v>11</v>
      </c>
      <c r="D23" s="30" t="s">
        <v>467</v>
      </c>
      <c r="E23" s="7" t="s">
        <v>110</v>
      </c>
      <c r="F23" s="573"/>
      <c r="G23" s="12"/>
      <c r="I23" s="14"/>
      <c r="J23" s="4" t="s">
        <v>480</v>
      </c>
      <c r="K23" s="15" t="s">
        <v>71</v>
      </c>
      <c r="L23" s="28" t="s">
        <v>474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>
      <c r="A24" s="8" t="s">
        <v>12</v>
      </c>
      <c r="B24" s="30"/>
      <c r="C24" s="8" t="s">
        <v>12</v>
      </c>
      <c r="D24" s="30"/>
      <c r="E24" s="7" t="s">
        <v>111</v>
      </c>
      <c r="F24" s="573"/>
      <c r="G24" s="12"/>
      <c r="I24" s="14"/>
      <c r="J24" s="4" t="s">
        <v>481</v>
      </c>
      <c r="K24" s="15" t="s">
        <v>72</v>
      </c>
      <c r="L24" s="38" t="s">
        <v>368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>
      <c r="B25" s="30"/>
      <c r="C25" s="9"/>
      <c r="D25" s="30"/>
      <c r="E25" s="7" t="s">
        <v>112</v>
      </c>
      <c r="F25" s="573"/>
      <c r="G25" s="12"/>
      <c r="I25" s="14"/>
      <c r="J25" s="4" t="s">
        <v>482</v>
      </c>
      <c r="K25" s="15" t="s">
        <v>85</v>
      </c>
      <c r="L25" s="28">
        <v>45275.639004629629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>
      <c r="B26" s="30"/>
      <c r="C26" s="9"/>
      <c r="D26" s="30"/>
      <c r="E26" s="7" t="s">
        <v>113</v>
      </c>
      <c r="F26" s="573"/>
      <c r="G26" s="12"/>
      <c r="I26" s="14"/>
      <c r="J26" s="4" t="s">
        <v>483</v>
      </c>
      <c r="K26" s="15" t="s">
        <v>75</v>
      </c>
      <c r="L26" s="38" t="s">
        <v>367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>
      <c r="B27" s="30" t="s">
        <v>468</v>
      </c>
      <c r="C27" s="9"/>
      <c r="D27" s="30" t="s">
        <v>468</v>
      </c>
      <c r="E27" s="7" t="s">
        <v>25</v>
      </c>
      <c r="F27" s="573"/>
      <c r="G27" s="12"/>
      <c r="I27" s="14"/>
      <c r="K27" s="15" t="s">
        <v>74</v>
      </c>
      <c r="L27" s="28" t="s">
        <v>369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>
      <c r="B28" s="30"/>
      <c r="C28" s="9"/>
      <c r="D28" s="30"/>
      <c r="E28" s="8" t="s">
        <v>26</v>
      </c>
      <c r="F28" s="573" t="s">
        <v>341</v>
      </c>
      <c r="G28" s="12"/>
      <c r="I28" s="14"/>
      <c r="K28" s="15" t="s">
        <v>73</v>
      </c>
      <c r="L28" s="38" t="s">
        <v>475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>
      <c r="B29" s="31" t="s">
        <v>469</v>
      </c>
      <c r="C29" s="9"/>
      <c r="D29" s="30" t="s">
        <v>469</v>
      </c>
      <c r="E29" s="8"/>
      <c r="F29" s="573"/>
      <c r="G29" s="12"/>
      <c r="I29" s="14"/>
      <c r="K29" s="15" t="s">
        <v>76</v>
      </c>
      <c r="L29" s="28" t="s">
        <v>370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>
      <c r="B30" s="30"/>
      <c r="C30" s="9"/>
      <c r="D30" s="30"/>
      <c r="E30" s="8"/>
      <c r="F30" s="5"/>
      <c r="G30" s="12"/>
      <c r="I30" s="14"/>
      <c r="K30" s="15" t="s">
        <v>77</v>
      </c>
      <c r="L30" s="38" t="s">
        <v>476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>
      <c r="B31" s="30"/>
      <c r="C31" s="9"/>
      <c r="D31" s="30"/>
      <c r="E31" s="8"/>
      <c r="F31" s="5"/>
      <c r="G31" s="12"/>
      <c r="I31" s="14"/>
      <c r="K31" s="16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>
      <c r="A32" s="3"/>
      <c r="B32" s="31"/>
      <c r="C32" s="9"/>
      <c r="D32" s="30"/>
      <c r="E32" s="8"/>
      <c r="F32" s="5"/>
      <c r="G32" s="12"/>
      <c r="H32" s="5"/>
      <c r="I32" s="14"/>
      <c r="J32" s="23"/>
      <c r="K32" s="15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>
      <c r="A33" s="3"/>
      <c r="B33" s="31"/>
      <c r="C33" s="9"/>
      <c r="D33" s="30"/>
      <c r="E33" s="8"/>
      <c r="F33" s="5"/>
      <c r="G33" s="12"/>
      <c r="H33" s="5"/>
      <c r="I33" s="14"/>
      <c r="J33" s="23"/>
      <c r="K33" s="15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>
      <c r="A34" s="3"/>
      <c r="B34" s="31"/>
      <c r="C34" s="9"/>
      <c r="D34" s="30"/>
      <c r="E34" s="8"/>
      <c r="F34" s="5"/>
      <c r="G34" s="12"/>
      <c r="H34" s="5"/>
      <c r="I34" s="14"/>
      <c r="J34" s="23"/>
      <c r="K34" s="16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>
      <c r="A35" s="3"/>
      <c r="B35" s="31"/>
      <c r="C35" s="9"/>
      <c r="D35" s="30"/>
      <c r="E35" s="8"/>
      <c r="F35" s="5"/>
      <c r="G35" s="12"/>
      <c r="H35" s="5"/>
      <c r="I35" s="14"/>
      <c r="J35" s="23"/>
      <c r="K35" s="25" t="s">
        <v>116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>
      <c r="A36" s="3"/>
      <c r="B36" s="3"/>
      <c r="C36" s="3"/>
      <c r="D36" s="3"/>
      <c r="E36" s="3"/>
      <c r="F36" s="3"/>
      <c r="G36" s="5"/>
      <c r="H36" s="5"/>
      <c r="I36" s="22"/>
      <c r="J36" s="23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>
      <c r="A37" s="3"/>
      <c r="B37" s="3"/>
      <c r="C37" s="3"/>
      <c r="D37" s="3"/>
      <c r="E37" s="3"/>
      <c r="F37" s="3"/>
      <c r="G37" s="5"/>
      <c r="H37" s="5"/>
      <c r="I37" s="22"/>
      <c r="J37" s="23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>
      <c r="A38" s="3"/>
      <c r="B38" s="3"/>
      <c r="C38" s="3"/>
      <c r="D38" s="3"/>
      <c r="E38" s="3"/>
      <c r="F38" s="3"/>
      <c r="G38" s="5"/>
      <c r="H38" s="5"/>
      <c r="I38" s="22"/>
      <c r="J38" s="23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>
      <c r="A39" s="3"/>
      <c r="B39" s="3"/>
      <c r="C39" s="3"/>
      <c r="D39" s="3"/>
      <c r="E39" s="3"/>
      <c r="F39" s="3"/>
      <c r="G39" s="5"/>
      <c r="H39" s="5"/>
      <c r="I39" s="22"/>
      <c r="J39" s="23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>
      <c r="A40" s="3"/>
      <c r="B40" s="3"/>
      <c r="C40" s="3"/>
      <c r="D40" s="3"/>
      <c r="E40" s="3"/>
      <c r="F40" s="3"/>
      <c r="G40" s="5"/>
      <c r="H40" s="5"/>
      <c r="I40" s="22"/>
      <c r="J40" s="23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>
      <c r="A41" s="3"/>
      <c r="B41" s="3"/>
      <c r="C41" s="3"/>
      <c r="D41" s="3"/>
      <c r="E41" s="3"/>
      <c r="F41" s="3"/>
      <c r="G41" s="5"/>
      <c r="H41" s="5"/>
      <c r="I41" s="22"/>
      <c r="J41" s="23"/>
      <c r="K41" s="23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>
      <c r="A42" s="3"/>
      <c r="B42" s="3"/>
      <c r="C42" s="3"/>
      <c r="D42" s="3"/>
      <c r="E42" s="3"/>
      <c r="F42" s="3"/>
      <c r="G42" s="5"/>
      <c r="H42" s="5"/>
      <c r="I42" s="22"/>
      <c r="J42" s="23"/>
      <c r="K42" s="23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>
      <c r="A43" s="3"/>
      <c r="B43" s="3"/>
      <c r="C43" s="3"/>
      <c r="D43" s="3"/>
      <c r="E43" s="3"/>
      <c r="F43" s="3"/>
      <c r="G43" s="5"/>
      <c r="H43" s="5"/>
      <c r="I43" s="22"/>
      <c r="J43" s="23"/>
      <c r="K43" s="23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>
      <c r="A44" s="3"/>
      <c r="B44" s="3"/>
      <c r="C44" s="3"/>
      <c r="D44" s="3"/>
      <c r="E44" s="3"/>
      <c r="F44" s="3"/>
      <c r="G44" s="5"/>
      <c r="H44" s="5"/>
      <c r="I44" s="22"/>
      <c r="J44" s="23"/>
      <c r="K44" s="23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>
      <c r="A45" s="3"/>
      <c r="B45" s="3"/>
      <c r="C45" s="3"/>
      <c r="D45" s="3"/>
      <c r="E45" s="3"/>
      <c r="F45" s="3"/>
      <c r="G45" s="5"/>
      <c r="H45" s="5"/>
      <c r="I45" s="22"/>
      <c r="J45" s="23"/>
      <c r="K45" s="23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>
      <c r="A46" s="3"/>
      <c r="B46" s="3"/>
      <c r="C46" s="3"/>
      <c r="D46" s="3"/>
      <c r="E46" s="3"/>
      <c r="F46" s="3"/>
      <c r="G46" s="5"/>
      <c r="H46" s="5"/>
      <c r="I46" s="22"/>
      <c r="J46" s="23"/>
      <c r="K46" s="23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>
      <c r="A47" s="3"/>
      <c r="B47" s="3"/>
      <c r="C47" s="3"/>
      <c r="D47" s="3"/>
      <c r="E47" s="3"/>
      <c r="F47" s="3"/>
      <c r="G47" s="5"/>
      <c r="H47" s="5"/>
      <c r="I47" s="22"/>
      <c r="J47" s="23"/>
      <c r="K47" s="23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>
      <c r="A48" s="3"/>
      <c r="B48" s="3"/>
      <c r="C48" s="3"/>
      <c r="D48" s="3"/>
      <c r="E48" s="3"/>
      <c r="F48" s="3"/>
      <c r="G48" s="5"/>
      <c r="H48" s="5"/>
      <c r="I48" s="22"/>
      <c r="J48" s="23"/>
      <c r="K48" s="23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>
      <c r="A49" s="3"/>
      <c r="B49" s="3"/>
      <c r="C49" s="3"/>
      <c r="D49" s="3"/>
      <c r="E49" s="3"/>
      <c r="F49" s="3"/>
      <c r="G49" s="5"/>
      <c r="H49" s="5"/>
      <c r="I49" s="22"/>
      <c r="J49" s="23"/>
      <c r="K49" s="23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>
      <c r="A50" s="3"/>
      <c r="B50" s="3"/>
      <c r="C50" s="3"/>
      <c r="D50" s="3"/>
      <c r="E50" s="3"/>
      <c r="F50" s="3"/>
      <c r="G50" s="5"/>
      <c r="H50" s="5"/>
      <c r="I50" s="22"/>
      <c r="J50" s="23"/>
      <c r="K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>
      <c r="A51" s="3"/>
      <c r="B51" s="3"/>
      <c r="C51" s="3"/>
      <c r="D51" s="3"/>
      <c r="E51" s="3"/>
      <c r="F51" s="3"/>
      <c r="G51" s="5"/>
      <c r="H51" s="5"/>
      <c r="I51" s="22"/>
      <c r="J51" s="23"/>
      <c r="K51" s="23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>
      <c r="A52" s="3"/>
      <c r="B52" s="3"/>
      <c r="C52" s="3"/>
      <c r="D52" s="3"/>
      <c r="E52" s="3"/>
      <c r="F52" s="3"/>
      <c r="G52" s="5"/>
      <c r="H52" s="5"/>
      <c r="I52" s="22"/>
      <c r="J52" s="23"/>
      <c r="K52" s="23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>
      <c r="A53" s="3"/>
      <c r="B53" s="3"/>
      <c r="C53" s="3"/>
      <c r="D53" s="3"/>
      <c r="E53" s="3"/>
      <c r="F53" s="3"/>
      <c r="G53" s="5"/>
      <c r="H53" s="5"/>
      <c r="I53" s="22"/>
      <c r="J53" s="23"/>
      <c r="K53" s="23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>
      <c r="A54" s="3"/>
      <c r="B54" s="3"/>
      <c r="C54" s="3"/>
      <c r="D54" s="3"/>
      <c r="E54" s="3"/>
      <c r="F54" s="3"/>
      <c r="G54" s="5"/>
      <c r="H54" s="5"/>
      <c r="I54" s="22"/>
      <c r="J54" s="23"/>
      <c r="K54" s="23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>
      <c r="A55" s="3"/>
      <c r="B55" s="3"/>
      <c r="C55" s="3"/>
      <c r="D55" s="3"/>
      <c r="E55" s="3"/>
      <c r="F55" s="3"/>
      <c r="G55" s="5"/>
      <c r="H55" s="5"/>
      <c r="I55" s="22"/>
      <c r="J55" s="23"/>
      <c r="K55" s="23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>
      <c r="A56" s="3"/>
      <c r="B56" s="3"/>
      <c r="C56" s="3"/>
      <c r="D56" s="3"/>
      <c r="E56" s="3"/>
      <c r="F56" s="3"/>
      <c r="G56" s="5"/>
      <c r="H56" s="5"/>
      <c r="I56" s="22"/>
      <c r="J56" s="23"/>
      <c r="K56" s="23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>
      <c r="A57" s="3"/>
      <c r="B57" s="3"/>
      <c r="C57" s="3"/>
      <c r="D57" s="3"/>
      <c r="E57" s="3"/>
      <c r="F57" s="3"/>
      <c r="G57" s="5"/>
      <c r="H57" s="5"/>
      <c r="I57" s="22"/>
      <c r="J57" s="23"/>
      <c r="K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>
      <c r="A58" s="3"/>
      <c r="B58" s="3"/>
      <c r="C58" s="3"/>
      <c r="D58" s="3"/>
      <c r="E58" s="3"/>
      <c r="F58" s="3"/>
      <c r="G58" s="5"/>
      <c r="H58" s="5"/>
      <c r="I58" s="22"/>
      <c r="J58" s="23"/>
      <c r="K58" s="23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>
      <c r="A59" s="3"/>
      <c r="B59" s="3"/>
      <c r="C59" s="3"/>
      <c r="D59" s="3"/>
      <c r="E59" s="3"/>
      <c r="F59" s="3"/>
      <c r="G59" s="5"/>
      <c r="H59" s="5"/>
      <c r="I59" s="22"/>
      <c r="J59" s="23"/>
      <c r="K59" s="23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>
      <c r="A60" s="3"/>
      <c r="B60" s="3"/>
      <c r="C60" s="3"/>
      <c r="D60" s="3"/>
      <c r="E60" s="3"/>
      <c r="F60" s="3"/>
      <c r="G60" s="5"/>
      <c r="H60" s="5"/>
      <c r="I60" s="22"/>
      <c r="J60" s="23"/>
      <c r="K60" s="23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>
      <c r="A61" s="3"/>
      <c r="B61" s="3"/>
      <c r="C61" s="3"/>
      <c r="D61" s="3"/>
      <c r="E61" s="3"/>
      <c r="F61" s="3"/>
      <c r="G61" s="5"/>
      <c r="H61" s="5"/>
      <c r="I61" s="22"/>
      <c r="J61" s="23"/>
      <c r="K61" s="23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>
      <c r="A62" s="3"/>
      <c r="B62" s="3"/>
      <c r="C62" s="3"/>
      <c r="D62" s="3"/>
      <c r="E62" s="3"/>
      <c r="F62" s="3"/>
      <c r="G62" s="5"/>
      <c r="H62" s="5"/>
      <c r="I62" s="22"/>
      <c r="J62" s="23"/>
      <c r="K62" s="23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>
      <c r="A63" s="3"/>
      <c r="B63" s="3"/>
      <c r="C63" s="3"/>
      <c r="D63" s="3"/>
      <c r="E63" s="3"/>
      <c r="F63" s="3"/>
      <c r="G63" s="5"/>
      <c r="H63" s="5"/>
      <c r="I63" s="22"/>
      <c r="J63" s="23"/>
      <c r="K63" s="23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>
      <c r="A64" s="3"/>
      <c r="B64" s="3"/>
      <c r="C64" s="3"/>
      <c r="D64" s="3"/>
      <c r="E64" s="3"/>
      <c r="F64" s="3"/>
      <c r="G64" s="5"/>
      <c r="H64" s="5"/>
      <c r="I64" s="22"/>
      <c r="J64" s="23"/>
      <c r="K64" s="2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>
      <c r="A65" s="3"/>
      <c r="B65" s="3"/>
      <c r="C65" s="3"/>
      <c r="D65" s="3"/>
      <c r="E65" s="3"/>
      <c r="F65" s="3"/>
      <c r="G65" s="5"/>
      <c r="H65" s="5"/>
      <c r="I65" s="22"/>
      <c r="J65" s="23"/>
      <c r="K65" s="2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>
      <c r="A66" s="3"/>
      <c r="B66" s="3"/>
      <c r="C66" s="3"/>
      <c r="D66" s="3"/>
      <c r="E66" s="3"/>
      <c r="F66" s="3"/>
      <c r="G66" s="5"/>
      <c r="H66" s="5"/>
      <c r="I66" s="22"/>
      <c r="J66" s="23"/>
      <c r="K66" s="23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>
      <c r="A67" s="3"/>
      <c r="B67" s="3"/>
      <c r="C67" s="3"/>
      <c r="D67" s="3"/>
      <c r="E67" s="3"/>
      <c r="F67" s="3"/>
      <c r="G67" s="5"/>
      <c r="H67" s="5"/>
      <c r="I67" s="22"/>
      <c r="J67" s="23"/>
      <c r="K67" s="2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>
      <c r="A68" s="3"/>
      <c r="B68" s="3"/>
      <c r="C68" s="3"/>
      <c r="D68" s="3"/>
      <c r="E68" s="3"/>
      <c r="F68" s="3"/>
      <c r="G68" s="5"/>
      <c r="H68" s="5"/>
      <c r="I68" s="22"/>
      <c r="J68" s="23"/>
      <c r="K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>
      <c r="A69" s="3"/>
      <c r="B69" s="3"/>
      <c r="C69" s="3"/>
      <c r="D69" s="3"/>
      <c r="E69" s="3"/>
      <c r="F69" s="3"/>
      <c r="G69" s="5"/>
      <c r="H69" s="5"/>
      <c r="I69" s="22"/>
      <c r="J69" s="23"/>
      <c r="K69" s="23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>
      <c r="A70" s="3"/>
      <c r="B70" s="3"/>
      <c r="C70" s="3"/>
      <c r="D70" s="3"/>
      <c r="E70" s="3"/>
      <c r="F70" s="3"/>
      <c r="G70" s="5"/>
      <c r="H70" s="5"/>
      <c r="I70" s="22"/>
      <c r="J70" s="23"/>
      <c r="K70" s="23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>
      <c r="A71" s="3"/>
      <c r="B71" s="3"/>
      <c r="C71" s="3"/>
      <c r="D71" s="3"/>
      <c r="E71" s="3"/>
      <c r="F71" s="3"/>
      <c r="G71" s="5"/>
      <c r="H71" s="5"/>
      <c r="I71" s="22"/>
      <c r="J71" s="23"/>
      <c r="K71" s="23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>
      <c r="A72" s="3"/>
      <c r="B72" s="3"/>
      <c r="C72" s="3"/>
      <c r="D72" s="3"/>
      <c r="E72" s="3"/>
      <c r="F72" s="3"/>
      <c r="G72" s="5"/>
      <c r="H72" s="5"/>
      <c r="I72" s="22"/>
      <c r="J72" s="23"/>
      <c r="K72" s="23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>
      <c r="A73" s="3"/>
      <c r="B73" s="3"/>
      <c r="C73" s="3"/>
      <c r="D73" s="3"/>
      <c r="E73" s="3"/>
      <c r="F73" s="3"/>
      <c r="G73" s="5"/>
      <c r="H73" s="5"/>
      <c r="I73" s="22"/>
      <c r="J73" s="23"/>
      <c r="K73" s="23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>
      <c r="E74" s="3"/>
      <c r="F74" s="3"/>
      <c r="G74" s="5"/>
      <c r="I74" s="14"/>
      <c r="K74" s="16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>
      <c r="E75" s="3"/>
      <c r="F75" s="3"/>
      <c r="G75" s="5"/>
      <c r="I75" s="14"/>
      <c r="K75" s="16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>
      <c r="E76" s="3"/>
      <c r="F76" s="3"/>
      <c r="G76" s="5"/>
      <c r="I76" s="14"/>
      <c r="K76" s="16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>
      <c r="E77" s="3"/>
      <c r="F77" s="3"/>
      <c r="G77" s="5"/>
      <c r="I77" s="14"/>
      <c r="K77" s="16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>
      <c r="E78" s="3"/>
      <c r="F78" s="3"/>
      <c r="G78" s="5"/>
      <c r="I78" s="14"/>
      <c r="K78" s="16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>
      <c r="E79" s="3"/>
      <c r="F79" s="3"/>
      <c r="G79" s="5"/>
      <c r="I79" s="14"/>
      <c r="K79" s="16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>
      <c r="E80" s="3"/>
      <c r="F80" s="3"/>
      <c r="G80" s="5"/>
      <c r="I80" s="14"/>
      <c r="K80" s="16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5:256">
      <c r="E81" s="3"/>
      <c r="F81" s="3"/>
      <c r="G81" s="5"/>
      <c r="I81" s="14"/>
      <c r="K81" s="16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5:256">
      <c r="E82" s="3"/>
      <c r="F82" s="3"/>
      <c r="G82" s="5"/>
      <c r="I82" s="14"/>
      <c r="K82" s="16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5:256">
      <c r="E83" s="3"/>
      <c r="F83" s="3"/>
      <c r="G83" s="5"/>
      <c r="I83" s="14"/>
      <c r="K83" s="16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5:256">
      <c r="E84" s="3"/>
      <c r="F84" s="3"/>
      <c r="G84" s="5"/>
      <c r="I84" s="14"/>
      <c r="K84" s="16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5:256">
      <c r="E85" s="3"/>
      <c r="F85" s="3"/>
      <c r="G85" s="5"/>
      <c r="I85" s="14"/>
      <c r="K85" s="16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5:256">
      <c r="E86" s="3"/>
      <c r="F86" s="3"/>
      <c r="G86" s="5"/>
      <c r="I86" s="14"/>
      <c r="K86" s="16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5:256">
      <c r="E87" s="3"/>
      <c r="F87" s="3"/>
      <c r="G87" s="5"/>
      <c r="I87" s="14"/>
      <c r="K87" s="16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5:256">
      <c r="E88" s="3"/>
      <c r="F88" s="3"/>
      <c r="G88" s="5"/>
      <c r="I88" s="14"/>
      <c r="K88" s="16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5:256">
      <c r="E89" s="3"/>
      <c r="F89" s="3"/>
      <c r="G89" s="5"/>
      <c r="I89" s="14"/>
      <c r="K89" s="16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5:256">
      <c r="E90" s="3"/>
      <c r="F90" s="3"/>
      <c r="G90" s="5"/>
      <c r="I90" s="14"/>
      <c r="K90" s="16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5:256">
      <c r="E91" s="3"/>
      <c r="F91" s="3"/>
      <c r="G91" s="5"/>
      <c r="I91" s="14"/>
      <c r="K91" s="16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5:256">
      <c r="E92" s="3"/>
      <c r="F92" s="3"/>
      <c r="G92" s="5"/>
      <c r="I92" s="14"/>
      <c r="K92" s="16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5:256">
      <c r="E93" s="3"/>
      <c r="F93" s="3"/>
      <c r="G93" s="5"/>
      <c r="I93" s="14"/>
      <c r="K93" s="16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5:256">
      <c r="E94" s="3"/>
      <c r="F94" s="3"/>
      <c r="G94" s="5"/>
      <c r="I94" s="14"/>
      <c r="K94" s="16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5:256">
      <c r="E95" s="3"/>
      <c r="F95" s="3"/>
      <c r="G95" s="5"/>
      <c r="I95" s="14"/>
      <c r="K95" s="16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5:256">
      <c r="E96" s="3"/>
      <c r="F96" s="3"/>
      <c r="G96" s="5"/>
      <c r="I96" s="14"/>
      <c r="K96" s="16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5:256">
      <c r="E97" s="3"/>
      <c r="F97" s="3"/>
      <c r="G97" s="5"/>
      <c r="I97" s="14"/>
      <c r="K97" s="16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5:256">
      <c r="E98" s="3"/>
      <c r="F98" s="3"/>
      <c r="G98" s="5"/>
      <c r="I98" s="14"/>
      <c r="K98" s="16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5:256">
      <c r="E99" s="3"/>
      <c r="F99" s="3"/>
      <c r="G99" s="5"/>
      <c r="I99" s="14"/>
      <c r="K99" s="16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5:256">
      <c r="E100" s="3"/>
      <c r="F100" s="3"/>
      <c r="G100" s="5"/>
      <c r="I100" s="14"/>
      <c r="K100" s="16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5:256">
      <c r="E101" s="3"/>
      <c r="F101" s="3"/>
      <c r="G101" s="5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5:256">
      <c r="E102" s="3"/>
      <c r="F102" s="3"/>
      <c r="G102" s="5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5:256">
      <c r="E103" s="3"/>
      <c r="F103" s="3"/>
      <c r="G103" s="5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5:256">
      <c r="E104" s="3"/>
      <c r="F104" s="3"/>
      <c r="G104" s="5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5:256">
      <c r="E105" s="3"/>
      <c r="F105" s="3"/>
      <c r="G105" s="5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5:256">
      <c r="E106" s="3"/>
      <c r="F106" s="3"/>
      <c r="G106" s="5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</sheetData>
  <sheetProtection password="F7E3" sheet="1" objects="1" scenarios="1"/>
  <mergeCells count="7">
    <mergeCell ref="B1:L1"/>
    <mergeCell ref="I2:J2"/>
    <mergeCell ref="K2:L2"/>
    <mergeCell ref="E2:F2"/>
    <mergeCell ref="A2:B2"/>
    <mergeCell ref="C2:D2"/>
    <mergeCell ref="G2:H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6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/>
  <dimension ref="A1:M215"/>
  <sheetViews>
    <sheetView showGridLines="0" zoomScale="115" zoomScaleNormal="115" workbookViewId="0">
      <selection sqref="A1:J1"/>
    </sheetView>
  </sheetViews>
  <sheetFormatPr defaultColWidth="11.44140625" defaultRowHeight="17.100000000000001" customHeight="1"/>
  <cols>
    <col min="1" max="1" width="4.6640625" style="52" customWidth="1"/>
    <col min="2" max="3" width="15" style="52" customWidth="1"/>
    <col min="4" max="4" width="14.88671875" style="52" customWidth="1"/>
    <col min="5" max="5" width="16" style="52" customWidth="1"/>
    <col min="6" max="7" width="15" style="52" customWidth="1"/>
    <col min="8" max="9" width="11.5546875" style="52" customWidth="1"/>
    <col min="10" max="16384" width="11.44140625" style="52"/>
  </cols>
  <sheetData>
    <row r="1" spans="1:10" ht="86.1" customHeight="1" thickBot="1">
      <c r="A1" s="180"/>
      <c r="B1" s="182"/>
      <c r="C1" s="180"/>
      <c r="D1" s="180"/>
      <c r="E1" s="180"/>
      <c r="F1" s="180"/>
      <c r="G1" s="180"/>
      <c r="H1" s="181"/>
      <c r="I1" s="672" t="s">
        <v>315</v>
      </c>
      <c r="J1" s="673"/>
    </row>
    <row r="2" spans="1:10" ht="54" customHeight="1">
      <c r="A2" s="465"/>
      <c r="B2" s="182"/>
      <c r="C2" s="182"/>
      <c r="D2" s="182"/>
      <c r="E2" s="466"/>
      <c r="F2" s="180"/>
      <c r="G2" s="180"/>
      <c r="H2" s="181"/>
      <c r="I2" s="141"/>
    </row>
    <row r="3" spans="1:10" ht="3.6" customHeight="1">
      <c r="A3" s="467" t="str">
        <f>"n. "&amp;(TEXT(Geral!L3,"0000")&amp;"/"&amp;TEXT(Geral!L4,"00"))</f>
        <v>n. 3733/23</v>
      </c>
      <c r="B3" s="468"/>
      <c r="C3" s="469"/>
      <c r="D3" s="470"/>
      <c r="E3" s="470"/>
      <c r="F3" s="929"/>
      <c r="G3" s="929"/>
      <c r="H3" s="181"/>
      <c r="I3" s="141"/>
    </row>
    <row r="4" spans="1:10" ht="18" customHeight="1">
      <c r="A4" s="471" t="str">
        <f>"Data da Calibração:      "&amp;TEXT(Geral!L11,"dd/mm/aa")</f>
        <v>Data da Calibração:      15/12/23</v>
      </c>
      <c r="B4" s="468"/>
      <c r="C4" s="469"/>
      <c r="D4" s="472"/>
      <c r="E4" s="472"/>
      <c r="F4" s="929"/>
      <c r="G4" s="929"/>
      <c r="H4" s="185"/>
      <c r="I4" s="141"/>
    </row>
    <row r="5" spans="1:10" ht="18" customHeight="1">
      <c r="A5" s="473" t="str">
        <f>"Data da Emissão:          "&amp;TEXT(Geral!L28,"dd/mm/aa")</f>
        <v>Data da Emissão:          15/12/23</v>
      </c>
      <c r="B5" s="474"/>
      <c r="C5" s="135"/>
      <c r="D5" s="475"/>
      <c r="E5" s="135"/>
      <c r="F5" s="135"/>
      <c r="G5" s="135"/>
      <c r="H5" s="188"/>
      <c r="I5" s="189"/>
    </row>
    <row r="6" spans="1:10" ht="16.5" customHeight="1">
      <c r="A6" s="183"/>
      <c r="C6" s="183"/>
      <c r="D6" s="187"/>
      <c r="E6" s="184"/>
      <c r="F6" s="447"/>
      <c r="G6" s="456" t="s">
        <v>324</v>
      </c>
      <c r="H6" s="188"/>
      <c r="I6" s="189"/>
    </row>
    <row r="7" spans="1:10" ht="14.25" customHeight="1">
      <c r="A7" s="483" t="str">
        <f>IF(Geral!$L$6="","","ESTE CERTIFICADO CANCELA E SUBSTITUI O CERTIFICADO DE CALIBRAÇÃO "&amp;(TEXT(Geral!$L$6,"0000")&amp;"/"&amp;(TEXT(Geral!$L$7,"00"))))</f>
        <v/>
      </c>
      <c r="B7" s="484"/>
      <c r="C7" s="485"/>
      <c r="D7" s="485"/>
      <c r="E7" s="486"/>
      <c r="F7" s="486"/>
      <c r="G7" s="487"/>
      <c r="H7" s="464" t="str">
        <f>IF(Dados!H7="","","2ª Via")</f>
        <v/>
      </c>
      <c r="I7" s="141"/>
    </row>
    <row r="8" spans="1:10" ht="17.100000000000001" customHeight="1">
      <c r="A8" s="191" t="str">
        <f>"1. CONTRATANTE: "</f>
        <v xml:space="preserve">1. CONTRATANTE: </v>
      </c>
      <c r="B8" s="192"/>
      <c r="C8" s="671" t="str">
        <f>Geral!D4</f>
        <v>STARA S A INDÚSTRIA DE IMPLEMENTOS AGRÍCOLAS</v>
      </c>
      <c r="D8" s="191"/>
      <c r="E8" s="191"/>
      <c r="F8" s="191"/>
      <c r="G8" s="191"/>
      <c r="H8" s="191"/>
      <c r="I8" s="87"/>
      <c r="J8" s="87"/>
    </row>
    <row r="9" spans="1:10" ht="15.75" customHeight="1">
      <c r="A9" s="192"/>
      <c r="C9" s="194" t="str">
        <f>Geral!D10&amp;" "&amp;Geral!D11&amp;", "&amp;Geral!D12&amp;" - "&amp;Geral!D15&amp;IF(Geral!D17="",""," - "&amp;Geral!D17)&amp;IF(Geral!B18="Brasil",""," - "&amp;Geral!B18)</f>
        <v>Av. Stara, 519 - Não-Me-Toque - RS</v>
      </c>
      <c r="D9" s="191"/>
      <c r="E9" s="191"/>
      <c r="F9" s="191"/>
      <c r="G9" s="191"/>
      <c r="H9" s="191"/>
      <c r="I9" s="216"/>
      <c r="J9" s="87"/>
    </row>
    <row r="10" spans="1:10" ht="5.25" customHeight="1">
      <c r="A10" s="191"/>
      <c r="B10" s="192"/>
      <c r="C10" s="193"/>
      <c r="H10" s="191"/>
      <c r="I10" s="87"/>
      <c r="J10" s="87"/>
    </row>
    <row r="11" spans="1:10" ht="17.100000000000001" customHeight="1">
      <c r="A11" s="191" t="str">
        <f>"2. SOLICITANTE: "</f>
        <v xml:space="preserve">2. SOLICITANTE: </v>
      </c>
      <c r="B11" s="192"/>
      <c r="C11" s="191" t="str">
        <f>IF(Geral!D4=Geral!B4,"O mesmo",Geral!B4)</f>
        <v>O mesmo</v>
      </c>
      <c r="H11" s="191"/>
      <c r="I11" s="87"/>
      <c r="J11" s="87"/>
    </row>
    <row r="12" spans="1:10" ht="4.5" customHeight="1">
      <c r="A12" s="191"/>
      <c r="B12" s="192"/>
      <c r="D12" s="191"/>
      <c r="E12" s="191"/>
      <c r="F12" s="191"/>
      <c r="G12" s="191"/>
      <c r="H12" s="191"/>
      <c r="I12" s="87"/>
      <c r="J12" s="87"/>
    </row>
    <row r="13" spans="1:10" ht="8.4" customHeight="1">
      <c r="A13" s="930" t="str">
        <f>"3. PADRÃO DE"&amp;IF(Dados!J1=""," RUGOSIDADE"," GEOMETRIA")&amp; " (CALIBRADO):"</f>
        <v>3. PADRÃO DE RUGOSIDADE (CALIBRADO):</v>
      </c>
      <c r="B13" s="930"/>
      <c r="C13" s="930"/>
      <c r="D13" s="930"/>
      <c r="E13" s="196"/>
      <c r="F13" s="196"/>
      <c r="G13" s="196"/>
      <c r="H13" s="191"/>
      <c r="I13" s="87"/>
      <c r="J13" s="87"/>
    </row>
    <row r="14" spans="1:10" ht="8.4" customHeight="1">
      <c r="A14" s="930"/>
      <c r="B14" s="930"/>
      <c r="C14" s="930"/>
      <c r="D14" s="930"/>
      <c r="E14" s="197"/>
      <c r="F14" s="197"/>
      <c r="G14" s="198"/>
      <c r="H14" s="87"/>
      <c r="I14" s="87"/>
      <c r="J14" s="87"/>
    </row>
    <row r="15" spans="1:10" ht="17.100000000000001" customHeight="1">
      <c r="A15" s="199" t="s">
        <v>153</v>
      </c>
      <c r="C15" s="441" t="str">
        <f>Geral!F14</f>
        <v>350141104</v>
      </c>
      <c r="E15" s="571" t="s">
        <v>154</v>
      </c>
      <c r="F15" s="682" t="str">
        <f>Geral!F3</f>
        <v>PA01</v>
      </c>
      <c r="G15" s="200"/>
      <c r="H15" s="87"/>
      <c r="I15" s="87"/>
      <c r="J15" s="87"/>
    </row>
    <row r="16" spans="1:10" ht="17.100000000000001" customHeight="1">
      <c r="A16" s="201" t="s">
        <v>155</v>
      </c>
      <c r="B16" s="135"/>
      <c r="C16" s="442" t="str">
        <f>IF(Dados!J3="",Geral!F8,Dados!J3)</f>
        <v>Mitutoyo</v>
      </c>
      <c r="E16" s="571" t="str">
        <f>IF(Dados!J2="","","Tipo (ISO 5436):")</f>
        <v/>
      </c>
      <c r="F16" s="571" t="str">
        <f>IF(Dados!J2="","",Dados!J2)</f>
        <v/>
      </c>
      <c r="G16" s="200"/>
      <c r="H16" s="87"/>
      <c r="I16" s="87"/>
      <c r="J16" s="87"/>
    </row>
    <row r="17" spans="1:12" ht="17.100000000000001" customHeight="1">
      <c r="A17" s="201" t="str">
        <f>IFERROR(VLOOKUP(1,Dados!$H$8:$J$11,2,),"")</f>
        <v xml:space="preserve">Ra: </v>
      </c>
      <c r="B17" s="135"/>
      <c r="C17" s="546" t="str">
        <f>IFERROR(VLOOKUP($A$17,Dados!$I$8:$J$11,2,)&amp;IF($A$17=Dados!I11," mm"," µm"),"")</f>
        <v>2,97 µm</v>
      </c>
      <c r="E17" s="571" t="str">
        <f>IFERROR(VLOOKUP(2,Dados!$H$8:$J$11,2,),"")</f>
        <v/>
      </c>
      <c r="F17" s="571" t="str">
        <f>IFERROR(VLOOKUP($E$17,Dados!$I$8:$J$11,2,)&amp;IF($E$17=Dados!I11," mm"," µm"),"")</f>
        <v/>
      </c>
      <c r="G17" s="200"/>
      <c r="H17" s="87"/>
      <c r="I17" s="87"/>
      <c r="J17" s="87"/>
    </row>
    <row r="18" spans="1:12" ht="17.100000000000001" hidden="1" customHeight="1">
      <c r="A18" s="201" t="str">
        <f>IFERROR(VLOOKUP(3,Dados!$H$8:$J$11,2,),"")</f>
        <v/>
      </c>
      <c r="B18" s="577"/>
      <c r="C18" s="546" t="str">
        <f>IFERROR(VLOOKUP($A$18,Dados!$I$8:$J$11,2,)&amp;IF($A$18=Dados!I11," mm"," µm"),"")</f>
        <v/>
      </c>
      <c r="D18" s="135"/>
      <c r="E18" s="201" t="str">
        <f>IFERROR(VLOOKUP(4,Dados!$H$8:$J$11,2,),"")</f>
        <v/>
      </c>
      <c r="F18" s="201" t="str">
        <f>IFERROR(VLOOKUP($E$18,Dados!$I$8:$J$11,2,)&amp;IF($E$18=Dados!I11," mm"," µm"),"")</f>
        <v/>
      </c>
      <c r="G18" s="202"/>
      <c r="H18" s="87"/>
      <c r="I18" s="87"/>
      <c r="J18" s="87"/>
    </row>
    <row r="19" spans="1:12" ht="3" customHeight="1">
      <c r="A19" s="578"/>
      <c r="B19" s="578"/>
      <c r="C19" s="578"/>
      <c r="D19" s="579"/>
      <c r="E19" s="580"/>
      <c r="F19" s="580"/>
      <c r="G19" s="581"/>
      <c r="H19" s="204"/>
      <c r="I19" s="87"/>
      <c r="J19" s="87"/>
    </row>
    <row r="20" spans="1:12" ht="17.100000000000001" customHeight="1">
      <c r="A20" s="191" t="str">
        <f>"4. PADRÃO UTILIZADO:  "</f>
        <v xml:space="preserve">4. PADRÃO UTILIZADO:  </v>
      </c>
      <c r="B20" s="204"/>
      <c r="C20" s="204"/>
      <c r="D20" s="204"/>
      <c r="E20" s="205" t="s">
        <v>156</v>
      </c>
      <c r="F20" s="206"/>
      <c r="G20" s="206"/>
      <c r="H20" s="204"/>
      <c r="I20" s="87"/>
      <c r="J20" s="87"/>
    </row>
    <row r="21" spans="1:12" ht="13.5" customHeight="1">
      <c r="A21" s="204" t="s">
        <v>296</v>
      </c>
      <c r="B21" s="204"/>
      <c r="C21" s="204"/>
      <c r="D21" s="204"/>
      <c r="F21"/>
      <c r="G21"/>
      <c r="H21" s="207"/>
      <c r="I21" s="87"/>
      <c r="J21" s="87"/>
    </row>
    <row r="22" spans="1:12" ht="13.5" customHeight="1">
      <c r="A22" s="204" t="str">
        <f>"Nº Registro (CERTI):"&amp;Dados!E11</f>
        <v>Nº Registro (CERTI):RC 2754</v>
      </c>
      <c r="B22" s="204"/>
      <c r="C22" s="204"/>
      <c r="D22" s="204"/>
      <c r="E22"/>
      <c r="F22"/>
      <c r="G22"/>
      <c r="H22" s="206"/>
      <c r="I22" s="87"/>
      <c r="J22" s="87"/>
    </row>
    <row r="23" spans="1:12" ht="19.5" customHeight="1">
      <c r="A23" s="204" t="str">
        <f>"U:  "</f>
        <v xml:space="preserve">U:  </v>
      </c>
      <c r="B23" s="204" t="str">
        <f>"("&amp;VLOOKUP("Incerteza Ra",Padroes!B4:N100,6,FALSE)&amp;") µm, para Ra"</f>
        <v>(0,003+R/38) µm, para Ra</v>
      </c>
      <c r="C23" s="204"/>
      <c r="D23" s="204"/>
      <c r="E23"/>
      <c r="F23"/>
      <c r="G23"/>
      <c r="I23" s="87"/>
      <c r="J23" s="87"/>
    </row>
    <row r="24" spans="1:12" ht="17.25" customHeight="1">
      <c r="A24" s="204"/>
      <c r="B24" s="234" t="str">
        <f>"("&amp;VLOOKUP("Incerteza Rz",Padroes!B4:N101,6,FALSE)&amp;") µm, para Rz"</f>
        <v>(0,008+R/33) µm, para Rz</v>
      </c>
      <c r="C24" s="204"/>
      <c r="D24" s="204"/>
      <c r="E24"/>
      <c r="F24"/>
      <c r="G24"/>
      <c r="I24" s="87"/>
      <c r="J24" s="87"/>
    </row>
    <row r="25" spans="1:12" ht="17.25" customHeight="1">
      <c r="A25" s="644" t="s">
        <v>310</v>
      </c>
      <c r="D25" s="209"/>
      <c r="E25"/>
      <c r="F25"/>
      <c r="G25"/>
      <c r="H25" s="206"/>
      <c r="I25" s="87"/>
      <c r="J25" s="87"/>
    </row>
    <row r="26" spans="1:12" ht="20.25" customHeight="1">
      <c r="A26" s="208" t="str">
        <f>"Rastreabilidade Metrológica: Certificado de Calibração "&amp;VLOOKUP(Dados!E11,Padroes!O4:AT100,6,FALSE)&amp;" "&amp;IF(VLOOKUP(Dados!E11,Padroes!O4:AT100,3,FALSE)="",TEXT(VLOOKUP(Dados!E11,Padroes!O4:AT100,4,FALSE),"0000")&amp;"/"&amp;TEXT(VLOOKUP(Dados!E11,Padroes!O4:AT100,5,FALSE),"00"),VLOOKUP(Dados!E11,Padroes!O4:AT100,3,FALSE))&amp;", de "&amp;TEXT(VLOOKUP(Dados!E11,Padroes!O4:AT100,7,FALSE),"dd/mm/aa")&amp;", válido até "&amp;TEXT(VLOOKUP(Dados!E11,Padroes!O4:AT100,9,FALSE),"mm/aa")&amp;"."</f>
        <v>Rastreabilidade Metrológica: Certificado de Calibração CERTI 0006/23, de 17/01/23, válido até 01/26.</v>
      </c>
      <c r="B26" s="204"/>
      <c r="D26" s="209"/>
      <c r="E26" s="210"/>
      <c r="F26" s="210"/>
      <c r="G26" s="210"/>
      <c r="H26" s="87"/>
      <c r="I26" s="87"/>
      <c r="J26" s="87"/>
    </row>
    <row r="27" spans="1:12" ht="21.75" customHeight="1">
      <c r="A27" s="204" t="s">
        <v>295</v>
      </c>
      <c r="B27" s="204"/>
      <c r="C27" s="204"/>
      <c r="D27" s="204"/>
      <c r="E27" s="211"/>
      <c r="F27" s="212"/>
      <c r="G27" s="212"/>
      <c r="H27" s="87"/>
      <c r="I27" s="87"/>
      <c r="J27" s="87"/>
    </row>
    <row r="28" spans="1:12" ht="17.100000000000001" customHeight="1">
      <c r="A28" s="204" t="str">
        <f>"Nº Registro (CERTI):"&amp;Dados!C34</f>
        <v>Nº Registro (CERTI):0,0628</v>
      </c>
      <c r="B28" s="204"/>
      <c r="C28" s="204"/>
      <c r="D28" s="204"/>
      <c r="E28" s="211"/>
      <c r="F28" s="212"/>
      <c r="G28" s="212"/>
      <c r="H28" s="87"/>
      <c r="I28" s="87"/>
      <c r="J28" s="87"/>
    </row>
    <row r="29" spans="1:12" ht="17.100000000000001" customHeight="1">
      <c r="A29" s="204" t="e">
        <f>"U:  "&amp;VLOOKUP(Dados!C34,Padroes!A4:N100,7,FALSE)&amp;" µm"</f>
        <v>#N/A</v>
      </c>
      <c r="B29" s="204"/>
      <c r="C29" s="204"/>
      <c r="D29" s="204"/>
      <c r="E29" s="211"/>
      <c r="F29" s="212"/>
      <c r="G29" s="212"/>
      <c r="H29" s="87"/>
      <c r="I29" s="87"/>
      <c r="J29" s="87"/>
      <c r="L29" s="670" t="s">
        <v>57</v>
      </c>
    </row>
    <row r="30" spans="1:12" ht="17.100000000000001" customHeight="1">
      <c r="A30" s="208" t="e">
        <f>"Rastreabilidade Metrológica: Certificado de Calibração "&amp;VLOOKUP(Dados!C34,Padroes!O4:AT106,6,FALSE)&amp;" "&amp;IF(VLOOKUP(Dados!C34,Padroes!O4:AT106,3,FALSE)="",TEXT(VLOOKUP(Dados!C34,Padroes!O4:AT106,4,FALSE),"0000")&amp;"/"&amp;TEXT(VLOOKUP(Dados!C34,Padroes!O4:AT106,5,FALSE),"00"),VLOOKUP(Dados!C34,Padroes!O4:AT106,3,FALSE))&amp;", de "&amp;TEXT(VLOOKUP(Dados!C34,Padroes!O4:AT106,7,FALSE),"dd/mm/aa")&amp;", válido até "&amp;TEXT(VLOOKUP(Dados!C34,Padroes!O4:AT106,9,FALSE),"mm/aa")&amp;"."</f>
        <v>#N/A</v>
      </c>
      <c r="B30" s="204"/>
      <c r="D30" s="209"/>
      <c r="E30" s="203" t="s">
        <v>144</v>
      </c>
      <c r="F30" s="212"/>
      <c r="G30" s="212"/>
      <c r="H30" s="87"/>
      <c r="I30" s="87"/>
      <c r="J30" s="87"/>
      <c r="L30" s="669" t="str">
        <f>"As medições foram executadas utilizando-se um apalpador de "&amp;Dados!D14&amp;" µm, uma velocidade de medição de "&amp;Dados!D13&amp;" mm/s  e com uma força de medição de "&amp;Dados!G15&amp;" mN."</f>
        <v>As medições foram executadas utilizando-se um apalpador de 2 µm, uma velocidade de medição de 0,5 mm/s  e com uma força de medição de 1,5 mN.</v>
      </c>
    </row>
    <row r="31" spans="1:12" ht="15" customHeight="1">
      <c r="B31" s="204"/>
      <c r="D31" s="209"/>
      <c r="E31" s="214" t="s">
        <v>157</v>
      </c>
      <c r="F31" s="212"/>
      <c r="G31" s="212"/>
      <c r="H31" s="87"/>
      <c r="I31" s="87"/>
      <c r="J31" s="87"/>
      <c r="L31" s="668" t="str">
        <f>"Utilizou-se um comprimento avaliado de "&amp;Dados!G62&amp;" mm, para o cut-off de "&amp;Dados!G60&amp;" mm e de "&amp;Dados!G103&amp;" mm para o cut-off de 0,8 mm"</f>
        <v>Utilizou-se um comprimento avaliado de 1,25 mm, para o cut-off de 0,25 mm e de 4 mm para o cut-off de 0,8 mm</v>
      </c>
    </row>
    <row r="32" spans="1:12" ht="17.100000000000001" customHeight="1">
      <c r="A32" s="191" t="str">
        <f>"5. PROCEDIMENTO DE CALIBRAÇÃO: " &amp; Geral!J13</f>
        <v>5. PROCEDIMENTO DE CALIBRAÇÃO: CMI-LMD-PC-245</v>
      </c>
      <c r="D32" s="213"/>
      <c r="E32" s="645" t="s">
        <v>311</v>
      </c>
      <c r="F32" s="212"/>
      <c r="G32" s="212"/>
      <c r="H32" s="87"/>
      <c r="I32" s="87"/>
      <c r="J32" s="87"/>
    </row>
    <row r="33" spans="1:10" ht="14.25" customHeight="1">
      <c r="A33" s="204"/>
      <c r="D33" s="213"/>
      <c r="E33" s="207" t="str">
        <f>"- Umidade Relativa do Ar: "&amp;Geral!L9</f>
        <v>- Umidade Relativa do Ar: (50 ± 10) %ur</v>
      </c>
      <c r="F33" s="212"/>
      <c r="G33" s="212"/>
      <c r="H33" s="87"/>
      <c r="I33" s="87"/>
      <c r="J33" s="87"/>
    </row>
    <row r="34" spans="1:10" ht="17.100000000000001" customHeight="1">
      <c r="A34" s="191"/>
      <c r="D34" s="213"/>
      <c r="F34" s="207"/>
      <c r="G34" s="207"/>
      <c r="H34" s="87"/>
      <c r="I34" s="87"/>
      <c r="J34" s="87"/>
    </row>
    <row r="35" spans="1:10" ht="17.100000000000001" customHeight="1">
      <c r="B35" s="203"/>
      <c r="D35" s="213"/>
      <c r="H35" s="207"/>
      <c r="I35" s="87"/>
      <c r="J35" s="87"/>
    </row>
    <row r="36" spans="1:10" ht="17.100000000000001" customHeight="1">
      <c r="B36" s="203"/>
      <c r="D36" s="213"/>
      <c r="F36" s="209"/>
      <c r="G36" s="209"/>
      <c r="H36" s="215"/>
      <c r="I36" s="87"/>
      <c r="J36" s="87"/>
    </row>
    <row r="37" spans="1:10" ht="17.100000000000001" customHeight="1">
      <c r="F37" s="209"/>
      <c r="G37" s="209"/>
      <c r="I37" s="87"/>
      <c r="J37" s="87"/>
    </row>
    <row r="38" spans="1:10" ht="17.100000000000001" customHeight="1">
      <c r="A38" s="204"/>
      <c r="H38" s="207"/>
      <c r="I38" s="87"/>
      <c r="J38" s="87"/>
    </row>
    <row r="39" spans="1:10" ht="17.100000000000001" customHeight="1">
      <c r="F39" s="217"/>
      <c r="G39" s="217"/>
      <c r="H39" s="87"/>
      <c r="I39" s="87"/>
      <c r="J39" s="87"/>
    </row>
    <row r="40" spans="1:10" ht="17.100000000000001" customHeight="1">
      <c r="A40" s="218" t="str">
        <f>"O padrão foi analisado utilizando um filtro cut-off (Lc) de "&amp;Dados!G60&amp;" mm, com filtro de onda "&amp;Dados!G59&amp;"."</f>
        <v>O padrão foi analisado utilizando um filtro cut-off (Lc) de 0,25 mm, com filtro de onda Gaussiano.</v>
      </c>
      <c r="E40" s="191"/>
      <c r="F40" s="204"/>
      <c r="G40" s="204"/>
      <c r="H40" s="87"/>
      <c r="I40" s="87"/>
      <c r="J40" s="87"/>
    </row>
    <row r="41" spans="1:10" ht="17.100000000000001" customHeight="1">
      <c r="E41" s="575" t="str">
        <f>IF(Dados!H3="","","OBS: "&amp;Dados!H3)</f>
        <v/>
      </c>
      <c r="F41"/>
      <c r="G41"/>
      <c r="H41" s="87"/>
      <c r="I41" s="87"/>
      <c r="J41" s="87"/>
    </row>
    <row r="42" spans="1:10" ht="17.100000000000001" customHeight="1">
      <c r="D42" s="213"/>
      <c r="E42"/>
      <c r="F42"/>
      <c r="G42"/>
      <c r="H42" s="87"/>
      <c r="I42" s="87"/>
      <c r="J42" s="87"/>
    </row>
    <row r="43" spans="1:10" ht="17.100000000000001" customHeight="1">
      <c r="D43" s="213"/>
      <c r="E43"/>
      <c r="F43"/>
      <c r="G43"/>
      <c r="H43" s="87"/>
      <c r="I43" s="87"/>
      <c r="J43" s="87"/>
    </row>
    <row r="44" spans="1:10" ht="17.100000000000001" customHeight="1">
      <c r="A44" s="218"/>
      <c r="D44" s="213"/>
      <c r="E44"/>
      <c r="F44"/>
      <c r="G44" s="456" t="s">
        <v>323</v>
      </c>
      <c r="H44" s="87"/>
      <c r="I44" s="87"/>
      <c r="J44" s="87"/>
    </row>
    <row r="45" spans="1:10" ht="16.5" customHeight="1">
      <c r="A45" s="217"/>
      <c r="B45" s="217"/>
      <c r="C45" s="217"/>
      <c r="D45" s="213"/>
      <c r="E45" s="217"/>
      <c r="F45" s="217"/>
      <c r="H45" s="87"/>
      <c r="I45" s="87"/>
      <c r="J45" s="87"/>
    </row>
    <row r="46" spans="1:10" ht="11.25" customHeight="1">
      <c r="A46" s="931" t="str">
        <f>"A influência do sistema de medição bem como do ambiente ao redor da mesma foram determinadas utilizando-se um plano óptico de excelente qualidade e usando os mesmos parâmetros que foram aplicados ao padrão de rugosidade. Assim o Rz é de "&amp;FIXED(ROUND(Dados!G29,3),3)&amp;" µm."</f>
        <v>A influência do sistema de medição bem como do ambiente ao redor da mesma foram determinadas utilizando-se um plano óptico de excelente qualidade e usando os mesmos parâmetros que foram aplicados ao padrão de rugosidade. Assim o Rz é de 0,057 µm.</v>
      </c>
      <c r="B46" s="931"/>
      <c r="C46" s="931"/>
      <c r="D46" s="931"/>
      <c r="E46" s="931"/>
      <c r="F46" s="931"/>
      <c r="G46" s="931"/>
      <c r="H46" s="87"/>
      <c r="I46" s="87"/>
      <c r="J46" s="87"/>
    </row>
    <row r="47" spans="1:10" ht="17.100000000000001" customHeight="1">
      <c r="A47" s="931"/>
      <c r="B47" s="931"/>
      <c r="C47" s="931"/>
      <c r="D47" s="931"/>
      <c r="E47" s="931"/>
      <c r="F47" s="931"/>
      <c r="G47" s="931"/>
      <c r="H47" s="87"/>
      <c r="I47" s="87"/>
      <c r="J47" s="87"/>
    </row>
    <row r="48" spans="1:10" ht="17.100000000000001" customHeight="1">
      <c r="A48" s="931"/>
      <c r="B48" s="931"/>
      <c r="C48" s="931"/>
      <c r="D48" s="931"/>
      <c r="E48" s="931"/>
      <c r="F48" s="931"/>
      <c r="G48" s="931"/>
      <c r="H48" s="87"/>
      <c r="I48" s="87"/>
      <c r="J48" s="87"/>
    </row>
    <row r="49" spans="1:13" ht="17.100000000000001" customHeight="1">
      <c r="A49" s="191" t="s">
        <v>158</v>
      </c>
      <c r="H49" s="87"/>
      <c r="I49" s="87"/>
      <c r="J49" s="87"/>
    </row>
    <row r="50" spans="1:13" ht="17.100000000000001" customHeight="1">
      <c r="B50" s="219"/>
      <c r="C50" s="219"/>
      <c r="D50" s="219"/>
      <c r="E50" s="215"/>
      <c r="F50" s="204"/>
      <c r="G50" s="204"/>
      <c r="H50" s="87"/>
      <c r="I50" s="87"/>
      <c r="J50" s="87"/>
    </row>
    <row r="51" spans="1:13" ht="14.25" customHeight="1">
      <c r="A51" s="191" t="str">
        <f>"6.1 Medição dos Parâmetros de Rugosidade, cut-off = "&amp;Dados!G60&amp; " mm (Conforme Norma ISO 4288-1998)"</f>
        <v>6.1 Medição dos Parâmetros de Rugosidade, cut-off = 0,25 mm (Conforme Norma ISO 4288-1998)</v>
      </c>
      <c r="B51" s="219"/>
      <c r="C51" s="219"/>
      <c r="D51" s="219"/>
      <c r="E51" s="193"/>
      <c r="F51" s="204"/>
      <c r="G51" s="204"/>
      <c r="H51" s="87"/>
      <c r="I51" s="87"/>
      <c r="J51" s="87"/>
    </row>
    <row r="52" spans="1:13" ht="10.5" customHeight="1" thickBot="1">
      <c r="B52" s="583"/>
      <c r="C52" s="584"/>
      <c r="D52" s="585"/>
      <c r="E52" s="585"/>
      <c r="F52" s="586"/>
      <c r="G52" s="204"/>
      <c r="H52" s="87"/>
      <c r="I52" s="87"/>
      <c r="J52" s="87"/>
    </row>
    <row r="53" spans="1:13" ht="15.6">
      <c r="B53" s="587" t="s">
        <v>159</v>
      </c>
      <c r="C53" s="228" t="s">
        <v>306</v>
      </c>
      <c r="D53" s="222" t="s">
        <v>264</v>
      </c>
      <c r="E53" s="588" t="s">
        <v>160</v>
      </c>
      <c r="F53" s="664" t="s">
        <v>307</v>
      </c>
      <c r="G53" s="3"/>
      <c r="H53" s="87"/>
      <c r="I53" s="87"/>
      <c r="J53" s="87"/>
    </row>
    <row r="54" spans="1:13" ht="12" customHeight="1">
      <c r="B54" s="221"/>
      <c r="C54" s="590" t="s">
        <v>161</v>
      </c>
      <c r="D54" s="590" t="str">
        <f>"[%]"</f>
        <v>[%]</v>
      </c>
      <c r="E54" s="590"/>
      <c r="F54" s="590"/>
      <c r="G54" s="220"/>
      <c r="H54" s="87"/>
      <c r="I54" s="87"/>
      <c r="J54" s="87"/>
    </row>
    <row r="55" spans="1:13" ht="12" customHeight="1">
      <c r="B55" s="222" t="s">
        <v>162</v>
      </c>
      <c r="C55" s="223" t="str">
        <f>FIXED(Dados!B86,Dados!Q29)</f>
        <v>2,928</v>
      </c>
      <c r="D55" s="225">
        <f>Dados!Q27</f>
        <v>3</v>
      </c>
      <c r="E55" s="224">
        <f>ROUND(Dados!O25,2)</f>
        <v>2</v>
      </c>
      <c r="F55" s="225" t="str">
        <f>IF(ROUND(E55,3)&lt;=2.009,"Infinito",ROUND(Dados!R24,0))</f>
        <v>Infinito</v>
      </c>
      <c r="G55" s="220"/>
      <c r="H55" s="87"/>
      <c r="I55" s="222"/>
      <c r="J55" s="223"/>
      <c r="K55" s="225"/>
      <c r="L55" s="224"/>
      <c r="M55" s="225"/>
    </row>
    <row r="56" spans="1:13" ht="12" customHeight="1">
      <c r="B56" s="226" t="s">
        <v>163</v>
      </c>
      <c r="C56" s="227" t="str">
        <f>FIXED(Dados!B87,Dados!Q44)</f>
        <v>9,29</v>
      </c>
      <c r="D56" s="229">
        <f>Dados!Q42</f>
        <v>3</v>
      </c>
      <c r="E56" s="228">
        <f>Dados!O40</f>
        <v>2</v>
      </c>
      <c r="F56" s="225" t="str">
        <f>IF(ROUND(E56,3)&lt;=2.009,"Infinito",ROUND(Dados!R39,0))</f>
        <v>Infinito</v>
      </c>
      <c r="G56" s="220"/>
      <c r="H56" s="87"/>
      <c r="I56" s="226"/>
      <c r="J56" s="227"/>
      <c r="K56" s="229"/>
      <c r="L56" s="228"/>
      <c r="M56" s="225"/>
    </row>
    <row r="57" spans="1:13" ht="12" customHeight="1">
      <c r="B57" s="226" t="s">
        <v>164</v>
      </c>
      <c r="C57" s="227" t="str">
        <f>FIXED(Dados!B88,Dados!Q61)</f>
        <v>9,37</v>
      </c>
      <c r="D57" s="229">
        <f>Dados!Q59</f>
        <v>3</v>
      </c>
      <c r="E57" s="228">
        <f>Dados!O57</f>
        <v>2</v>
      </c>
      <c r="F57" s="229" t="str">
        <f>IF(ROUND(E57,3)&lt;=2.009,"Infinito",ROUND(Dados!R56,0))</f>
        <v>Infinito</v>
      </c>
      <c r="G57" s="220"/>
      <c r="H57" s="87"/>
      <c r="I57" s="226"/>
      <c r="J57" s="227"/>
      <c r="K57" s="229"/>
      <c r="L57" s="228"/>
      <c r="M57" s="229"/>
    </row>
    <row r="58" spans="1:13" ht="12" customHeight="1" thickBot="1">
      <c r="B58" s="226" t="str">
        <f>IF(Dados!J1="","",Dados!A89)</f>
        <v/>
      </c>
      <c r="C58" s="227" t="str">
        <f>FIXED(Dados!B89,Dados!Q74)</f>
        <v>98</v>
      </c>
      <c r="D58" s="229">
        <f>Dados!Q76</f>
        <v>1</v>
      </c>
      <c r="E58" s="228">
        <f>Dados!O73</f>
        <v>2.25</v>
      </c>
      <c r="F58" s="229">
        <f>IF(ROUND(E58,3)=2,"Infinito",ROUND(Dados!R72,0))</f>
        <v>11</v>
      </c>
      <c r="G58" s="220"/>
      <c r="H58" s="87"/>
      <c r="I58" s="226"/>
      <c r="J58" s="227"/>
      <c r="K58" s="229"/>
      <c r="L58" s="228"/>
      <c r="M58" s="229"/>
    </row>
    <row r="59" spans="1:13" ht="11.1" customHeight="1">
      <c r="A59" s="204"/>
      <c r="B59" s="591"/>
      <c r="C59" s="591"/>
      <c r="D59" s="591"/>
      <c r="E59" s="591"/>
      <c r="F59" s="591"/>
      <c r="G59" s="74"/>
      <c r="H59" s="87"/>
      <c r="I59" s="87"/>
      <c r="J59" s="87"/>
    </row>
    <row r="60" spans="1:13" ht="11.1" customHeight="1" thickBot="1">
      <c r="A60" s="231"/>
      <c r="B60" s="232"/>
      <c r="C60" s="230"/>
      <c r="D60" s="233"/>
      <c r="E60" s="233"/>
      <c r="F60" s="220"/>
      <c r="G60" s="234"/>
      <c r="H60" s="87"/>
      <c r="I60" s="87"/>
      <c r="J60" s="87"/>
    </row>
    <row r="61" spans="1:13" ht="12" customHeight="1">
      <c r="A61" s="195"/>
      <c r="B61" s="587" t="s">
        <v>159</v>
      </c>
      <c r="C61" s="228" t="s">
        <v>165</v>
      </c>
      <c r="D61" s="228" t="s">
        <v>166</v>
      </c>
      <c r="E61" s="588" t="s">
        <v>167</v>
      </c>
      <c r="F61" s="220"/>
      <c r="G61" s="234"/>
      <c r="H61" s="87"/>
      <c r="I61" s="87"/>
      <c r="J61" s="87"/>
    </row>
    <row r="62" spans="1:13" ht="12" customHeight="1">
      <c r="A62" s="204"/>
      <c r="B62" s="221"/>
      <c r="C62" s="590" t="s">
        <v>161</v>
      </c>
      <c r="D62" s="590" t="s">
        <v>161</v>
      </c>
      <c r="E62" s="590" t="s">
        <v>168</v>
      </c>
      <c r="F62" s="220"/>
      <c r="G62" s="74"/>
      <c r="H62" s="87"/>
      <c r="I62" s="87"/>
      <c r="J62" s="87"/>
    </row>
    <row r="63" spans="1:13" ht="12" customHeight="1">
      <c r="A63" s="195"/>
      <c r="B63" s="222" t="s">
        <v>162</v>
      </c>
      <c r="C63" s="223" t="str">
        <f>FIXED(Dados!C81,Dados!Q29)</f>
        <v>2,945</v>
      </c>
      <c r="D63" s="223" t="str">
        <f>FIXED(Dados!C83,Dados!Q29)</f>
        <v>2,907</v>
      </c>
      <c r="E63" s="223" t="str">
        <f>FIXED(Dados!C79,Dados!Q29)</f>
        <v>0,012</v>
      </c>
      <c r="F63" s="220"/>
      <c r="G63" s="235"/>
      <c r="H63" s="87"/>
      <c r="I63" s="87"/>
      <c r="J63" s="87"/>
    </row>
    <row r="64" spans="1:13" ht="12" customHeight="1">
      <c r="A64" s="236"/>
      <c r="B64" s="226" t="s">
        <v>163</v>
      </c>
      <c r="C64" s="227" t="str">
        <f>FIXED(Dados!D81,Dados!Q44)</f>
        <v>9,44</v>
      </c>
      <c r="D64" s="227" t="str">
        <f>FIXED(Dados!D83,Dados!Q44)</f>
        <v>9,15</v>
      </c>
      <c r="E64" s="227" t="str">
        <f>FIXED(Dados!D79,Dados!Q44)</f>
        <v>0,08</v>
      </c>
      <c r="F64" s="74"/>
      <c r="G64" s="237"/>
      <c r="H64" s="87"/>
      <c r="I64" s="87"/>
      <c r="J64" s="87"/>
    </row>
    <row r="65" spans="1:10" ht="12" customHeight="1">
      <c r="B65" s="226" t="s">
        <v>164</v>
      </c>
      <c r="C65" s="227" t="str">
        <f>FIXED(Dados!E81,Dados!Q61)</f>
        <v>9,80</v>
      </c>
      <c r="D65" s="227" t="str">
        <f>FIXED(Dados!E83,Dados!Q61)</f>
        <v>9,15</v>
      </c>
      <c r="E65" s="227" t="str">
        <f>FIXED(Dados!E79,Dados!Q61)</f>
        <v>0,17</v>
      </c>
      <c r="F65" s="220"/>
      <c r="G65" s="74"/>
      <c r="H65" s="87"/>
      <c r="I65" s="87"/>
      <c r="J65" s="87"/>
    </row>
    <row r="66" spans="1:10" ht="12" customHeight="1" thickBot="1">
      <c r="B66" s="226" t="str">
        <f>IF(Dados!J1="","",Dados!A89)</f>
        <v/>
      </c>
      <c r="C66" s="227" t="str">
        <f>FIXED(Dados!F81,Dados!Q74)</f>
        <v>100</v>
      </c>
      <c r="D66" s="227" t="str">
        <f>FIXED(Dados!F83,Dados!Q74)</f>
        <v>96</v>
      </c>
      <c r="E66" s="227" t="str">
        <f>FIXED(Dados!F79,Dados!Q74)</f>
        <v>2</v>
      </c>
      <c r="F66" s="220"/>
      <c r="G66" s="74"/>
      <c r="H66" s="87"/>
      <c r="I66" s="87"/>
      <c r="J66" s="87"/>
    </row>
    <row r="67" spans="1:10" ht="12" customHeight="1">
      <c r="B67" s="592"/>
      <c r="C67" s="593"/>
      <c r="D67" s="593"/>
      <c r="E67" s="593"/>
      <c r="F67" s="220"/>
      <c r="G67" s="220"/>
      <c r="H67" s="87"/>
      <c r="I67" s="87"/>
      <c r="J67" s="87"/>
    </row>
    <row r="68" spans="1:10" ht="12" customHeight="1">
      <c r="A68" s="191" t="str">
        <f>"6.2 Medição dos Parâmetros de Rugosidade, cut-off ="&amp;Dados!G101&amp;" mm"</f>
        <v>6.2 Medição dos Parâmetros de Rugosidade, cut-off =0,80 mm</v>
      </c>
      <c r="B68" s="219"/>
      <c r="C68" s="219"/>
      <c r="D68" s="219"/>
      <c r="E68" s="193"/>
      <c r="F68" s="204"/>
      <c r="G68" s="204"/>
      <c r="H68" s="87"/>
      <c r="I68" s="87"/>
      <c r="J68" s="87"/>
    </row>
    <row r="69" spans="1:10" ht="12" customHeight="1" thickBot="1">
      <c r="B69" s="583"/>
      <c r="C69" s="584"/>
      <c r="D69" s="585"/>
      <c r="E69" s="585"/>
      <c r="F69" s="586"/>
      <c r="G69" s="204"/>
      <c r="H69" s="87"/>
      <c r="I69" s="87"/>
      <c r="J69" s="87"/>
    </row>
    <row r="70" spans="1:10" ht="15.6">
      <c r="B70" s="587" t="s">
        <v>159</v>
      </c>
      <c r="C70" s="228" t="s">
        <v>306</v>
      </c>
      <c r="D70" s="222" t="s">
        <v>264</v>
      </c>
      <c r="E70" s="588" t="s">
        <v>160</v>
      </c>
      <c r="F70" s="589" t="s">
        <v>307</v>
      </c>
      <c r="G70" s="3"/>
      <c r="H70" s="87"/>
      <c r="I70" s="87"/>
      <c r="J70" s="87"/>
    </row>
    <row r="71" spans="1:10" ht="12" customHeight="1">
      <c r="B71" s="221"/>
      <c r="C71" s="590" t="s">
        <v>161</v>
      </c>
      <c r="D71" s="590" t="str">
        <f>"[%]"</f>
        <v>[%]</v>
      </c>
      <c r="E71" s="590"/>
      <c r="F71" s="590"/>
      <c r="G71" s="220"/>
      <c r="H71" s="87"/>
      <c r="I71" s="87"/>
      <c r="J71" s="87"/>
    </row>
    <row r="72" spans="1:10" ht="12" customHeight="1">
      <c r="B72" s="222" t="s">
        <v>162</v>
      </c>
      <c r="C72" s="223" t="str">
        <f>FIXED(Dados!B127,Dados!Q105)</f>
        <v>2,991</v>
      </c>
      <c r="D72" s="225">
        <f>Dados!Q103</f>
        <v>3</v>
      </c>
      <c r="E72" s="224">
        <f>Dados!O101</f>
        <v>2</v>
      </c>
      <c r="F72" s="225" t="str">
        <f>IF(ROUND(E72,3)&lt;=2.009,"Infinito",ROUND(Dados!R100,0))</f>
        <v>Infinito</v>
      </c>
      <c r="G72" s="220"/>
      <c r="H72" s="87"/>
      <c r="I72" s="87"/>
      <c r="J72" s="87"/>
    </row>
    <row r="73" spans="1:10" ht="12" customHeight="1">
      <c r="B73" s="226" t="s">
        <v>163</v>
      </c>
      <c r="C73" s="227" t="str">
        <f>FIXED(Dados!B128,Dados!Q120)</f>
        <v>9,51</v>
      </c>
      <c r="D73" s="229">
        <f>Dados!Q118</f>
        <v>3</v>
      </c>
      <c r="E73" s="228">
        <f>Dados!O116</f>
        <v>2</v>
      </c>
      <c r="F73" s="225" t="str">
        <f>IF(ROUND(E73,3)&lt;=2.009,"Infinito",ROUND(Dados!R115,0))</f>
        <v>Infinito</v>
      </c>
      <c r="G73" s="220"/>
      <c r="H73" s="87"/>
      <c r="I73" s="87"/>
      <c r="J73" s="87"/>
    </row>
    <row r="74" spans="1:10" ht="12" customHeight="1">
      <c r="B74" s="226" t="s">
        <v>164</v>
      </c>
      <c r="C74" s="227" t="str">
        <f>FIXED(Dados!B129,Dados!Q137)</f>
        <v>9,57</v>
      </c>
      <c r="D74" s="229">
        <f>Dados!Q135</f>
        <v>3</v>
      </c>
      <c r="E74" s="228">
        <f>Dados!O133</f>
        <v>2</v>
      </c>
      <c r="F74" s="229" t="str">
        <f>IF(ROUND(E74,3)&lt;=2.009,"Infinito",ROUND(Dados!R132,0))</f>
        <v>Infinito</v>
      </c>
      <c r="G74" s="220"/>
      <c r="H74" s="87"/>
      <c r="I74" s="87"/>
      <c r="J74" s="87"/>
    </row>
    <row r="75" spans="1:10" ht="12" customHeight="1" thickBot="1">
      <c r="B75" s="226" t="str">
        <f>IF(Dados!J1="","",Dados!A130)</f>
        <v/>
      </c>
      <c r="C75" s="227" t="str">
        <f>FIXED(Dados!B130,Dados!Q149)</f>
        <v>99,5</v>
      </c>
      <c r="D75" s="229">
        <f>Dados!Q151</f>
        <v>0.2</v>
      </c>
      <c r="E75" s="228">
        <f>Dados!O148</f>
        <v>2.23</v>
      </c>
      <c r="F75" s="229">
        <f>IF(ROUND(E75,3)=2,"Infinito",ROUND(Dados!R147,0))</f>
        <v>12</v>
      </c>
      <c r="G75" s="220"/>
      <c r="H75" s="87"/>
      <c r="I75" s="87"/>
      <c r="J75" s="87"/>
    </row>
    <row r="76" spans="1:10" ht="11.1" customHeight="1">
      <c r="A76" s="204"/>
      <c r="B76" s="591"/>
      <c r="C76" s="591"/>
      <c r="D76" s="591"/>
      <c r="E76" s="591"/>
      <c r="F76" s="591"/>
      <c r="G76" s="74"/>
      <c r="H76" s="87"/>
      <c r="I76" s="87"/>
      <c r="J76" s="87"/>
    </row>
    <row r="77" spans="1:10" ht="11.1" customHeight="1" thickBot="1">
      <c r="A77" s="231"/>
      <c r="B77" s="232"/>
      <c r="C77" s="230"/>
      <c r="D77" s="233"/>
      <c r="E77" s="233"/>
      <c r="F77" s="220"/>
      <c r="G77" s="234"/>
      <c r="H77" s="87"/>
      <c r="I77" s="87"/>
      <c r="J77" s="87"/>
    </row>
    <row r="78" spans="1:10" ht="12" customHeight="1">
      <c r="A78" s="195"/>
      <c r="B78" s="587" t="s">
        <v>159</v>
      </c>
      <c r="C78" s="228" t="s">
        <v>165</v>
      </c>
      <c r="D78" s="228" t="s">
        <v>166</v>
      </c>
      <c r="E78" s="588" t="s">
        <v>167</v>
      </c>
      <c r="F78" s="220"/>
      <c r="G78" s="234"/>
      <c r="H78" s="87"/>
      <c r="I78" s="87"/>
      <c r="J78" s="87"/>
    </row>
    <row r="79" spans="1:10" ht="12" customHeight="1">
      <c r="A79" s="204"/>
      <c r="B79" s="221"/>
      <c r="C79" s="590" t="s">
        <v>161</v>
      </c>
      <c r="D79" s="590" t="s">
        <v>161</v>
      </c>
      <c r="E79" s="590" t="s">
        <v>168</v>
      </c>
      <c r="F79" s="220"/>
      <c r="G79" s="74"/>
      <c r="H79" s="87"/>
      <c r="I79" s="87"/>
      <c r="J79" s="87"/>
    </row>
    <row r="80" spans="1:10" ht="12" customHeight="1">
      <c r="A80" s="195"/>
      <c r="B80" s="222" t="s">
        <v>162</v>
      </c>
      <c r="C80" s="223" t="str">
        <f>FIXED(Dados!C122,Dados!Q105)</f>
        <v>2,999</v>
      </c>
      <c r="D80" s="223" t="str">
        <f>FIXED(Dados!C124,Dados!Q105)</f>
        <v>2,976</v>
      </c>
      <c r="E80" s="223" t="str">
        <f>FIXED(Dados!C120,Dados!Q105)</f>
        <v>0,007</v>
      </c>
      <c r="F80" s="220"/>
      <c r="G80" s="235"/>
      <c r="H80" s="87"/>
      <c r="I80" s="87"/>
      <c r="J80" s="87"/>
    </row>
    <row r="81" spans="1:10" ht="12" customHeight="1">
      <c r="A81" s="236"/>
      <c r="B81" s="226" t="s">
        <v>163</v>
      </c>
      <c r="C81" s="227" t="str">
        <f>FIXED(Dados!D122,Dados!Q120)</f>
        <v>9,55</v>
      </c>
      <c r="D81" s="227" t="str">
        <f>FIXED(Dados!D124,Dados!Q120)</f>
        <v>9,38</v>
      </c>
      <c r="E81" s="227" t="str">
        <f>FIXED(Dados!D120,Dados!Q120)</f>
        <v>0,05</v>
      </c>
      <c r="F81" s="74"/>
      <c r="G81" s="237"/>
      <c r="H81" s="87"/>
      <c r="I81" s="87"/>
      <c r="J81" s="87"/>
    </row>
    <row r="82" spans="1:10" ht="12" customHeight="1">
      <c r="B82" s="226" t="s">
        <v>164</v>
      </c>
      <c r="C82" s="227" t="str">
        <f>FIXED(Dados!E122,Dados!Q137)</f>
        <v>9,85</v>
      </c>
      <c r="D82" s="227" t="str">
        <f>FIXED(Dados!E124,Dados!Q137)</f>
        <v>9,40</v>
      </c>
      <c r="E82" s="227" t="str">
        <f>FIXED(Dados!E120,Dados!Q137)</f>
        <v>0,11</v>
      </c>
      <c r="F82" s="220"/>
      <c r="G82" s="74"/>
      <c r="H82" s="87"/>
      <c r="I82" s="87"/>
      <c r="J82" s="87"/>
    </row>
    <row r="83" spans="1:10" ht="12" customHeight="1" thickBot="1">
      <c r="B83" s="226" t="str">
        <f>IF(Dados!J1="","",Dados!A130)</f>
        <v/>
      </c>
      <c r="C83" s="227" t="str">
        <f>FIXED(Dados!F122,Dados!Q149)</f>
        <v>100,1</v>
      </c>
      <c r="D83" s="227" t="str">
        <f>FIXED(Dados!F124,Dados!Q149)</f>
        <v>98,9</v>
      </c>
      <c r="E83" s="227" t="str">
        <f>FIXED(Dados!F120,Dados!Q149)</f>
        <v>0,3</v>
      </c>
      <c r="F83" s="220"/>
      <c r="G83" s="74"/>
      <c r="H83" s="87"/>
      <c r="I83" s="87"/>
      <c r="J83" s="87"/>
    </row>
    <row r="84" spans="1:10" ht="12" customHeight="1">
      <c r="B84" s="665"/>
      <c r="C84" s="665"/>
      <c r="D84" s="665"/>
      <c r="E84" s="665"/>
      <c r="F84"/>
      <c r="H84" s="87"/>
      <c r="I84" s="87"/>
      <c r="J84" s="87"/>
    </row>
    <row r="85" spans="1:10" ht="12" customHeight="1">
      <c r="B85"/>
      <c r="C85"/>
      <c r="D85"/>
      <c r="E85"/>
      <c r="F85"/>
      <c r="G85" s="456" t="s">
        <v>321</v>
      </c>
      <c r="H85" s="87"/>
      <c r="I85" s="87"/>
      <c r="J85" s="87"/>
    </row>
    <row r="86" spans="1:10" ht="12" customHeight="1">
      <c r="B86"/>
      <c r="C86"/>
      <c r="D86"/>
      <c r="E86"/>
      <c r="F86"/>
      <c r="H86" s="87"/>
      <c r="I86" s="87"/>
      <c r="J86" s="87"/>
    </row>
    <row r="87" spans="1:10" ht="15" customHeight="1">
      <c r="A87" s="191" t="str">
        <f>"6.3 Medição dos Parâmetros de Rugosidade, cut-off = "&amp;Dados2!G60&amp; " mm (Conforme Norma ISO 4288-1998)"</f>
        <v>6.3 Medição dos Parâmetros de Rugosidade, cut-off = , mm (Conforme Norma ISO 4288-1998)</v>
      </c>
      <c r="B87" s="219"/>
      <c r="C87" s="219"/>
      <c r="D87" s="219"/>
      <c r="E87" s="193"/>
      <c r="F87" s="204"/>
      <c r="G87" s="204"/>
      <c r="H87" s="87"/>
      <c r="I87" s="87"/>
      <c r="J87" s="87"/>
    </row>
    <row r="88" spans="1:10" ht="12" customHeight="1" thickBot="1">
      <c r="B88" s="583"/>
      <c r="C88" s="584"/>
      <c r="D88" s="585"/>
      <c r="E88" s="585"/>
      <c r="F88" s="586"/>
      <c r="G88" s="204"/>
      <c r="H88" s="87"/>
      <c r="I88" s="87"/>
      <c r="J88" s="87"/>
    </row>
    <row r="89" spans="1:10" ht="15.6">
      <c r="B89" s="587" t="s">
        <v>159</v>
      </c>
      <c r="C89" s="228" t="s">
        <v>306</v>
      </c>
      <c r="D89" s="222" t="s">
        <v>264</v>
      </c>
      <c r="E89" s="588" t="s">
        <v>160</v>
      </c>
      <c r="F89" s="589" t="s">
        <v>307</v>
      </c>
      <c r="G89" s="3"/>
      <c r="H89" s="87"/>
      <c r="I89" s="87"/>
      <c r="J89" s="87"/>
    </row>
    <row r="90" spans="1:10" ht="12" customHeight="1">
      <c r="B90" s="221"/>
      <c r="C90" s="590" t="s">
        <v>161</v>
      </c>
      <c r="D90" s="590" t="str">
        <f>"[%]"</f>
        <v>[%]</v>
      </c>
      <c r="E90" s="590"/>
      <c r="F90" s="590"/>
      <c r="G90" s="220"/>
    </row>
    <row r="91" spans="1:10" ht="12" customHeight="1">
      <c r="B91" s="222" t="s">
        <v>162</v>
      </c>
      <c r="C91" s="223" t="e">
        <f>FIXED(Dados2!B86,Dados2!Q29)</f>
        <v>#DIV/0!</v>
      </c>
      <c r="D91" s="225" t="e">
        <f>Dados2!Q27</f>
        <v>#DIV/0!</v>
      </c>
      <c r="E91" s="224" t="e">
        <f>ROUND(Dados2!O25,2)</f>
        <v>#DIV/0!</v>
      </c>
      <c r="F91" s="225" t="e">
        <f>IF(ROUND(E91,3)&lt;=2.009,"Infinito",ROUND(Dados2!R24,0))</f>
        <v>#DIV/0!</v>
      </c>
      <c r="G91" s="220"/>
      <c r="H91" s="87"/>
      <c r="I91" s="87"/>
      <c r="J91" s="87"/>
    </row>
    <row r="92" spans="1:10" s="455" customFormat="1" ht="12" customHeight="1">
      <c r="A92" s="52"/>
      <c r="B92" s="226" t="s">
        <v>163</v>
      </c>
      <c r="C92" s="227" t="e">
        <f>FIXED(Dados2!B87,Dados2!Q44)</f>
        <v>#DIV/0!</v>
      </c>
      <c r="D92" s="229" t="e">
        <f>Dados2!Q42</f>
        <v>#DIV/0!</v>
      </c>
      <c r="E92" s="228" t="e">
        <f>Dados2!O40</f>
        <v>#DIV/0!</v>
      </c>
      <c r="F92" s="225" t="e">
        <f>IF(ROUND(E92,3)&lt;=2.009,"Infinito",ROUND(Dados2!R39,0))</f>
        <v>#DIV/0!</v>
      </c>
      <c r="G92" s="220"/>
      <c r="H92" s="454"/>
      <c r="I92" s="454"/>
      <c r="J92" s="454"/>
    </row>
    <row r="93" spans="1:10" s="455" customFormat="1" ht="12" customHeight="1">
      <c r="A93" s="52"/>
      <c r="B93" s="226" t="s">
        <v>164</v>
      </c>
      <c r="C93" s="227" t="e">
        <f>FIXED(Dados2!B88,Dados2!Q61)</f>
        <v>#DIV/0!</v>
      </c>
      <c r="D93" s="229" t="e">
        <f>Dados2!Q59</f>
        <v>#DIV/0!</v>
      </c>
      <c r="E93" s="228" t="e">
        <f>Dados2!O57</f>
        <v>#DIV/0!</v>
      </c>
      <c r="F93" s="229" t="e">
        <f>IF(ROUND(E93,3)&lt;=2.009,"Infinito",ROUND(Dados2!R56,0))</f>
        <v>#DIV/0!</v>
      </c>
      <c r="G93" s="220"/>
      <c r="H93" s="454"/>
      <c r="I93" s="454"/>
      <c r="J93" s="454"/>
    </row>
    <row r="94" spans="1:10" s="455" customFormat="1" ht="12" customHeight="1" thickBot="1">
      <c r="A94" s="52"/>
      <c r="B94" s="226" t="str">
        <f>IF(Dados2!J1="","",Dados2!A89)</f>
        <v>RSm</v>
      </c>
      <c r="C94" s="227" t="e">
        <f>FIXED(Dados2!B89,Dados2!Q74)</f>
        <v>#DIV/0!</v>
      </c>
      <c r="D94" s="229" t="e">
        <f>Dados2!Q76</f>
        <v>#DIV/0!</v>
      </c>
      <c r="E94" s="228" t="e">
        <f>Dados2!O73</f>
        <v>#DIV/0!</v>
      </c>
      <c r="F94" s="229" t="e">
        <f>IF(ROUND(E94,3)=2,"Infinito",ROUND(Dados2!R72,0))</f>
        <v>#DIV/0!</v>
      </c>
      <c r="G94" s="220"/>
      <c r="H94" s="454"/>
      <c r="I94" s="454"/>
      <c r="J94" s="454"/>
    </row>
    <row r="95" spans="1:10" s="455" customFormat="1" ht="11.1" customHeight="1">
      <c r="A95" s="204"/>
      <c r="B95" s="591"/>
      <c r="C95" s="591"/>
      <c r="D95" s="591"/>
      <c r="E95" s="591"/>
      <c r="F95" s="591"/>
      <c r="G95" s="74"/>
      <c r="H95" s="454"/>
      <c r="I95" s="454"/>
      <c r="J95" s="454"/>
    </row>
    <row r="96" spans="1:10" s="455" customFormat="1" ht="11.1" customHeight="1" thickBot="1">
      <c r="A96" s="231"/>
      <c r="B96" s="232"/>
      <c r="C96" s="230"/>
      <c r="D96" s="233"/>
      <c r="E96" s="233"/>
      <c r="F96" s="220"/>
      <c r="G96" s="234"/>
      <c r="H96" s="454"/>
      <c r="I96" s="454"/>
      <c r="J96" s="454"/>
    </row>
    <row r="97" spans="1:10" s="455" customFormat="1" ht="17.100000000000001" customHeight="1">
      <c r="A97" s="195"/>
      <c r="B97" s="587" t="s">
        <v>159</v>
      </c>
      <c r="C97" s="228" t="s">
        <v>165</v>
      </c>
      <c r="D97" s="228" t="s">
        <v>166</v>
      </c>
      <c r="E97" s="588" t="s">
        <v>167</v>
      </c>
      <c r="F97" s="220"/>
      <c r="G97" s="234"/>
      <c r="H97" s="454"/>
      <c r="I97" s="454"/>
      <c r="J97" s="454"/>
    </row>
    <row r="98" spans="1:10" s="455" customFormat="1" ht="12" customHeight="1">
      <c r="A98" s="204"/>
      <c r="B98" s="221"/>
      <c r="C98" s="590" t="s">
        <v>161</v>
      </c>
      <c r="D98" s="590" t="s">
        <v>161</v>
      </c>
      <c r="E98" s="590" t="s">
        <v>168</v>
      </c>
      <c r="F98" s="220"/>
      <c r="G98" s="74"/>
      <c r="H98" s="454"/>
      <c r="I98" s="454"/>
      <c r="J98" s="454"/>
    </row>
    <row r="99" spans="1:10" s="455" customFormat="1" ht="12" customHeight="1">
      <c r="A99" s="195"/>
      <c r="B99" s="222" t="s">
        <v>162</v>
      </c>
      <c r="C99" s="223" t="e">
        <f>FIXED(Dados2!C81,Dados2!Q29)</f>
        <v>#DIV/0!</v>
      </c>
      <c r="D99" s="223" t="e">
        <f>FIXED(Dados2!C83,Dados2!Q29)</f>
        <v>#DIV/0!</v>
      </c>
      <c r="E99" s="223" t="e">
        <f>FIXED(Dados2!C79,Dados2!Q29)</f>
        <v>#DIV/0!</v>
      </c>
      <c r="F99" s="220"/>
      <c r="G99" s="235"/>
      <c r="H99" s="454"/>
      <c r="I99" s="454"/>
      <c r="J99" s="454"/>
    </row>
    <row r="100" spans="1:10" s="455" customFormat="1" ht="12" customHeight="1">
      <c r="A100" s="236"/>
      <c r="B100" s="226" t="s">
        <v>163</v>
      </c>
      <c r="C100" s="227" t="e">
        <f>FIXED(Dados2!D81,Dados2!Q44)</f>
        <v>#DIV/0!</v>
      </c>
      <c r="D100" s="227" t="e">
        <f>FIXED(Dados2!D83,Dados2!Q44)</f>
        <v>#DIV/0!</v>
      </c>
      <c r="E100" s="227" t="e">
        <f>FIXED(Dados2!D79,Dados2!Q44)</f>
        <v>#DIV/0!</v>
      </c>
      <c r="F100" s="74"/>
      <c r="G100" s="674"/>
      <c r="H100" s="454"/>
      <c r="I100" s="454"/>
      <c r="J100" s="454"/>
    </row>
    <row r="101" spans="1:10" s="455" customFormat="1" ht="12" customHeight="1">
      <c r="A101" s="52"/>
      <c r="B101" s="226" t="s">
        <v>164</v>
      </c>
      <c r="C101" s="227" t="e">
        <f>FIXED(Dados2!E81,Dados2!Q61)</f>
        <v>#DIV/0!</v>
      </c>
      <c r="D101" s="227" t="e">
        <f>FIXED(Dados2!E83,Dados2!Q61)</f>
        <v>#DIV/0!</v>
      </c>
      <c r="E101" s="227" t="e">
        <f>FIXED(Dados2!E79,Dados2!Q61)</f>
        <v>#DIV/0!</v>
      </c>
      <c r="F101" s="220"/>
      <c r="G101" s="74"/>
      <c r="H101" s="454"/>
      <c r="I101" s="454"/>
      <c r="J101" s="454"/>
    </row>
    <row r="102" spans="1:10" s="455" customFormat="1" ht="12" customHeight="1" thickBot="1">
      <c r="A102" s="52"/>
      <c r="B102" s="226" t="str">
        <f>IF(Dados2!J1="","",Dados2!A89)</f>
        <v>RSm</v>
      </c>
      <c r="C102" s="227" t="e">
        <f>FIXED(Dados2!F81,Dados2!Q74)</f>
        <v>#DIV/0!</v>
      </c>
      <c r="D102" s="227" t="e">
        <f>FIXED(Dados2!F83,Dados2!Q74)</f>
        <v>#DIV/0!</v>
      </c>
      <c r="E102" s="227" t="e">
        <f>FIXED(Dados2!F79,Dados2!Q74)</f>
        <v>#DIV/0!</v>
      </c>
      <c r="F102" s="220"/>
      <c r="G102" s="74"/>
      <c r="H102" s="454"/>
      <c r="I102" s="454"/>
      <c r="J102" s="454"/>
    </row>
    <row r="103" spans="1:10" s="455" customFormat="1" ht="16.5" customHeight="1">
      <c r="A103" s="52"/>
      <c r="B103" s="592"/>
      <c r="C103" s="593"/>
      <c r="D103" s="593"/>
      <c r="E103" s="593"/>
      <c r="F103" s="220"/>
      <c r="G103" s="220"/>
      <c r="H103" s="454"/>
      <c r="I103" s="454"/>
      <c r="J103" s="454"/>
    </row>
    <row r="104" spans="1:10" ht="17.100000000000001" customHeight="1">
      <c r="A104" s="191" t="str">
        <f>"6.4 Medição dos Parâmetros de Rugosidade, cut-off ="&amp;Dados2!G101&amp;" mm"</f>
        <v>6.4 Medição dos Parâmetros de Rugosidade, cut-off =, mm</v>
      </c>
      <c r="B104" s="219"/>
      <c r="C104" s="219"/>
      <c r="D104" s="219"/>
      <c r="E104" s="193"/>
      <c r="F104" s="204"/>
      <c r="G104" s="204"/>
      <c r="H104" s="87"/>
      <c r="I104" s="87" t="str">
        <f>IF(J1="","","Este documento dispensa a assinatura física pois foi assinado eletronicamente, cumprindo integralmente os requisitos de acreditação segundo a ABNT NBR ISO/IEC 17025:2005")</f>
        <v/>
      </c>
      <c r="J104" s="87"/>
    </row>
    <row r="105" spans="1:10" ht="9.75" customHeight="1" thickBot="1">
      <c r="B105" s="583"/>
      <c r="C105" s="584"/>
      <c r="D105" s="585"/>
      <c r="E105" s="585"/>
      <c r="F105" s="586"/>
      <c r="G105" s="204"/>
      <c r="H105" s="87"/>
      <c r="I105" s="87"/>
      <c r="J105" s="87"/>
    </row>
    <row r="106" spans="1:10" ht="17.100000000000001" customHeight="1">
      <c r="B106" s="587" t="s">
        <v>159</v>
      </c>
      <c r="C106" s="228" t="s">
        <v>306</v>
      </c>
      <c r="D106" s="222" t="s">
        <v>264</v>
      </c>
      <c r="E106" s="588" t="s">
        <v>160</v>
      </c>
      <c r="F106" s="589" t="s">
        <v>307</v>
      </c>
      <c r="G106" s="3"/>
      <c r="H106" s="87"/>
      <c r="I106" s="87"/>
      <c r="J106" s="87"/>
    </row>
    <row r="107" spans="1:10" ht="12" customHeight="1">
      <c r="B107" s="221"/>
      <c r="C107" s="590" t="s">
        <v>161</v>
      </c>
      <c r="D107" s="590" t="str">
        <f>"[%]"</f>
        <v>[%]</v>
      </c>
      <c r="E107" s="590"/>
      <c r="F107" s="590"/>
      <c r="G107" s="220"/>
      <c r="H107" s="87"/>
      <c r="I107" s="87"/>
      <c r="J107" s="87"/>
    </row>
    <row r="108" spans="1:10" ht="12" customHeight="1">
      <c r="B108" s="222" t="s">
        <v>162</v>
      </c>
      <c r="C108" s="223" t="e">
        <f>FIXED(Dados2!B127,Dados2!Q105)</f>
        <v>#DIV/0!</v>
      </c>
      <c r="D108" s="225" t="e">
        <f>Dados2!Q103</f>
        <v>#DIV/0!</v>
      </c>
      <c r="E108" s="224" t="e">
        <f>Dados2!O101</f>
        <v>#DIV/0!</v>
      </c>
      <c r="F108" s="225" t="e">
        <f>IF(ROUND(E108,3)&lt;=2.009,"Infinito",ROUND(Dados2!R100,0))</f>
        <v>#DIV/0!</v>
      </c>
      <c r="G108" s="220"/>
      <c r="H108" s="87"/>
      <c r="I108" s="87"/>
      <c r="J108" s="87"/>
    </row>
    <row r="109" spans="1:10" ht="12" customHeight="1">
      <c r="B109" s="226" t="s">
        <v>163</v>
      </c>
      <c r="C109" s="223" t="e">
        <f>FIXED(Dados2!B128,Dados2!Q120)</f>
        <v>#DIV/0!</v>
      </c>
      <c r="D109" s="229" t="e">
        <f>Dados2!Q118</f>
        <v>#DIV/0!</v>
      </c>
      <c r="E109" s="228" t="e">
        <f>Dados2!O116</f>
        <v>#DIV/0!</v>
      </c>
      <c r="F109" s="225" t="e">
        <f>IF(ROUND(E109,3)&lt;=2.009,"Infinito",ROUND(Dados2!R115,0))</f>
        <v>#DIV/0!</v>
      </c>
      <c r="G109" s="220"/>
      <c r="H109" s="87"/>
      <c r="I109" s="87"/>
      <c r="J109" s="87"/>
    </row>
    <row r="110" spans="1:10" ht="12" customHeight="1">
      <c r="B110" s="226" t="s">
        <v>164</v>
      </c>
      <c r="C110" s="223" t="e">
        <f>FIXED(Dados2!B129,Dados2!Q137)</f>
        <v>#DIV/0!</v>
      </c>
      <c r="D110" s="229" t="e">
        <f>Dados2!Q135</f>
        <v>#DIV/0!</v>
      </c>
      <c r="E110" s="228" t="e">
        <f>Dados2!O133</f>
        <v>#DIV/0!</v>
      </c>
      <c r="F110" s="229" t="e">
        <f>IF(ROUND(E110,3)&lt;=2.009,"Infinito",ROUND(Dados2!R132,0))</f>
        <v>#DIV/0!</v>
      </c>
      <c r="G110" s="220"/>
      <c r="H110" s="87"/>
      <c r="I110" s="87"/>
      <c r="J110" s="87"/>
    </row>
    <row r="111" spans="1:10" ht="12" customHeight="1" thickBot="1">
      <c r="B111" s="226" t="str">
        <f>IF(Dados2!J1="","",Dados2!A130)</f>
        <v>RSm</v>
      </c>
      <c r="C111" s="223" t="e">
        <f>FIXED(Dados2!B130,Dados2!Q149)</f>
        <v>#DIV/0!</v>
      </c>
      <c r="D111" s="229" t="e">
        <f>Dados2!Q151</f>
        <v>#DIV/0!</v>
      </c>
      <c r="E111" s="228" t="e">
        <f>Dados2!O148</f>
        <v>#DIV/0!</v>
      </c>
      <c r="F111" s="229" t="e">
        <f>IF(ROUND(E111,3)=2,"Infinito",ROUND(Dados2!R147,0))</f>
        <v>#DIV/0!</v>
      </c>
      <c r="G111" s="220"/>
      <c r="H111" s="87"/>
      <c r="I111" s="87"/>
      <c r="J111" s="87"/>
    </row>
    <row r="112" spans="1:10" ht="11.1" customHeight="1">
      <c r="A112" s="204"/>
      <c r="B112" s="591"/>
      <c r="C112" s="591"/>
      <c r="D112" s="591"/>
      <c r="E112" s="591"/>
      <c r="F112" s="591"/>
      <c r="G112" s="74"/>
      <c r="H112" s="87"/>
      <c r="I112" s="87"/>
      <c r="J112" s="87"/>
    </row>
    <row r="113" spans="1:10" ht="11.1" customHeight="1" thickBot="1">
      <c r="A113" s="231"/>
      <c r="B113" s="232"/>
      <c r="C113" s="230"/>
      <c r="D113" s="233"/>
      <c r="E113" s="233"/>
      <c r="F113" s="220"/>
      <c r="G113" s="234"/>
      <c r="H113" s="87"/>
      <c r="I113" s="87"/>
      <c r="J113" s="87"/>
    </row>
    <row r="114" spans="1:10" ht="17.100000000000001" customHeight="1">
      <c r="A114" s="195"/>
      <c r="B114" s="587" t="s">
        <v>159</v>
      </c>
      <c r="C114" s="228" t="s">
        <v>165</v>
      </c>
      <c r="D114" s="228" t="s">
        <v>166</v>
      </c>
      <c r="E114" s="588" t="s">
        <v>167</v>
      </c>
      <c r="F114" s="220"/>
      <c r="G114" s="234"/>
      <c r="H114" s="87"/>
      <c r="I114" s="87"/>
      <c r="J114" s="87"/>
    </row>
    <row r="115" spans="1:10" ht="12" customHeight="1">
      <c r="A115" s="204"/>
      <c r="B115" s="221"/>
      <c r="C115" s="590" t="s">
        <v>161</v>
      </c>
      <c r="D115" s="590" t="s">
        <v>161</v>
      </c>
      <c r="E115" s="590" t="s">
        <v>168</v>
      </c>
      <c r="F115" s="220"/>
      <c r="G115" s="74"/>
      <c r="H115" s="87"/>
      <c r="I115" s="87"/>
      <c r="J115" s="87"/>
    </row>
    <row r="116" spans="1:10" ht="12" customHeight="1">
      <c r="A116" s="195"/>
      <c r="B116" s="222" t="s">
        <v>162</v>
      </c>
      <c r="C116" s="223" t="e">
        <f>FIXED(Dados2!C122,Dados2!Q105)</f>
        <v>#DIV/0!</v>
      </c>
      <c r="D116" s="223" t="e">
        <f>FIXED(Dados2!C124,Dados2!Q105)</f>
        <v>#DIV/0!</v>
      </c>
      <c r="E116" s="223" t="e">
        <f>FIXED(Dados2!C120,Dados2!Q105)</f>
        <v>#DIV/0!</v>
      </c>
      <c r="F116" s="220"/>
      <c r="G116" s="235"/>
      <c r="H116" s="249"/>
      <c r="I116" s="249"/>
      <c r="J116" s="87"/>
    </row>
    <row r="117" spans="1:10" ht="12" customHeight="1">
      <c r="A117" s="236"/>
      <c r="B117" s="226" t="s">
        <v>163</v>
      </c>
      <c r="C117" s="223" t="e">
        <f>FIXED(Dados2!D122,Dados2!Q120)</f>
        <v>#DIV/0!</v>
      </c>
      <c r="D117" s="227" t="e">
        <f>FIXED(Dados2!D124,Dados2!Q120)</f>
        <v>#DIV/0!</v>
      </c>
      <c r="E117" s="227" t="e">
        <f>FIXED(Dados2!D120,Dados2!Q120)</f>
        <v>#DIV/0!</v>
      </c>
      <c r="F117" s="74"/>
      <c r="G117" s="674"/>
      <c r="H117" s="87"/>
      <c r="I117" s="87"/>
      <c r="J117" s="87"/>
    </row>
    <row r="118" spans="1:10" ht="12" customHeight="1">
      <c r="B118" s="226" t="s">
        <v>164</v>
      </c>
      <c r="C118" s="223" t="e">
        <f>FIXED(Dados2!E122,Dados2!Q137)</f>
        <v>#DIV/0!</v>
      </c>
      <c r="D118" s="227" t="e">
        <f>FIXED(Dados2!E124,Dados2!Q137)</f>
        <v>#DIV/0!</v>
      </c>
      <c r="E118" s="227" t="e">
        <f>FIXED(Dados2!E120,Dados2!Q137)</f>
        <v>#DIV/0!</v>
      </c>
      <c r="F118" s="220"/>
      <c r="G118" s="74"/>
      <c r="H118" s="87"/>
      <c r="I118" s="87"/>
      <c r="J118" s="87"/>
    </row>
    <row r="119" spans="1:10" ht="12" customHeight="1" thickBot="1">
      <c r="B119" s="226" t="str">
        <f>IF(Dados2!J1="","",Dados2!A130)</f>
        <v>RSm</v>
      </c>
      <c r="C119" s="223" t="e">
        <f>FIXED(Dados2!F122,Dados2!Q149)</f>
        <v>#DIV/0!</v>
      </c>
      <c r="D119" s="227" t="e">
        <f>FIXED(Dados2!F124,Dados2!Q149)</f>
        <v>#DIV/0!</v>
      </c>
      <c r="E119" s="227" t="e">
        <f>FIXED(Dados2!F120,Dados2!Q149)</f>
        <v>#DIV/0!</v>
      </c>
      <c r="F119" s="220"/>
      <c r="G119" s="74"/>
      <c r="H119" s="87"/>
      <c r="I119" s="87"/>
      <c r="J119" s="87"/>
    </row>
    <row r="120" spans="1:10" ht="17.100000000000001" customHeight="1">
      <c r="B120" s="665"/>
      <c r="C120" s="665"/>
      <c r="D120" s="665"/>
      <c r="E120" s="665"/>
      <c r="F120"/>
      <c r="H120" s="87"/>
      <c r="I120" s="87"/>
      <c r="J120" s="87"/>
    </row>
    <row r="121" spans="1:10" ht="17.100000000000001" customHeight="1">
      <c r="B121"/>
      <c r="C121"/>
      <c r="D121"/>
      <c r="E121"/>
      <c r="F121"/>
      <c r="G121" s="456" t="s">
        <v>322</v>
      </c>
      <c r="H121" s="87"/>
      <c r="I121" s="87"/>
      <c r="J121" s="87"/>
    </row>
    <row r="122" spans="1:10" ht="17.100000000000001" customHeight="1">
      <c r="B122"/>
      <c r="C122"/>
      <c r="D122"/>
      <c r="E122"/>
      <c r="F122"/>
      <c r="H122" s="253"/>
      <c r="I122" s="87"/>
      <c r="J122" s="87"/>
    </row>
    <row r="123" spans="1:10" ht="17.100000000000001" customHeight="1">
      <c r="A123" t="s">
        <v>169</v>
      </c>
      <c r="B123"/>
      <c r="C123"/>
      <c r="D123"/>
      <c r="E123"/>
      <c r="F123"/>
      <c r="H123" s="253"/>
      <c r="I123" s="87"/>
      <c r="J123" s="87"/>
    </row>
    <row r="124" spans="1:10" ht="17.100000000000001" customHeight="1">
      <c r="A124"/>
      <c r="B124"/>
      <c r="C124"/>
      <c r="D124"/>
      <c r="E124"/>
      <c r="F124"/>
      <c r="H124" s="253"/>
      <c r="I124" s="87"/>
      <c r="J124" s="87"/>
    </row>
    <row r="125" spans="1:10" ht="17.100000000000001" customHeight="1">
      <c r="A125"/>
      <c r="B125"/>
      <c r="C125"/>
      <c r="D125"/>
      <c r="E125"/>
      <c r="F125"/>
      <c r="H125" s="253"/>
      <c r="I125" s="87"/>
      <c r="J125" s="87"/>
    </row>
    <row r="126" spans="1:10" ht="17.100000000000001" customHeight="1">
      <c r="A126"/>
      <c r="B126"/>
      <c r="C126"/>
      <c r="D126"/>
      <c r="E126"/>
      <c r="F126"/>
      <c r="H126" s="253"/>
      <c r="I126" s="87"/>
      <c r="J126" s="87"/>
    </row>
    <row r="127" spans="1:10" ht="17.100000000000001" customHeight="1">
      <c r="A127"/>
      <c r="B127"/>
      <c r="C127"/>
      <c r="D127"/>
      <c r="E127"/>
      <c r="F127"/>
      <c r="H127" s="253"/>
      <c r="I127" s="87"/>
      <c r="J127" s="87"/>
    </row>
    <row r="128" spans="1:10" ht="17.100000000000001" customHeight="1">
      <c r="A128"/>
      <c r="B128"/>
      <c r="C128"/>
      <c r="D128"/>
      <c r="E128"/>
      <c r="F128"/>
      <c r="H128" s="253"/>
      <c r="I128" s="87"/>
      <c r="J128" s="87"/>
    </row>
    <row r="129" spans="1:10" ht="17.100000000000001" customHeight="1">
      <c r="A129"/>
      <c r="B129"/>
      <c r="C129"/>
      <c r="D129"/>
      <c r="E129"/>
      <c r="F129"/>
      <c r="H129" s="253"/>
      <c r="I129" s="87"/>
      <c r="J129" s="87"/>
    </row>
    <row r="130" spans="1:10" ht="17.100000000000001" customHeight="1">
      <c r="A130"/>
      <c r="B130"/>
      <c r="C130"/>
      <c r="D130"/>
      <c r="E130"/>
      <c r="F130"/>
      <c r="H130" s="253"/>
      <c r="I130" s="87"/>
      <c r="J130" s="87"/>
    </row>
    <row r="131" spans="1:10" ht="17.100000000000001" customHeight="1">
      <c r="A131"/>
      <c r="B131"/>
      <c r="C131"/>
      <c r="D131"/>
      <c r="E131"/>
      <c r="F131"/>
      <c r="H131" s="253"/>
      <c r="I131" s="87"/>
      <c r="J131" s="87"/>
    </row>
    <row r="132" spans="1:10" ht="17.100000000000001" customHeight="1">
      <c r="A132"/>
      <c r="B132"/>
      <c r="C132"/>
      <c r="D132"/>
      <c r="E132"/>
      <c r="F132"/>
      <c r="H132" s="253"/>
      <c r="I132" s="87"/>
      <c r="J132" s="87"/>
    </row>
    <row r="133" spans="1:10" ht="17.100000000000001" customHeight="1">
      <c r="A133"/>
      <c r="B133"/>
      <c r="C133"/>
      <c r="D133"/>
      <c r="E133"/>
      <c r="F133"/>
      <c r="H133" s="253"/>
      <c r="I133" s="87"/>
      <c r="J133" s="87"/>
    </row>
    <row r="134" spans="1:10" ht="42.75" customHeight="1">
      <c r="A134"/>
      <c r="B134"/>
      <c r="C134"/>
      <c r="D134"/>
      <c r="E134"/>
      <c r="F134"/>
      <c r="H134" s="253"/>
      <c r="I134" s="87"/>
      <c r="J134" s="87"/>
    </row>
    <row r="135" spans="1:10" ht="17.25" customHeight="1">
      <c r="A135"/>
      <c r="B135"/>
      <c r="C135"/>
      <c r="D135"/>
      <c r="E135"/>
      <c r="F135"/>
      <c r="H135" s="253"/>
      <c r="I135" s="87"/>
      <c r="J135" s="87"/>
    </row>
    <row r="136" spans="1:10" ht="17.100000000000001" customHeight="1">
      <c r="A136"/>
      <c r="B136"/>
      <c r="C136"/>
      <c r="D136"/>
      <c r="E136"/>
      <c r="F136"/>
      <c r="H136" s="253"/>
      <c r="I136" s="87"/>
      <c r="J136" s="87"/>
    </row>
    <row r="137" spans="1:10" ht="17.100000000000001" customHeight="1">
      <c r="A137"/>
      <c r="B137"/>
      <c r="C137"/>
      <c r="D137"/>
      <c r="E137"/>
      <c r="F137"/>
      <c r="H137" s="253"/>
      <c r="I137" s="87"/>
      <c r="J137" s="87"/>
    </row>
    <row r="138" spans="1:10" ht="17.100000000000001" customHeight="1">
      <c r="H138" s="253"/>
      <c r="I138" s="87"/>
      <c r="J138" s="87"/>
    </row>
    <row r="139" spans="1:10" ht="17.100000000000001" customHeight="1">
      <c r="B139"/>
      <c r="C139"/>
      <c r="D139"/>
      <c r="E139"/>
      <c r="F139"/>
      <c r="G139" s="463"/>
      <c r="H139" s="253"/>
      <c r="I139" s="87"/>
      <c r="J139" s="87"/>
    </row>
    <row r="140" spans="1:10" ht="17.100000000000001" customHeight="1">
      <c r="A140" s="448"/>
      <c r="B140" s="449"/>
      <c r="C140" s="450"/>
      <c r="D140" s="451"/>
      <c r="E140" s="452"/>
      <c r="F140" s="453"/>
      <c r="G140" s="449"/>
      <c r="H140" s="253"/>
      <c r="I140" s="87"/>
      <c r="J140" s="87"/>
    </row>
    <row r="141" spans="1:10" ht="17.100000000000001" customHeight="1">
      <c r="A141" s="448"/>
      <c r="B141" s="449"/>
      <c r="C141" s="450"/>
      <c r="D141" s="451"/>
      <c r="E141" s="452"/>
      <c r="F141" s="453"/>
      <c r="G141" s="449"/>
      <c r="H141" s="253"/>
      <c r="I141" s="87"/>
      <c r="J141" s="87"/>
    </row>
    <row r="142" spans="1:10" ht="17.100000000000001" customHeight="1">
      <c r="A142" s="448"/>
      <c r="B142" s="449"/>
      <c r="C142" s="450"/>
      <c r="D142" s="451"/>
      <c r="E142" s="452"/>
      <c r="F142" s="453"/>
      <c r="G142" s="449"/>
      <c r="H142" s="253"/>
      <c r="I142" s="87"/>
      <c r="J142" s="87"/>
    </row>
    <row r="143" spans="1:10" ht="17.100000000000001" customHeight="1">
      <c r="A143" s="448"/>
      <c r="B143" s="449"/>
      <c r="C143" s="450"/>
      <c r="D143" s="451"/>
      <c r="E143" s="452"/>
      <c r="F143" s="453"/>
      <c r="G143" s="449"/>
      <c r="H143" s="129"/>
      <c r="I143" s="87"/>
      <c r="J143" s="87"/>
    </row>
    <row r="144" spans="1:10" ht="17.100000000000001" customHeight="1">
      <c r="A144" s="448"/>
      <c r="B144" s="449"/>
      <c r="C144" s="450"/>
      <c r="D144" s="451"/>
      <c r="E144" s="452"/>
      <c r="F144" s="453"/>
      <c r="G144" s="449"/>
      <c r="H144" s="129"/>
      <c r="I144" s="87"/>
      <c r="J144" s="87"/>
    </row>
    <row r="145" spans="1:10" ht="17.100000000000001" customHeight="1">
      <c r="A145" s="448"/>
      <c r="B145" s="449"/>
      <c r="C145" s="450"/>
      <c r="D145" s="451"/>
      <c r="E145" s="452"/>
      <c r="F145" s="453"/>
      <c r="G145" s="449"/>
      <c r="H145" s="249"/>
      <c r="I145" s="249"/>
      <c r="J145" s="87"/>
    </row>
    <row r="146" spans="1:10" ht="17.100000000000001" customHeight="1">
      <c r="A146" s="448"/>
      <c r="B146" s="449"/>
      <c r="C146" s="450"/>
      <c r="D146" s="451"/>
      <c r="E146" s="452"/>
      <c r="F146" s="453"/>
      <c r="G146" s="449"/>
      <c r="H146" s="249"/>
      <c r="I146" s="249"/>
      <c r="J146" s="87"/>
    </row>
    <row r="147" spans="1:10" ht="17.100000000000001" customHeight="1">
      <c r="A147" s="448"/>
      <c r="B147" s="449"/>
      <c r="C147" s="450"/>
      <c r="D147" s="451"/>
      <c r="E147" s="452"/>
      <c r="F147" s="453"/>
      <c r="G147" s="449"/>
      <c r="H147" s="249"/>
      <c r="I147" s="249"/>
      <c r="J147" s="87"/>
    </row>
    <row r="148" spans="1:10" ht="17.100000000000001" customHeight="1">
      <c r="A148" s="448"/>
      <c r="B148" s="449"/>
      <c r="C148" s="450"/>
      <c r="D148" s="451"/>
      <c r="E148" s="452"/>
      <c r="F148" s="453"/>
      <c r="G148" s="449"/>
      <c r="H148" s="249"/>
      <c r="I148" s="249"/>
      <c r="J148" s="87"/>
    </row>
    <row r="149" spans="1:10" ht="7.5" customHeight="1">
      <c r="A149" s="448"/>
      <c r="B149" s="449"/>
      <c r="C149" s="450"/>
      <c r="D149" s="451"/>
      <c r="E149" s="452"/>
      <c r="F149" s="453"/>
      <c r="G149" s="449"/>
      <c r="H149" s="249"/>
      <c r="I149" s="249"/>
      <c r="J149" s="87"/>
    </row>
    <row r="150" spans="1:10" ht="6.75" customHeight="1">
      <c r="A150" s="448"/>
      <c r="B150" s="449"/>
      <c r="C150" s="450"/>
      <c r="D150" s="451"/>
      <c r="E150" s="452"/>
      <c r="F150" s="453"/>
      <c r="G150" s="449"/>
      <c r="H150" s="87"/>
      <c r="I150" s="87"/>
      <c r="J150" s="87"/>
    </row>
    <row r="151" spans="1:10" ht="16.5" customHeight="1">
      <c r="A151" s="448"/>
      <c r="B151" s="449"/>
      <c r="C151" s="450"/>
      <c r="D151" s="451"/>
      <c r="E151" s="452"/>
      <c r="F151" s="453"/>
      <c r="G151" s="449"/>
      <c r="H151" s="87"/>
      <c r="I151" s="87"/>
      <c r="J151" s="87"/>
    </row>
    <row r="152" spans="1:10" ht="6.75" customHeight="1">
      <c r="A152" s="448"/>
      <c r="B152" s="449"/>
      <c r="C152" s="450"/>
      <c r="D152" s="451"/>
      <c r="E152" s="452"/>
      <c r="F152" s="453"/>
      <c r="G152" s="449"/>
      <c r="H152" s="87"/>
      <c r="I152" s="87"/>
      <c r="J152" s="87"/>
    </row>
    <row r="153" spans="1:10" ht="17.100000000000001" customHeight="1">
      <c r="A153" s="443" t="str">
        <f>Geral!L26</f>
        <v>Gabriel Scopel de Lima</v>
      </c>
      <c r="B153" s="242"/>
      <c r="C153" s="241"/>
      <c r="D153" s="243"/>
      <c r="F153" s="445" t="str">
        <f>Geral!L23</f>
        <v>Gabriel Francisco Gheno Cazakevicius</v>
      </c>
      <c r="G153" s="243"/>
      <c r="H153" s="87"/>
      <c r="I153" s="87"/>
      <c r="J153" s="87"/>
    </row>
    <row r="154" spans="1:10" ht="17.100000000000001" customHeight="1">
      <c r="A154" s="444" t="str">
        <f>Geral!L27</f>
        <v>Signatário Autorizado</v>
      </c>
      <c r="B154" s="242"/>
      <c r="C154" s="244"/>
      <c r="D154" s="245"/>
      <c r="F154" s="245" t="str">
        <f>IF(Geral!L23=Geral!L26,"Responsável pela Calibração","Técnico Metrologista")</f>
        <v>Técnico Metrologista</v>
      </c>
      <c r="G154" s="245"/>
      <c r="H154" s="87"/>
      <c r="I154" s="87"/>
      <c r="J154" s="87"/>
    </row>
    <row r="155" spans="1:10" ht="17.100000000000001" customHeight="1">
      <c r="A155" s="238"/>
      <c r="B155" s="238"/>
      <c r="C155" s="246"/>
      <c r="E155" s="247"/>
      <c r="F155" s="204"/>
      <c r="G155" s="238"/>
      <c r="H155" s="87"/>
      <c r="I155" s="87"/>
      <c r="J155" s="87"/>
    </row>
    <row r="156" spans="1:10" ht="17.100000000000001" customHeight="1">
      <c r="A156" s="238"/>
      <c r="B156" s="238"/>
      <c r="C156" s="246"/>
      <c r="E156" s="247"/>
      <c r="F156" s="248"/>
      <c r="G156" s="238"/>
      <c r="H156" s="87"/>
      <c r="I156" s="87"/>
      <c r="J156" s="87"/>
    </row>
    <row r="157" spans="1:10" ht="17.100000000000001" customHeight="1">
      <c r="A157" s="238"/>
      <c r="B157" s="238"/>
      <c r="C157" s="246"/>
      <c r="E157" s="247"/>
      <c r="F157" s="248"/>
      <c r="G157" s="238"/>
      <c r="H157" s="87"/>
      <c r="I157" s="87"/>
      <c r="J157" s="87"/>
    </row>
    <row r="158" spans="1:10" ht="17.100000000000001" customHeight="1">
      <c r="A158" s="238"/>
      <c r="B158" s="238"/>
      <c r="C158" s="246"/>
      <c r="E158" s="247"/>
      <c r="F158" s="248"/>
      <c r="G158" s="238"/>
      <c r="H158" s="87"/>
      <c r="I158" s="87"/>
      <c r="J158" s="87"/>
    </row>
    <row r="159" spans="1:10" ht="17.100000000000001" customHeight="1">
      <c r="A159" s="238"/>
      <c r="B159" s="238"/>
      <c r="C159" s="246"/>
      <c r="D159" s="204"/>
      <c r="E159" s="204"/>
      <c r="F159" s="238"/>
      <c r="G159" s="186"/>
      <c r="H159" s="87"/>
      <c r="I159" s="87"/>
      <c r="J159" s="87"/>
    </row>
    <row r="160" spans="1:10" ht="17.100000000000001" customHeight="1">
      <c r="H160" s="87"/>
      <c r="I160" s="87"/>
      <c r="J160" s="87"/>
    </row>
    <row r="161" spans="1:10" s="141" customFormat="1" ht="17.100000000000001" customHeight="1">
      <c r="A161" s="52"/>
      <c r="B161" s="52"/>
      <c r="C161" s="52"/>
      <c r="D161" s="52"/>
      <c r="E161" s="52"/>
      <c r="F161" s="52"/>
      <c r="G161" s="52"/>
    </row>
    <row r="162" spans="1:10" s="141" customFormat="1" ht="17.100000000000001" customHeight="1">
      <c r="A162" s="52"/>
      <c r="B162" s="52"/>
      <c r="C162" s="52"/>
      <c r="D162" s="52"/>
      <c r="E162" s="52"/>
      <c r="F162" s="52"/>
      <c r="G162" s="52"/>
    </row>
    <row r="163" spans="1:10" s="141" customFormat="1" ht="17.100000000000001" customHeight="1">
      <c r="A163" s="204"/>
      <c r="B163" s="204"/>
      <c r="C163" s="204"/>
      <c r="D163" s="204"/>
      <c r="E163" s="204"/>
      <c r="F163" s="204"/>
      <c r="G163" s="186"/>
    </row>
    <row r="164" spans="1:10" s="141" customFormat="1" ht="17.100000000000001" customHeight="1">
      <c r="A164" s="204"/>
      <c r="B164" s="204"/>
      <c r="C164" s="204"/>
      <c r="D164" s="204"/>
      <c r="E164" s="204"/>
      <c r="F164" s="204"/>
      <c r="G164" s="52"/>
    </row>
    <row r="165" spans="1:10" s="141" customFormat="1" ht="17.100000000000001" customHeight="1">
      <c r="A165" s="52"/>
      <c r="B165" s="52"/>
      <c r="C165" s="52"/>
      <c r="D165" s="52"/>
      <c r="E165" s="204"/>
      <c r="F165" s="238"/>
      <c r="G165" s="52"/>
    </row>
    <row r="166" spans="1:10" s="141" customFormat="1" ht="17.100000000000001" customHeight="1">
      <c r="A166" s="52"/>
      <c r="B166" s="52"/>
      <c r="C166" s="52"/>
      <c r="D166" s="52"/>
      <c r="E166" s="52"/>
      <c r="F166" s="238"/>
      <c r="G166" s="52"/>
    </row>
    <row r="167" spans="1:10" s="141" customFormat="1" ht="17.100000000000001" customHeight="1">
      <c r="A167" s="195"/>
      <c r="B167" s="238"/>
      <c r="C167" s="52"/>
      <c r="D167" s="52"/>
      <c r="E167" s="52"/>
      <c r="F167" s="238"/>
      <c r="G167" s="52"/>
    </row>
    <row r="168" spans="1:10" s="141" customFormat="1" ht="17.100000000000001" customHeight="1">
      <c r="A168" s="238"/>
      <c r="B168" s="250"/>
      <c r="C168" s="135"/>
      <c r="D168" s="135"/>
      <c r="E168" s="135"/>
      <c r="F168" s="238"/>
      <c r="G168" s="52"/>
    </row>
    <row r="169" spans="1:10" s="141" customFormat="1" ht="17.100000000000001" customHeight="1">
      <c r="A169" s="204"/>
      <c r="B169" s="250"/>
      <c r="C169" s="251"/>
      <c r="D169" s="251"/>
      <c r="E169" s="52"/>
      <c r="F169" s="252"/>
      <c r="G169" s="52"/>
    </row>
    <row r="170" spans="1:10" s="141" customFormat="1" ht="17.100000000000001" customHeight="1">
      <c r="A170" s="238"/>
      <c r="B170" s="250"/>
      <c r="C170" s="251"/>
      <c r="D170" s="251"/>
      <c r="E170" s="251"/>
      <c r="F170" s="238"/>
      <c r="G170" s="52"/>
    </row>
    <row r="171" spans="1:10" ht="17.100000000000001" customHeight="1">
      <c r="E171" s="239"/>
      <c r="F171" s="240"/>
      <c r="H171" s="263"/>
      <c r="I171" s="264"/>
      <c r="J171" s="87"/>
    </row>
    <row r="172" spans="1:10" ht="17.100000000000001" customHeight="1">
      <c r="E172" s="239"/>
      <c r="F172" s="240"/>
      <c r="H172" s="263"/>
      <c r="I172" s="264"/>
      <c r="J172" s="87"/>
    </row>
    <row r="173" spans="1:10" ht="17.100000000000001" customHeight="1">
      <c r="E173" s="239"/>
      <c r="F173" s="240"/>
      <c r="H173" s="265"/>
      <c r="I173" s="264"/>
      <c r="J173" s="87"/>
    </row>
    <row r="174" spans="1:10" ht="17.100000000000001" customHeight="1">
      <c r="E174" s="239"/>
      <c r="F174" s="240"/>
      <c r="H174" s="264"/>
      <c r="I174" s="264"/>
      <c r="J174" s="87"/>
    </row>
    <row r="175" spans="1:10" ht="17.100000000000001" customHeight="1">
      <c r="E175" s="239"/>
      <c r="F175" s="240"/>
      <c r="H175" s="264"/>
      <c r="I175" s="264"/>
      <c r="J175" s="87"/>
    </row>
    <row r="176" spans="1:10" ht="17.100000000000001" customHeight="1">
      <c r="E176" s="239"/>
      <c r="F176" s="240"/>
      <c r="H176" s="264"/>
      <c r="I176" s="264"/>
      <c r="J176" s="87"/>
    </row>
    <row r="177" spans="1:10" ht="17.100000000000001" customHeight="1">
      <c r="A177" s="236"/>
      <c r="B177" s="238"/>
      <c r="C177" s="246"/>
      <c r="E177" s="239"/>
      <c r="F177" s="240"/>
      <c r="H177" s="264"/>
      <c r="I177" s="264"/>
      <c r="J177" s="87"/>
    </row>
    <row r="178" spans="1:10" ht="17.100000000000001" customHeight="1">
      <c r="A178" s="236"/>
      <c r="B178" s="236"/>
      <c r="C178" s="204"/>
      <c r="D178" s="204"/>
      <c r="E178" s="236"/>
      <c r="F178" s="204"/>
      <c r="H178" s="264"/>
      <c r="I178" s="264"/>
      <c r="J178" s="87"/>
    </row>
    <row r="179" spans="1:10" ht="17.100000000000001" customHeight="1">
      <c r="A179" s="236"/>
      <c r="B179" s="236"/>
      <c r="C179" s="204"/>
      <c r="D179" s="204"/>
      <c r="E179" s="236"/>
      <c r="F179" s="204"/>
      <c r="H179" s="264"/>
      <c r="I179" s="264"/>
      <c r="J179" s="87"/>
    </row>
    <row r="180" spans="1:10" ht="17.100000000000001" customHeight="1">
      <c r="A180" s="204"/>
      <c r="B180" s="236"/>
      <c r="C180" s="204"/>
      <c r="D180" s="204"/>
      <c r="E180" s="236"/>
      <c r="F180" s="204"/>
      <c r="G180" s="204"/>
      <c r="H180" s="264"/>
      <c r="I180" s="264"/>
      <c r="J180" s="87"/>
    </row>
    <row r="181" spans="1:10" ht="9" customHeight="1">
      <c r="A181" s="204"/>
      <c r="B181" s="204"/>
      <c r="C181" s="204"/>
      <c r="D181" s="204"/>
      <c r="E181" s="247"/>
      <c r="F181" s="248"/>
      <c r="G181" s="204"/>
      <c r="H181" s="264"/>
      <c r="I181" s="264"/>
      <c r="J181" s="87"/>
    </row>
    <row r="182" spans="1:10" ht="17.100000000000001" customHeight="1">
      <c r="A182" s="204"/>
      <c r="B182" s="204"/>
      <c r="C182" s="204"/>
      <c r="D182" s="204"/>
      <c r="E182" s="247"/>
      <c r="F182" s="248"/>
      <c r="G182" s="204"/>
    </row>
    <row r="183" spans="1:10" ht="17.100000000000001" customHeight="1">
      <c r="A183" s="204"/>
      <c r="B183" s="204"/>
      <c r="C183" s="204"/>
      <c r="D183" s="204"/>
      <c r="E183" s="247"/>
      <c r="F183" s="248"/>
      <c r="G183" s="204"/>
    </row>
    <row r="184" spans="1:10" ht="17.100000000000001" customHeight="1">
      <c r="A184" s="238"/>
      <c r="B184" s="238"/>
      <c r="C184" s="246"/>
      <c r="E184" s="247"/>
      <c r="F184" s="248"/>
      <c r="G184" s="204"/>
    </row>
    <row r="185" spans="1:10" ht="17.100000000000001" customHeight="1">
      <c r="A185" s="238"/>
      <c r="B185" s="238"/>
      <c r="C185" s="246"/>
      <c r="D185" s="204"/>
      <c r="E185" s="204"/>
      <c r="F185" s="238"/>
      <c r="G185" s="190"/>
    </row>
    <row r="186" spans="1:10" ht="17.100000000000001" customHeight="1">
      <c r="A186" s="236"/>
      <c r="B186" s="238"/>
      <c r="C186" s="246"/>
      <c r="D186" s="204"/>
      <c r="E186" s="204"/>
      <c r="F186" s="238"/>
      <c r="G186" s="190"/>
    </row>
    <row r="187" spans="1:10" ht="17.100000000000001" customHeight="1">
      <c r="A187" s="238"/>
      <c r="B187" s="238"/>
      <c r="C187" s="246"/>
      <c r="D187" s="204"/>
      <c r="E187" s="204"/>
      <c r="F187" s="238"/>
      <c r="G187" s="190"/>
    </row>
    <row r="188" spans="1:10" ht="17.100000000000001" customHeight="1">
      <c r="G188" s="204"/>
    </row>
    <row r="189" spans="1:10" ht="17.100000000000001" customHeight="1">
      <c r="G189" s="204"/>
    </row>
    <row r="190" spans="1:10" ht="17.100000000000001" customHeight="1">
      <c r="A190" s="193"/>
      <c r="B190" s="255"/>
      <c r="C190" s="255"/>
      <c r="D190" s="256"/>
      <c r="E190" s="257"/>
      <c r="F190" s="258"/>
      <c r="G190" s="204"/>
    </row>
    <row r="191" spans="1:10" ht="17.100000000000001" customHeight="1">
      <c r="B191" s="255"/>
      <c r="C191" s="255"/>
      <c r="D191" s="256"/>
      <c r="E191" s="257"/>
      <c r="F191" s="258"/>
      <c r="G191" s="204"/>
    </row>
    <row r="192" spans="1:10" ht="17.100000000000001" customHeight="1">
      <c r="A192" s="204"/>
      <c r="B192" s="259"/>
      <c r="C192" s="260"/>
      <c r="D192" s="261"/>
      <c r="E192" s="262"/>
      <c r="F192" s="262"/>
      <c r="G192" s="204"/>
    </row>
    <row r="193" spans="1:7" ht="17.100000000000001" customHeight="1">
      <c r="A193" s="236"/>
      <c r="B193" s="236"/>
      <c r="C193" s="236"/>
      <c r="D193" s="236"/>
      <c r="E193" s="204"/>
      <c r="F193" s="204"/>
      <c r="G193" s="204"/>
    </row>
    <row r="195" spans="1:7" ht="17.100000000000001" customHeight="1">
      <c r="A195" s="141"/>
      <c r="B195" s="141"/>
      <c r="C195" s="141"/>
      <c r="D195" s="141"/>
      <c r="E195" s="141"/>
      <c r="F195" s="141"/>
      <c r="G195" s="141"/>
    </row>
    <row r="196" spans="1:7" ht="17.100000000000001" customHeight="1">
      <c r="A196" s="141"/>
      <c r="B196" s="141"/>
      <c r="C196" s="141"/>
      <c r="D196" s="141"/>
      <c r="E196" s="141"/>
      <c r="F196" s="141"/>
      <c r="G196" s="141"/>
    </row>
    <row r="197" spans="1:7" ht="17.100000000000001" customHeight="1">
      <c r="A197" s="141"/>
      <c r="B197" s="141"/>
      <c r="C197" s="141"/>
      <c r="D197" s="141"/>
      <c r="E197" s="141"/>
      <c r="F197" s="141"/>
      <c r="G197" s="141"/>
    </row>
    <row r="198" spans="1:7" ht="17.100000000000001" customHeight="1">
      <c r="A198" s="141"/>
      <c r="B198" s="141"/>
      <c r="C198" s="141"/>
      <c r="D198" s="141"/>
      <c r="E198" s="141"/>
      <c r="F198" s="141"/>
      <c r="G198" s="141"/>
    </row>
    <row r="199" spans="1:7" ht="17.100000000000001" customHeight="1">
      <c r="A199" s="141"/>
      <c r="B199" s="141"/>
      <c r="C199" s="141"/>
      <c r="D199" s="141"/>
      <c r="E199" s="141"/>
      <c r="F199" s="141"/>
      <c r="G199" s="141"/>
    </row>
    <row r="200" spans="1:7" ht="17.100000000000001" customHeight="1">
      <c r="A200" s="204"/>
      <c r="B200" s="204"/>
      <c r="C200" s="204"/>
      <c r="D200" s="204"/>
      <c r="E200" s="204"/>
      <c r="F200" s="204"/>
      <c r="G200" s="204"/>
    </row>
    <row r="201" spans="1:7" ht="17.100000000000001" customHeight="1">
      <c r="A201" s="141"/>
      <c r="B201" s="141"/>
      <c r="C201" s="141"/>
      <c r="D201" s="141"/>
      <c r="E201" s="141"/>
      <c r="F201" s="141"/>
      <c r="G201" s="141"/>
    </row>
    <row r="202" spans="1:7" ht="17.100000000000001" customHeight="1">
      <c r="A202" s="141"/>
      <c r="B202" s="141"/>
      <c r="C202" s="141"/>
      <c r="D202" s="141"/>
      <c r="E202" s="141"/>
      <c r="F202" s="141"/>
      <c r="G202" s="141"/>
    </row>
    <row r="203" spans="1:7" ht="17.100000000000001" customHeight="1">
      <c r="A203" s="204"/>
      <c r="B203" s="204"/>
      <c r="C203" s="204"/>
      <c r="D203" s="204"/>
      <c r="E203" s="204"/>
      <c r="F203" s="204"/>
      <c r="G203" s="204"/>
    </row>
    <row r="204" spans="1:7" ht="17.100000000000001" customHeight="1">
      <c r="A204" s="204"/>
      <c r="B204" s="204"/>
      <c r="C204" s="204"/>
      <c r="D204" s="204"/>
      <c r="E204" s="204"/>
      <c r="F204" s="204"/>
      <c r="G204" s="141"/>
    </row>
    <row r="205" spans="1:7" ht="17.100000000000001" customHeight="1">
      <c r="F205" s="238"/>
    </row>
    <row r="206" spans="1:7" ht="17.100000000000001" customHeight="1">
      <c r="F206" s="238"/>
    </row>
    <row r="207" spans="1:7" ht="17.100000000000001" customHeight="1">
      <c r="F207" s="238"/>
    </row>
    <row r="208" spans="1:7" ht="17.100000000000001" customHeight="1">
      <c r="A208"/>
      <c r="B208"/>
      <c r="C208"/>
      <c r="D208" s="193"/>
      <c r="E208" s="194"/>
      <c r="F208" s="238"/>
    </row>
    <row r="209" spans="1:6" ht="17.100000000000001" customHeight="1">
      <c r="A209"/>
      <c r="B209"/>
      <c r="C209"/>
      <c r="D209" s="193"/>
      <c r="E209" s="191"/>
      <c r="F209" s="252"/>
    </row>
    <row r="210" spans="1:6" ht="17.100000000000001" customHeight="1">
      <c r="A210"/>
      <c r="B210"/>
      <c r="C210"/>
      <c r="D210" s="193"/>
      <c r="E210" s="193"/>
      <c r="F210" s="238"/>
    </row>
    <row r="211" spans="1:6" ht="17.100000000000001" customHeight="1">
      <c r="A211"/>
      <c r="B211"/>
      <c r="C211"/>
      <c r="D211" s="204"/>
      <c r="E211" s="204"/>
      <c r="F211" s="240"/>
    </row>
    <row r="212" spans="1:6" ht="17.100000000000001" customHeight="1">
      <c r="A212" s="204"/>
      <c r="B212" s="204"/>
      <c r="C212" s="204"/>
      <c r="D212" s="204"/>
      <c r="E212" s="191"/>
      <c r="F212" s="240"/>
    </row>
    <row r="213" spans="1:6" ht="17.100000000000001" customHeight="1">
      <c r="A213" s="204"/>
      <c r="B213" s="204"/>
      <c r="C213" s="204"/>
      <c r="D213" s="204"/>
      <c r="E213" s="191"/>
      <c r="F213" s="240"/>
    </row>
    <row r="214" spans="1:6" ht="17.100000000000001" customHeight="1">
      <c r="A214" s="236"/>
      <c r="B214" s="238"/>
      <c r="C214" s="204"/>
      <c r="D214" s="191"/>
      <c r="E214" s="239"/>
      <c r="F214" s="240"/>
    </row>
    <row r="215" spans="1:6" ht="17.100000000000001" customHeight="1">
      <c r="A215" s="236"/>
      <c r="B215" s="238"/>
      <c r="C215" s="246"/>
      <c r="E215" s="239"/>
      <c r="F215" s="240"/>
    </row>
  </sheetData>
  <sheetProtection password="F7E3" sheet="1" objects="1" scenarios="1"/>
  <mergeCells count="3">
    <mergeCell ref="F3:G4"/>
    <mergeCell ref="A13:D14"/>
    <mergeCell ref="A46:G48"/>
  </mergeCells>
  <pageMargins left="0.46875" right="0.16666666666666666" top="0.31496062992125984" bottom="0.98425196850393704" header="0.31496062992125984" footer="0.51181102362204722"/>
  <pageSetup paperSize="9" orientation="portrait" horizontalDpi="300" verticalDpi="300" r:id="rId1"/>
  <headerFooter alignWithMargins="0"/>
  <rowBreaks count="3" manualBreakCount="3">
    <brk id="43" max="6" man="1"/>
    <brk id="84" max="6" man="1"/>
    <brk id="120" max="6" man="1"/>
  </rowBreaks>
  <drawing r:id="rId2"/>
  <legacyDrawing r:id="rId3"/>
  <oleObjects>
    <mc:AlternateContent xmlns:mc="http://schemas.openxmlformats.org/markup-compatibility/2006">
      <mc:Choice Requires="x14">
        <oleObject progId="Acrobat Document" shapeId="24577" r:id="rId4">
          <objectPr defaultSize="0" autoPict="0" r:id="rId5">
            <anchor moveWithCells="1">
              <from>
                <xdr:col>0</xdr:col>
                <xdr:colOff>0</xdr:colOff>
                <xdr:row>123</xdr:row>
                <xdr:rowOff>7620</xdr:rowOff>
              </from>
              <to>
                <xdr:col>7</xdr:col>
                <xdr:colOff>129540</xdr:colOff>
                <xdr:row>134</xdr:row>
                <xdr:rowOff>114300</xdr:rowOff>
              </to>
            </anchor>
          </objectPr>
        </oleObject>
      </mc:Choice>
      <mc:Fallback>
        <oleObject progId="Acrobat Document" shapeId="2457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11"/>
  <dimension ref="A1:I30"/>
  <sheetViews>
    <sheetView showGridLines="0" zoomScale="75" workbookViewId="0">
      <selection activeCell="A27" sqref="A27"/>
    </sheetView>
  </sheetViews>
  <sheetFormatPr defaultColWidth="11.44140625" defaultRowHeight="18.75" customHeight="1"/>
  <cols>
    <col min="1" max="1" width="15.33203125" style="52" customWidth="1"/>
    <col min="2" max="2" width="40" style="52" customWidth="1"/>
    <col min="3" max="3" width="12" style="52" customWidth="1"/>
    <col min="4" max="4" width="13.44140625" style="52" customWidth="1"/>
    <col min="5" max="5" width="13.109375" style="52" customWidth="1"/>
    <col min="6" max="6" width="10.44140625" style="52" customWidth="1"/>
    <col min="7" max="8" width="14.109375" style="52" customWidth="1"/>
    <col min="9" max="16384" width="11.44140625" style="52"/>
  </cols>
  <sheetData>
    <row r="1" spans="1:9" ht="15" customHeight="1">
      <c r="G1" s="53" t="s">
        <v>118</v>
      </c>
      <c r="H1" s="53" t="s">
        <v>119</v>
      </c>
    </row>
    <row r="2" spans="1:9" ht="16.5" customHeight="1">
      <c r="B2" s="54" t="s">
        <v>120</v>
      </c>
      <c r="C2" s="55"/>
      <c r="D2" s="55"/>
      <c r="E2" s="55"/>
      <c r="F2" s="55"/>
      <c r="G2" s="56" t="s">
        <v>121</v>
      </c>
      <c r="H2" s="53" t="s">
        <v>122</v>
      </c>
    </row>
    <row r="3" spans="1:9" ht="15" customHeight="1">
      <c r="G3" s="57"/>
      <c r="H3" s="58"/>
    </row>
    <row r="4" spans="1:9" ht="15" customHeight="1">
      <c r="G4" s="59"/>
      <c r="H4" s="59"/>
    </row>
    <row r="5" spans="1:9" ht="15" customHeight="1" thickBot="1">
      <c r="G5" s="59"/>
      <c r="H5" s="59"/>
    </row>
    <row r="6" spans="1:9" s="65" customFormat="1" ht="31.5" customHeight="1">
      <c r="A6" s="60" t="s">
        <v>123</v>
      </c>
      <c r="B6" s="61" t="s">
        <v>124</v>
      </c>
      <c r="C6" s="62" t="s">
        <v>125</v>
      </c>
      <c r="D6" s="62" t="s">
        <v>126</v>
      </c>
      <c r="E6" s="62" t="s">
        <v>127</v>
      </c>
      <c r="F6" s="63" t="s">
        <v>128</v>
      </c>
      <c r="G6" s="61" t="s">
        <v>129</v>
      </c>
      <c r="H6" s="64" t="s">
        <v>130</v>
      </c>
    </row>
    <row r="7" spans="1:9" s="74" customFormat="1" ht="18.75" customHeight="1" thickBot="1">
      <c r="A7" s="66">
        <f>Cola!D7</f>
        <v>9.423</v>
      </c>
      <c r="B7" s="67" t="s">
        <v>260</v>
      </c>
      <c r="C7" s="68" t="str">
        <f>Geral!J13</f>
        <v>CMI-LMD-PC-245</v>
      </c>
      <c r="D7" s="69" t="str">
        <f>TEXT(Geral!J14,"000")</f>
        <v>000</v>
      </c>
      <c r="E7" s="70">
        <f>Cola!G10</f>
        <v>0</v>
      </c>
      <c r="F7" s="71">
        <f>Cola!E10</f>
        <v>96.15</v>
      </c>
      <c r="G7" s="72"/>
      <c r="H7" s="73"/>
    </row>
    <row r="8" spans="1:9" s="74" customFormat="1" ht="18.75" customHeight="1" thickBot="1">
      <c r="A8" s="75"/>
      <c r="B8" s="76"/>
      <c r="C8" s="77"/>
      <c r="D8" s="76"/>
      <c r="E8" s="78"/>
      <c r="F8" s="76"/>
      <c r="G8" s="79"/>
      <c r="H8" s="80"/>
      <c r="I8" s="81"/>
    </row>
    <row r="9" spans="1:9" s="87" customFormat="1" ht="31.5" customHeight="1" thickBot="1">
      <c r="A9" s="82" t="s">
        <v>131</v>
      </c>
      <c r="B9" s="83" t="s">
        <v>132</v>
      </c>
      <c r="C9" s="84" t="s">
        <v>133</v>
      </c>
      <c r="D9" s="84" t="s">
        <v>134</v>
      </c>
      <c r="E9" s="84" t="s">
        <v>135</v>
      </c>
      <c r="F9" s="85" t="s">
        <v>146</v>
      </c>
      <c r="G9" s="85" t="s">
        <v>147</v>
      </c>
      <c r="H9" s="86" t="s">
        <v>148</v>
      </c>
    </row>
    <row r="10" spans="1:9" ht="18" customHeight="1">
      <c r="A10" s="142" t="s">
        <v>136</v>
      </c>
      <c r="B10" s="143">
        <f>Cola!AE27</f>
        <v>0</v>
      </c>
      <c r="C10" s="144">
        <f>Cola!AF27</f>
        <v>0</v>
      </c>
      <c r="D10" s="143">
        <f>Cola!AG27</f>
        <v>0</v>
      </c>
      <c r="E10" s="145">
        <f>Cola!AH27</f>
        <v>0</v>
      </c>
      <c r="F10" s="143">
        <f>Cola!AI27</f>
        <v>0</v>
      </c>
      <c r="G10" s="146">
        <f>Cola!AJ27</f>
        <v>0</v>
      </c>
      <c r="H10" s="147">
        <f>Cola!AK27</f>
        <v>0</v>
      </c>
    </row>
    <row r="11" spans="1:9" ht="18" customHeight="1">
      <c r="A11" s="148" t="s">
        <v>137</v>
      </c>
      <c r="B11" s="149">
        <f>Cola!AE28</f>
        <v>0</v>
      </c>
      <c r="C11" s="150">
        <f>Cola!AF28</f>
        <v>0</v>
      </c>
      <c r="D11" s="149">
        <f>Cola!AG28</f>
        <v>0</v>
      </c>
      <c r="E11" s="151">
        <f>Cola!AH28</f>
        <v>0</v>
      </c>
      <c r="F11" s="149">
        <f>Cola!AI28</f>
        <v>0</v>
      </c>
      <c r="G11" s="152">
        <f>Cola!AJ28</f>
        <v>0</v>
      </c>
      <c r="H11" s="153">
        <f>Cola!AK28</f>
        <v>0</v>
      </c>
      <c r="I11" s="98"/>
    </row>
    <row r="12" spans="1:9" ht="18" customHeight="1">
      <c r="A12" s="148" t="s">
        <v>138</v>
      </c>
      <c r="B12" s="149">
        <f>Cola!AE29</f>
        <v>0</v>
      </c>
      <c r="C12" s="150">
        <f>Cola!AF29</f>
        <v>0</v>
      </c>
      <c r="D12" s="149">
        <f>Cola!AG29</f>
        <v>0</v>
      </c>
      <c r="E12" s="151">
        <f>Cola!AH29</f>
        <v>0</v>
      </c>
      <c r="F12" s="149">
        <f>Cola!AI29</f>
        <v>0</v>
      </c>
      <c r="G12" s="152">
        <f>Cola!AJ29</f>
        <v>0</v>
      </c>
      <c r="H12" s="153">
        <f>Cola!AK29</f>
        <v>0</v>
      </c>
    </row>
    <row r="13" spans="1:9" ht="18" customHeight="1">
      <c r="A13" s="148" t="s">
        <v>151</v>
      </c>
      <c r="B13" s="149">
        <f>Cola!AE30</f>
        <v>0</v>
      </c>
      <c r="C13" s="150">
        <f>Cola!AF30</f>
        <v>0</v>
      </c>
      <c r="D13" s="149">
        <f>Cola!AG30</f>
        <v>0</v>
      </c>
      <c r="E13" s="151">
        <f>Cola!AH30</f>
        <v>0</v>
      </c>
      <c r="F13" s="149">
        <f>Cola!AI30</f>
        <v>0</v>
      </c>
      <c r="G13" s="152">
        <f>Cola!AJ30</f>
        <v>0</v>
      </c>
      <c r="H13" s="153">
        <f>Cola!AK30</f>
        <v>0</v>
      </c>
    </row>
    <row r="14" spans="1:9" ht="18" customHeight="1">
      <c r="A14" s="148"/>
      <c r="B14" s="149"/>
      <c r="C14" s="149"/>
      <c r="D14" s="149"/>
      <c r="E14" s="149"/>
      <c r="F14" s="149"/>
      <c r="G14" s="149"/>
      <c r="H14" s="153"/>
    </row>
    <row r="15" spans="1:9" ht="18" customHeight="1">
      <c r="A15" s="148"/>
      <c r="B15" s="149"/>
      <c r="C15" s="149"/>
      <c r="D15" s="149"/>
      <c r="E15" s="149"/>
      <c r="F15" s="149"/>
      <c r="G15" s="149"/>
      <c r="H15" s="153"/>
    </row>
    <row r="16" spans="1:9" ht="18" customHeight="1">
      <c r="A16" s="148"/>
      <c r="B16" s="149"/>
      <c r="C16" s="149"/>
      <c r="D16" s="149"/>
      <c r="E16" s="149"/>
      <c r="F16" s="149"/>
      <c r="G16" s="149"/>
      <c r="H16" s="153"/>
    </row>
    <row r="17" spans="1:8" ht="18" customHeight="1">
      <c r="A17" s="148"/>
      <c r="B17" s="154"/>
      <c r="C17" s="155"/>
      <c r="D17" s="156"/>
      <c r="E17" s="155"/>
      <c r="F17" s="157"/>
      <c r="G17" s="156"/>
      <c r="H17" s="158"/>
    </row>
    <row r="18" spans="1:8" ht="18" customHeight="1">
      <c r="A18" s="148"/>
      <c r="B18" s="154"/>
      <c r="C18" s="155"/>
      <c r="D18" s="156"/>
      <c r="E18" s="155"/>
      <c r="F18" s="157"/>
      <c r="G18" s="156"/>
      <c r="H18" s="158"/>
    </row>
    <row r="19" spans="1:8" ht="18" customHeight="1">
      <c r="A19" s="159"/>
      <c r="B19" s="154"/>
      <c r="C19" s="160"/>
      <c r="D19" s="156"/>
      <c r="E19" s="156"/>
      <c r="F19" s="157"/>
      <c r="G19" s="160"/>
      <c r="H19" s="158"/>
    </row>
    <row r="20" spans="1:8" ht="18" customHeight="1">
      <c r="A20" s="161"/>
      <c r="B20" s="162"/>
      <c r="C20" s="162"/>
      <c r="D20" s="162"/>
      <c r="E20" s="162"/>
      <c r="F20" s="162"/>
      <c r="G20" s="162"/>
      <c r="H20" s="163"/>
    </row>
    <row r="21" spans="1:8" ht="18" customHeight="1" thickBot="1">
      <c r="A21" s="164"/>
      <c r="B21" s="165"/>
      <c r="C21" s="165"/>
      <c r="D21" s="165"/>
      <c r="E21" s="165"/>
      <c r="F21" s="165"/>
      <c r="G21" s="165"/>
      <c r="H21" s="166"/>
    </row>
    <row r="22" spans="1:8" ht="18" customHeight="1">
      <c r="A22" s="167" t="s">
        <v>149</v>
      </c>
      <c r="B22" s="168" t="s">
        <v>141</v>
      </c>
      <c r="C22" s="169"/>
      <c r="D22" s="170" t="s">
        <v>142</v>
      </c>
      <c r="E22" s="171"/>
      <c r="F22" s="172"/>
      <c r="G22" s="173">
        <f>Cola!AJ31</f>
        <v>0</v>
      </c>
      <c r="H22" s="174">
        <f>Cola!AK31</f>
        <v>0</v>
      </c>
    </row>
    <row r="23" spans="1:8" ht="18" customHeight="1" thickBot="1">
      <c r="A23" s="175" t="s">
        <v>150</v>
      </c>
      <c r="B23" s="176" t="s">
        <v>143</v>
      </c>
      <c r="C23" s="169"/>
      <c r="D23" s="123">
        <f>Cola!AG32</f>
        <v>0</v>
      </c>
      <c r="E23" s="177"/>
      <c r="F23" s="178"/>
      <c r="G23" s="155">
        <f>Cola!AJ32</f>
        <v>0</v>
      </c>
      <c r="H23" s="179"/>
    </row>
    <row r="24" spans="1:8" s="87" customFormat="1" ht="18" customHeight="1">
      <c r="A24" s="128" t="s">
        <v>144</v>
      </c>
      <c r="B24" s="129" t="s">
        <v>152</v>
      </c>
      <c r="C24" s="130"/>
      <c r="D24" s="130"/>
      <c r="E24" s="130"/>
      <c r="F24" s="130"/>
      <c r="G24" s="130"/>
      <c r="H24" s="131"/>
    </row>
    <row r="25" spans="1:8" s="87" customFormat="1" ht="18" customHeight="1">
      <c r="A25" s="132"/>
      <c r="C25" s="129"/>
      <c r="D25" s="129"/>
      <c r="E25" s="129"/>
      <c r="F25" s="129"/>
      <c r="G25" s="129"/>
      <c r="H25" s="133"/>
    </row>
    <row r="26" spans="1:8" ht="18" customHeight="1">
      <c r="A26" s="134"/>
      <c r="B26" s="129" t="str">
        <f>IF(COUNTIF(G10:G20,"*****")&lt;&gt;0,"******: Fonte desprezível", "")</f>
        <v/>
      </c>
      <c r="C26" s="135"/>
      <c r="D26" s="135"/>
      <c r="E26" s="135"/>
      <c r="F26" s="135"/>
      <c r="G26" s="135"/>
      <c r="H26" s="136"/>
    </row>
    <row r="27" spans="1:8" ht="18" customHeight="1">
      <c r="A27" s="134"/>
      <c r="B27" s="129"/>
      <c r="C27" s="135"/>
      <c r="D27" s="135"/>
      <c r="E27" s="135"/>
      <c r="F27" s="135"/>
      <c r="G27" s="135"/>
      <c r="H27" s="136"/>
    </row>
    <row r="28" spans="1:8" ht="18" customHeight="1">
      <c r="A28" s="134"/>
      <c r="B28" s="129"/>
      <c r="C28" s="135"/>
      <c r="D28" s="135"/>
      <c r="E28" s="135"/>
      <c r="F28" s="135"/>
      <c r="G28" s="135"/>
      <c r="H28" s="136"/>
    </row>
    <row r="29" spans="1:8" ht="18" customHeight="1" thickBot="1">
      <c r="A29" s="137"/>
      <c r="B29" s="138"/>
      <c r="C29" s="139"/>
      <c r="D29" s="139"/>
      <c r="E29" s="139"/>
      <c r="F29" s="139"/>
      <c r="G29" s="139"/>
      <c r="H29" s="140"/>
    </row>
    <row r="30" spans="1:8" ht="18.75" customHeight="1">
      <c r="A30" s="141"/>
      <c r="B30" s="141"/>
      <c r="C30" s="141"/>
      <c r="D30" s="141"/>
      <c r="E30" s="141"/>
      <c r="F30" s="141"/>
      <c r="G30" s="141"/>
      <c r="H30" s="141"/>
    </row>
  </sheetData>
  <sheetProtection password="F7E3" sheet="1" objects="1" scenarios="1"/>
  <phoneticPr fontId="0" type="noConversion"/>
  <pageMargins left="0.23622047244094491" right="0.5" top="0.4" bottom="0.3" header="0.51181102362204722" footer="0.3"/>
  <pageSetup paperSize="9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111"/>
  <dimension ref="A1:I30"/>
  <sheetViews>
    <sheetView showGridLines="0" zoomScale="75" workbookViewId="0">
      <selection activeCell="A27" sqref="A27"/>
    </sheetView>
  </sheetViews>
  <sheetFormatPr defaultColWidth="11.44140625" defaultRowHeight="18.75" customHeight="1"/>
  <cols>
    <col min="1" max="1" width="15.33203125" style="52" customWidth="1"/>
    <col min="2" max="2" width="40" style="52" customWidth="1"/>
    <col min="3" max="3" width="12" style="52" customWidth="1"/>
    <col min="4" max="4" width="13.44140625" style="52" customWidth="1"/>
    <col min="5" max="5" width="13.109375" style="52" customWidth="1"/>
    <col min="6" max="6" width="10.44140625" style="52" customWidth="1"/>
    <col min="7" max="8" width="14.109375" style="52" customWidth="1"/>
    <col min="9" max="16384" width="11.44140625" style="52"/>
  </cols>
  <sheetData>
    <row r="1" spans="1:9" ht="15" customHeight="1">
      <c r="G1" s="53" t="s">
        <v>118</v>
      </c>
      <c r="H1" s="53" t="s">
        <v>119</v>
      </c>
    </row>
    <row r="2" spans="1:9" ht="16.5" customHeight="1">
      <c r="B2" s="54" t="s">
        <v>120</v>
      </c>
      <c r="C2" s="55"/>
      <c r="D2" s="55"/>
      <c r="E2" s="55"/>
      <c r="F2" s="55"/>
      <c r="G2" s="56" t="s">
        <v>121</v>
      </c>
      <c r="H2" s="53" t="s">
        <v>122</v>
      </c>
    </row>
    <row r="3" spans="1:9" ht="15" customHeight="1">
      <c r="G3" s="57"/>
      <c r="H3" s="58"/>
    </row>
    <row r="4" spans="1:9" ht="15" customHeight="1">
      <c r="G4" s="59"/>
      <c r="H4" s="59"/>
    </row>
    <row r="5" spans="1:9" ht="15" customHeight="1" thickBot="1">
      <c r="G5" s="59"/>
      <c r="H5" s="59"/>
    </row>
    <row r="6" spans="1:9" s="65" customFormat="1" ht="31.5" customHeight="1">
      <c r="A6" s="60" t="s">
        <v>123</v>
      </c>
      <c r="B6" s="61" t="s">
        <v>124</v>
      </c>
      <c r="C6" s="62" t="s">
        <v>125</v>
      </c>
      <c r="D6" s="62" t="s">
        <v>126</v>
      </c>
      <c r="E6" s="62" t="s">
        <v>127</v>
      </c>
      <c r="F6" s="63" t="s">
        <v>128</v>
      </c>
      <c r="G6" s="61" t="s">
        <v>129</v>
      </c>
      <c r="H6" s="64" t="s">
        <v>130</v>
      </c>
    </row>
    <row r="7" spans="1:9" s="74" customFormat="1" ht="18.75" customHeight="1" thickBot="1">
      <c r="A7" s="66">
        <f>Cola!D7</f>
        <v>9.423</v>
      </c>
      <c r="B7" s="67" t="s">
        <v>260</v>
      </c>
      <c r="C7" s="68" t="str">
        <f>Geral!J13</f>
        <v>CMI-LMD-PC-245</v>
      </c>
      <c r="D7" s="446" t="str">
        <f>TEXT(Geral!J14,"000")</f>
        <v>000</v>
      </c>
      <c r="E7" s="70">
        <f>Cola!G10</f>
        <v>0</v>
      </c>
      <c r="F7" s="71">
        <f>Cola!E10</f>
        <v>96.15</v>
      </c>
      <c r="G7" s="72"/>
      <c r="H7" s="73"/>
    </row>
    <row r="8" spans="1:9" s="74" customFormat="1" ht="18.75" customHeight="1" thickBot="1">
      <c r="A8" s="75"/>
      <c r="B8" s="76"/>
      <c r="C8" s="77"/>
      <c r="D8" s="76"/>
      <c r="E8" s="78"/>
      <c r="F8" s="76"/>
      <c r="G8" s="79"/>
      <c r="H8" s="80"/>
      <c r="I8" s="81"/>
    </row>
    <row r="9" spans="1:9" s="87" customFormat="1" ht="31.5" customHeight="1" thickBot="1">
      <c r="A9" s="82" t="s">
        <v>131</v>
      </c>
      <c r="B9" s="83" t="s">
        <v>132</v>
      </c>
      <c r="C9" s="84" t="s">
        <v>133</v>
      </c>
      <c r="D9" s="84" t="s">
        <v>134</v>
      </c>
      <c r="E9" s="84" t="s">
        <v>135</v>
      </c>
      <c r="F9" s="85" t="s">
        <v>146</v>
      </c>
      <c r="G9" s="85" t="s">
        <v>147</v>
      </c>
      <c r="H9" s="86" t="s">
        <v>148</v>
      </c>
    </row>
    <row r="10" spans="1:9" ht="18" customHeight="1">
      <c r="A10" s="88" t="s">
        <v>136</v>
      </c>
      <c r="B10" s="89">
        <f>Cola!AE37</f>
        <v>0</v>
      </c>
      <c r="C10" s="90">
        <f>Cola!AF37</f>
        <v>0</v>
      </c>
      <c r="D10" s="89">
        <f>Cola!AG37</f>
        <v>0</v>
      </c>
      <c r="E10" s="91">
        <f>Cola!AH37</f>
        <v>0</v>
      </c>
      <c r="F10" s="89">
        <f>Cola!AI37</f>
        <v>0</v>
      </c>
      <c r="G10" s="90">
        <f>Cola!AJ37</f>
        <v>0</v>
      </c>
      <c r="H10" s="92">
        <f>Cola!AK37</f>
        <v>0</v>
      </c>
    </row>
    <row r="11" spans="1:9" ht="18" customHeight="1">
      <c r="A11" s="93" t="s">
        <v>137</v>
      </c>
      <c r="B11" s="94">
        <f>Cola!AE38</f>
        <v>0</v>
      </c>
      <c r="C11" s="95">
        <f>Cola!AF38</f>
        <v>0</v>
      </c>
      <c r="D11" s="94">
        <f>Cola!AG38</f>
        <v>0</v>
      </c>
      <c r="E11" s="96">
        <f>Cola!AH38</f>
        <v>0</v>
      </c>
      <c r="F11" s="94">
        <f>Cola!AI38</f>
        <v>0</v>
      </c>
      <c r="G11" s="95">
        <f>Cola!AJ38</f>
        <v>0</v>
      </c>
      <c r="H11" s="97">
        <f>Cola!AK38</f>
        <v>0</v>
      </c>
      <c r="I11" s="98"/>
    </row>
    <row r="12" spans="1:9" ht="18" customHeight="1">
      <c r="A12" s="93" t="s">
        <v>138</v>
      </c>
      <c r="B12" s="94">
        <f>Cola!AE39</f>
        <v>0</v>
      </c>
      <c r="C12" s="95">
        <f>Cola!AF39</f>
        <v>0</v>
      </c>
      <c r="D12" s="94">
        <f>Cola!AG39</f>
        <v>0</v>
      </c>
      <c r="E12" s="99">
        <f>Cola!AH39</f>
        <v>0</v>
      </c>
      <c r="F12" s="94">
        <f>Cola!AI39</f>
        <v>0</v>
      </c>
      <c r="G12" s="95">
        <f>Cola!AJ39</f>
        <v>0</v>
      </c>
      <c r="H12" s="97">
        <f>Cola!AK39</f>
        <v>0</v>
      </c>
    </row>
    <row r="13" spans="1:9" ht="18" customHeight="1">
      <c r="A13" s="93" t="s">
        <v>139</v>
      </c>
      <c r="B13" s="94">
        <f>Cola!AE40</f>
        <v>0</v>
      </c>
      <c r="C13" s="95">
        <f>Cola!AF40</f>
        <v>0</v>
      </c>
      <c r="D13" s="94">
        <f>Cola!AG40</f>
        <v>0</v>
      </c>
      <c r="E13" s="99">
        <f>Cola!AH40</f>
        <v>0</v>
      </c>
      <c r="F13" s="94">
        <f>Cola!AI40</f>
        <v>0</v>
      </c>
      <c r="G13" s="95">
        <f>Cola!AJ40</f>
        <v>0</v>
      </c>
      <c r="H13" s="97">
        <f>Cola!AK40</f>
        <v>0</v>
      </c>
    </row>
    <row r="14" spans="1:9" ht="18" customHeight="1">
      <c r="A14" s="93" t="s">
        <v>140</v>
      </c>
      <c r="B14" s="94">
        <f>Cola!AE41</f>
        <v>0</v>
      </c>
      <c r="C14" s="95">
        <f>Cola!AF41</f>
        <v>0</v>
      </c>
      <c r="D14" s="94">
        <f>Cola!AG41</f>
        <v>0</v>
      </c>
      <c r="E14" s="99">
        <f>Cola!AH41</f>
        <v>0</v>
      </c>
      <c r="F14" s="94">
        <f>Cola!AI41</f>
        <v>0</v>
      </c>
      <c r="G14" s="95">
        <f>Cola!AJ41</f>
        <v>0</v>
      </c>
      <c r="H14" s="97">
        <f>Cola!AK41</f>
        <v>0</v>
      </c>
    </row>
    <row r="15" spans="1:9" ht="18" customHeight="1">
      <c r="A15" s="93"/>
      <c r="B15" s="94"/>
      <c r="C15" s="95"/>
      <c r="D15" s="94"/>
      <c r="E15" s="100"/>
      <c r="F15" s="94"/>
      <c r="G15" s="95"/>
      <c r="H15" s="97"/>
    </row>
    <row r="16" spans="1:9" ht="18" customHeight="1">
      <c r="A16" s="93"/>
      <c r="B16" s="94"/>
      <c r="C16" s="95"/>
      <c r="D16" s="94"/>
      <c r="E16" s="100"/>
      <c r="F16" s="94"/>
      <c r="G16" s="95"/>
      <c r="H16" s="97"/>
    </row>
    <row r="17" spans="1:8" ht="18" customHeight="1">
      <c r="A17" s="93"/>
      <c r="B17" s="94"/>
      <c r="C17" s="94"/>
      <c r="D17" s="94"/>
      <c r="E17" s="94"/>
      <c r="F17" s="94"/>
      <c r="G17" s="94"/>
      <c r="H17" s="97"/>
    </row>
    <row r="18" spans="1:8" ht="18" customHeight="1">
      <c r="A18" s="93"/>
      <c r="B18" s="94"/>
      <c r="C18" s="94"/>
      <c r="D18" s="94"/>
      <c r="E18" s="94"/>
      <c r="F18" s="94"/>
      <c r="G18" s="94"/>
      <c r="H18" s="97"/>
    </row>
    <row r="19" spans="1:8" ht="18" customHeight="1">
      <c r="A19" s="101"/>
      <c r="B19" s="102"/>
      <c r="C19" s="103"/>
      <c r="D19" s="104"/>
      <c r="E19" s="104"/>
      <c r="F19" s="105"/>
      <c r="G19" s="103"/>
      <c r="H19" s="106"/>
    </row>
    <row r="20" spans="1:8" ht="18" customHeight="1">
      <c r="A20" s="107"/>
      <c r="B20" s="108"/>
      <c r="C20" s="108"/>
      <c r="D20" s="108"/>
      <c r="E20" s="108"/>
      <c r="F20" s="108"/>
      <c r="G20" s="108"/>
      <c r="H20" s="109"/>
    </row>
    <row r="21" spans="1:8" ht="18" customHeight="1" thickBot="1">
      <c r="A21" s="110"/>
      <c r="B21" s="111"/>
      <c r="C21" s="111"/>
      <c r="D21" s="111"/>
      <c r="E21" s="111"/>
      <c r="F21" s="111"/>
      <c r="G21" s="111"/>
      <c r="H21" s="112"/>
    </row>
    <row r="22" spans="1:8" ht="18" customHeight="1">
      <c r="A22" s="113" t="s">
        <v>149</v>
      </c>
      <c r="B22" s="114" t="s">
        <v>141</v>
      </c>
      <c r="C22" s="115"/>
      <c r="D22" s="116" t="s">
        <v>142</v>
      </c>
      <c r="E22" s="117"/>
      <c r="F22" s="118"/>
      <c r="G22" s="119">
        <f>Cola!AJ42</f>
        <v>0</v>
      </c>
      <c r="H22" s="120">
        <f>Cola!AK42</f>
        <v>0</v>
      </c>
    </row>
    <row r="23" spans="1:8" ht="18" customHeight="1" thickBot="1">
      <c r="A23" s="121" t="s">
        <v>150</v>
      </c>
      <c r="B23" s="122" t="s">
        <v>143</v>
      </c>
      <c r="C23" s="115"/>
      <c r="D23" s="123">
        <f>Cola!AG43</f>
        <v>0</v>
      </c>
      <c r="E23" s="124"/>
      <c r="F23" s="125"/>
      <c r="G23" s="126">
        <f>Cola!AJ43</f>
        <v>0</v>
      </c>
      <c r="H23" s="127"/>
    </row>
    <row r="24" spans="1:8" s="87" customFormat="1" ht="18" customHeight="1">
      <c r="A24" s="128" t="s">
        <v>144</v>
      </c>
      <c r="B24" s="129" t="s">
        <v>145</v>
      </c>
      <c r="C24" s="130"/>
      <c r="D24" s="130"/>
      <c r="E24" s="130"/>
      <c r="F24" s="130"/>
      <c r="G24" s="130"/>
      <c r="H24" s="131"/>
    </row>
    <row r="25" spans="1:8" s="87" customFormat="1" ht="18" customHeight="1">
      <c r="A25" s="132"/>
      <c r="C25" s="129"/>
      <c r="D25" s="129"/>
      <c r="E25" s="129"/>
      <c r="F25" s="129"/>
      <c r="G25" s="129"/>
      <c r="H25" s="133"/>
    </row>
    <row r="26" spans="1:8" ht="18" customHeight="1">
      <c r="A26" s="134"/>
      <c r="B26" s="129" t="str">
        <f>IF(COUNTIF(G10:G20,"*****")&lt;&gt;0,"******: Fonte desprezível", "")</f>
        <v/>
      </c>
      <c r="C26" s="135"/>
      <c r="D26" s="135"/>
      <c r="E26" s="135"/>
      <c r="F26" s="135"/>
      <c r="G26" s="135"/>
      <c r="H26" s="136"/>
    </row>
    <row r="27" spans="1:8" ht="18" customHeight="1">
      <c r="A27" s="134"/>
      <c r="B27" s="129"/>
      <c r="C27" s="135"/>
      <c r="D27" s="135"/>
      <c r="E27" s="135"/>
      <c r="F27" s="135"/>
      <c r="G27" s="135"/>
      <c r="H27" s="136"/>
    </row>
    <row r="28" spans="1:8" ht="18" customHeight="1">
      <c r="A28" s="134"/>
      <c r="B28" s="129"/>
      <c r="C28" s="135"/>
      <c r="D28" s="135"/>
      <c r="E28" s="135"/>
      <c r="F28" s="135"/>
      <c r="G28" s="135"/>
      <c r="H28" s="136"/>
    </row>
    <row r="29" spans="1:8" ht="18" customHeight="1" thickBot="1">
      <c r="A29" s="137"/>
      <c r="B29" s="138"/>
      <c r="C29" s="139"/>
      <c r="D29" s="139"/>
      <c r="E29" s="139"/>
      <c r="F29" s="139"/>
      <c r="G29" s="139"/>
      <c r="H29" s="140"/>
    </row>
    <row r="30" spans="1:8" ht="18.75" customHeight="1">
      <c r="A30" s="141"/>
      <c r="B30" s="141"/>
      <c r="C30" s="141"/>
      <c r="D30" s="141"/>
      <c r="E30" s="141"/>
      <c r="F30" s="141"/>
      <c r="G30" s="141"/>
      <c r="H30" s="141"/>
    </row>
  </sheetData>
  <sheetProtection password="F7E3" sheet="1" objects="1" scenarios="1"/>
  <phoneticPr fontId="0" type="noConversion"/>
  <pageMargins left="0.23622047244094491" right="0.5" top="0.4" bottom="0.3" header="0.51181102362204722" footer="0.3"/>
  <pageSetup paperSize="9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112"/>
  <dimension ref="A1:I129"/>
  <sheetViews>
    <sheetView showGridLines="0" workbookViewId="0">
      <selection sqref="A1:J1"/>
    </sheetView>
  </sheetViews>
  <sheetFormatPr defaultColWidth="11.44140625" defaultRowHeight="18.75" customHeight="1"/>
  <cols>
    <col min="1" max="1" width="15.33203125" style="594" customWidth="1"/>
    <col min="2" max="2" width="40" style="594" customWidth="1"/>
    <col min="3" max="3" width="12" style="594" customWidth="1"/>
    <col min="4" max="4" width="13.44140625" style="594" customWidth="1"/>
    <col min="5" max="5" width="13.109375" style="594" customWidth="1"/>
    <col min="6" max="6" width="10.44140625" style="594" customWidth="1"/>
    <col min="7" max="8" width="14.109375" style="594" customWidth="1"/>
    <col min="9" max="16384" width="11.44140625" style="594"/>
  </cols>
  <sheetData>
    <row r="1" spans="1:9" ht="15" customHeight="1">
      <c r="G1" s="595"/>
      <c r="H1" s="595"/>
    </row>
    <row r="2" spans="1:9" ht="15" customHeight="1">
      <c r="B2" s="596"/>
      <c r="C2" s="597"/>
      <c r="D2" s="597"/>
      <c r="E2" s="597"/>
      <c r="F2" s="597"/>
      <c r="G2" s="598"/>
      <c r="H2" s="595"/>
    </row>
    <row r="3" spans="1:9" ht="15" customHeight="1">
      <c r="G3" s="598"/>
      <c r="H3" s="598"/>
    </row>
    <row r="4" spans="1:9" ht="15" customHeight="1">
      <c r="G4" s="598"/>
      <c r="H4" s="598"/>
    </row>
    <row r="5" spans="1:9" ht="15" customHeight="1">
      <c r="G5" s="598"/>
      <c r="H5" s="598"/>
    </row>
    <row r="6" spans="1:9" s="602" customFormat="1" ht="15" customHeight="1">
      <c r="A6" s="599"/>
      <c r="B6" s="599"/>
      <c r="C6" s="600"/>
      <c r="D6" s="600"/>
      <c r="E6" s="600"/>
      <c r="F6" s="601"/>
      <c r="G6" s="599"/>
      <c r="H6" s="599"/>
    </row>
    <row r="7" spans="1:9" s="610" customFormat="1" ht="15" customHeight="1">
      <c r="A7" s="603"/>
      <c r="B7" s="603"/>
      <c r="C7" s="604"/>
      <c r="D7" s="605"/>
      <c r="E7" s="606"/>
      <c r="F7" s="607"/>
      <c r="G7" s="608"/>
      <c r="H7" s="609"/>
    </row>
    <row r="8" spans="1:9" s="610" customFormat="1" ht="15" customHeight="1">
      <c r="A8" s="611"/>
      <c r="B8" s="612"/>
      <c r="C8" s="613"/>
      <c r="D8" s="612"/>
      <c r="E8" s="614"/>
      <c r="F8" s="612"/>
      <c r="G8" s="608"/>
      <c r="H8" s="609"/>
    </row>
    <row r="9" spans="1:9" s="619" customFormat="1" ht="15" customHeight="1">
      <c r="A9" s="615"/>
      <c r="B9" s="616"/>
      <c r="C9" s="617"/>
      <c r="D9" s="617"/>
      <c r="E9" s="617"/>
      <c r="F9" s="618"/>
      <c r="G9" s="618"/>
      <c r="H9" s="618"/>
    </row>
    <row r="10" spans="1:9" ht="15" customHeight="1">
      <c r="A10" s="620"/>
      <c r="B10" s="620"/>
      <c r="C10" s="621"/>
      <c r="D10" s="620"/>
      <c r="E10" s="622"/>
      <c r="F10" s="620"/>
      <c r="G10" s="621"/>
      <c r="H10" s="620"/>
    </row>
    <row r="11" spans="1:9" ht="15" customHeight="1">
      <c r="A11" s="620"/>
      <c r="B11" s="620"/>
      <c r="C11" s="621"/>
      <c r="D11" s="620"/>
      <c r="E11" s="622"/>
      <c r="F11" s="620"/>
      <c r="G11" s="621"/>
      <c r="H11" s="620"/>
      <c r="I11" s="623"/>
    </row>
    <row r="12" spans="1:9" ht="15" customHeight="1">
      <c r="A12" s="620"/>
      <c r="B12" s="620"/>
      <c r="C12" s="621"/>
      <c r="D12" s="620"/>
      <c r="E12" s="624"/>
      <c r="F12" s="620"/>
      <c r="G12" s="621"/>
      <c r="H12" s="620"/>
    </row>
    <row r="13" spans="1:9" ht="15" customHeight="1">
      <c r="A13" s="620"/>
      <c r="B13" s="620"/>
      <c r="C13" s="621"/>
      <c r="D13" s="620"/>
      <c r="E13" s="624"/>
      <c r="F13" s="620"/>
      <c r="G13" s="621"/>
      <c r="H13" s="620"/>
    </row>
    <row r="14" spans="1:9" ht="15" customHeight="1">
      <c r="A14" s="620"/>
      <c r="B14" s="620"/>
      <c r="C14" s="621"/>
      <c r="D14" s="620"/>
      <c r="E14" s="624"/>
      <c r="F14" s="620"/>
      <c r="G14" s="621"/>
      <c r="H14" s="620"/>
    </row>
    <row r="15" spans="1:9" ht="15" customHeight="1">
      <c r="A15" s="620"/>
      <c r="B15" s="620"/>
      <c r="C15" s="621"/>
      <c r="D15" s="620"/>
      <c r="E15" s="625"/>
      <c r="F15" s="620"/>
      <c r="G15" s="621"/>
      <c r="H15" s="620"/>
    </row>
    <row r="16" spans="1:9" ht="15" customHeight="1">
      <c r="A16" s="620"/>
      <c r="B16" s="620"/>
      <c r="C16" s="621"/>
      <c r="D16" s="620"/>
      <c r="E16" s="625"/>
      <c r="F16" s="620"/>
      <c r="G16" s="621"/>
      <c r="H16" s="620"/>
    </row>
    <row r="17" spans="1:8" ht="15" customHeight="1">
      <c r="A17" s="620"/>
      <c r="B17" s="620"/>
      <c r="C17" s="620"/>
      <c r="D17" s="620"/>
      <c r="E17" s="620"/>
      <c r="F17" s="620"/>
      <c r="G17" s="620"/>
      <c r="H17" s="620"/>
    </row>
    <row r="18" spans="1:8" ht="15" customHeight="1">
      <c r="A18" s="620"/>
      <c r="B18" s="620"/>
      <c r="C18" s="620"/>
      <c r="D18" s="620"/>
      <c r="E18" s="620"/>
      <c r="F18" s="620"/>
      <c r="G18" s="620"/>
      <c r="H18" s="620"/>
    </row>
    <row r="19" spans="1:8" ht="15" customHeight="1">
      <c r="A19" s="626"/>
      <c r="B19" s="612"/>
      <c r="C19" s="627"/>
      <c r="D19" s="628"/>
      <c r="E19" s="628"/>
      <c r="F19" s="629"/>
      <c r="G19" s="627"/>
      <c r="H19" s="629"/>
    </row>
    <row r="20" spans="1:8" ht="15" customHeight="1">
      <c r="A20" s="630"/>
      <c r="B20" s="630"/>
      <c r="C20" s="630"/>
      <c r="D20" s="630"/>
      <c r="E20" s="630"/>
      <c r="F20" s="630"/>
      <c r="G20" s="630"/>
      <c r="H20" s="630"/>
    </row>
    <row r="21" spans="1:8" ht="15" customHeight="1">
      <c r="A21" s="630"/>
      <c r="B21" s="630"/>
      <c r="C21" s="630"/>
      <c r="D21" s="630"/>
      <c r="E21" s="630"/>
      <c r="F21" s="630"/>
      <c r="G21" s="630"/>
      <c r="H21" s="630"/>
    </row>
    <row r="22" spans="1:8" ht="15" customHeight="1">
      <c r="A22" s="631"/>
      <c r="B22" s="615"/>
      <c r="C22" s="632"/>
      <c r="D22" s="633"/>
      <c r="E22" s="634"/>
      <c r="F22" s="634"/>
      <c r="G22" s="635"/>
      <c r="H22" s="629"/>
    </row>
    <row r="23" spans="1:8" ht="15" customHeight="1">
      <c r="A23" s="636"/>
      <c r="B23" s="637"/>
      <c r="C23" s="632"/>
      <c r="D23" s="638"/>
      <c r="E23" s="639"/>
      <c r="F23" s="634"/>
      <c r="G23" s="640"/>
      <c r="H23" s="641"/>
    </row>
    <row r="24" spans="1:8" s="619" customFormat="1" ht="15" customHeight="1">
      <c r="A24" s="642"/>
    </row>
    <row r="25" spans="1:8" s="619" customFormat="1" ht="15" customHeight="1"/>
    <row r="26" spans="1:8" ht="15" customHeight="1">
      <c r="B26" s="619"/>
    </row>
    <row r="27" spans="1:8" ht="15" customHeight="1">
      <c r="B27" s="619"/>
    </row>
    <row r="28" spans="1:8" ht="15" customHeight="1">
      <c r="B28" s="619"/>
    </row>
    <row r="29" spans="1:8" ht="15" customHeight="1">
      <c r="B29" s="619"/>
    </row>
    <row r="30" spans="1:8" ht="15" customHeight="1">
      <c r="A30" s="643"/>
      <c r="B30" s="643"/>
      <c r="C30" s="643"/>
      <c r="D30" s="643"/>
      <c r="E30" s="643"/>
      <c r="F30" s="643"/>
      <c r="G30" s="643"/>
      <c r="H30" s="643"/>
    </row>
    <row r="31" spans="1:8" ht="15" customHeight="1"/>
    <row r="32" spans="1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</sheetData>
  <sheetProtection password="F7E3" sheet="1" objects="1" scenarios="1"/>
  <phoneticPr fontId="0" type="noConversion"/>
  <pageMargins left="0.23622047244094491" right="0.5" top="0.4" bottom="0.3" header="0.51181102362204722" footer="0.3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E1406"/>
  <sheetViews>
    <sheetView showGridLines="0" zoomScale="75" workbookViewId="0">
      <selection sqref="A1:J1"/>
    </sheetView>
  </sheetViews>
  <sheetFormatPr defaultRowHeight="13.2"/>
  <cols>
    <col min="1" max="1" width="20.6640625" style="1" customWidth="1"/>
    <col min="2" max="2" width="30.6640625" style="1" customWidth="1"/>
    <col min="3" max="4" width="12.6640625" style="1" customWidth="1"/>
    <col min="5" max="6" width="12.6640625" style="4" customWidth="1"/>
    <col min="7" max="7" width="12.6640625" style="1" customWidth="1"/>
    <col min="8" max="11" width="12.6640625" style="4" customWidth="1"/>
    <col min="12" max="13" width="12.6640625" style="20" customWidth="1"/>
    <col min="14" max="14" width="15.6640625" style="20" customWidth="1"/>
    <col min="15" max="15" width="27.5546875" style="20" bestFit="1" customWidth="1"/>
    <col min="16" max="16" width="25.6640625" style="50" customWidth="1"/>
    <col min="17" max="17" width="21.109375" style="20" bestFit="1" customWidth="1"/>
    <col min="18" max="18" width="15" style="20" bestFit="1" customWidth="1"/>
    <col min="19" max="19" width="9.44140625" style="20" customWidth="1"/>
    <col min="20" max="21" width="27.44140625" style="20" bestFit="1" customWidth="1"/>
    <col min="22" max="22" width="27.44140625" style="20" customWidth="1"/>
    <col min="23" max="23" width="22" style="20" bestFit="1" customWidth="1"/>
    <col min="24" max="27" width="25.6640625" style="20" customWidth="1"/>
    <col min="28" max="28" width="22.5546875" style="20" bestFit="1" customWidth="1"/>
    <col min="29" max="31" width="23" style="20" bestFit="1" customWidth="1"/>
    <col min="32" max="33" width="25.6640625" style="20" customWidth="1"/>
    <col min="34" max="40" width="20.6640625" style="20" bestFit="1" customWidth="1"/>
    <col min="41" max="41" width="21.6640625" style="20" bestFit="1" customWidth="1"/>
    <col min="42" max="42" width="21.33203125" style="20" bestFit="1" customWidth="1"/>
    <col min="43" max="45" width="21.6640625" style="20" bestFit="1" customWidth="1"/>
    <col min="46" max="46" width="20.6640625" style="20" customWidth="1"/>
    <col min="47" max="239" width="12.6640625" style="20" customWidth="1"/>
  </cols>
  <sheetData>
    <row r="1" spans="1:239" ht="69.900000000000006" customHeight="1" thickBot="1">
      <c r="A1" s="32"/>
      <c r="B1" s="857" t="s">
        <v>70</v>
      </c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7"/>
      <c r="AG1" s="867"/>
      <c r="AH1" s="867"/>
      <c r="AI1" s="867"/>
      <c r="AJ1" s="867"/>
      <c r="AK1" s="867"/>
      <c r="AL1" s="867"/>
      <c r="AM1" s="867"/>
      <c r="AN1" s="867"/>
      <c r="AO1" s="867"/>
      <c r="AP1" s="867"/>
      <c r="AQ1" s="867"/>
      <c r="AR1" s="867"/>
      <c r="AS1" s="867"/>
    </row>
    <row r="2" spans="1:239" ht="20.100000000000001" customHeight="1" thickBot="1">
      <c r="A2" s="864" t="s">
        <v>48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6"/>
      <c r="O2" s="864" t="s">
        <v>49</v>
      </c>
      <c r="P2" s="865"/>
      <c r="Q2" s="865"/>
      <c r="R2" s="865"/>
      <c r="S2" s="865"/>
      <c r="T2" s="865"/>
      <c r="U2" s="865"/>
      <c r="V2" s="865"/>
      <c r="W2" s="865"/>
      <c r="X2" s="865"/>
      <c r="Y2" s="865"/>
      <c r="Z2" s="865"/>
      <c r="AA2" s="865"/>
      <c r="AB2" s="865"/>
      <c r="AC2" s="865"/>
      <c r="AD2" s="865"/>
      <c r="AE2" s="865"/>
      <c r="AF2" s="865"/>
      <c r="AG2" s="865"/>
      <c r="AH2" s="865"/>
      <c r="AI2" s="865"/>
      <c r="AJ2" s="865"/>
      <c r="AK2" s="865"/>
      <c r="AL2" s="865"/>
      <c r="AM2" s="865"/>
      <c r="AN2" s="865"/>
      <c r="AO2" s="865"/>
      <c r="AP2" s="865"/>
      <c r="AQ2" s="865"/>
      <c r="AR2" s="865"/>
      <c r="AS2" s="865"/>
      <c r="AT2" s="866"/>
      <c r="ID2"/>
      <c r="IE2"/>
    </row>
    <row r="3" spans="1:239">
      <c r="A3" s="33" t="s">
        <v>68</v>
      </c>
      <c r="B3" s="34" t="s">
        <v>50</v>
      </c>
      <c r="C3" s="34" t="s">
        <v>41</v>
      </c>
      <c r="D3" s="34" t="s">
        <v>42</v>
      </c>
      <c r="E3" s="34" t="s">
        <v>43</v>
      </c>
      <c r="F3" s="34" t="s">
        <v>44</v>
      </c>
      <c r="G3" s="653" t="s">
        <v>45</v>
      </c>
      <c r="H3" s="34" t="s">
        <v>262</v>
      </c>
      <c r="I3" s="34" t="s">
        <v>263</v>
      </c>
      <c r="J3" s="34" t="s">
        <v>64</v>
      </c>
      <c r="K3" s="35" t="s">
        <v>65</v>
      </c>
      <c r="L3" s="35" t="s">
        <v>66</v>
      </c>
      <c r="M3" s="34" t="s">
        <v>67</v>
      </c>
      <c r="N3" s="34" t="s">
        <v>47</v>
      </c>
      <c r="O3" s="36" t="s">
        <v>52</v>
      </c>
      <c r="P3" s="34" t="s">
        <v>23</v>
      </c>
      <c r="Q3" s="34" t="s">
        <v>36</v>
      </c>
      <c r="R3" s="34" t="s">
        <v>51</v>
      </c>
      <c r="S3" s="34" t="s">
        <v>28</v>
      </c>
      <c r="T3" s="34" t="s">
        <v>40</v>
      </c>
      <c r="U3" s="34" t="s">
        <v>46</v>
      </c>
      <c r="V3" s="34" t="s">
        <v>2</v>
      </c>
      <c r="W3" s="34" t="s">
        <v>69</v>
      </c>
      <c r="X3" s="34" t="s">
        <v>24</v>
      </c>
      <c r="Y3" s="34" t="s">
        <v>58</v>
      </c>
      <c r="Z3" s="34" t="s">
        <v>59</v>
      </c>
      <c r="AA3" s="34" t="s">
        <v>57</v>
      </c>
      <c r="AB3" s="34" t="s">
        <v>97</v>
      </c>
      <c r="AC3" s="34" t="s">
        <v>98</v>
      </c>
      <c r="AD3" s="34" t="s">
        <v>16</v>
      </c>
      <c r="AE3" s="34" t="s">
        <v>17</v>
      </c>
      <c r="AF3" s="34" t="s">
        <v>99</v>
      </c>
      <c r="AG3" s="34" t="s">
        <v>100</v>
      </c>
      <c r="AH3" s="34" t="s">
        <v>105</v>
      </c>
      <c r="AI3" s="34" t="s">
        <v>102</v>
      </c>
      <c r="AJ3" s="34" t="s">
        <v>41</v>
      </c>
      <c r="AK3" s="34" t="s">
        <v>103</v>
      </c>
      <c r="AL3" s="34" t="s">
        <v>104</v>
      </c>
      <c r="AM3" s="34" t="s">
        <v>108</v>
      </c>
      <c r="AN3" s="34" t="s">
        <v>109</v>
      </c>
      <c r="AO3" s="34" t="s">
        <v>110</v>
      </c>
      <c r="AP3" s="34" t="s">
        <v>111</v>
      </c>
      <c r="AQ3" s="34" t="s">
        <v>112</v>
      </c>
      <c r="AR3" s="34" t="s">
        <v>113</v>
      </c>
      <c r="AS3" s="34" t="s">
        <v>25</v>
      </c>
      <c r="AT3" s="34" t="s">
        <v>117</v>
      </c>
    </row>
    <row r="4" spans="1:239">
      <c r="A4" s="37" t="s">
        <v>261</v>
      </c>
      <c r="B4" s="38" t="s">
        <v>330</v>
      </c>
      <c r="C4" s="38" t="s">
        <v>331</v>
      </c>
      <c r="D4" s="39"/>
      <c r="E4" s="39"/>
      <c r="F4" s="39"/>
      <c r="G4" s="38" t="s">
        <v>442</v>
      </c>
      <c r="H4" s="39"/>
      <c r="I4" s="39"/>
      <c r="J4" s="39"/>
      <c r="K4" s="39"/>
      <c r="L4" s="40"/>
      <c r="M4" s="40"/>
      <c r="N4" s="840">
        <v>0.03</v>
      </c>
      <c r="O4" s="42" t="s">
        <v>261</v>
      </c>
      <c r="P4" s="43" t="s">
        <v>342</v>
      </c>
      <c r="Q4" s="41"/>
      <c r="R4" s="44">
        <v>6</v>
      </c>
      <c r="S4" s="44">
        <v>23</v>
      </c>
      <c r="T4" s="41" t="s">
        <v>343</v>
      </c>
      <c r="U4" s="45">
        <v>44943.353194444448</v>
      </c>
      <c r="V4" s="44">
        <v>36</v>
      </c>
      <c r="W4" s="46">
        <v>46053</v>
      </c>
      <c r="X4" s="41" t="s">
        <v>344</v>
      </c>
      <c r="Y4" s="41" t="s">
        <v>338</v>
      </c>
      <c r="Z4" s="41" t="s">
        <v>345</v>
      </c>
      <c r="AA4" s="41"/>
      <c r="AB4" s="41" t="s">
        <v>339</v>
      </c>
      <c r="AC4" s="41" t="s">
        <v>340</v>
      </c>
      <c r="AD4" s="41"/>
      <c r="AE4" s="41"/>
      <c r="AF4" s="41">
        <v>654</v>
      </c>
      <c r="AG4" s="41">
        <v>-50</v>
      </c>
      <c r="AH4" s="41">
        <v>50</v>
      </c>
      <c r="AI4" s="41">
        <v>1E-3</v>
      </c>
      <c r="AJ4" s="41" t="s">
        <v>331</v>
      </c>
      <c r="AK4" s="41">
        <v>1</v>
      </c>
      <c r="AL4" s="41" t="s">
        <v>346</v>
      </c>
      <c r="AM4" s="41"/>
      <c r="AN4" s="41"/>
      <c r="AO4" s="41"/>
      <c r="AP4" s="41"/>
      <c r="AQ4" s="41"/>
      <c r="AR4" s="41"/>
      <c r="AS4" s="41"/>
      <c r="AT4" s="20" t="s">
        <v>484</v>
      </c>
    </row>
    <row r="5" spans="1:239" ht="26.4">
      <c r="A5" s="37" t="s">
        <v>261</v>
      </c>
      <c r="B5" s="38" t="s">
        <v>332</v>
      </c>
      <c r="C5" s="38" t="s">
        <v>331</v>
      </c>
      <c r="D5" s="39"/>
      <c r="E5" s="39"/>
      <c r="F5" s="39"/>
      <c r="G5" s="38" t="s">
        <v>439</v>
      </c>
      <c r="H5" s="39"/>
      <c r="I5" s="39"/>
      <c r="J5" s="39"/>
      <c r="K5" s="39"/>
      <c r="L5" s="40"/>
      <c r="M5" s="40"/>
      <c r="N5" s="840">
        <v>0.03</v>
      </c>
      <c r="O5" s="42" t="s">
        <v>347</v>
      </c>
      <c r="P5" s="43" t="s">
        <v>350</v>
      </c>
      <c r="Q5" s="41"/>
      <c r="R5" s="41">
        <v>3130</v>
      </c>
      <c r="S5" s="41">
        <v>21</v>
      </c>
      <c r="T5" s="41" t="s">
        <v>343</v>
      </c>
      <c r="U5" s="47">
        <v>44475.620613425926</v>
      </c>
      <c r="V5" s="41">
        <v>60</v>
      </c>
      <c r="W5" s="48">
        <v>46326</v>
      </c>
      <c r="X5" s="41" t="s">
        <v>337</v>
      </c>
      <c r="Y5" s="41" t="s">
        <v>338</v>
      </c>
      <c r="Z5" s="41" t="s">
        <v>351</v>
      </c>
      <c r="AA5" s="41"/>
      <c r="AB5" s="41" t="s">
        <v>352</v>
      </c>
      <c r="AC5" s="41" t="s">
        <v>340</v>
      </c>
      <c r="AD5" s="41"/>
      <c r="AE5" s="41"/>
      <c r="AF5" s="41">
        <v>1565</v>
      </c>
      <c r="AG5" s="41">
        <v>9</v>
      </c>
      <c r="AH5" s="41">
        <v>9.3000000000000007</v>
      </c>
      <c r="AI5" s="41"/>
      <c r="AJ5" s="41" t="s">
        <v>331</v>
      </c>
      <c r="AK5" s="41">
        <v>1</v>
      </c>
      <c r="AL5" s="41" t="s">
        <v>353</v>
      </c>
      <c r="AM5" s="41"/>
      <c r="AN5" s="41"/>
      <c r="AO5" s="41"/>
      <c r="AP5" s="41"/>
      <c r="AQ5" s="41"/>
      <c r="AR5" s="41"/>
      <c r="AS5" s="41"/>
      <c r="AT5" s="572" t="s">
        <v>485</v>
      </c>
      <c r="AU5" s="572"/>
    </row>
    <row r="6" spans="1:239" ht="26.4">
      <c r="A6" s="37" t="s">
        <v>261</v>
      </c>
      <c r="B6" s="38" t="s">
        <v>333</v>
      </c>
      <c r="C6" s="49" t="s">
        <v>331</v>
      </c>
      <c r="D6" s="39"/>
      <c r="E6" s="39"/>
      <c r="F6" s="39"/>
      <c r="G6" s="38" t="s">
        <v>427</v>
      </c>
      <c r="H6" s="39"/>
      <c r="I6" s="39"/>
      <c r="J6" s="39"/>
      <c r="K6" s="39"/>
      <c r="L6" s="40"/>
      <c r="M6" s="40"/>
      <c r="N6" s="840">
        <v>0.03</v>
      </c>
      <c r="O6" s="42"/>
      <c r="P6" s="43"/>
      <c r="Q6" s="41"/>
      <c r="R6" s="41"/>
      <c r="S6" s="41"/>
      <c r="T6" s="41"/>
      <c r="U6" s="47"/>
      <c r="V6" s="41"/>
      <c r="W6" s="48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572" t="s">
        <v>486</v>
      </c>
      <c r="AU6" s="572"/>
    </row>
    <row r="7" spans="1:239">
      <c r="A7" s="37" t="s">
        <v>261</v>
      </c>
      <c r="B7" s="38" t="s">
        <v>334</v>
      </c>
      <c r="C7" s="38" t="s">
        <v>331</v>
      </c>
      <c r="D7" s="39"/>
      <c r="E7" s="39"/>
      <c r="F7" s="39"/>
      <c r="G7" s="38" t="s">
        <v>427</v>
      </c>
      <c r="H7" s="39"/>
      <c r="I7" s="39"/>
      <c r="J7" s="39"/>
      <c r="K7" s="39"/>
      <c r="L7" s="40"/>
      <c r="M7" s="40"/>
      <c r="N7" s="840">
        <v>0.03</v>
      </c>
      <c r="O7" s="42"/>
      <c r="P7" s="43"/>
      <c r="Q7" s="41"/>
      <c r="R7" s="41"/>
      <c r="S7" s="41"/>
      <c r="T7" s="41"/>
      <c r="U7" s="47"/>
      <c r="V7" s="41"/>
      <c r="W7" s="48"/>
      <c r="X7" s="41"/>
      <c r="Y7" s="41"/>
      <c r="Z7" s="41"/>
      <c r="AB7" s="41"/>
      <c r="AC7" s="41"/>
      <c r="AD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572"/>
    </row>
    <row r="8" spans="1:239">
      <c r="A8" s="37" t="s">
        <v>261</v>
      </c>
      <c r="B8" s="38" t="s">
        <v>428</v>
      </c>
      <c r="C8" s="38" t="s">
        <v>331</v>
      </c>
      <c r="D8" s="39"/>
      <c r="E8" s="39"/>
      <c r="F8" s="39"/>
      <c r="G8" s="38" t="s">
        <v>427</v>
      </c>
      <c r="H8" s="39"/>
      <c r="I8" s="39"/>
      <c r="J8" s="39"/>
      <c r="K8" s="39"/>
      <c r="L8" s="40"/>
      <c r="M8" s="40"/>
      <c r="N8" s="840">
        <v>0.03</v>
      </c>
      <c r="O8" s="42"/>
      <c r="P8" s="43"/>
      <c r="Q8" s="41"/>
      <c r="R8" s="41"/>
      <c r="S8" s="41"/>
      <c r="T8" s="41"/>
      <c r="U8" s="47"/>
      <c r="V8" s="41"/>
      <c r="W8" s="48"/>
      <c r="X8" s="41"/>
      <c r="Y8" s="41"/>
      <c r="Z8" s="41"/>
      <c r="AB8" s="41"/>
      <c r="AC8" s="41"/>
      <c r="AD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</row>
    <row r="9" spans="1:239">
      <c r="A9" s="37" t="s">
        <v>261</v>
      </c>
      <c r="B9" s="38" t="s">
        <v>424</v>
      </c>
      <c r="C9" s="38" t="s">
        <v>331</v>
      </c>
      <c r="D9" s="39"/>
      <c r="E9" s="39"/>
      <c r="F9" s="39">
        <v>0.09</v>
      </c>
      <c r="G9" s="38" t="s">
        <v>440</v>
      </c>
      <c r="H9" s="39"/>
      <c r="I9" s="39"/>
      <c r="J9" s="39"/>
      <c r="K9" s="39"/>
      <c r="L9" s="40"/>
      <c r="M9" s="40"/>
      <c r="N9" s="41"/>
      <c r="O9" s="42"/>
      <c r="P9" s="43"/>
      <c r="Q9" s="41"/>
      <c r="R9" s="41"/>
      <c r="S9" s="41"/>
      <c r="T9" s="41"/>
      <c r="U9" s="47"/>
      <c r="V9" s="41"/>
      <c r="W9" s="48"/>
      <c r="Y9" s="41"/>
      <c r="Z9" s="41"/>
      <c r="AB9" s="41"/>
      <c r="AC9" s="41"/>
      <c r="AD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</row>
    <row r="10" spans="1:239">
      <c r="A10" s="37" t="s">
        <v>261</v>
      </c>
      <c r="B10" s="38" t="s">
        <v>278</v>
      </c>
      <c r="C10" s="38" t="s">
        <v>331</v>
      </c>
      <c r="D10" s="39"/>
      <c r="E10" s="39"/>
      <c r="F10" s="39"/>
      <c r="G10" s="38"/>
      <c r="H10" s="39"/>
      <c r="I10" s="39"/>
      <c r="J10" s="39"/>
      <c r="K10" s="39"/>
      <c r="L10" s="40"/>
      <c r="M10" s="40"/>
      <c r="N10" s="41"/>
      <c r="O10" s="42"/>
      <c r="Q10" s="41"/>
      <c r="R10" s="41"/>
      <c r="S10" s="41"/>
      <c r="T10" s="41"/>
      <c r="U10" s="47"/>
      <c r="V10" s="41"/>
      <c r="W10" s="48"/>
      <c r="Y10" s="41"/>
      <c r="Z10" s="41"/>
      <c r="AB10" s="41"/>
      <c r="AC10" s="41"/>
      <c r="AD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</row>
    <row r="11" spans="1:239">
      <c r="A11" s="42" t="s">
        <v>261</v>
      </c>
      <c r="B11" s="41" t="s">
        <v>279</v>
      </c>
      <c r="C11" s="38" t="s">
        <v>331</v>
      </c>
      <c r="D11" s="39"/>
      <c r="E11" s="39"/>
      <c r="F11" s="39">
        <v>6.5299999999999997E-2</v>
      </c>
      <c r="G11" s="38" t="s">
        <v>441</v>
      </c>
      <c r="H11" s="39"/>
      <c r="I11" s="39"/>
      <c r="J11" s="39"/>
      <c r="K11" s="39"/>
      <c r="L11" s="40"/>
      <c r="M11" s="40"/>
      <c r="N11" s="41"/>
      <c r="O11" s="42"/>
      <c r="Q11" s="41"/>
      <c r="R11" s="41"/>
      <c r="S11" s="41"/>
      <c r="T11" s="41"/>
      <c r="U11" s="47"/>
      <c r="V11" s="41"/>
      <c r="W11" s="48"/>
      <c r="Y11" s="41"/>
      <c r="Z11" s="41"/>
      <c r="AB11" s="41"/>
      <c r="AC11" s="41"/>
      <c r="AD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</row>
    <row r="12" spans="1:239">
      <c r="A12" s="42" t="s">
        <v>261</v>
      </c>
      <c r="B12" s="41" t="s">
        <v>280</v>
      </c>
      <c r="C12" s="38" t="s">
        <v>331</v>
      </c>
      <c r="D12" s="39"/>
      <c r="E12" s="39"/>
      <c r="F12" s="39"/>
      <c r="G12" s="38"/>
      <c r="H12" s="39"/>
      <c r="I12" s="39"/>
      <c r="J12" s="39"/>
      <c r="K12" s="39"/>
      <c r="L12" s="40"/>
      <c r="M12" s="40"/>
      <c r="N12" s="41"/>
      <c r="O12" s="42"/>
      <c r="Q12" s="41"/>
      <c r="R12" s="41"/>
      <c r="S12" s="41"/>
      <c r="T12" s="41"/>
      <c r="U12" s="47"/>
      <c r="V12" s="41"/>
      <c r="W12" s="48"/>
      <c r="Y12" s="41"/>
      <c r="Z12" s="41"/>
      <c r="AB12" s="41"/>
      <c r="AC12" s="41"/>
      <c r="AD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</row>
    <row r="13" spans="1:239">
      <c r="A13" s="42" t="s">
        <v>261</v>
      </c>
      <c r="B13" s="41" t="s">
        <v>429</v>
      </c>
      <c r="C13" s="51" t="s">
        <v>331</v>
      </c>
      <c r="D13" s="39"/>
      <c r="E13" s="39"/>
      <c r="F13" s="39"/>
      <c r="G13" s="38" t="s">
        <v>430</v>
      </c>
      <c r="H13" s="39"/>
      <c r="I13" s="39"/>
      <c r="J13" s="39"/>
      <c r="K13" s="39"/>
      <c r="L13" s="40"/>
      <c r="M13" s="40"/>
      <c r="N13" s="840">
        <v>0.03</v>
      </c>
      <c r="O13" s="42"/>
      <c r="Q13" s="41"/>
      <c r="R13" s="41"/>
      <c r="S13" s="41"/>
      <c r="T13" s="41"/>
      <c r="U13" s="47"/>
      <c r="V13" s="41"/>
      <c r="W13" s="48"/>
      <c r="Y13" s="41"/>
      <c r="Z13" s="41"/>
      <c r="AB13" s="41"/>
      <c r="AC13" s="41"/>
      <c r="AD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</row>
    <row r="14" spans="1:239">
      <c r="A14" s="42" t="s">
        <v>261</v>
      </c>
      <c r="B14" s="41" t="s">
        <v>431</v>
      </c>
      <c r="C14" s="38" t="s">
        <v>331</v>
      </c>
      <c r="D14" s="39"/>
      <c r="E14" s="39"/>
      <c r="F14" s="39"/>
      <c r="G14" s="38" t="s">
        <v>432</v>
      </c>
      <c r="H14" s="39"/>
      <c r="I14" s="39"/>
      <c r="J14" s="39"/>
      <c r="K14" s="39"/>
      <c r="L14" s="40"/>
      <c r="M14" s="40"/>
      <c r="N14" s="840">
        <v>0.03</v>
      </c>
      <c r="O14" s="42"/>
      <c r="Q14" s="41"/>
      <c r="R14" s="41"/>
      <c r="S14" s="41"/>
      <c r="T14" s="41"/>
      <c r="U14" s="47"/>
      <c r="V14" s="41"/>
      <c r="W14" s="48"/>
      <c r="Y14" s="41"/>
      <c r="Z14" s="41"/>
      <c r="AB14" s="41"/>
      <c r="AC14" s="41"/>
      <c r="AD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</row>
    <row r="15" spans="1:239">
      <c r="A15" s="42" t="s">
        <v>261</v>
      </c>
      <c r="B15" s="41" t="s">
        <v>433</v>
      </c>
      <c r="C15" s="38" t="s">
        <v>331</v>
      </c>
      <c r="D15" s="39"/>
      <c r="E15" s="39"/>
      <c r="F15" s="39"/>
      <c r="G15" s="38" t="s">
        <v>434</v>
      </c>
      <c r="H15" s="39"/>
      <c r="I15" s="39"/>
      <c r="J15" s="39"/>
      <c r="K15" s="39"/>
      <c r="L15" s="40"/>
      <c r="M15" s="40"/>
      <c r="N15" s="840">
        <v>0.03</v>
      </c>
      <c r="O15" s="42"/>
      <c r="Q15" s="41"/>
      <c r="R15" s="41"/>
      <c r="S15" s="41"/>
      <c r="T15" s="41"/>
      <c r="U15" s="47"/>
      <c r="V15" s="41"/>
      <c r="W15" s="48"/>
      <c r="Y15" s="41"/>
      <c r="Z15" s="41"/>
      <c r="AB15" s="41"/>
      <c r="AC15" s="41"/>
      <c r="AD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</row>
    <row r="16" spans="1:239">
      <c r="A16" s="37" t="s">
        <v>261</v>
      </c>
      <c r="B16" s="41" t="s">
        <v>435</v>
      </c>
      <c r="C16" s="38" t="s">
        <v>335</v>
      </c>
      <c r="D16" s="39"/>
      <c r="E16" s="39"/>
      <c r="F16" s="39"/>
      <c r="G16" s="38" t="s">
        <v>336</v>
      </c>
      <c r="H16" s="39"/>
      <c r="I16" s="39"/>
      <c r="J16" s="39"/>
      <c r="K16" s="39"/>
      <c r="L16" s="40"/>
      <c r="M16" s="40"/>
      <c r="N16" s="41"/>
      <c r="O16" s="42"/>
      <c r="Q16" s="41"/>
      <c r="R16" s="41"/>
      <c r="S16" s="41"/>
      <c r="T16" s="41"/>
      <c r="U16" s="47"/>
      <c r="V16" s="41"/>
      <c r="W16" s="48"/>
      <c r="Y16" s="41"/>
      <c r="Z16" s="41"/>
      <c r="AB16" s="41"/>
      <c r="AC16" s="41"/>
      <c r="AD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</row>
    <row r="17" spans="1:45">
      <c r="A17" s="37" t="s">
        <v>261</v>
      </c>
      <c r="B17" s="41" t="s">
        <v>436</v>
      </c>
      <c r="C17" s="38" t="s">
        <v>335</v>
      </c>
      <c r="D17" s="39"/>
      <c r="E17" s="39"/>
      <c r="F17" s="39"/>
      <c r="G17" s="38" t="s">
        <v>336</v>
      </c>
      <c r="H17" s="39"/>
      <c r="I17" s="39"/>
      <c r="J17" s="39"/>
      <c r="K17" s="39"/>
      <c r="L17" s="40"/>
      <c r="M17" s="40"/>
      <c r="N17" s="41"/>
      <c r="O17" s="42"/>
      <c r="Q17" s="41"/>
      <c r="R17" s="41"/>
      <c r="S17" s="41"/>
      <c r="T17" s="41"/>
      <c r="U17" s="47"/>
      <c r="V17" s="41"/>
      <c r="W17" s="48"/>
      <c r="Y17" s="41"/>
      <c r="Z17" s="41"/>
      <c r="AB17" s="41"/>
      <c r="AC17" s="41"/>
      <c r="AD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</row>
    <row r="18" spans="1:45">
      <c r="A18" s="37" t="s">
        <v>261</v>
      </c>
      <c r="B18" s="41" t="s">
        <v>437</v>
      </c>
      <c r="C18" s="38" t="s">
        <v>335</v>
      </c>
      <c r="D18" s="39"/>
      <c r="E18" s="39"/>
      <c r="F18" s="39"/>
      <c r="G18" s="38" t="s">
        <v>438</v>
      </c>
      <c r="H18" s="39"/>
      <c r="I18" s="39"/>
      <c r="J18" s="39"/>
      <c r="K18" s="39"/>
      <c r="L18" s="40"/>
      <c r="M18" s="40"/>
      <c r="N18" s="41"/>
      <c r="O18" s="42"/>
      <c r="Q18" s="41"/>
      <c r="R18" s="41"/>
      <c r="S18" s="41"/>
      <c r="T18" s="41"/>
      <c r="U18" s="47"/>
      <c r="V18" s="41"/>
      <c r="W18" s="48"/>
      <c r="Y18" s="41"/>
      <c r="Z18" s="41"/>
      <c r="AB18" s="41"/>
      <c r="AC18" s="41"/>
      <c r="AD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</row>
    <row r="19" spans="1:45">
      <c r="A19" s="37" t="s">
        <v>347</v>
      </c>
      <c r="B19" s="41" t="s">
        <v>348</v>
      </c>
      <c r="C19" s="38" t="s">
        <v>331</v>
      </c>
      <c r="D19" s="39"/>
      <c r="E19" s="39">
        <v>8.8989999999999991</v>
      </c>
      <c r="F19" s="39"/>
      <c r="G19" s="38" t="s">
        <v>349</v>
      </c>
      <c r="H19" s="39"/>
      <c r="I19" s="39"/>
      <c r="J19" s="39"/>
      <c r="K19" s="39"/>
      <c r="L19" s="40"/>
      <c r="M19" s="40"/>
      <c r="N19" s="41"/>
      <c r="O19" s="42"/>
      <c r="Q19" s="41"/>
      <c r="R19" s="41"/>
      <c r="S19" s="41"/>
      <c r="T19" s="41"/>
      <c r="U19" s="47"/>
      <c r="V19" s="41"/>
      <c r="W19" s="48"/>
      <c r="Y19" s="41"/>
      <c r="Z19" s="41"/>
      <c r="AB19" s="41"/>
      <c r="AC19" s="41"/>
      <c r="AD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</row>
    <row r="20" spans="1:45">
      <c r="A20" s="37"/>
      <c r="B20" s="38"/>
      <c r="C20" s="38"/>
      <c r="D20" s="39"/>
      <c r="E20" s="39"/>
      <c r="F20" s="39"/>
      <c r="G20" s="38"/>
      <c r="H20" s="39"/>
      <c r="I20" s="39"/>
      <c r="J20" s="39"/>
      <c r="K20" s="39"/>
      <c r="L20" s="40"/>
      <c r="M20" s="40"/>
      <c r="N20" s="41"/>
      <c r="O20" s="42"/>
      <c r="Q20" s="41"/>
      <c r="R20" s="41"/>
      <c r="S20" s="41"/>
      <c r="T20" s="41"/>
      <c r="U20" s="47"/>
      <c r="V20" s="41"/>
      <c r="W20" s="48"/>
      <c r="Y20" s="41"/>
      <c r="Z20" s="41"/>
      <c r="AB20" s="41"/>
      <c r="AC20" s="41"/>
      <c r="AD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</row>
    <row r="21" spans="1:45">
      <c r="A21" s="37"/>
      <c r="B21" s="38"/>
      <c r="C21" s="38"/>
      <c r="D21" s="39"/>
      <c r="E21" s="39"/>
      <c r="F21" s="39"/>
      <c r="G21" s="38"/>
      <c r="H21" s="39"/>
      <c r="I21" s="39"/>
      <c r="J21" s="39"/>
      <c r="K21" s="39"/>
      <c r="L21" s="40"/>
      <c r="M21" s="40"/>
      <c r="N21" s="41"/>
      <c r="O21" s="42"/>
      <c r="Q21" s="41"/>
      <c r="R21" s="41"/>
      <c r="S21" s="41"/>
      <c r="T21" s="41"/>
      <c r="U21" s="47"/>
      <c r="V21" s="41"/>
      <c r="W21" s="48"/>
      <c r="Y21" s="41"/>
      <c r="Z21" s="41"/>
      <c r="AB21" s="41"/>
      <c r="AC21" s="41"/>
      <c r="AD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</row>
    <row r="22" spans="1:45">
      <c r="A22" s="37"/>
      <c r="B22" s="38"/>
      <c r="C22" s="38"/>
      <c r="D22" s="39"/>
      <c r="E22" s="39"/>
      <c r="F22" s="39"/>
      <c r="G22" s="38"/>
      <c r="H22" s="39"/>
      <c r="I22" s="39"/>
      <c r="J22" s="39"/>
      <c r="K22" s="39"/>
      <c r="L22" s="40"/>
      <c r="M22" s="40"/>
      <c r="N22" s="41"/>
      <c r="O22" s="42"/>
      <c r="Q22" s="41"/>
      <c r="R22" s="41"/>
      <c r="S22" s="41"/>
      <c r="T22" s="41"/>
      <c r="U22" s="47"/>
      <c r="V22" s="41"/>
      <c r="W22" s="48"/>
      <c r="Y22" s="41"/>
      <c r="Z22" s="41"/>
      <c r="AB22" s="41"/>
      <c r="AC22" s="41"/>
      <c r="AD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1:45">
      <c r="A23" s="37"/>
      <c r="B23" s="38"/>
      <c r="C23" s="38"/>
      <c r="D23" s="39"/>
      <c r="E23" s="39"/>
      <c r="F23" s="39"/>
      <c r="G23" s="38"/>
      <c r="H23" s="39"/>
      <c r="I23" s="39"/>
      <c r="J23" s="39"/>
      <c r="K23" s="39"/>
      <c r="L23" s="40"/>
      <c r="M23" s="40"/>
      <c r="N23" s="41"/>
      <c r="O23" s="42"/>
      <c r="Q23" s="41"/>
      <c r="R23" s="41"/>
      <c r="S23" s="41"/>
      <c r="T23" s="41"/>
      <c r="U23" s="47"/>
      <c r="V23" s="41"/>
      <c r="W23" s="48"/>
      <c r="Y23" s="41"/>
      <c r="Z23" s="41"/>
      <c r="AB23" s="41"/>
      <c r="AC23" s="41"/>
      <c r="AD23" s="41"/>
      <c r="AF23" s="41"/>
      <c r="AG23" s="41"/>
      <c r="AH23" s="41"/>
      <c r="AI23" s="41"/>
      <c r="AK23" s="41"/>
      <c r="AL23" s="41"/>
      <c r="AM23" s="41"/>
      <c r="AN23" s="41"/>
      <c r="AO23" s="41"/>
      <c r="AP23" s="41"/>
      <c r="AQ23" s="41"/>
      <c r="AR23" s="41"/>
      <c r="AS23" s="41"/>
    </row>
    <row r="24" spans="1:45">
      <c r="A24" s="37"/>
      <c r="B24" s="38"/>
      <c r="C24" s="38"/>
      <c r="D24" s="39"/>
      <c r="E24" s="39"/>
      <c r="F24" s="39"/>
      <c r="G24" s="38"/>
      <c r="H24" s="39"/>
      <c r="I24" s="39"/>
      <c r="J24" s="39"/>
      <c r="K24" s="39"/>
      <c r="L24" s="40"/>
      <c r="M24" s="40"/>
      <c r="N24" s="41"/>
      <c r="O24" s="42"/>
      <c r="Q24" s="41"/>
      <c r="R24" s="41"/>
      <c r="S24" s="41"/>
      <c r="T24" s="41"/>
      <c r="U24" s="47"/>
      <c r="V24" s="41"/>
      <c r="W24" s="48"/>
      <c r="Y24" s="41"/>
      <c r="Z24" s="41"/>
      <c r="AB24" s="41"/>
      <c r="AC24" s="41"/>
      <c r="AD24" s="41"/>
      <c r="AF24" s="41"/>
      <c r="AG24" s="41"/>
      <c r="AH24" s="41"/>
      <c r="AI24" s="41"/>
      <c r="AK24" s="41"/>
      <c r="AL24" s="41"/>
      <c r="AM24" s="41"/>
      <c r="AN24" s="41"/>
      <c r="AO24" s="41"/>
      <c r="AP24" s="41"/>
      <c r="AQ24" s="41"/>
      <c r="AR24" s="41"/>
      <c r="AS24" s="41"/>
    </row>
    <row r="25" spans="1:45">
      <c r="A25" s="37"/>
      <c r="B25" s="38"/>
      <c r="C25" s="38"/>
      <c r="D25" s="39"/>
      <c r="E25" s="39"/>
      <c r="F25" s="39"/>
      <c r="G25" s="38"/>
      <c r="H25" s="39"/>
      <c r="I25" s="39"/>
      <c r="J25" s="39"/>
      <c r="K25" s="39"/>
      <c r="L25" s="40"/>
      <c r="M25" s="40"/>
      <c r="N25" s="41"/>
      <c r="O25" s="42"/>
      <c r="Q25" s="41"/>
      <c r="R25" s="41"/>
      <c r="S25" s="41"/>
      <c r="T25" s="41"/>
      <c r="U25" s="47"/>
      <c r="V25" s="41"/>
      <c r="W25" s="48"/>
      <c r="Y25" s="41"/>
      <c r="Z25" s="41"/>
      <c r="AB25" s="41"/>
      <c r="AC25" s="41"/>
      <c r="AD25" s="41"/>
      <c r="AF25" s="41"/>
      <c r="AG25" s="41"/>
      <c r="AH25" s="41"/>
      <c r="AI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1:45">
      <c r="A26" s="37"/>
      <c r="B26" s="38"/>
      <c r="C26" s="38"/>
      <c r="D26" s="39"/>
      <c r="E26" s="39"/>
      <c r="F26" s="39"/>
      <c r="G26" s="38"/>
      <c r="H26" s="39"/>
      <c r="I26" s="39"/>
      <c r="J26" s="39"/>
      <c r="K26" s="39"/>
      <c r="L26" s="40"/>
      <c r="M26" s="40"/>
      <c r="N26" s="41"/>
      <c r="O26" s="42"/>
      <c r="Q26" s="41"/>
      <c r="R26" s="41"/>
      <c r="S26" s="41"/>
      <c r="T26" s="41"/>
      <c r="U26" s="47"/>
      <c r="V26" s="41"/>
      <c r="W26" s="48"/>
      <c r="Y26" s="41"/>
      <c r="Z26" s="41"/>
      <c r="AB26" s="41"/>
      <c r="AC26" s="41"/>
      <c r="AD26" s="41"/>
      <c r="AF26" s="41"/>
      <c r="AG26" s="41"/>
      <c r="AH26" s="41"/>
      <c r="AI26" s="41"/>
      <c r="AK26" s="41"/>
      <c r="AL26" s="41"/>
      <c r="AM26" s="41"/>
      <c r="AN26" s="41"/>
      <c r="AO26" s="41"/>
      <c r="AP26" s="41"/>
      <c r="AQ26" s="41"/>
      <c r="AR26" s="41"/>
      <c r="AS26" s="41"/>
    </row>
    <row r="27" spans="1:45">
      <c r="A27" s="37"/>
      <c r="B27" s="38"/>
      <c r="C27" s="38"/>
      <c r="D27" s="39"/>
      <c r="E27" s="39"/>
      <c r="F27" s="39"/>
      <c r="G27" s="38"/>
      <c r="H27" s="39"/>
      <c r="I27" s="39"/>
      <c r="J27" s="39"/>
      <c r="K27" s="39"/>
      <c r="L27" s="40"/>
      <c r="M27" s="40"/>
      <c r="N27" s="41"/>
      <c r="O27" s="42"/>
      <c r="Q27" s="41"/>
      <c r="R27" s="41"/>
      <c r="S27" s="41"/>
      <c r="T27" s="41"/>
      <c r="U27" s="47"/>
      <c r="V27" s="41"/>
      <c r="W27" s="48"/>
      <c r="Y27" s="41"/>
      <c r="Z27" s="41"/>
      <c r="AB27" s="41"/>
      <c r="AC27" s="41"/>
      <c r="AD27" s="41"/>
      <c r="AF27" s="41"/>
      <c r="AG27" s="41"/>
      <c r="AH27" s="41"/>
      <c r="AI27" s="41"/>
      <c r="AK27" s="41"/>
      <c r="AL27" s="41"/>
      <c r="AM27" s="41"/>
      <c r="AN27" s="41"/>
      <c r="AO27" s="41"/>
      <c r="AP27" s="41"/>
      <c r="AQ27" s="41"/>
      <c r="AR27" s="41"/>
      <c r="AS27" s="41"/>
    </row>
    <row r="28" spans="1:45">
      <c r="A28" s="37"/>
      <c r="B28" s="38"/>
      <c r="C28" s="38"/>
      <c r="D28" s="39"/>
      <c r="E28" s="39"/>
      <c r="F28" s="39"/>
      <c r="G28" s="38"/>
      <c r="H28" s="39"/>
      <c r="I28" s="39"/>
      <c r="J28" s="39"/>
      <c r="K28" s="39"/>
      <c r="L28" s="40"/>
      <c r="M28" s="40"/>
      <c r="N28" s="41"/>
      <c r="O28" s="42"/>
      <c r="Q28" s="41"/>
      <c r="R28" s="41"/>
      <c r="S28" s="41"/>
      <c r="T28" s="41"/>
      <c r="U28" s="47"/>
      <c r="V28" s="41"/>
      <c r="W28" s="48"/>
      <c r="Y28" s="41"/>
      <c r="Z28" s="41"/>
      <c r="AB28" s="41"/>
      <c r="AC28" s="41"/>
      <c r="AD28" s="41"/>
      <c r="AF28" s="41"/>
      <c r="AG28" s="41"/>
      <c r="AH28" s="41"/>
      <c r="AI28" s="41"/>
      <c r="AK28" s="41"/>
      <c r="AL28" s="41"/>
      <c r="AM28" s="41"/>
      <c r="AN28" s="41"/>
      <c r="AO28" s="41"/>
      <c r="AP28" s="41"/>
      <c r="AQ28" s="41"/>
      <c r="AR28" s="41"/>
      <c r="AS28" s="41"/>
    </row>
    <row r="29" spans="1:45">
      <c r="A29" s="37"/>
      <c r="B29" s="38"/>
      <c r="C29" s="38"/>
      <c r="D29" s="39"/>
      <c r="E29" s="39"/>
      <c r="F29" s="39"/>
      <c r="G29" s="38"/>
      <c r="H29" s="39"/>
      <c r="I29" s="39"/>
      <c r="J29" s="39"/>
      <c r="K29" s="39"/>
      <c r="L29" s="40"/>
      <c r="M29" s="40"/>
      <c r="N29" s="41"/>
      <c r="O29" s="42"/>
      <c r="Q29" s="41"/>
      <c r="R29" s="41"/>
      <c r="S29" s="41"/>
      <c r="T29" s="41"/>
      <c r="U29" s="47"/>
      <c r="V29" s="41"/>
      <c r="W29" s="48"/>
      <c r="Y29" s="41"/>
      <c r="Z29" s="41"/>
      <c r="AB29" s="41"/>
      <c r="AC29" s="41"/>
      <c r="AD29" s="41"/>
      <c r="AF29" s="41"/>
      <c r="AG29" s="41"/>
      <c r="AH29" s="41"/>
      <c r="AI29" s="41"/>
      <c r="AK29" s="41"/>
      <c r="AL29" s="41"/>
      <c r="AM29" s="41"/>
      <c r="AN29" s="41"/>
      <c r="AO29" s="41"/>
      <c r="AP29" s="41"/>
      <c r="AQ29" s="41"/>
      <c r="AR29" s="41"/>
      <c r="AS29" s="41"/>
    </row>
    <row r="30" spans="1:45">
      <c r="A30" s="37"/>
      <c r="B30" s="38"/>
      <c r="C30" s="38"/>
      <c r="D30" s="39"/>
      <c r="E30" s="39"/>
      <c r="F30" s="39"/>
      <c r="G30" s="38"/>
      <c r="H30" s="39"/>
      <c r="I30" s="39"/>
      <c r="J30" s="39"/>
      <c r="K30" s="39"/>
      <c r="L30" s="40"/>
      <c r="M30" s="40"/>
      <c r="N30" s="41"/>
      <c r="O30" s="42"/>
      <c r="Q30" s="41"/>
      <c r="R30" s="41"/>
      <c r="S30" s="41"/>
      <c r="T30" s="41"/>
      <c r="U30" s="47"/>
      <c r="V30" s="41"/>
      <c r="W30" s="48"/>
      <c r="Y30" s="41"/>
      <c r="Z30" s="41"/>
      <c r="AB30" s="41"/>
      <c r="AC30" s="41"/>
      <c r="AD30" s="41"/>
      <c r="AF30" s="41"/>
      <c r="AG30" s="41"/>
      <c r="AH30" s="41"/>
      <c r="AI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5">
      <c r="A31" s="37"/>
      <c r="B31" s="38"/>
      <c r="C31" s="38"/>
      <c r="D31" s="39"/>
      <c r="E31" s="39"/>
      <c r="F31" s="39"/>
      <c r="G31" s="38"/>
      <c r="H31" s="39"/>
      <c r="I31" s="39"/>
      <c r="J31" s="39"/>
      <c r="K31" s="39"/>
      <c r="L31" s="40"/>
      <c r="M31" s="40"/>
      <c r="N31" s="41"/>
      <c r="O31" s="42"/>
      <c r="Q31" s="41"/>
      <c r="R31" s="41"/>
      <c r="S31" s="41"/>
      <c r="T31" s="41"/>
      <c r="U31" s="47"/>
      <c r="V31" s="41"/>
      <c r="W31" s="48"/>
      <c r="Y31" s="41"/>
      <c r="Z31" s="41"/>
      <c r="AB31" s="41"/>
      <c r="AC31" s="41"/>
      <c r="AD31" s="41"/>
      <c r="AF31" s="41"/>
      <c r="AG31" s="41"/>
      <c r="AH31" s="41"/>
      <c r="AI31" s="41"/>
      <c r="AK31" s="41"/>
      <c r="AL31" s="41"/>
      <c r="AM31" s="41"/>
      <c r="AN31" s="41"/>
      <c r="AO31" s="41"/>
      <c r="AP31" s="41"/>
      <c r="AQ31" s="41"/>
      <c r="AR31" s="41"/>
      <c r="AS31" s="41"/>
    </row>
    <row r="32" spans="1:45">
      <c r="A32" s="37"/>
      <c r="B32" s="38"/>
      <c r="C32" s="38"/>
      <c r="D32" s="39"/>
      <c r="E32" s="39"/>
      <c r="F32" s="39"/>
      <c r="G32" s="38"/>
      <c r="H32" s="39"/>
      <c r="I32" s="39"/>
      <c r="J32" s="39"/>
      <c r="K32" s="39"/>
      <c r="L32" s="40"/>
      <c r="M32" s="40"/>
      <c r="N32" s="41"/>
      <c r="O32" s="42"/>
      <c r="Q32" s="41"/>
      <c r="R32" s="41"/>
      <c r="S32" s="41"/>
      <c r="T32" s="41"/>
      <c r="U32" s="47"/>
      <c r="V32" s="41"/>
      <c r="W32" s="48"/>
      <c r="Y32" s="41"/>
      <c r="Z32" s="41"/>
      <c r="AB32" s="41"/>
      <c r="AC32" s="41"/>
      <c r="AD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</row>
    <row r="33" spans="1:45">
      <c r="A33" s="37"/>
      <c r="B33" s="38"/>
      <c r="C33" s="38"/>
      <c r="D33" s="39"/>
      <c r="E33" s="39"/>
      <c r="F33" s="39"/>
      <c r="G33" s="38"/>
      <c r="H33" s="39"/>
      <c r="I33" s="39"/>
      <c r="J33" s="39"/>
      <c r="K33" s="39"/>
      <c r="L33" s="40"/>
      <c r="M33" s="40"/>
      <c r="N33" s="41"/>
      <c r="O33" s="42"/>
      <c r="Q33" s="41"/>
      <c r="R33" s="41"/>
      <c r="S33" s="41"/>
      <c r="T33" s="41"/>
      <c r="U33" s="47"/>
      <c r="V33" s="41"/>
      <c r="W33" s="48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</row>
    <row r="34" spans="1:45">
      <c r="A34" s="37"/>
      <c r="B34" s="38"/>
      <c r="C34" s="38"/>
      <c r="D34" s="39"/>
      <c r="E34" s="39"/>
      <c r="F34" s="39"/>
      <c r="G34" s="38"/>
      <c r="H34" s="39"/>
      <c r="I34" s="39"/>
      <c r="J34" s="39"/>
      <c r="K34" s="39"/>
      <c r="L34" s="40"/>
      <c r="M34" s="40"/>
      <c r="N34" s="41"/>
      <c r="O34" s="42"/>
      <c r="Q34" s="41"/>
      <c r="R34" s="41"/>
      <c r="S34" s="41"/>
      <c r="T34" s="41"/>
      <c r="U34" s="47"/>
      <c r="V34" s="41"/>
      <c r="W34" s="48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</row>
    <row r="35" spans="1:45">
      <c r="A35" s="37"/>
      <c r="B35" s="38"/>
      <c r="C35" s="38"/>
      <c r="D35" s="39"/>
      <c r="E35" s="39"/>
      <c r="F35" s="39"/>
      <c r="G35" s="38"/>
      <c r="H35" s="39"/>
      <c r="I35" s="39"/>
      <c r="J35" s="39"/>
      <c r="K35" s="39"/>
      <c r="L35" s="40"/>
      <c r="M35" s="40"/>
      <c r="N35" s="41"/>
      <c r="O35" s="42"/>
      <c r="P35" s="43"/>
      <c r="Q35" s="41"/>
      <c r="R35" s="41"/>
      <c r="S35" s="41"/>
      <c r="T35" s="41"/>
      <c r="U35" s="47"/>
      <c r="V35" s="41"/>
      <c r="W35" s="48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</row>
    <row r="36" spans="1:45">
      <c r="A36" s="37"/>
      <c r="B36" s="38"/>
      <c r="C36" s="38"/>
      <c r="D36" s="39"/>
      <c r="E36" s="39"/>
      <c r="F36" s="39"/>
      <c r="G36" s="38"/>
      <c r="H36" s="39"/>
      <c r="I36" s="39"/>
      <c r="J36" s="39"/>
      <c r="K36" s="39"/>
      <c r="L36" s="40"/>
      <c r="M36" s="40"/>
      <c r="N36" s="41"/>
      <c r="O36" s="42"/>
      <c r="P36" s="43"/>
      <c r="Q36" s="41"/>
      <c r="R36" s="41"/>
      <c r="S36" s="41"/>
      <c r="T36" s="41"/>
      <c r="U36" s="47"/>
      <c r="V36" s="41"/>
      <c r="W36" s="48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</row>
    <row r="37" spans="1:45">
      <c r="A37" s="37"/>
      <c r="B37" s="38"/>
      <c r="C37" s="38"/>
      <c r="D37" s="39"/>
      <c r="E37" s="39"/>
      <c r="F37" s="39"/>
      <c r="G37" s="38"/>
      <c r="H37" s="39"/>
      <c r="I37" s="39"/>
      <c r="J37" s="39"/>
      <c r="K37" s="39"/>
      <c r="L37" s="40"/>
      <c r="M37" s="40"/>
      <c r="N37" s="41"/>
      <c r="O37" s="42"/>
      <c r="P37" s="43"/>
      <c r="Q37" s="41"/>
      <c r="R37" s="41"/>
      <c r="S37" s="41"/>
      <c r="T37" s="41"/>
      <c r="U37" s="47"/>
      <c r="V37" s="41"/>
      <c r="W37" s="48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</row>
    <row r="38" spans="1:45">
      <c r="A38" s="37"/>
      <c r="B38" s="38"/>
      <c r="C38" s="38"/>
      <c r="D38" s="39"/>
      <c r="E38" s="39"/>
      <c r="F38" s="39"/>
      <c r="G38" s="38"/>
      <c r="H38" s="39"/>
      <c r="I38" s="39"/>
      <c r="J38" s="39"/>
      <c r="K38" s="39"/>
      <c r="L38" s="40"/>
      <c r="M38" s="40"/>
      <c r="N38" s="41"/>
      <c r="O38" s="42"/>
      <c r="P38" s="43"/>
      <c r="Q38" s="41"/>
      <c r="R38" s="41"/>
      <c r="S38" s="41"/>
      <c r="T38" s="41"/>
      <c r="U38" s="47"/>
      <c r="V38" s="41"/>
      <c r="W38" s="48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</row>
    <row r="39" spans="1:45">
      <c r="A39" s="37"/>
      <c r="B39" s="38"/>
      <c r="C39" s="38"/>
      <c r="D39" s="39"/>
      <c r="E39" s="39"/>
      <c r="F39" s="39"/>
      <c r="G39" s="38"/>
      <c r="H39" s="39"/>
      <c r="I39" s="39"/>
      <c r="J39" s="39"/>
      <c r="K39" s="39"/>
      <c r="L39" s="40"/>
      <c r="M39" s="40"/>
      <c r="N39" s="41"/>
      <c r="O39" s="42"/>
      <c r="P39" s="43"/>
      <c r="Q39" s="41"/>
      <c r="R39" s="41"/>
      <c r="S39" s="41"/>
      <c r="T39" s="41"/>
      <c r="U39" s="47"/>
      <c r="V39" s="41"/>
      <c r="W39" s="48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</row>
    <row r="40" spans="1:45">
      <c r="A40" s="37"/>
      <c r="B40" s="38"/>
      <c r="C40" s="38"/>
      <c r="D40" s="39"/>
      <c r="E40" s="39"/>
      <c r="F40" s="39"/>
      <c r="G40" s="38"/>
      <c r="H40" s="39"/>
      <c r="I40" s="39"/>
      <c r="J40" s="39"/>
      <c r="K40" s="39"/>
      <c r="L40" s="40"/>
      <c r="M40" s="40"/>
      <c r="N40" s="41"/>
      <c r="O40" s="42"/>
      <c r="P40" s="43"/>
      <c r="Q40" s="41"/>
      <c r="R40" s="41"/>
      <c r="S40" s="41"/>
      <c r="T40" s="41"/>
      <c r="U40" s="47"/>
      <c r="V40" s="41"/>
      <c r="W40" s="48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</row>
    <row r="41" spans="1:45">
      <c r="A41" s="37"/>
      <c r="B41" s="38"/>
      <c r="C41" s="38"/>
      <c r="D41" s="39"/>
      <c r="E41" s="39"/>
      <c r="F41" s="39"/>
      <c r="G41" s="38"/>
      <c r="H41" s="39"/>
      <c r="I41" s="39"/>
      <c r="J41" s="39"/>
      <c r="K41" s="39"/>
      <c r="L41" s="40"/>
      <c r="M41" s="40"/>
      <c r="N41" s="41"/>
      <c r="O41" s="42"/>
      <c r="P41" s="43"/>
      <c r="Q41" s="41"/>
      <c r="R41" s="41"/>
      <c r="S41" s="41"/>
      <c r="T41" s="41"/>
      <c r="U41" s="47"/>
      <c r="V41" s="41"/>
      <c r="W41" s="48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</row>
    <row r="42" spans="1:45">
      <c r="A42" s="37"/>
      <c r="B42" s="38"/>
      <c r="C42" s="38"/>
      <c r="D42" s="39"/>
      <c r="E42" s="39"/>
      <c r="F42" s="39"/>
      <c r="G42" s="38"/>
      <c r="H42" s="39"/>
      <c r="I42" s="39"/>
      <c r="J42" s="39"/>
      <c r="K42" s="39"/>
      <c r="L42" s="40"/>
      <c r="M42" s="40"/>
      <c r="N42" s="41"/>
      <c r="O42" s="42"/>
      <c r="P42" s="43"/>
      <c r="Q42" s="41"/>
      <c r="R42" s="41"/>
      <c r="S42" s="41"/>
      <c r="T42" s="41"/>
      <c r="U42" s="47"/>
      <c r="V42" s="41"/>
      <c r="W42" s="48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</row>
    <row r="43" spans="1:45">
      <c r="A43" s="37"/>
      <c r="B43" s="38"/>
      <c r="C43" s="38"/>
      <c r="D43" s="39"/>
      <c r="E43" s="39"/>
      <c r="F43" s="39"/>
      <c r="G43" s="38"/>
      <c r="H43" s="39"/>
      <c r="I43" s="39"/>
      <c r="J43" s="39"/>
      <c r="K43" s="39"/>
      <c r="L43" s="40"/>
      <c r="M43" s="40"/>
      <c r="N43" s="41"/>
      <c r="O43" s="42"/>
      <c r="P43" s="43"/>
      <c r="Q43" s="41"/>
      <c r="R43" s="41"/>
      <c r="S43" s="41"/>
      <c r="T43" s="41"/>
      <c r="U43" s="47"/>
      <c r="V43" s="41"/>
      <c r="W43" s="48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</row>
    <row r="44" spans="1:45">
      <c r="A44" s="37"/>
      <c r="B44" s="38"/>
      <c r="C44" s="38"/>
      <c r="D44" s="39"/>
      <c r="E44" s="39"/>
      <c r="F44" s="39"/>
      <c r="G44" s="38"/>
      <c r="H44" s="39"/>
      <c r="I44" s="39"/>
      <c r="J44" s="39"/>
      <c r="K44" s="39"/>
      <c r="L44" s="40"/>
      <c r="M44" s="40"/>
      <c r="N44" s="41"/>
      <c r="O44" s="42"/>
      <c r="P44" s="43"/>
      <c r="Q44" s="41"/>
      <c r="R44" s="41"/>
      <c r="S44" s="41"/>
      <c r="T44" s="41"/>
      <c r="U44" s="47"/>
      <c r="V44" s="41"/>
      <c r="W44" s="48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</row>
    <row r="45" spans="1:45">
      <c r="A45" s="37"/>
      <c r="B45" s="38"/>
      <c r="C45" s="38"/>
      <c r="D45" s="39"/>
      <c r="E45" s="39"/>
      <c r="F45" s="39"/>
      <c r="G45" s="38"/>
      <c r="H45" s="39"/>
      <c r="I45" s="39"/>
      <c r="J45" s="39"/>
      <c r="K45" s="39"/>
      <c r="L45" s="40"/>
      <c r="M45" s="40"/>
      <c r="N45" s="41"/>
      <c r="O45" s="42"/>
      <c r="P45" s="43"/>
      <c r="Q45" s="41"/>
      <c r="R45" s="41"/>
      <c r="S45" s="41"/>
      <c r="T45" s="41"/>
      <c r="U45" s="47"/>
      <c r="V45" s="41"/>
      <c r="W45" s="48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</row>
    <row r="46" spans="1:45">
      <c r="A46" s="37"/>
      <c r="B46" s="38"/>
      <c r="C46" s="38"/>
      <c r="D46" s="39"/>
      <c r="E46" s="39"/>
      <c r="F46" s="39"/>
      <c r="G46" s="38"/>
      <c r="H46" s="39"/>
      <c r="I46" s="39"/>
      <c r="J46" s="39"/>
      <c r="K46" s="39"/>
      <c r="L46" s="40"/>
      <c r="M46" s="40"/>
      <c r="N46" s="41"/>
      <c r="O46" s="42"/>
      <c r="P46" s="43"/>
      <c r="Q46" s="41"/>
      <c r="R46" s="41"/>
      <c r="S46" s="41"/>
      <c r="T46" s="41"/>
      <c r="U46" s="47"/>
      <c r="V46" s="41"/>
      <c r="W46" s="48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</row>
    <row r="47" spans="1:45">
      <c r="A47" s="37"/>
      <c r="B47" s="38"/>
      <c r="C47" s="38"/>
      <c r="D47" s="39"/>
      <c r="E47" s="39"/>
      <c r="F47" s="39"/>
      <c r="G47" s="38"/>
      <c r="H47" s="39"/>
      <c r="I47" s="39"/>
      <c r="J47" s="39"/>
      <c r="K47" s="39"/>
      <c r="L47" s="40"/>
      <c r="M47" s="40"/>
      <c r="N47" s="41"/>
      <c r="O47" s="42"/>
      <c r="P47" s="43"/>
      <c r="Q47" s="41"/>
      <c r="R47" s="41"/>
      <c r="S47" s="41"/>
      <c r="T47" s="41"/>
      <c r="U47" s="47"/>
      <c r="V47" s="41"/>
      <c r="W47" s="48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</row>
    <row r="48" spans="1:45">
      <c r="A48" s="37"/>
      <c r="B48" s="38"/>
      <c r="C48" s="38"/>
      <c r="D48" s="39"/>
      <c r="E48" s="39"/>
      <c r="F48" s="39"/>
      <c r="G48" s="38"/>
      <c r="H48" s="39"/>
      <c r="I48" s="39"/>
      <c r="J48" s="39"/>
      <c r="K48" s="39"/>
      <c r="L48" s="40"/>
      <c r="M48" s="40"/>
      <c r="N48" s="41"/>
      <c r="O48" s="42"/>
      <c r="P48" s="43"/>
      <c r="Q48" s="41"/>
      <c r="R48" s="41"/>
      <c r="S48" s="41"/>
      <c r="T48" s="41"/>
      <c r="U48" s="47"/>
      <c r="V48" s="41"/>
      <c r="W48" s="48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</row>
    <row r="49" spans="1:45">
      <c r="A49" s="37"/>
      <c r="B49" s="38"/>
      <c r="C49" s="38"/>
      <c r="D49" s="39"/>
      <c r="E49" s="39"/>
      <c r="F49" s="39"/>
      <c r="G49" s="38"/>
      <c r="H49" s="39"/>
      <c r="I49" s="39"/>
      <c r="J49" s="39"/>
      <c r="K49" s="39"/>
      <c r="L49" s="40"/>
      <c r="M49" s="40"/>
      <c r="N49" s="41"/>
      <c r="O49" s="42"/>
      <c r="P49" s="43"/>
      <c r="Q49" s="41"/>
      <c r="R49" s="41"/>
      <c r="S49" s="41"/>
      <c r="T49" s="41"/>
      <c r="U49" s="47"/>
      <c r="V49" s="41"/>
      <c r="W49" s="48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</row>
    <row r="50" spans="1:45">
      <c r="A50" s="37"/>
      <c r="B50" s="38"/>
      <c r="C50" s="38"/>
      <c r="D50" s="39"/>
      <c r="E50" s="39"/>
      <c r="F50" s="39"/>
      <c r="G50" s="38"/>
      <c r="H50" s="39"/>
      <c r="I50" s="39"/>
      <c r="J50" s="39"/>
      <c r="K50" s="39"/>
      <c r="L50" s="40"/>
      <c r="M50" s="40"/>
      <c r="N50" s="41"/>
      <c r="O50" s="42"/>
      <c r="P50" s="43"/>
      <c r="Q50" s="41"/>
      <c r="R50" s="41"/>
      <c r="S50" s="41"/>
      <c r="T50" s="41"/>
      <c r="U50" s="47"/>
      <c r="V50" s="41"/>
      <c r="W50" s="48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</row>
    <row r="51" spans="1:45">
      <c r="A51" s="37"/>
      <c r="B51" s="38"/>
      <c r="C51" s="38"/>
      <c r="D51" s="39"/>
      <c r="E51" s="39"/>
      <c r="F51" s="39"/>
      <c r="G51" s="38"/>
      <c r="H51" s="39"/>
      <c r="I51" s="39"/>
      <c r="J51" s="39"/>
      <c r="K51" s="39"/>
      <c r="L51" s="40"/>
      <c r="M51" s="40"/>
      <c r="N51" s="41"/>
      <c r="O51" s="42"/>
      <c r="P51" s="43"/>
      <c r="Q51" s="41"/>
      <c r="R51" s="41"/>
      <c r="S51" s="41"/>
      <c r="T51" s="41"/>
      <c r="U51" s="47"/>
      <c r="V51" s="41"/>
      <c r="W51" s="48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</row>
    <row r="52" spans="1:45">
      <c r="A52" s="37"/>
      <c r="B52" s="38"/>
      <c r="C52" s="38"/>
      <c r="D52" s="39"/>
      <c r="E52" s="39"/>
      <c r="F52" s="39"/>
      <c r="G52" s="38"/>
      <c r="H52" s="39"/>
      <c r="I52" s="39"/>
      <c r="J52" s="39"/>
      <c r="K52" s="39"/>
      <c r="L52" s="40"/>
      <c r="M52" s="40"/>
      <c r="N52" s="41"/>
      <c r="O52" s="42"/>
      <c r="P52" s="43"/>
      <c r="Q52" s="41"/>
      <c r="R52" s="41"/>
      <c r="S52" s="41"/>
      <c r="T52" s="41"/>
      <c r="U52" s="47"/>
      <c r="V52" s="41"/>
      <c r="W52" s="48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</row>
    <row r="53" spans="1:45">
      <c r="A53" s="37"/>
      <c r="B53" s="38"/>
      <c r="C53" s="38"/>
      <c r="D53" s="39"/>
      <c r="E53" s="39"/>
      <c r="F53" s="39"/>
      <c r="G53" s="38"/>
      <c r="H53" s="39"/>
      <c r="I53" s="39"/>
      <c r="J53" s="39"/>
      <c r="K53" s="39"/>
      <c r="L53" s="40"/>
      <c r="M53" s="40"/>
      <c r="N53" s="41"/>
      <c r="O53" s="42"/>
      <c r="P53" s="43"/>
      <c r="Q53" s="41"/>
      <c r="R53" s="41"/>
      <c r="S53" s="41"/>
      <c r="T53" s="41"/>
      <c r="U53" s="47"/>
      <c r="V53" s="41"/>
      <c r="W53" s="48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</row>
    <row r="54" spans="1:45">
      <c r="A54" s="37"/>
      <c r="B54" s="38"/>
      <c r="C54" s="38"/>
      <c r="D54" s="39"/>
      <c r="E54" s="39"/>
      <c r="F54" s="39"/>
      <c r="G54" s="38"/>
      <c r="H54" s="39"/>
      <c r="I54" s="39"/>
      <c r="J54" s="39"/>
      <c r="K54" s="39"/>
      <c r="L54" s="40"/>
      <c r="M54" s="40"/>
      <c r="N54" s="41"/>
      <c r="O54" s="42"/>
      <c r="P54" s="43"/>
      <c r="Q54" s="41"/>
      <c r="R54" s="41"/>
      <c r="S54" s="41"/>
      <c r="T54" s="41"/>
      <c r="U54" s="47"/>
      <c r="V54" s="41"/>
      <c r="W54" s="48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</row>
    <row r="55" spans="1:45">
      <c r="A55" s="37"/>
      <c r="B55" s="38"/>
      <c r="C55" s="38"/>
      <c r="D55" s="39"/>
      <c r="E55" s="39"/>
      <c r="F55" s="39"/>
      <c r="G55" s="38"/>
      <c r="H55" s="39"/>
      <c r="I55" s="39"/>
      <c r="J55" s="39"/>
      <c r="K55" s="39"/>
      <c r="L55" s="40"/>
      <c r="M55" s="40"/>
      <c r="N55" s="41"/>
      <c r="O55" s="42"/>
      <c r="P55" s="43"/>
      <c r="Q55" s="41"/>
      <c r="R55" s="41"/>
      <c r="S55" s="41"/>
      <c r="T55" s="41"/>
      <c r="U55" s="47"/>
      <c r="V55" s="41"/>
      <c r="W55" s="48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</row>
    <row r="56" spans="1:45">
      <c r="A56" s="37"/>
      <c r="B56" s="38"/>
      <c r="C56" s="38"/>
      <c r="D56" s="39"/>
      <c r="E56" s="39"/>
      <c r="F56" s="39"/>
      <c r="G56" s="38"/>
      <c r="H56" s="39"/>
      <c r="I56" s="39"/>
      <c r="J56" s="39"/>
      <c r="K56" s="39"/>
      <c r="L56" s="40"/>
      <c r="M56" s="40"/>
      <c r="N56" s="41"/>
      <c r="O56" s="42"/>
      <c r="P56" s="43"/>
      <c r="Q56" s="41"/>
      <c r="R56" s="41"/>
      <c r="S56" s="41"/>
      <c r="T56" s="41"/>
      <c r="U56" s="47"/>
      <c r="V56" s="41"/>
      <c r="W56" s="48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</row>
    <row r="57" spans="1:45">
      <c r="A57" s="37"/>
      <c r="B57" s="38"/>
      <c r="C57" s="38"/>
      <c r="D57" s="39"/>
      <c r="E57" s="39"/>
      <c r="F57" s="39"/>
      <c r="G57" s="38"/>
      <c r="H57" s="39"/>
      <c r="I57" s="39"/>
      <c r="J57" s="39"/>
      <c r="K57" s="39"/>
      <c r="L57" s="40"/>
      <c r="M57" s="40"/>
      <c r="N57" s="41"/>
      <c r="O57" s="42"/>
      <c r="P57" s="43"/>
      <c r="Q57" s="41"/>
      <c r="R57" s="41"/>
      <c r="S57" s="41"/>
      <c r="T57" s="41"/>
      <c r="U57" s="47"/>
      <c r="V57" s="41"/>
      <c r="W57" s="48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</row>
    <row r="58" spans="1:45">
      <c r="A58" s="37"/>
      <c r="B58" s="38"/>
      <c r="C58" s="38"/>
      <c r="D58" s="39"/>
      <c r="E58" s="39"/>
      <c r="F58" s="39"/>
      <c r="G58" s="38"/>
      <c r="H58" s="39"/>
      <c r="I58" s="39"/>
      <c r="J58" s="39"/>
      <c r="K58" s="39"/>
      <c r="L58" s="40"/>
      <c r="M58" s="40"/>
      <c r="N58" s="41"/>
      <c r="O58" s="42"/>
      <c r="P58" s="43"/>
      <c r="Q58" s="41"/>
      <c r="R58" s="41"/>
      <c r="S58" s="41"/>
      <c r="T58" s="41"/>
      <c r="U58" s="47"/>
      <c r="V58" s="41"/>
      <c r="W58" s="48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</row>
    <row r="59" spans="1:45">
      <c r="A59" s="37"/>
      <c r="B59" s="38"/>
      <c r="C59" s="38"/>
      <c r="D59" s="39"/>
      <c r="E59" s="39"/>
      <c r="F59" s="39"/>
      <c r="G59" s="38"/>
      <c r="H59" s="39"/>
      <c r="I59" s="39"/>
      <c r="J59" s="39"/>
      <c r="K59" s="39"/>
      <c r="L59" s="40"/>
      <c r="M59" s="40"/>
      <c r="N59" s="41"/>
      <c r="O59" s="42"/>
      <c r="P59" s="43"/>
      <c r="Q59" s="41"/>
      <c r="R59" s="41"/>
      <c r="S59" s="41"/>
      <c r="T59" s="41"/>
      <c r="U59" s="47"/>
      <c r="V59" s="41"/>
      <c r="W59" s="48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</row>
    <row r="60" spans="1:45">
      <c r="A60" s="37"/>
      <c r="B60" s="38"/>
      <c r="C60" s="38"/>
      <c r="D60" s="39"/>
      <c r="E60" s="39"/>
      <c r="F60" s="39"/>
      <c r="G60" s="38"/>
      <c r="H60" s="39"/>
      <c r="I60" s="39"/>
      <c r="J60" s="39"/>
      <c r="K60" s="39"/>
      <c r="L60" s="40"/>
      <c r="M60" s="40"/>
      <c r="N60" s="41"/>
      <c r="O60" s="42"/>
      <c r="P60" s="43"/>
      <c r="Q60" s="41"/>
      <c r="R60" s="41"/>
      <c r="S60" s="41"/>
      <c r="T60" s="41"/>
      <c r="U60" s="47"/>
      <c r="V60" s="41"/>
      <c r="W60" s="48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</row>
    <row r="61" spans="1:45">
      <c r="A61" s="37"/>
      <c r="B61" s="38"/>
      <c r="C61" s="38"/>
      <c r="D61" s="39"/>
      <c r="E61" s="39"/>
      <c r="F61" s="39"/>
      <c r="G61" s="38"/>
      <c r="H61" s="39"/>
      <c r="I61" s="39"/>
      <c r="J61" s="39"/>
      <c r="K61" s="39"/>
      <c r="L61" s="40"/>
      <c r="M61" s="40"/>
      <c r="N61" s="41"/>
      <c r="O61" s="42"/>
      <c r="P61" s="43"/>
      <c r="Q61" s="41"/>
      <c r="R61" s="41"/>
      <c r="S61" s="41"/>
      <c r="T61" s="41"/>
      <c r="U61" s="47"/>
      <c r="V61" s="41"/>
      <c r="W61" s="48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</row>
    <row r="62" spans="1:45">
      <c r="A62" s="37"/>
      <c r="B62" s="38"/>
      <c r="C62" s="38"/>
      <c r="D62" s="39"/>
      <c r="E62" s="39"/>
      <c r="F62" s="39"/>
      <c r="G62" s="38"/>
      <c r="H62" s="39"/>
      <c r="I62" s="39"/>
      <c r="J62" s="39"/>
      <c r="K62" s="39"/>
      <c r="L62" s="40"/>
      <c r="M62" s="40"/>
      <c r="N62" s="41"/>
      <c r="O62" s="42"/>
      <c r="P62" s="43"/>
      <c r="Q62" s="41"/>
      <c r="R62" s="41"/>
      <c r="S62" s="41"/>
      <c r="T62" s="41"/>
      <c r="U62" s="47"/>
      <c r="V62" s="41"/>
      <c r="W62" s="48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</row>
    <row r="63" spans="1:45">
      <c r="A63" s="37"/>
      <c r="B63" s="38"/>
      <c r="C63" s="38"/>
      <c r="D63" s="39"/>
      <c r="E63" s="39"/>
      <c r="F63" s="39"/>
      <c r="G63" s="38"/>
      <c r="H63" s="39"/>
      <c r="I63" s="39"/>
      <c r="J63" s="39"/>
      <c r="K63" s="39"/>
      <c r="L63" s="40"/>
      <c r="M63" s="40"/>
      <c r="N63" s="41"/>
      <c r="O63" s="42"/>
      <c r="P63" s="43"/>
      <c r="Q63" s="41"/>
      <c r="R63" s="41"/>
      <c r="S63" s="41"/>
      <c r="T63" s="41"/>
      <c r="U63" s="47"/>
      <c r="V63" s="41"/>
      <c r="W63" s="48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</row>
    <row r="64" spans="1:45">
      <c r="A64" s="37"/>
      <c r="B64" s="38"/>
      <c r="C64" s="38"/>
      <c r="D64" s="39"/>
      <c r="E64" s="39"/>
      <c r="F64" s="39"/>
      <c r="G64" s="38"/>
      <c r="H64" s="39"/>
      <c r="I64" s="39"/>
      <c r="J64" s="39"/>
      <c r="K64" s="39"/>
      <c r="L64" s="40"/>
      <c r="M64" s="40"/>
      <c r="N64" s="41"/>
      <c r="O64" s="42"/>
      <c r="P64" s="43"/>
      <c r="Q64" s="41"/>
      <c r="R64" s="41"/>
      <c r="S64" s="41"/>
      <c r="T64" s="41"/>
      <c r="U64" s="47"/>
      <c r="V64" s="41"/>
      <c r="W64" s="48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</row>
    <row r="65" spans="1:45">
      <c r="A65" s="37"/>
      <c r="B65" s="38"/>
      <c r="C65" s="38"/>
      <c r="D65" s="39"/>
      <c r="E65" s="39"/>
      <c r="F65" s="39"/>
      <c r="G65" s="38"/>
      <c r="H65" s="39"/>
      <c r="I65" s="39"/>
      <c r="J65" s="39"/>
      <c r="K65" s="39"/>
      <c r="L65" s="40"/>
      <c r="M65" s="40"/>
      <c r="N65" s="41"/>
      <c r="O65" s="42"/>
      <c r="P65" s="43"/>
      <c r="Q65" s="41"/>
      <c r="R65" s="41"/>
      <c r="S65" s="41"/>
      <c r="T65" s="41"/>
      <c r="U65" s="47"/>
      <c r="V65" s="41"/>
      <c r="W65" s="48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</row>
    <row r="66" spans="1:45">
      <c r="A66" s="37"/>
      <c r="B66" s="38"/>
      <c r="C66" s="38"/>
      <c r="D66" s="39"/>
      <c r="E66" s="39"/>
      <c r="F66" s="39"/>
      <c r="G66" s="38"/>
      <c r="H66" s="39"/>
      <c r="I66" s="39"/>
      <c r="J66" s="39"/>
      <c r="K66" s="39"/>
      <c r="L66" s="40"/>
      <c r="M66" s="40"/>
      <c r="N66" s="41"/>
      <c r="O66" s="42"/>
      <c r="P66" s="43"/>
      <c r="Q66" s="41"/>
      <c r="R66" s="41"/>
      <c r="S66" s="41"/>
      <c r="T66" s="41"/>
      <c r="U66" s="47"/>
      <c r="V66" s="41"/>
      <c r="W66" s="48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</row>
    <row r="67" spans="1:45">
      <c r="A67" s="37"/>
      <c r="B67" s="38"/>
      <c r="C67" s="38"/>
      <c r="D67" s="39"/>
      <c r="E67" s="39"/>
      <c r="F67" s="39"/>
      <c r="G67" s="38"/>
      <c r="H67" s="39"/>
      <c r="I67" s="39"/>
      <c r="J67" s="39"/>
      <c r="K67" s="39"/>
      <c r="L67" s="40"/>
      <c r="M67" s="40"/>
      <c r="N67" s="41"/>
      <c r="O67" s="42"/>
      <c r="P67" s="43"/>
      <c r="Q67" s="41"/>
      <c r="R67" s="41"/>
      <c r="S67" s="41"/>
      <c r="T67" s="41"/>
      <c r="U67" s="47"/>
      <c r="V67" s="41"/>
      <c r="W67" s="48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</row>
    <row r="68" spans="1:45">
      <c r="A68" s="37"/>
      <c r="B68" s="38"/>
      <c r="C68" s="38"/>
      <c r="D68" s="39"/>
      <c r="E68" s="39"/>
      <c r="F68" s="39"/>
      <c r="G68" s="38"/>
      <c r="H68" s="39"/>
      <c r="I68" s="39"/>
      <c r="J68" s="39"/>
      <c r="K68" s="39"/>
      <c r="L68" s="40"/>
      <c r="M68" s="40"/>
      <c r="N68" s="41"/>
      <c r="O68" s="42"/>
      <c r="P68" s="43"/>
      <c r="Q68" s="41"/>
      <c r="R68" s="41"/>
      <c r="S68" s="41"/>
      <c r="T68" s="41"/>
      <c r="U68" s="47"/>
      <c r="V68" s="41"/>
      <c r="W68" s="48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</row>
    <row r="69" spans="1:45">
      <c r="A69" s="37"/>
      <c r="B69" s="38"/>
      <c r="C69" s="38"/>
      <c r="D69" s="39"/>
      <c r="E69" s="39"/>
      <c r="F69" s="39"/>
      <c r="G69" s="38"/>
      <c r="H69" s="39"/>
      <c r="I69" s="39"/>
      <c r="J69" s="39"/>
      <c r="K69" s="39"/>
      <c r="L69" s="40"/>
      <c r="M69" s="40"/>
      <c r="N69" s="41"/>
      <c r="O69" s="42"/>
      <c r="P69" s="43"/>
      <c r="Q69" s="41"/>
      <c r="R69" s="41"/>
      <c r="S69" s="41"/>
      <c r="T69" s="41"/>
      <c r="U69" s="47"/>
      <c r="V69" s="41"/>
      <c r="W69" s="48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</row>
    <row r="70" spans="1:45">
      <c r="A70" s="37"/>
      <c r="B70" s="38"/>
      <c r="C70" s="38"/>
      <c r="D70" s="39"/>
      <c r="E70" s="39"/>
      <c r="F70" s="39"/>
      <c r="G70" s="38"/>
      <c r="H70" s="39"/>
      <c r="I70" s="39"/>
      <c r="J70" s="39"/>
      <c r="K70" s="39"/>
      <c r="L70" s="40"/>
      <c r="M70" s="40"/>
      <c r="N70" s="41"/>
      <c r="O70" s="42"/>
      <c r="P70" s="43"/>
      <c r="Q70" s="41"/>
      <c r="R70" s="41"/>
      <c r="S70" s="41"/>
      <c r="T70" s="41"/>
      <c r="U70" s="47"/>
      <c r="V70" s="41"/>
      <c r="W70" s="4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</row>
    <row r="71" spans="1:45">
      <c r="A71" s="37"/>
      <c r="B71" s="38"/>
      <c r="C71" s="38"/>
      <c r="D71" s="39"/>
      <c r="E71" s="39"/>
      <c r="F71" s="39"/>
      <c r="G71" s="38"/>
      <c r="H71" s="39"/>
      <c r="I71" s="39"/>
      <c r="J71" s="39"/>
      <c r="K71" s="39"/>
      <c r="L71" s="40"/>
      <c r="M71" s="40"/>
      <c r="N71" s="41"/>
      <c r="O71" s="42"/>
      <c r="P71" s="43"/>
      <c r="Q71" s="41"/>
      <c r="R71" s="41"/>
      <c r="S71" s="41"/>
      <c r="T71" s="41"/>
      <c r="U71" s="47"/>
      <c r="V71" s="41"/>
      <c r="W71" s="4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</row>
    <row r="72" spans="1:45">
      <c r="A72" s="37"/>
      <c r="B72" s="38"/>
      <c r="C72" s="38"/>
      <c r="D72" s="39"/>
      <c r="E72" s="39"/>
      <c r="F72" s="39"/>
      <c r="G72" s="38"/>
      <c r="H72" s="39"/>
      <c r="I72" s="39"/>
      <c r="J72" s="39"/>
      <c r="K72" s="39"/>
      <c r="L72" s="40"/>
      <c r="M72" s="40"/>
      <c r="N72" s="41"/>
      <c r="O72" s="42"/>
      <c r="P72" s="43"/>
      <c r="Q72" s="41"/>
      <c r="R72" s="41"/>
      <c r="S72" s="41"/>
      <c r="T72" s="41"/>
      <c r="U72" s="47"/>
      <c r="V72" s="41"/>
      <c r="W72" s="4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</row>
    <row r="73" spans="1:45">
      <c r="A73" s="37"/>
      <c r="B73" s="38"/>
      <c r="C73" s="38"/>
      <c r="D73" s="39"/>
      <c r="E73" s="39"/>
      <c r="F73" s="39"/>
      <c r="G73" s="38"/>
      <c r="H73" s="39"/>
      <c r="I73" s="39"/>
      <c r="J73" s="39"/>
      <c r="K73" s="39"/>
      <c r="L73" s="40"/>
      <c r="M73" s="40"/>
      <c r="N73" s="41"/>
      <c r="O73" s="42"/>
      <c r="P73" s="43"/>
      <c r="Q73" s="41"/>
      <c r="R73" s="41"/>
      <c r="S73" s="41"/>
      <c r="T73" s="41"/>
      <c r="U73" s="47"/>
      <c r="V73" s="41"/>
      <c r="W73" s="48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</row>
    <row r="74" spans="1:45">
      <c r="A74" s="37"/>
      <c r="B74" s="38"/>
      <c r="C74" s="38"/>
      <c r="D74" s="39"/>
      <c r="E74" s="39"/>
      <c r="F74" s="39"/>
      <c r="G74" s="38"/>
      <c r="H74" s="39"/>
      <c r="I74" s="39"/>
      <c r="J74" s="39"/>
      <c r="K74" s="39"/>
      <c r="L74" s="40"/>
      <c r="M74" s="40"/>
      <c r="N74" s="41"/>
      <c r="O74" s="42"/>
      <c r="P74" s="43"/>
      <c r="Q74" s="41"/>
      <c r="R74" s="41"/>
      <c r="S74" s="41"/>
      <c r="T74" s="41"/>
      <c r="U74" s="47"/>
      <c r="V74" s="41"/>
      <c r="W74" s="48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</row>
    <row r="75" spans="1:45">
      <c r="A75" s="37"/>
      <c r="B75" s="38"/>
      <c r="C75" s="38"/>
      <c r="D75" s="39"/>
      <c r="E75" s="39"/>
      <c r="F75" s="39"/>
      <c r="G75" s="38"/>
      <c r="H75" s="39"/>
      <c r="I75" s="39"/>
      <c r="J75" s="39"/>
      <c r="K75" s="39"/>
      <c r="L75" s="40"/>
      <c r="M75" s="40"/>
      <c r="N75" s="41"/>
      <c r="O75" s="42"/>
      <c r="P75" s="43"/>
      <c r="Q75" s="41"/>
      <c r="R75" s="41"/>
      <c r="S75" s="41"/>
      <c r="T75" s="41"/>
      <c r="U75" s="47"/>
      <c r="V75" s="41"/>
      <c r="W75" s="48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</row>
    <row r="76" spans="1:45">
      <c r="A76" s="37"/>
      <c r="B76" s="38"/>
      <c r="C76" s="38"/>
      <c r="D76" s="39"/>
      <c r="E76" s="39"/>
      <c r="F76" s="39"/>
      <c r="G76" s="38"/>
      <c r="H76" s="39"/>
      <c r="I76" s="39"/>
      <c r="J76" s="39"/>
      <c r="K76" s="39"/>
      <c r="L76" s="40"/>
      <c r="M76" s="40"/>
      <c r="N76" s="41"/>
      <c r="O76" s="42"/>
      <c r="P76" s="43"/>
      <c r="Q76" s="41"/>
      <c r="R76" s="41"/>
      <c r="S76" s="41"/>
      <c r="T76" s="41"/>
      <c r="U76" s="47"/>
      <c r="V76" s="41"/>
      <c r="W76" s="48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</row>
    <row r="77" spans="1:45">
      <c r="A77" s="37"/>
      <c r="B77" s="38"/>
      <c r="C77" s="38"/>
      <c r="D77" s="39"/>
      <c r="E77" s="39"/>
      <c r="F77" s="39"/>
      <c r="G77" s="38"/>
      <c r="H77" s="39"/>
      <c r="I77" s="39"/>
      <c r="J77" s="39"/>
      <c r="K77" s="39"/>
      <c r="L77" s="40"/>
      <c r="M77" s="40"/>
      <c r="N77" s="41"/>
      <c r="O77" s="42"/>
      <c r="P77" s="43"/>
      <c r="Q77" s="41"/>
      <c r="R77" s="41"/>
      <c r="S77" s="41"/>
      <c r="T77" s="41"/>
      <c r="U77" s="47"/>
      <c r="V77" s="41"/>
      <c r="W77" s="48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</row>
    <row r="78" spans="1:45">
      <c r="A78" s="37"/>
      <c r="B78" s="38"/>
      <c r="C78" s="38"/>
      <c r="D78" s="39"/>
      <c r="E78" s="39"/>
      <c r="F78" s="39"/>
      <c r="G78" s="38"/>
      <c r="H78" s="39"/>
      <c r="I78" s="39"/>
      <c r="J78" s="39"/>
      <c r="K78" s="39"/>
      <c r="L78" s="40"/>
      <c r="M78" s="40"/>
      <c r="N78" s="41"/>
      <c r="O78" s="42"/>
      <c r="P78" s="43"/>
      <c r="Q78" s="41"/>
      <c r="R78" s="41"/>
      <c r="S78" s="41"/>
      <c r="T78" s="41"/>
      <c r="U78" s="47"/>
      <c r="V78" s="41"/>
      <c r="W78" s="48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</row>
    <row r="79" spans="1:45">
      <c r="A79" s="37"/>
      <c r="B79" s="38"/>
      <c r="C79" s="38"/>
      <c r="D79" s="39"/>
      <c r="E79" s="39"/>
      <c r="F79" s="39"/>
      <c r="G79" s="38"/>
      <c r="H79" s="39"/>
      <c r="I79" s="39"/>
      <c r="J79" s="39"/>
      <c r="K79" s="39"/>
      <c r="L79" s="40"/>
      <c r="M79" s="40"/>
      <c r="N79" s="41"/>
      <c r="O79" s="42"/>
      <c r="P79" s="43"/>
      <c r="Q79" s="41"/>
      <c r="R79" s="41"/>
      <c r="S79" s="41"/>
      <c r="T79" s="41"/>
      <c r="U79" s="47"/>
      <c r="V79" s="41"/>
      <c r="W79" s="48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</row>
    <row r="80" spans="1:45">
      <c r="A80" s="37"/>
      <c r="B80" s="38"/>
      <c r="C80" s="38"/>
      <c r="D80" s="39"/>
      <c r="E80" s="39"/>
      <c r="F80" s="39"/>
      <c r="G80" s="38"/>
      <c r="H80" s="39"/>
      <c r="I80" s="39"/>
      <c r="J80" s="39"/>
      <c r="K80" s="39"/>
      <c r="L80" s="40"/>
      <c r="M80" s="40"/>
      <c r="N80" s="41"/>
      <c r="O80" s="42"/>
      <c r="P80" s="43"/>
      <c r="Q80" s="41"/>
      <c r="R80" s="41"/>
      <c r="S80" s="41"/>
      <c r="T80" s="41"/>
      <c r="U80" s="47"/>
      <c r="V80" s="41"/>
      <c r="W80" s="48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</row>
    <row r="81" spans="1:45">
      <c r="A81" s="37"/>
      <c r="B81" s="38"/>
      <c r="C81" s="38"/>
      <c r="D81" s="39"/>
      <c r="E81" s="39"/>
      <c r="F81" s="39"/>
      <c r="G81" s="38"/>
      <c r="H81" s="39"/>
      <c r="I81" s="39"/>
      <c r="J81" s="39"/>
      <c r="K81" s="39"/>
      <c r="L81" s="40"/>
      <c r="M81" s="40"/>
      <c r="N81" s="41"/>
      <c r="O81" s="42"/>
      <c r="P81" s="43"/>
      <c r="Q81" s="41"/>
      <c r="R81" s="41"/>
      <c r="S81" s="41"/>
      <c r="T81" s="41"/>
      <c r="U81" s="47"/>
      <c r="V81" s="41"/>
      <c r="W81" s="48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</row>
    <row r="82" spans="1:45">
      <c r="A82" s="37"/>
      <c r="B82" s="38"/>
      <c r="C82" s="38"/>
      <c r="D82" s="39"/>
      <c r="E82" s="39"/>
      <c r="F82" s="39"/>
      <c r="G82" s="38"/>
      <c r="H82" s="39"/>
      <c r="I82" s="39"/>
      <c r="J82" s="39"/>
      <c r="K82" s="39"/>
      <c r="L82" s="40"/>
      <c r="M82" s="40"/>
      <c r="N82" s="41"/>
      <c r="O82" s="42"/>
      <c r="P82" s="43"/>
      <c r="Q82" s="41"/>
      <c r="R82" s="41"/>
      <c r="S82" s="41"/>
      <c r="T82" s="41"/>
      <c r="U82" s="47"/>
      <c r="V82" s="41"/>
      <c r="W82" s="48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</row>
    <row r="83" spans="1:45">
      <c r="A83" s="37"/>
      <c r="B83" s="38"/>
      <c r="C83" s="38"/>
      <c r="D83" s="39"/>
      <c r="E83" s="39"/>
      <c r="F83" s="39"/>
      <c r="G83" s="38"/>
      <c r="H83" s="39"/>
      <c r="I83" s="39"/>
      <c r="J83" s="39"/>
      <c r="K83" s="39"/>
      <c r="L83" s="40"/>
      <c r="M83" s="40"/>
      <c r="N83" s="41"/>
      <c r="O83" s="42"/>
      <c r="P83" s="43"/>
      <c r="Q83" s="41"/>
      <c r="R83" s="41"/>
      <c r="S83" s="41"/>
      <c r="T83" s="41"/>
      <c r="U83" s="47"/>
      <c r="V83" s="41"/>
      <c r="W83" s="48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</row>
    <row r="84" spans="1:45">
      <c r="A84" s="37"/>
      <c r="B84" s="38"/>
      <c r="C84" s="38"/>
      <c r="D84" s="39"/>
      <c r="E84" s="39"/>
      <c r="F84" s="39"/>
      <c r="G84" s="38"/>
      <c r="H84" s="39"/>
      <c r="I84" s="39"/>
      <c r="J84" s="39"/>
      <c r="K84" s="39"/>
      <c r="L84" s="40"/>
      <c r="M84" s="40"/>
      <c r="N84" s="41"/>
      <c r="O84" s="42"/>
      <c r="P84" s="43"/>
      <c r="Q84" s="41"/>
      <c r="R84" s="41"/>
      <c r="S84" s="41"/>
      <c r="T84" s="41"/>
      <c r="U84" s="47"/>
      <c r="V84" s="41"/>
      <c r="W84" s="48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</row>
    <row r="85" spans="1:45">
      <c r="A85" s="37"/>
      <c r="B85" s="38"/>
      <c r="C85" s="38"/>
      <c r="D85" s="39"/>
      <c r="E85" s="39"/>
      <c r="F85" s="39"/>
      <c r="G85" s="38"/>
      <c r="H85" s="39"/>
      <c r="I85" s="39"/>
      <c r="J85" s="39"/>
      <c r="K85" s="39"/>
      <c r="L85" s="40"/>
      <c r="M85" s="40"/>
      <c r="N85" s="41"/>
      <c r="O85" s="42"/>
      <c r="P85" s="43"/>
      <c r="Q85" s="41"/>
      <c r="R85" s="41"/>
      <c r="S85" s="41"/>
      <c r="T85" s="41"/>
      <c r="U85" s="47"/>
      <c r="V85" s="41"/>
      <c r="W85" s="48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</row>
    <row r="86" spans="1:45">
      <c r="A86" s="37"/>
      <c r="B86" s="38"/>
      <c r="C86" s="38"/>
      <c r="D86" s="39"/>
      <c r="E86" s="39"/>
      <c r="F86" s="39"/>
      <c r="G86" s="38"/>
      <c r="H86" s="39"/>
      <c r="I86" s="39"/>
      <c r="J86" s="39"/>
      <c r="K86" s="39"/>
      <c r="L86" s="40"/>
      <c r="M86" s="40"/>
      <c r="N86" s="41"/>
      <c r="O86" s="42"/>
      <c r="P86" s="43"/>
      <c r="Q86" s="41"/>
      <c r="R86" s="41"/>
      <c r="S86" s="41"/>
      <c r="T86" s="41"/>
      <c r="U86" s="47"/>
      <c r="V86" s="41"/>
      <c r="W86" s="48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</row>
    <row r="87" spans="1:45">
      <c r="A87" s="37"/>
      <c r="B87" s="38"/>
      <c r="C87" s="38"/>
      <c r="D87" s="39"/>
      <c r="E87" s="39"/>
      <c r="F87" s="39"/>
      <c r="G87" s="38"/>
      <c r="H87" s="39"/>
      <c r="I87" s="39"/>
      <c r="J87" s="39"/>
      <c r="K87" s="39"/>
      <c r="L87" s="40"/>
      <c r="M87" s="40"/>
      <c r="N87" s="41"/>
      <c r="O87" s="42"/>
      <c r="P87" s="43"/>
      <c r="Q87" s="41"/>
      <c r="R87" s="41"/>
      <c r="S87" s="41"/>
      <c r="T87" s="41"/>
      <c r="U87" s="47"/>
      <c r="V87" s="41"/>
      <c r="W87" s="48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</row>
    <row r="88" spans="1:45">
      <c r="A88" s="37"/>
      <c r="B88" s="38"/>
      <c r="C88" s="38"/>
      <c r="D88" s="39"/>
      <c r="E88" s="39"/>
      <c r="F88" s="39"/>
      <c r="G88" s="38"/>
      <c r="H88" s="39"/>
      <c r="I88" s="39"/>
      <c r="J88" s="39"/>
      <c r="K88" s="39"/>
      <c r="L88" s="40"/>
      <c r="M88" s="40"/>
      <c r="N88" s="41"/>
      <c r="O88" s="42"/>
      <c r="P88" s="43"/>
      <c r="Q88" s="41"/>
      <c r="R88" s="41"/>
      <c r="S88" s="41"/>
      <c r="T88" s="41"/>
      <c r="U88" s="47"/>
      <c r="V88" s="41"/>
      <c r="W88" s="48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</row>
    <row r="89" spans="1:45">
      <c r="A89" s="37"/>
      <c r="B89" s="38"/>
      <c r="C89" s="38"/>
      <c r="D89" s="39"/>
      <c r="E89" s="39"/>
      <c r="F89" s="39"/>
      <c r="G89" s="38"/>
      <c r="H89" s="39"/>
      <c r="I89" s="39"/>
      <c r="J89" s="39"/>
      <c r="K89" s="39"/>
      <c r="L89" s="40"/>
      <c r="M89" s="40"/>
      <c r="N89" s="41"/>
      <c r="O89" s="42"/>
      <c r="P89" s="43"/>
      <c r="Q89" s="41"/>
      <c r="R89" s="41"/>
      <c r="S89" s="41"/>
      <c r="T89" s="41"/>
      <c r="U89" s="47"/>
      <c r="V89" s="41"/>
      <c r="W89" s="48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</row>
    <row r="90" spans="1:45">
      <c r="A90" s="37"/>
      <c r="B90" s="38"/>
      <c r="C90" s="38"/>
      <c r="D90" s="39"/>
      <c r="E90" s="39"/>
      <c r="F90" s="39"/>
      <c r="G90" s="38"/>
      <c r="H90" s="39"/>
      <c r="I90" s="39"/>
      <c r="J90" s="39"/>
      <c r="K90" s="39"/>
      <c r="L90" s="40"/>
      <c r="M90" s="40"/>
      <c r="N90" s="41"/>
      <c r="O90" s="42"/>
      <c r="P90" s="43"/>
      <c r="Q90" s="41"/>
      <c r="R90" s="41"/>
      <c r="S90" s="41"/>
      <c r="T90" s="41"/>
      <c r="U90" s="47"/>
      <c r="V90" s="41"/>
      <c r="W90" s="48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</row>
    <row r="91" spans="1:45">
      <c r="A91" s="37"/>
      <c r="B91" s="38"/>
      <c r="C91" s="38"/>
      <c r="D91" s="39"/>
      <c r="E91" s="39"/>
      <c r="F91" s="39"/>
      <c r="G91" s="38"/>
      <c r="H91" s="39"/>
      <c r="I91" s="39"/>
      <c r="J91" s="39"/>
      <c r="K91" s="39"/>
      <c r="L91" s="40"/>
      <c r="M91" s="40"/>
      <c r="N91" s="41"/>
      <c r="O91" s="42"/>
      <c r="P91" s="43"/>
      <c r="Q91" s="41"/>
      <c r="R91" s="41"/>
      <c r="S91" s="41"/>
      <c r="T91" s="41"/>
      <c r="U91" s="47"/>
      <c r="V91" s="41"/>
      <c r="W91" s="48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</row>
    <row r="92" spans="1:45">
      <c r="A92" s="37"/>
      <c r="B92" s="38"/>
      <c r="C92" s="38"/>
      <c r="D92" s="39"/>
      <c r="E92" s="39"/>
      <c r="F92" s="39"/>
      <c r="G92" s="38"/>
      <c r="H92" s="39"/>
      <c r="I92" s="39"/>
      <c r="J92" s="39"/>
      <c r="K92" s="39"/>
      <c r="L92" s="40"/>
      <c r="M92" s="40"/>
      <c r="N92" s="41"/>
      <c r="O92" s="42"/>
      <c r="P92" s="43"/>
      <c r="Q92" s="41"/>
      <c r="R92" s="41"/>
      <c r="S92" s="41"/>
      <c r="T92" s="41"/>
      <c r="U92" s="47"/>
      <c r="V92" s="41"/>
      <c r="W92" s="48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</row>
    <row r="93" spans="1:45">
      <c r="A93" s="37"/>
      <c r="B93" s="38"/>
      <c r="C93" s="38"/>
      <c r="D93" s="39"/>
      <c r="E93" s="39"/>
      <c r="F93" s="39"/>
      <c r="G93" s="38"/>
      <c r="H93" s="39"/>
      <c r="I93" s="39"/>
      <c r="J93" s="39"/>
      <c r="K93" s="39"/>
      <c r="L93" s="40"/>
      <c r="M93" s="40"/>
      <c r="N93" s="41"/>
      <c r="O93" s="42"/>
      <c r="P93" s="43"/>
      <c r="Q93" s="41"/>
      <c r="R93" s="41"/>
      <c r="S93" s="41"/>
      <c r="T93" s="41"/>
      <c r="U93" s="47"/>
      <c r="V93" s="41"/>
      <c r="W93" s="48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</row>
    <row r="94" spans="1:45">
      <c r="A94" s="37"/>
      <c r="B94" s="38"/>
      <c r="C94" s="38"/>
      <c r="D94" s="39"/>
      <c r="E94" s="39"/>
      <c r="F94" s="39"/>
      <c r="G94" s="38"/>
      <c r="H94" s="39"/>
      <c r="I94" s="39"/>
      <c r="J94" s="39"/>
      <c r="K94" s="39"/>
      <c r="L94" s="40"/>
      <c r="M94" s="40"/>
      <c r="N94" s="41"/>
      <c r="O94" s="42"/>
      <c r="P94" s="43"/>
      <c r="Q94" s="41"/>
      <c r="R94" s="41"/>
      <c r="S94" s="41"/>
      <c r="T94" s="41"/>
      <c r="U94" s="47"/>
      <c r="V94" s="41"/>
      <c r="W94" s="48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</row>
    <row r="95" spans="1:45">
      <c r="A95" s="37"/>
      <c r="B95" s="38"/>
      <c r="C95" s="38"/>
      <c r="D95" s="39"/>
      <c r="E95" s="39"/>
      <c r="F95" s="39"/>
      <c r="G95" s="38"/>
      <c r="H95" s="39"/>
      <c r="I95" s="39"/>
      <c r="J95" s="39"/>
      <c r="K95" s="39"/>
      <c r="L95" s="40"/>
      <c r="M95" s="40"/>
      <c r="N95" s="41"/>
      <c r="O95" s="42"/>
      <c r="P95" s="43"/>
      <c r="Q95" s="41"/>
      <c r="R95" s="41"/>
      <c r="S95" s="41"/>
      <c r="T95" s="41"/>
      <c r="U95" s="47"/>
      <c r="V95" s="41"/>
      <c r="W95" s="48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</row>
    <row r="96" spans="1:45">
      <c r="A96" s="37"/>
      <c r="B96" s="38"/>
      <c r="C96" s="38"/>
      <c r="D96" s="39"/>
      <c r="E96" s="39"/>
      <c r="F96" s="39"/>
      <c r="G96" s="38"/>
      <c r="H96" s="39"/>
      <c r="I96" s="39"/>
      <c r="J96" s="39"/>
      <c r="K96" s="39"/>
      <c r="L96" s="40"/>
      <c r="M96" s="40"/>
      <c r="N96" s="41"/>
      <c r="O96" s="42"/>
      <c r="P96" s="43"/>
      <c r="Q96" s="41"/>
      <c r="R96" s="41"/>
      <c r="S96" s="41"/>
      <c r="T96" s="41"/>
      <c r="U96" s="47"/>
      <c r="V96" s="41"/>
      <c r="W96" s="48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</row>
    <row r="97" spans="1:45">
      <c r="A97" s="37"/>
      <c r="B97" s="38"/>
      <c r="C97" s="38"/>
      <c r="D97" s="39"/>
      <c r="E97" s="39"/>
      <c r="F97" s="39"/>
      <c r="G97" s="38"/>
      <c r="H97" s="39"/>
      <c r="I97" s="39"/>
      <c r="J97" s="39"/>
      <c r="K97" s="39"/>
      <c r="L97" s="40"/>
      <c r="M97" s="40"/>
      <c r="N97" s="41"/>
      <c r="O97" s="42"/>
      <c r="P97" s="43"/>
      <c r="Q97" s="41"/>
      <c r="R97" s="41"/>
      <c r="S97" s="41"/>
      <c r="T97" s="41"/>
      <c r="U97" s="47"/>
      <c r="V97" s="41"/>
      <c r="W97" s="48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</row>
    <row r="98" spans="1:45">
      <c r="A98" s="37"/>
      <c r="B98" s="38"/>
      <c r="C98" s="38"/>
      <c r="D98" s="39"/>
      <c r="E98" s="39"/>
      <c r="F98" s="39"/>
      <c r="G98" s="38"/>
      <c r="H98" s="39"/>
      <c r="I98" s="39"/>
      <c r="J98" s="39"/>
      <c r="K98" s="39"/>
      <c r="L98" s="40"/>
      <c r="M98" s="40"/>
      <c r="N98" s="41"/>
      <c r="O98" s="42"/>
      <c r="P98" s="43"/>
      <c r="Q98" s="41"/>
      <c r="R98" s="41"/>
      <c r="S98" s="41"/>
      <c r="T98" s="41"/>
      <c r="U98" s="47"/>
      <c r="V98" s="41"/>
      <c r="W98" s="48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</row>
    <row r="99" spans="1:45">
      <c r="A99" s="37"/>
      <c r="B99" s="38"/>
      <c r="C99" s="38"/>
      <c r="D99" s="39"/>
      <c r="E99" s="39"/>
      <c r="F99" s="39"/>
      <c r="G99" s="38"/>
      <c r="H99" s="39"/>
      <c r="I99" s="39"/>
      <c r="J99" s="39"/>
      <c r="K99" s="39"/>
      <c r="L99" s="40"/>
      <c r="M99" s="40"/>
      <c r="N99" s="41"/>
      <c r="O99" s="42"/>
      <c r="P99" s="43"/>
      <c r="Q99" s="41"/>
      <c r="R99" s="41"/>
      <c r="S99" s="41"/>
      <c r="T99" s="41"/>
      <c r="U99" s="47"/>
      <c r="V99" s="41"/>
      <c r="W99" s="48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</row>
    <row r="100" spans="1:45">
      <c r="A100" s="37"/>
      <c r="B100" s="38"/>
      <c r="C100" s="38"/>
      <c r="D100" s="39"/>
      <c r="E100" s="39"/>
      <c r="F100" s="39"/>
      <c r="G100" s="38"/>
      <c r="H100" s="39"/>
      <c r="I100" s="39"/>
      <c r="J100" s="39"/>
      <c r="K100" s="39"/>
      <c r="L100" s="40"/>
      <c r="M100" s="40"/>
      <c r="N100" s="41"/>
      <c r="O100" s="42"/>
      <c r="P100" s="43"/>
      <c r="Q100" s="41"/>
      <c r="R100" s="41"/>
      <c r="S100" s="41"/>
      <c r="T100" s="41"/>
      <c r="U100" s="47"/>
      <c r="V100" s="41"/>
      <c r="W100" s="48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</row>
    <row r="101" spans="1:45">
      <c r="A101" s="38"/>
      <c r="B101" s="38"/>
      <c r="C101" s="38"/>
      <c r="D101" s="39"/>
      <c r="E101" s="39"/>
      <c r="F101" s="39"/>
      <c r="G101" s="38"/>
      <c r="H101" s="39"/>
      <c r="I101" s="39"/>
      <c r="J101" s="39"/>
      <c r="K101" s="39"/>
      <c r="L101" s="40"/>
      <c r="M101" s="40"/>
      <c r="N101" s="41"/>
      <c r="O101" s="41"/>
      <c r="P101" s="43"/>
      <c r="Q101" s="41"/>
      <c r="R101" s="41"/>
      <c r="S101" s="41"/>
      <c r="T101" s="41"/>
      <c r="U101" s="47"/>
      <c r="V101" s="41"/>
      <c r="W101" s="48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</row>
    <row r="102" spans="1:45">
      <c r="A102" s="38"/>
      <c r="B102" s="38"/>
      <c r="C102" s="38"/>
      <c r="D102" s="39"/>
      <c r="E102" s="39"/>
      <c r="F102" s="39"/>
      <c r="G102" s="38"/>
      <c r="H102" s="39"/>
      <c r="I102" s="39"/>
      <c r="J102" s="39"/>
      <c r="K102" s="39"/>
      <c r="L102" s="40"/>
      <c r="M102" s="40"/>
      <c r="N102" s="41"/>
      <c r="O102" s="41"/>
      <c r="P102" s="43"/>
      <c r="Q102" s="41"/>
      <c r="R102" s="41"/>
      <c r="S102" s="41"/>
      <c r="T102" s="41"/>
      <c r="U102" s="47"/>
      <c r="V102" s="41"/>
      <c r="W102" s="48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</row>
    <row r="103" spans="1:45">
      <c r="A103" s="38"/>
      <c r="B103" s="38"/>
      <c r="C103" s="38"/>
      <c r="D103" s="39"/>
      <c r="E103" s="39"/>
      <c r="F103" s="39"/>
      <c r="G103" s="38"/>
      <c r="H103" s="39"/>
      <c r="I103" s="39"/>
      <c r="J103" s="39"/>
      <c r="K103" s="39"/>
      <c r="L103" s="40"/>
      <c r="M103" s="40"/>
      <c r="N103" s="41"/>
      <c r="O103" s="41"/>
      <c r="P103" s="43"/>
      <c r="Q103" s="41"/>
      <c r="R103" s="41"/>
      <c r="S103" s="41"/>
      <c r="T103" s="41"/>
      <c r="U103" s="47"/>
      <c r="V103" s="41"/>
      <c r="W103" s="48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</row>
    <row r="104" spans="1:45">
      <c r="A104" s="38"/>
      <c r="B104" s="38"/>
      <c r="C104" s="38"/>
      <c r="D104" s="39"/>
      <c r="E104" s="39"/>
      <c r="F104" s="39"/>
      <c r="G104" s="38"/>
      <c r="H104" s="39"/>
      <c r="I104" s="39"/>
      <c r="J104" s="39"/>
      <c r="K104" s="39"/>
      <c r="L104" s="40"/>
      <c r="M104" s="40"/>
      <c r="N104" s="41"/>
      <c r="O104" s="41"/>
      <c r="P104" s="43"/>
      <c r="Q104" s="41"/>
      <c r="R104" s="41"/>
      <c r="S104" s="41"/>
      <c r="T104" s="41"/>
      <c r="U104" s="47"/>
      <c r="V104" s="41"/>
      <c r="W104" s="48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</row>
    <row r="105" spans="1:45">
      <c r="A105" s="38"/>
      <c r="B105" s="38"/>
      <c r="C105" s="38"/>
      <c r="D105" s="39"/>
      <c r="E105" s="39"/>
      <c r="F105" s="39"/>
      <c r="G105" s="38"/>
      <c r="H105" s="39"/>
      <c r="I105" s="39"/>
      <c r="J105" s="39"/>
      <c r="K105" s="39"/>
      <c r="L105" s="40"/>
      <c r="M105" s="40"/>
      <c r="N105" s="41"/>
      <c r="O105" s="41"/>
      <c r="P105" s="43"/>
      <c r="Q105" s="41"/>
      <c r="R105" s="41"/>
      <c r="S105" s="41"/>
      <c r="T105" s="41"/>
      <c r="U105" s="47"/>
      <c r="V105" s="41"/>
      <c r="W105" s="48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</row>
    <row r="106" spans="1:45">
      <c r="A106" s="38"/>
      <c r="B106" s="38"/>
      <c r="C106" s="38"/>
      <c r="D106" s="39"/>
      <c r="E106" s="39"/>
      <c r="F106" s="39"/>
      <c r="G106" s="38"/>
      <c r="H106" s="39"/>
      <c r="I106" s="39"/>
      <c r="J106" s="39"/>
      <c r="K106" s="39"/>
      <c r="L106" s="40"/>
      <c r="M106" s="40"/>
      <c r="N106" s="41"/>
      <c r="O106" s="41"/>
      <c r="P106" s="43"/>
      <c r="Q106" s="41"/>
      <c r="R106" s="41"/>
      <c r="S106" s="41"/>
      <c r="T106" s="41"/>
      <c r="U106" s="47"/>
      <c r="V106" s="41"/>
      <c r="W106" s="48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</row>
    <row r="107" spans="1:45">
      <c r="A107" s="38"/>
      <c r="B107" s="38"/>
      <c r="C107" s="38"/>
      <c r="D107" s="39"/>
      <c r="E107" s="39"/>
      <c r="F107" s="39"/>
      <c r="G107" s="38"/>
      <c r="H107" s="39"/>
      <c r="I107" s="39"/>
      <c r="J107" s="39"/>
      <c r="K107" s="39"/>
      <c r="L107" s="40"/>
      <c r="M107" s="40"/>
      <c r="N107" s="41"/>
      <c r="O107" s="41"/>
      <c r="P107" s="43"/>
      <c r="Q107" s="41"/>
      <c r="R107" s="41"/>
      <c r="S107" s="41"/>
      <c r="T107" s="41"/>
      <c r="U107" s="47"/>
      <c r="V107" s="41"/>
      <c r="W107" s="48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</row>
    <row r="108" spans="1:45">
      <c r="A108" s="38"/>
      <c r="B108" s="38"/>
      <c r="C108" s="38"/>
      <c r="D108" s="39"/>
      <c r="E108" s="39"/>
      <c r="F108" s="39"/>
      <c r="G108" s="38"/>
      <c r="H108" s="39"/>
      <c r="I108" s="39"/>
      <c r="J108" s="39"/>
      <c r="K108" s="39"/>
      <c r="L108" s="40"/>
      <c r="M108" s="40"/>
      <c r="N108" s="41"/>
      <c r="O108" s="41"/>
      <c r="P108" s="43"/>
      <c r="Q108" s="41"/>
      <c r="R108" s="41"/>
      <c r="S108" s="41"/>
      <c r="T108" s="41"/>
      <c r="U108" s="47"/>
      <c r="V108" s="41"/>
      <c r="W108" s="48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</row>
    <row r="109" spans="1:45">
      <c r="A109" s="38"/>
      <c r="B109" s="38"/>
      <c r="C109" s="38"/>
      <c r="D109" s="39"/>
      <c r="E109" s="39"/>
      <c r="F109" s="39"/>
      <c r="G109" s="38"/>
      <c r="H109" s="39"/>
      <c r="I109" s="39"/>
      <c r="J109" s="39"/>
      <c r="K109" s="39"/>
      <c r="L109" s="40"/>
      <c r="M109" s="40"/>
      <c r="N109" s="41"/>
      <c r="O109" s="41"/>
      <c r="P109" s="43"/>
      <c r="Q109" s="41"/>
      <c r="R109" s="41"/>
      <c r="S109" s="41"/>
      <c r="T109" s="41"/>
      <c r="U109" s="47"/>
      <c r="V109" s="41"/>
      <c r="W109" s="48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</row>
    <row r="110" spans="1:45">
      <c r="A110" s="38"/>
      <c r="B110" s="38"/>
      <c r="C110" s="38"/>
      <c r="D110" s="39"/>
      <c r="E110" s="39"/>
      <c r="F110" s="39"/>
      <c r="G110" s="38"/>
      <c r="H110" s="39"/>
      <c r="I110" s="39"/>
      <c r="J110" s="39"/>
      <c r="K110" s="39"/>
      <c r="L110" s="40"/>
      <c r="M110" s="40"/>
      <c r="N110" s="41"/>
      <c r="O110" s="41"/>
      <c r="P110" s="43"/>
      <c r="Q110" s="41"/>
      <c r="R110" s="41"/>
      <c r="S110" s="41"/>
      <c r="T110" s="41"/>
      <c r="U110" s="47"/>
      <c r="V110" s="41"/>
      <c r="W110" s="48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</row>
    <row r="111" spans="1:45">
      <c r="A111" s="38"/>
      <c r="B111" s="38"/>
      <c r="C111" s="38"/>
      <c r="D111" s="39"/>
      <c r="E111" s="39"/>
      <c r="F111" s="39"/>
      <c r="G111" s="38"/>
      <c r="H111" s="39"/>
      <c r="I111" s="39"/>
      <c r="J111" s="39"/>
      <c r="K111" s="39"/>
      <c r="L111" s="40"/>
      <c r="M111" s="40"/>
      <c r="N111" s="41"/>
      <c r="O111" s="41"/>
      <c r="P111" s="43"/>
      <c r="Q111" s="41"/>
      <c r="R111" s="41"/>
      <c r="S111" s="41"/>
      <c r="T111" s="41"/>
      <c r="U111" s="47"/>
      <c r="V111" s="41"/>
      <c r="W111" s="48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</row>
    <row r="112" spans="1:45">
      <c r="A112" s="38"/>
      <c r="B112" s="38"/>
      <c r="C112" s="38"/>
      <c r="D112" s="39"/>
      <c r="E112" s="39"/>
      <c r="F112" s="39"/>
      <c r="G112" s="38"/>
      <c r="H112" s="39"/>
      <c r="I112" s="39"/>
      <c r="J112" s="39"/>
      <c r="K112" s="39"/>
      <c r="L112" s="40"/>
      <c r="M112" s="40"/>
      <c r="N112" s="41"/>
      <c r="O112" s="41"/>
      <c r="P112" s="43"/>
      <c r="Q112" s="41"/>
      <c r="R112" s="41"/>
      <c r="S112" s="41"/>
      <c r="T112" s="41"/>
      <c r="U112" s="47"/>
      <c r="V112" s="41"/>
      <c r="W112" s="48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</row>
    <row r="113" spans="1:45">
      <c r="A113" s="38"/>
      <c r="B113" s="38"/>
      <c r="C113" s="38"/>
      <c r="D113" s="39"/>
      <c r="E113" s="39"/>
      <c r="F113" s="39"/>
      <c r="G113" s="38"/>
      <c r="H113" s="39"/>
      <c r="I113" s="39"/>
      <c r="J113" s="39"/>
      <c r="K113" s="39"/>
      <c r="L113" s="40"/>
      <c r="M113" s="40"/>
      <c r="N113" s="41"/>
      <c r="O113" s="41"/>
      <c r="P113" s="43"/>
      <c r="Q113" s="41"/>
      <c r="R113" s="41"/>
      <c r="S113" s="41"/>
      <c r="T113" s="41"/>
      <c r="U113" s="47"/>
      <c r="V113" s="41"/>
      <c r="W113" s="48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</row>
    <row r="114" spans="1:45">
      <c r="A114" s="38"/>
      <c r="B114" s="38"/>
      <c r="C114" s="38"/>
      <c r="D114" s="39"/>
      <c r="E114" s="39"/>
      <c r="F114" s="39"/>
      <c r="G114" s="38"/>
      <c r="H114" s="39"/>
      <c r="I114" s="39"/>
      <c r="J114" s="39"/>
      <c r="K114" s="39"/>
      <c r="L114" s="40"/>
      <c r="M114" s="40"/>
      <c r="N114" s="41"/>
      <c r="O114" s="41"/>
      <c r="P114" s="43"/>
      <c r="Q114" s="41"/>
      <c r="R114" s="41"/>
      <c r="S114" s="41"/>
      <c r="T114" s="41"/>
      <c r="U114" s="47"/>
      <c r="V114" s="41"/>
      <c r="W114" s="48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</row>
    <row r="115" spans="1:45">
      <c r="A115" s="38"/>
      <c r="B115" s="38"/>
      <c r="C115" s="38"/>
      <c r="D115" s="39"/>
      <c r="E115" s="39"/>
      <c r="F115" s="39"/>
      <c r="G115" s="38"/>
      <c r="H115" s="39"/>
      <c r="I115" s="39"/>
      <c r="J115" s="39"/>
      <c r="K115" s="39"/>
      <c r="L115" s="40"/>
      <c r="M115" s="40"/>
      <c r="N115" s="41"/>
      <c r="O115" s="41"/>
      <c r="P115" s="43"/>
      <c r="Q115" s="41"/>
      <c r="R115" s="41"/>
      <c r="S115" s="41"/>
      <c r="T115" s="41"/>
      <c r="U115" s="47"/>
      <c r="V115" s="41"/>
      <c r="W115" s="48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</row>
    <row r="116" spans="1:45">
      <c r="A116" s="38"/>
      <c r="B116" s="38"/>
      <c r="C116" s="38"/>
      <c r="D116" s="39"/>
      <c r="E116" s="39"/>
      <c r="F116" s="39"/>
      <c r="G116" s="38"/>
      <c r="H116" s="39"/>
      <c r="I116" s="39"/>
      <c r="J116" s="39"/>
      <c r="K116" s="39"/>
      <c r="L116" s="40"/>
      <c r="M116" s="40"/>
      <c r="N116" s="41"/>
      <c r="O116" s="41"/>
      <c r="P116" s="43"/>
      <c r="Q116" s="41"/>
      <c r="R116" s="41"/>
      <c r="S116" s="41"/>
      <c r="T116" s="41"/>
      <c r="U116" s="47"/>
      <c r="V116" s="41"/>
      <c r="W116" s="48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</row>
    <row r="117" spans="1:45">
      <c r="A117" s="38"/>
      <c r="B117" s="38"/>
      <c r="C117" s="38"/>
      <c r="D117" s="39"/>
      <c r="E117" s="39"/>
      <c r="F117" s="39"/>
      <c r="G117" s="38"/>
      <c r="H117" s="39"/>
      <c r="I117" s="39"/>
      <c r="J117" s="39"/>
      <c r="K117" s="39"/>
      <c r="L117" s="40"/>
      <c r="M117" s="40"/>
      <c r="N117" s="41"/>
      <c r="O117" s="41"/>
      <c r="P117" s="43"/>
      <c r="Q117" s="41"/>
      <c r="R117" s="41"/>
      <c r="S117" s="41"/>
      <c r="T117" s="41"/>
      <c r="U117" s="47"/>
      <c r="V117" s="41"/>
      <c r="W117" s="48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</row>
    <row r="118" spans="1:45">
      <c r="A118" s="38"/>
      <c r="B118" s="38"/>
      <c r="C118" s="38"/>
      <c r="D118" s="39"/>
      <c r="E118" s="39"/>
      <c r="F118" s="39"/>
      <c r="G118" s="38"/>
      <c r="H118" s="39"/>
      <c r="I118" s="39"/>
      <c r="J118" s="39"/>
      <c r="K118" s="39"/>
      <c r="L118" s="40"/>
      <c r="M118" s="40"/>
      <c r="N118" s="41"/>
      <c r="O118" s="41"/>
      <c r="P118" s="43"/>
      <c r="Q118" s="41"/>
      <c r="R118" s="41"/>
      <c r="S118" s="41"/>
      <c r="T118" s="41"/>
      <c r="U118" s="47"/>
      <c r="V118" s="41"/>
      <c r="W118" s="48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</row>
    <row r="119" spans="1:45">
      <c r="A119" s="38"/>
      <c r="B119" s="38"/>
      <c r="C119" s="38"/>
      <c r="D119" s="39"/>
      <c r="E119" s="39"/>
      <c r="F119" s="39"/>
      <c r="G119" s="38"/>
      <c r="H119" s="39"/>
      <c r="I119" s="39"/>
      <c r="J119" s="39"/>
      <c r="K119" s="39"/>
      <c r="L119" s="40"/>
      <c r="M119" s="40"/>
      <c r="N119" s="41"/>
      <c r="O119" s="41"/>
      <c r="P119" s="43"/>
      <c r="Q119" s="41"/>
      <c r="R119" s="41"/>
      <c r="S119" s="41"/>
      <c r="T119" s="41"/>
      <c r="U119" s="47"/>
      <c r="V119" s="41"/>
      <c r="W119" s="48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</row>
    <row r="120" spans="1:45">
      <c r="A120" s="38"/>
      <c r="B120" s="38"/>
      <c r="C120" s="38"/>
      <c r="D120" s="39"/>
      <c r="E120" s="39"/>
      <c r="F120" s="39"/>
      <c r="G120" s="38"/>
      <c r="H120" s="39"/>
      <c r="I120" s="39"/>
      <c r="J120" s="39"/>
      <c r="K120" s="39"/>
      <c r="L120" s="40"/>
      <c r="M120" s="40"/>
      <c r="N120" s="41"/>
      <c r="O120" s="41"/>
      <c r="P120" s="43"/>
      <c r="Q120" s="41"/>
      <c r="R120" s="41"/>
      <c r="S120" s="41"/>
      <c r="T120" s="41"/>
      <c r="U120" s="47"/>
      <c r="V120" s="41"/>
      <c r="W120" s="48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</row>
    <row r="121" spans="1:45">
      <c r="A121" s="38"/>
      <c r="B121" s="38"/>
      <c r="C121" s="38"/>
      <c r="D121" s="39"/>
      <c r="E121" s="39"/>
      <c r="F121" s="39"/>
      <c r="G121" s="38"/>
      <c r="H121" s="39"/>
      <c r="I121" s="39"/>
      <c r="J121" s="39"/>
      <c r="K121" s="39"/>
      <c r="L121" s="40"/>
      <c r="M121" s="40"/>
      <c r="N121" s="41"/>
      <c r="O121" s="41"/>
      <c r="P121" s="43"/>
      <c r="Q121" s="41"/>
      <c r="R121" s="41"/>
      <c r="S121" s="41"/>
      <c r="T121" s="41"/>
      <c r="U121" s="47"/>
      <c r="V121" s="41"/>
      <c r="W121" s="48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</row>
    <row r="122" spans="1:45">
      <c r="A122" s="38"/>
      <c r="B122" s="38"/>
      <c r="C122" s="38"/>
      <c r="D122" s="39"/>
      <c r="E122" s="39"/>
      <c r="F122" s="39"/>
      <c r="G122" s="38"/>
      <c r="H122" s="39"/>
      <c r="I122" s="39"/>
      <c r="J122" s="39"/>
      <c r="K122" s="39"/>
      <c r="L122" s="40"/>
      <c r="M122" s="40"/>
      <c r="N122" s="41"/>
      <c r="O122" s="41"/>
      <c r="P122" s="43"/>
      <c r="Q122" s="41"/>
      <c r="R122" s="41"/>
      <c r="S122" s="41"/>
      <c r="T122" s="41"/>
      <c r="U122" s="47"/>
      <c r="V122" s="41"/>
      <c r="W122" s="48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</row>
    <row r="123" spans="1:45">
      <c r="A123" s="38"/>
      <c r="B123" s="38"/>
      <c r="C123" s="38"/>
      <c r="D123" s="39"/>
      <c r="E123" s="39"/>
      <c r="F123" s="39"/>
      <c r="G123" s="38"/>
      <c r="H123" s="39"/>
      <c r="I123" s="39"/>
      <c r="J123" s="39"/>
      <c r="K123" s="39"/>
      <c r="L123" s="40"/>
      <c r="M123" s="40"/>
      <c r="N123" s="41"/>
      <c r="O123" s="41"/>
      <c r="P123" s="43"/>
      <c r="Q123" s="41"/>
      <c r="R123" s="41"/>
      <c r="S123" s="41"/>
      <c r="T123" s="41"/>
      <c r="U123" s="47"/>
      <c r="V123" s="41"/>
      <c r="W123" s="48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</row>
    <row r="124" spans="1:45">
      <c r="A124" s="38"/>
      <c r="B124" s="38"/>
      <c r="C124" s="38"/>
      <c r="D124" s="39"/>
      <c r="E124" s="39"/>
      <c r="F124" s="39"/>
      <c r="G124" s="38"/>
      <c r="H124" s="39"/>
      <c r="I124" s="39"/>
      <c r="J124" s="39"/>
      <c r="K124" s="39"/>
      <c r="L124" s="40"/>
      <c r="M124" s="40"/>
      <c r="N124" s="41"/>
      <c r="O124" s="41"/>
      <c r="P124" s="43"/>
      <c r="Q124" s="41"/>
      <c r="R124" s="41"/>
      <c r="S124" s="41"/>
      <c r="T124" s="41"/>
      <c r="U124" s="47"/>
      <c r="V124" s="41"/>
      <c r="W124" s="48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</row>
    <row r="125" spans="1:45">
      <c r="A125" s="38"/>
      <c r="B125" s="38"/>
      <c r="C125" s="38"/>
      <c r="D125" s="39"/>
      <c r="E125" s="39"/>
      <c r="F125" s="39"/>
      <c r="G125" s="38"/>
      <c r="H125" s="39"/>
      <c r="I125" s="39"/>
      <c r="J125" s="39"/>
      <c r="K125" s="39"/>
      <c r="L125" s="40"/>
      <c r="M125" s="40"/>
      <c r="N125" s="41"/>
      <c r="O125" s="41"/>
      <c r="P125" s="43"/>
      <c r="Q125" s="41"/>
      <c r="R125" s="41"/>
      <c r="S125" s="41"/>
      <c r="T125" s="41"/>
      <c r="U125" s="47"/>
      <c r="V125" s="41"/>
      <c r="W125" s="48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</row>
    <row r="126" spans="1:45">
      <c r="A126" s="38"/>
      <c r="B126" s="38"/>
      <c r="C126" s="38"/>
      <c r="D126" s="39"/>
      <c r="E126" s="39"/>
      <c r="F126" s="39"/>
      <c r="G126" s="38"/>
      <c r="H126" s="39"/>
      <c r="I126" s="39"/>
      <c r="J126" s="39"/>
      <c r="K126" s="39"/>
      <c r="L126" s="40"/>
      <c r="M126" s="40"/>
      <c r="N126" s="41"/>
      <c r="O126" s="41"/>
      <c r="P126" s="43"/>
      <c r="Q126" s="41"/>
      <c r="R126" s="41"/>
      <c r="S126" s="41"/>
      <c r="T126" s="41"/>
      <c r="U126" s="47"/>
      <c r="V126" s="41"/>
      <c r="W126" s="48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</row>
    <row r="127" spans="1:45">
      <c r="A127" s="38"/>
      <c r="B127" s="38"/>
      <c r="C127" s="38"/>
      <c r="D127" s="39"/>
      <c r="E127" s="39"/>
      <c r="F127" s="39"/>
      <c r="G127" s="38"/>
      <c r="H127" s="39"/>
      <c r="I127" s="39"/>
      <c r="J127" s="39"/>
      <c r="K127" s="39"/>
      <c r="L127" s="40"/>
      <c r="M127" s="40"/>
      <c r="N127" s="41"/>
      <c r="O127" s="41"/>
      <c r="P127" s="43"/>
      <c r="Q127" s="41"/>
      <c r="R127" s="41"/>
      <c r="S127" s="41"/>
      <c r="T127" s="41"/>
      <c r="U127" s="47"/>
      <c r="V127" s="41"/>
      <c r="W127" s="48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</row>
    <row r="128" spans="1:45">
      <c r="A128" s="38"/>
      <c r="B128" s="38"/>
      <c r="C128" s="38"/>
      <c r="D128" s="39"/>
      <c r="E128" s="39"/>
      <c r="F128" s="39"/>
      <c r="G128" s="38"/>
      <c r="H128" s="39"/>
      <c r="I128" s="39"/>
      <c r="J128" s="39"/>
      <c r="K128" s="39"/>
      <c r="L128" s="40"/>
      <c r="M128" s="40"/>
      <c r="N128" s="41"/>
      <c r="O128" s="41"/>
      <c r="P128" s="43"/>
      <c r="Q128" s="41"/>
      <c r="R128" s="41"/>
      <c r="S128" s="41"/>
      <c r="T128" s="41"/>
      <c r="U128" s="47"/>
      <c r="V128" s="41"/>
      <c r="W128" s="48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</row>
    <row r="129" spans="1:45">
      <c r="A129" s="38"/>
      <c r="B129" s="38"/>
      <c r="C129" s="38"/>
      <c r="D129" s="39"/>
      <c r="E129" s="39"/>
      <c r="F129" s="39"/>
      <c r="G129" s="38"/>
      <c r="H129" s="39"/>
      <c r="I129" s="39"/>
      <c r="J129" s="39"/>
      <c r="K129" s="39"/>
      <c r="L129" s="40"/>
      <c r="M129" s="40"/>
      <c r="N129" s="41"/>
      <c r="O129" s="41"/>
      <c r="P129" s="43"/>
      <c r="Q129" s="41"/>
      <c r="R129" s="41"/>
      <c r="S129" s="41"/>
      <c r="T129" s="41"/>
      <c r="U129" s="47"/>
      <c r="V129" s="41"/>
      <c r="W129" s="48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</row>
    <row r="130" spans="1:45">
      <c r="A130" s="38"/>
      <c r="B130" s="38"/>
      <c r="C130" s="38"/>
      <c r="D130" s="39"/>
      <c r="E130" s="39"/>
      <c r="F130" s="39"/>
      <c r="G130" s="38"/>
      <c r="H130" s="39"/>
      <c r="I130" s="39"/>
      <c r="J130" s="39"/>
      <c r="K130" s="39"/>
      <c r="L130" s="40"/>
      <c r="M130" s="40"/>
      <c r="N130" s="41"/>
      <c r="O130" s="41"/>
      <c r="P130" s="43"/>
      <c r="Q130" s="41"/>
      <c r="R130" s="41"/>
      <c r="S130" s="41"/>
      <c r="T130" s="41"/>
      <c r="U130" s="47"/>
      <c r="V130" s="41"/>
      <c r="W130" s="48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</row>
    <row r="131" spans="1:45">
      <c r="A131" s="38"/>
      <c r="B131" s="38"/>
      <c r="C131" s="38"/>
      <c r="D131" s="39"/>
      <c r="E131" s="39"/>
      <c r="F131" s="39"/>
      <c r="G131" s="38"/>
      <c r="H131" s="39"/>
      <c r="I131" s="39"/>
      <c r="J131" s="39"/>
      <c r="K131" s="39"/>
      <c r="L131" s="40"/>
      <c r="M131" s="40"/>
      <c r="N131" s="41"/>
      <c r="O131" s="41"/>
      <c r="P131" s="43"/>
      <c r="Q131" s="41"/>
      <c r="R131" s="41"/>
      <c r="S131" s="41"/>
      <c r="T131" s="41"/>
      <c r="U131" s="47"/>
      <c r="V131" s="41"/>
      <c r="W131" s="48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</row>
    <row r="132" spans="1:45">
      <c r="A132" s="38"/>
      <c r="B132" s="38"/>
      <c r="C132" s="38"/>
      <c r="D132" s="39"/>
      <c r="E132" s="39"/>
      <c r="F132" s="39"/>
      <c r="G132" s="38"/>
      <c r="H132" s="39"/>
      <c r="I132" s="39"/>
      <c r="J132" s="39"/>
      <c r="K132" s="39"/>
      <c r="L132" s="40"/>
      <c r="M132" s="40"/>
      <c r="N132" s="41"/>
      <c r="O132" s="41"/>
      <c r="P132" s="43"/>
      <c r="Q132" s="41"/>
      <c r="R132" s="41"/>
      <c r="S132" s="41"/>
      <c r="T132" s="41"/>
      <c r="U132" s="47"/>
      <c r="V132" s="41"/>
      <c r="W132" s="48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</row>
    <row r="133" spans="1:45">
      <c r="A133" s="38"/>
      <c r="B133" s="38"/>
      <c r="C133" s="38"/>
      <c r="D133" s="39"/>
      <c r="E133" s="39"/>
      <c r="F133" s="39"/>
      <c r="G133" s="38"/>
      <c r="H133" s="39"/>
      <c r="I133" s="39"/>
      <c r="J133" s="39"/>
      <c r="K133" s="39"/>
      <c r="L133" s="40"/>
      <c r="M133" s="40"/>
      <c r="N133" s="41"/>
      <c r="O133" s="41"/>
      <c r="P133" s="43"/>
      <c r="Q133" s="41"/>
      <c r="R133" s="41"/>
      <c r="S133" s="41"/>
      <c r="T133" s="41"/>
      <c r="U133" s="47"/>
      <c r="V133" s="41"/>
      <c r="W133" s="48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</row>
    <row r="134" spans="1:45">
      <c r="A134" s="38"/>
      <c r="B134" s="38"/>
      <c r="C134" s="38"/>
      <c r="D134" s="39"/>
      <c r="E134" s="39"/>
      <c r="F134" s="39"/>
      <c r="G134" s="38"/>
      <c r="H134" s="39"/>
      <c r="I134" s="39"/>
      <c r="J134" s="39"/>
      <c r="K134" s="39"/>
      <c r="L134" s="40"/>
      <c r="M134" s="40"/>
      <c r="N134" s="41"/>
      <c r="O134" s="41"/>
      <c r="P134" s="43"/>
      <c r="Q134" s="41"/>
      <c r="R134" s="41"/>
      <c r="S134" s="41"/>
      <c r="T134" s="41"/>
      <c r="U134" s="47"/>
      <c r="V134" s="41"/>
      <c r="W134" s="48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</row>
    <row r="135" spans="1:45">
      <c r="A135" s="38"/>
      <c r="B135" s="38"/>
      <c r="C135" s="38"/>
      <c r="D135" s="39"/>
      <c r="E135" s="39"/>
      <c r="F135" s="39"/>
      <c r="G135" s="38"/>
      <c r="H135" s="39"/>
      <c r="I135" s="39"/>
      <c r="J135" s="39"/>
      <c r="K135" s="39"/>
      <c r="L135" s="40"/>
      <c r="M135" s="40"/>
      <c r="N135" s="41"/>
      <c r="O135" s="41"/>
      <c r="P135" s="43"/>
      <c r="Q135" s="41"/>
      <c r="R135" s="41"/>
      <c r="S135" s="41"/>
      <c r="T135" s="41"/>
      <c r="U135" s="47"/>
      <c r="V135" s="41"/>
      <c r="W135" s="48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</row>
    <row r="136" spans="1:45">
      <c r="A136" s="38"/>
      <c r="B136" s="38"/>
      <c r="C136" s="38"/>
      <c r="D136" s="39"/>
      <c r="E136" s="39"/>
      <c r="F136" s="39"/>
      <c r="G136" s="38"/>
      <c r="H136" s="39"/>
      <c r="I136" s="39"/>
      <c r="J136" s="39"/>
      <c r="K136" s="39"/>
      <c r="L136" s="40"/>
      <c r="M136" s="40"/>
      <c r="N136" s="41"/>
      <c r="O136" s="41"/>
      <c r="P136" s="43"/>
      <c r="Q136" s="41"/>
      <c r="R136" s="41"/>
      <c r="S136" s="41"/>
      <c r="T136" s="41"/>
      <c r="U136" s="47"/>
      <c r="V136" s="41"/>
      <c r="W136" s="48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</row>
    <row r="137" spans="1:45">
      <c r="A137" s="38"/>
      <c r="B137" s="38"/>
      <c r="C137" s="38"/>
      <c r="D137" s="39"/>
      <c r="E137" s="39"/>
      <c r="F137" s="39"/>
      <c r="G137" s="38"/>
      <c r="H137" s="39"/>
      <c r="I137" s="39"/>
      <c r="J137" s="39"/>
      <c r="K137" s="39"/>
      <c r="L137" s="40"/>
      <c r="M137" s="40"/>
      <c r="N137" s="41"/>
      <c r="O137" s="41"/>
      <c r="P137" s="43"/>
      <c r="Q137" s="41"/>
      <c r="R137" s="41"/>
      <c r="S137" s="41"/>
      <c r="T137" s="41"/>
      <c r="U137" s="47"/>
      <c r="V137" s="41"/>
      <c r="W137" s="48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</row>
    <row r="138" spans="1:45">
      <c r="A138" s="38"/>
      <c r="B138" s="38"/>
      <c r="C138" s="38"/>
      <c r="D138" s="39"/>
      <c r="E138" s="39"/>
      <c r="F138" s="39"/>
      <c r="G138" s="38"/>
      <c r="H138" s="39"/>
      <c r="I138" s="39"/>
      <c r="J138" s="39"/>
      <c r="K138" s="39"/>
      <c r="L138" s="40"/>
      <c r="M138" s="40"/>
      <c r="N138" s="41"/>
      <c r="O138" s="41"/>
      <c r="P138" s="43"/>
      <c r="Q138" s="41"/>
      <c r="R138" s="41"/>
      <c r="S138" s="41"/>
      <c r="T138" s="41"/>
      <c r="U138" s="47"/>
      <c r="V138" s="41"/>
      <c r="W138" s="48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</row>
    <row r="139" spans="1:45">
      <c r="A139" s="38"/>
      <c r="B139" s="38"/>
      <c r="C139" s="38"/>
      <c r="D139" s="39"/>
      <c r="E139" s="39"/>
      <c r="F139" s="39"/>
      <c r="G139" s="38"/>
      <c r="H139" s="39"/>
      <c r="I139" s="39"/>
      <c r="J139" s="39"/>
      <c r="K139" s="39"/>
      <c r="L139" s="40"/>
      <c r="M139" s="40"/>
      <c r="N139" s="41"/>
      <c r="O139" s="41"/>
      <c r="P139" s="43"/>
      <c r="Q139" s="41"/>
      <c r="R139" s="41"/>
      <c r="S139" s="41"/>
      <c r="T139" s="41"/>
      <c r="U139" s="47"/>
      <c r="V139" s="41"/>
      <c r="W139" s="48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</row>
    <row r="140" spans="1:45">
      <c r="A140" s="38"/>
      <c r="B140" s="38"/>
      <c r="C140" s="38"/>
      <c r="D140" s="39"/>
      <c r="E140" s="39"/>
      <c r="F140" s="39"/>
      <c r="G140" s="38"/>
      <c r="H140" s="39"/>
      <c r="I140" s="39"/>
      <c r="J140" s="39"/>
      <c r="K140" s="39"/>
      <c r="L140" s="40"/>
      <c r="M140" s="40"/>
      <c r="N140" s="41"/>
      <c r="O140" s="41"/>
      <c r="P140" s="43"/>
      <c r="Q140" s="41"/>
      <c r="R140" s="41"/>
      <c r="S140" s="41"/>
      <c r="T140" s="41"/>
      <c r="U140" s="47"/>
      <c r="V140" s="41"/>
      <c r="W140" s="48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</row>
    <row r="141" spans="1:45">
      <c r="A141" s="38"/>
      <c r="B141" s="38"/>
      <c r="C141" s="38"/>
      <c r="D141" s="38"/>
      <c r="E141" s="49"/>
      <c r="F141" s="49"/>
      <c r="G141" s="38"/>
      <c r="H141" s="49"/>
      <c r="I141" s="49"/>
      <c r="J141" s="49"/>
      <c r="K141" s="49"/>
      <c r="L141" s="41"/>
      <c r="M141" s="41"/>
      <c r="N141" s="41"/>
      <c r="O141" s="41"/>
      <c r="P141" s="43"/>
      <c r="Q141" s="41"/>
      <c r="R141" s="41"/>
      <c r="S141" s="41"/>
      <c r="T141" s="41"/>
      <c r="U141" s="47"/>
      <c r="V141" s="41"/>
      <c r="W141" s="48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</row>
    <row r="142" spans="1:45">
      <c r="A142" s="38"/>
      <c r="B142" s="38"/>
      <c r="C142" s="38"/>
      <c r="D142" s="38"/>
      <c r="E142" s="49"/>
      <c r="F142" s="49"/>
      <c r="G142" s="38"/>
      <c r="H142" s="49"/>
      <c r="I142" s="49"/>
      <c r="J142" s="49"/>
      <c r="K142" s="49"/>
      <c r="L142" s="41"/>
      <c r="M142" s="41"/>
      <c r="N142" s="41"/>
      <c r="O142" s="41"/>
      <c r="P142" s="43"/>
      <c r="Q142" s="41"/>
      <c r="R142" s="41"/>
      <c r="S142" s="41"/>
      <c r="T142" s="41"/>
      <c r="U142" s="47"/>
      <c r="V142" s="41"/>
      <c r="W142" s="48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</row>
    <row r="143" spans="1:45">
      <c r="A143" s="38"/>
      <c r="B143" s="38"/>
      <c r="C143" s="38"/>
      <c r="D143" s="38"/>
      <c r="E143" s="49"/>
      <c r="F143" s="49"/>
      <c r="G143" s="38"/>
      <c r="H143" s="49"/>
      <c r="I143" s="49"/>
      <c r="J143" s="49"/>
      <c r="K143" s="49"/>
      <c r="L143" s="41"/>
      <c r="M143" s="41"/>
      <c r="N143" s="41"/>
      <c r="O143" s="41"/>
      <c r="P143" s="43"/>
      <c r="Q143" s="41"/>
      <c r="R143" s="41"/>
      <c r="S143" s="41"/>
      <c r="T143" s="41"/>
      <c r="U143" s="47"/>
      <c r="V143" s="41"/>
      <c r="W143" s="48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</row>
    <row r="144" spans="1:45">
      <c r="A144" s="38"/>
      <c r="B144" s="38"/>
      <c r="C144" s="38"/>
      <c r="D144" s="38"/>
      <c r="E144" s="49"/>
      <c r="F144" s="49"/>
      <c r="G144" s="38"/>
      <c r="H144" s="49"/>
      <c r="I144" s="49"/>
      <c r="J144" s="49"/>
      <c r="K144" s="49"/>
      <c r="L144" s="41"/>
      <c r="M144" s="41"/>
      <c r="N144" s="41"/>
      <c r="O144" s="41"/>
      <c r="P144" s="43"/>
      <c r="Q144" s="41"/>
      <c r="R144" s="41"/>
      <c r="S144" s="41"/>
      <c r="T144" s="41"/>
      <c r="U144" s="47"/>
      <c r="V144" s="41"/>
      <c r="W144" s="48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</row>
    <row r="145" spans="1:45">
      <c r="A145" s="38"/>
      <c r="B145" s="38"/>
      <c r="C145" s="38"/>
      <c r="D145" s="38"/>
      <c r="E145" s="49"/>
      <c r="F145" s="49"/>
      <c r="G145" s="38"/>
      <c r="H145" s="49"/>
      <c r="I145" s="49"/>
      <c r="J145" s="49"/>
      <c r="K145" s="49"/>
      <c r="L145" s="41"/>
      <c r="M145" s="41"/>
      <c r="N145" s="41"/>
      <c r="O145" s="41"/>
      <c r="P145" s="43"/>
      <c r="Q145" s="41"/>
      <c r="R145" s="41"/>
      <c r="S145" s="41"/>
      <c r="T145" s="41"/>
      <c r="U145" s="47"/>
      <c r="V145" s="41"/>
      <c r="W145" s="48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</row>
    <row r="146" spans="1:45">
      <c r="A146" s="38"/>
      <c r="B146" s="38"/>
      <c r="C146" s="38"/>
      <c r="D146" s="38"/>
      <c r="E146" s="49"/>
      <c r="F146" s="49"/>
      <c r="G146" s="38"/>
      <c r="H146" s="49"/>
      <c r="I146" s="49"/>
      <c r="J146" s="49"/>
      <c r="K146" s="49"/>
      <c r="L146" s="41"/>
      <c r="M146" s="41"/>
      <c r="N146" s="41"/>
      <c r="O146" s="41"/>
      <c r="P146" s="43"/>
      <c r="Q146" s="41"/>
      <c r="R146" s="41"/>
      <c r="S146" s="41"/>
      <c r="T146" s="41"/>
      <c r="U146" s="47"/>
      <c r="V146" s="41"/>
      <c r="W146" s="48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</row>
    <row r="147" spans="1:45">
      <c r="A147" s="38"/>
      <c r="B147" s="38"/>
      <c r="C147" s="38"/>
      <c r="D147" s="38"/>
      <c r="E147" s="49"/>
      <c r="F147" s="49"/>
      <c r="G147" s="38"/>
      <c r="H147" s="49"/>
      <c r="I147" s="49"/>
      <c r="J147" s="49"/>
      <c r="K147" s="49"/>
      <c r="L147" s="41"/>
      <c r="M147" s="41"/>
      <c r="N147" s="41"/>
      <c r="O147" s="41"/>
      <c r="P147" s="43"/>
      <c r="Q147" s="41"/>
      <c r="R147" s="41"/>
      <c r="S147" s="41"/>
      <c r="T147" s="41"/>
      <c r="U147" s="47"/>
      <c r="V147" s="41"/>
      <c r="W147" s="48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</row>
    <row r="148" spans="1:45">
      <c r="A148" s="38"/>
      <c r="B148" s="38"/>
      <c r="C148" s="38"/>
      <c r="D148" s="38"/>
      <c r="E148" s="49"/>
      <c r="F148" s="49"/>
      <c r="G148" s="38"/>
      <c r="H148" s="49"/>
      <c r="I148" s="49"/>
      <c r="J148" s="49"/>
      <c r="K148" s="49"/>
      <c r="L148" s="41"/>
      <c r="M148" s="41"/>
      <c r="N148" s="41"/>
      <c r="O148" s="41"/>
      <c r="P148" s="43"/>
      <c r="Q148" s="41"/>
      <c r="R148" s="41"/>
      <c r="S148" s="41"/>
      <c r="T148" s="41"/>
      <c r="U148" s="47"/>
      <c r="V148" s="41"/>
      <c r="W148" s="48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</row>
    <row r="149" spans="1:45">
      <c r="A149" s="38"/>
      <c r="B149" s="38"/>
      <c r="C149" s="38"/>
      <c r="D149" s="38"/>
      <c r="E149" s="49"/>
      <c r="F149" s="49"/>
      <c r="G149" s="38"/>
      <c r="H149" s="49"/>
      <c r="I149" s="49"/>
      <c r="J149" s="49"/>
      <c r="K149" s="49"/>
      <c r="L149" s="41"/>
      <c r="M149" s="41"/>
      <c r="N149" s="41"/>
      <c r="O149" s="41"/>
      <c r="P149" s="43"/>
      <c r="Q149" s="41"/>
      <c r="R149" s="41"/>
      <c r="S149" s="41"/>
      <c r="T149" s="41"/>
      <c r="U149" s="47"/>
      <c r="V149" s="41"/>
      <c r="W149" s="48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</row>
    <row r="150" spans="1:45">
      <c r="A150" s="38"/>
      <c r="B150" s="38"/>
      <c r="C150" s="38"/>
      <c r="D150" s="38"/>
      <c r="E150" s="49"/>
      <c r="F150" s="49"/>
      <c r="G150" s="38"/>
      <c r="H150" s="49"/>
      <c r="I150" s="49"/>
      <c r="J150" s="49"/>
      <c r="K150" s="49"/>
      <c r="L150" s="41"/>
      <c r="M150" s="41"/>
      <c r="N150" s="41"/>
      <c r="O150" s="41"/>
      <c r="P150" s="43"/>
      <c r="Q150" s="41"/>
      <c r="R150" s="41"/>
      <c r="S150" s="41"/>
      <c r="T150" s="41"/>
      <c r="U150" s="47"/>
      <c r="V150" s="41"/>
      <c r="W150" s="48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</row>
    <row r="151" spans="1:45">
      <c r="A151" s="38"/>
      <c r="B151" s="38"/>
      <c r="C151" s="38"/>
      <c r="D151" s="38"/>
      <c r="E151" s="49"/>
      <c r="F151" s="49"/>
      <c r="G151" s="38"/>
      <c r="H151" s="49"/>
      <c r="I151" s="49"/>
      <c r="J151" s="49"/>
      <c r="K151" s="49"/>
      <c r="L151" s="41"/>
      <c r="M151" s="41"/>
      <c r="N151" s="41"/>
      <c r="O151" s="41"/>
      <c r="P151" s="43"/>
      <c r="Q151" s="41"/>
      <c r="R151" s="41"/>
      <c r="S151" s="41"/>
      <c r="T151" s="41"/>
      <c r="U151" s="47"/>
      <c r="V151" s="41"/>
      <c r="W151" s="48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</row>
    <row r="152" spans="1:45">
      <c r="A152" s="38"/>
      <c r="B152" s="38"/>
      <c r="C152" s="38"/>
      <c r="D152" s="38"/>
      <c r="E152" s="49"/>
      <c r="F152" s="49"/>
      <c r="G152" s="38"/>
      <c r="H152" s="49"/>
      <c r="I152" s="49"/>
      <c r="J152" s="49"/>
      <c r="K152" s="49"/>
      <c r="L152" s="41"/>
      <c r="M152" s="41"/>
      <c r="N152" s="41"/>
      <c r="O152" s="41"/>
      <c r="P152" s="43"/>
      <c r="Q152" s="41"/>
      <c r="R152" s="41"/>
      <c r="S152" s="41"/>
      <c r="T152" s="41"/>
      <c r="U152" s="47"/>
      <c r="V152" s="41"/>
      <c r="W152" s="48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</row>
    <row r="153" spans="1:45">
      <c r="A153" s="38"/>
      <c r="B153" s="38"/>
      <c r="C153" s="38"/>
      <c r="D153" s="38"/>
      <c r="E153" s="49"/>
      <c r="F153" s="49"/>
      <c r="G153" s="38"/>
      <c r="H153" s="49"/>
      <c r="I153" s="49"/>
      <c r="J153" s="49"/>
      <c r="K153" s="49"/>
      <c r="L153" s="41"/>
      <c r="M153" s="41"/>
      <c r="N153" s="41"/>
      <c r="O153" s="41"/>
      <c r="P153" s="43"/>
      <c r="Q153" s="41"/>
      <c r="R153" s="41"/>
      <c r="S153" s="41"/>
      <c r="T153" s="41"/>
      <c r="U153" s="47"/>
      <c r="V153" s="41"/>
      <c r="W153" s="48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</row>
    <row r="154" spans="1:45">
      <c r="A154" s="38"/>
      <c r="B154" s="38"/>
      <c r="C154" s="38"/>
      <c r="D154" s="38"/>
      <c r="E154" s="49"/>
      <c r="F154" s="49"/>
      <c r="G154" s="38"/>
      <c r="H154" s="49"/>
      <c r="I154" s="49"/>
      <c r="J154" s="49"/>
      <c r="K154" s="49"/>
      <c r="L154" s="41"/>
      <c r="M154" s="41"/>
      <c r="N154" s="41"/>
      <c r="O154" s="41"/>
      <c r="P154" s="43"/>
      <c r="Q154" s="41"/>
      <c r="R154" s="41"/>
      <c r="S154" s="41"/>
      <c r="T154" s="41"/>
      <c r="U154" s="47"/>
      <c r="V154" s="41"/>
      <c r="W154" s="48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</row>
    <row r="155" spans="1:45">
      <c r="A155" s="38"/>
      <c r="B155" s="38"/>
      <c r="C155" s="38"/>
      <c r="D155" s="38"/>
      <c r="E155" s="49"/>
      <c r="F155" s="49"/>
      <c r="G155" s="38"/>
      <c r="H155" s="49"/>
      <c r="I155" s="49"/>
      <c r="J155" s="49"/>
      <c r="K155" s="49"/>
      <c r="L155" s="41"/>
      <c r="M155" s="41"/>
      <c r="N155" s="41"/>
      <c r="O155" s="41"/>
      <c r="P155" s="43"/>
      <c r="Q155" s="41"/>
      <c r="R155" s="41"/>
      <c r="S155" s="41"/>
      <c r="T155" s="41"/>
      <c r="U155" s="47"/>
      <c r="V155" s="41"/>
      <c r="W155" s="48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</row>
    <row r="156" spans="1:45">
      <c r="A156" s="38"/>
      <c r="B156" s="38"/>
      <c r="C156" s="38"/>
      <c r="D156" s="38"/>
      <c r="E156" s="49"/>
      <c r="F156" s="49"/>
      <c r="G156" s="38"/>
      <c r="H156" s="49"/>
      <c r="I156" s="49"/>
      <c r="J156" s="49"/>
      <c r="K156" s="49"/>
      <c r="L156" s="41"/>
      <c r="M156" s="41"/>
      <c r="N156" s="41"/>
      <c r="O156" s="41"/>
      <c r="P156" s="43"/>
      <c r="Q156" s="41"/>
      <c r="R156" s="41"/>
      <c r="S156" s="41"/>
      <c r="T156" s="41"/>
      <c r="U156" s="47"/>
      <c r="V156" s="41"/>
      <c r="W156" s="48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</row>
    <row r="157" spans="1:45">
      <c r="A157" s="38"/>
      <c r="B157" s="38"/>
      <c r="C157" s="38"/>
      <c r="D157" s="38"/>
      <c r="E157" s="49"/>
      <c r="F157" s="49"/>
      <c r="G157" s="38"/>
      <c r="H157" s="49"/>
      <c r="I157" s="49"/>
      <c r="J157" s="49"/>
      <c r="K157" s="49"/>
      <c r="L157" s="41"/>
      <c r="M157" s="41"/>
      <c r="N157" s="41"/>
      <c r="O157" s="41"/>
      <c r="P157" s="43"/>
      <c r="Q157" s="41"/>
      <c r="R157" s="41"/>
      <c r="S157" s="41"/>
      <c r="T157" s="41"/>
      <c r="U157" s="47"/>
      <c r="V157" s="41"/>
      <c r="W157" s="48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</row>
    <row r="158" spans="1:45">
      <c r="A158" s="38"/>
      <c r="B158" s="38"/>
      <c r="C158" s="38"/>
      <c r="D158" s="38"/>
      <c r="E158" s="49"/>
      <c r="F158" s="49"/>
      <c r="G158" s="38"/>
      <c r="H158" s="49"/>
      <c r="I158" s="49"/>
      <c r="J158" s="49"/>
      <c r="K158" s="49"/>
      <c r="L158" s="41"/>
      <c r="M158" s="41"/>
      <c r="N158" s="41"/>
      <c r="O158" s="41"/>
      <c r="P158" s="43"/>
      <c r="Q158" s="41"/>
      <c r="R158" s="41"/>
      <c r="S158" s="41"/>
      <c r="T158" s="41"/>
      <c r="U158" s="47"/>
      <c r="V158" s="41"/>
      <c r="W158" s="48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</row>
    <row r="159" spans="1:45">
      <c r="A159" s="38"/>
      <c r="B159" s="38"/>
      <c r="C159" s="38"/>
      <c r="D159" s="38"/>
      <c r="E159" s="49"/>
      <c r="F159" s="49"/>
      <c r="G159" s="38"/>
      <c r="H159" s="49"/>
      <c r="I159" s="49"/>
      <c r="J159" s="49"/>
      <c r="K159" s="49"/>
      <c r="L159" s="41"/>
      <c r="M159" s="41"/>
      <c r="N159" s="41"/>
      <c r="O159" s="41"/>
      <c r="P159" s="43"/>
      <c r="Q159" s="41"/>
      <c r="R159" s="41"/>
      <c r="S159" s="41"/>
      <c r="T159" s="41"/>
      <c r="U159" s="47"/>
      <c r="V159" s="41"/>
      <c r="W159" s="48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</row>
    <row r="160" spans="1:45">
      <c r="A160" s="38"/>
      <c r="B160" s="38"/>
      <c r="C160" s="38"/>
      <c r="D160" s="38"/>
      <c r="E160" s="49"/>
      <c r="F160" s="49"/>
      <c r="G160" s="38"/>
      <c r="H160" s="49"/>
      <c r="I160" s="49"/>
      <c r="J160" s="49"/>
      <c r="K160" s="49"/>
      <c r="L160" s="41"/>
      <c r="M160" s="41"/>
      <c r="N160" s="41"/>
      <c r="O160" s="41"/>
      <c r="P160" s="43"/>
      <c r="Q160" s="41"/>
      <c r="R160" s="41"/>
      <c r="S160" s="41"/>
      <c r="T160" s="41"/>
      <c r="U160" s="47"/>
      <c r="V160" s="41"/>
      <c r="W160" s="48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</row>
    <row r="161" spans="1:45">
      <c r="A161" s="38"/>
      <c r="B161" s="38"/>
      <c r="C161" s="38"/>
      <c r="D161" s="38"/>
      <c r="E161" s="49"/>
      <c r="F161" s="49"/>
      <c r="G161" s="38"/>
      <c r="H161" s="49"/>
      <c r="I161" s="49"/>
      <c r="J161" s="49"/>
      <c r="K161" s="49"/>
      <c r="L161" s="41"/>
      <c r="M161" s="41"/>
      <c r="N161" s="41"/>
      <c r="O161" s="41"/>
      <c r="P161" s="43"/>
      <c r="Q161" s="41"/>
      <c r="R161" s="41"/>
      <c r="S161" s="41"/>
      <c r="T161" s="41"/>
      <c r="U161" s="47"/>
      <c r="V161" s="41"/>
      <c r="W161" s="48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</row>
    <row r="162" spans="1:45">
      <c r="A162" s="38"/>
      <c r="B162" s="38"/>
      <c r="C162" s="38"/>
      <c r="D162" s="38"/>
      <c r="E162" s="49"/>
      <c r="F162" s="49"/>
      <c r="G162" s="38"/>
      <c r="H162" s="49"/>
      <c r="I162" s="49"/>
      <c r="J162" s="49"/>
      <c r="K162" s="49"/>
      <c r="L162" s="41"/>
      <c r="M162" s="41"/>
      <c r="N162" s="41"/>
      <c r="O162" s="41"/>
      <c r="P162" s="43"/>
      <c r="Q162" s="41"/>
      <c r="R162" s="41"/>
      <c r="S162" s="41"/>
      <c r="T162" s="41"/>
      <c r="U162" s="47"/>
      <c r="V162" s="41"/>
      <c r="W162" s="48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</row>
    <row r="163" spans="1:45">
      <c r="A163" s="38"/>
      <c r="B163" s="38"/>
      <c r="C163" s="38"/>
      <c r="D163" s="38"/>
      <c r="E163" s="49"/>
      <c r="F163" s="49"/>
      <c r="G163" s="38"/>
      <c r="H163" s="49"/>
      <c r="I163" s="49"/>
      <c r="J163" s="49"/>
      <c r="K163" s="49"/>
      <c r="L163" s="41"/>
      <c r="M163" s="41"/>
      <c r="N163" s="41"/>
      <c r="O163" s="41"/>
      <c r="P163" s="43"/>
      <c r="Q163" s="41"/>
      <c r="R163" s="41"/>
      <c r="S163" s="41"/>
      <c r="T163" s="41"/>
      <c r="U163" s="47"/>
      <c r="V163" s="41"/>
      <c r="W163" s="48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</row>
    <row r="164" spans="1:45">
      <c r="A164" s="38"/>
      <c r="B164" s="38"/>
      <c r="C164" s="38"/>
      <c r="D164" s="38"/>
      <c r="E164" s="49"/>
      <c r="F164" s="49"/>
      <c r="G164" s="38"/>
      <c r="H164" s="49"/>
      <c r="I164" s="49"/>
      <c r="J164" s="49"/>
      <c r="K164" s="49"/>
      <c r="L164" s="41"/>
      <c r="M164" s="41"/>
      <c r="N164" s="41"/>
      <c r="O164" s="41"/>
      <c r="P164" s="43"/>
      <c r="Q164" s="41"/>
      <c r="R164" s="41"/>
      <c r="S164" s="41"/>
      <c r="T164" s="41"/>
      <c r="U164" s="47"/>
      <c r="V164" s="41"/>
      <c r="W164" s="48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</row>
    <row r="165" spans="1:45">
      <c r="A165" s="38"/>
      <c r="B165" s="38"/>
      <c r="C165" s="38"/>
      <c r="D165" s="38"/>
      <c r="E165" s="49"/>
      <c r="F165" s="49"/>
      <c r="G165" s="38"/>
      <c r="H165" s="49"/>
      <c r="I165" s="49"/>
      <c r="J165" s="49"/>
      <c r="K165" s="49"/>
      <c r="L165" s="41"/>
      <c r="M165" s="41"/>
      <c r="N165" s="41"/>
      <c r="O165" s="41"/>
      <c r="P165" s="43"/>
      <c r="Q165" s="41"/>
      <c r="R165" s="41"/>
      <c r="S165" s="41"/>
      <c r="T165" s="41"/>
      <c r="U165" s="47"/>
      <c r="V165" s="41"/>
      <c r="W165" s="48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</row>
    <row r="166" spans="1:45">
      <c r="A166" s="38"/>
      <c r="B166" s="38"/>
      <c r="C166" s="38"/>
      <c r="D166" s="38"/>
      <c r="E166" s="49"/>
      <c r="F166" s="49"/>
      <c r="G166" s="38"/>
      <c r="H166" s="49"/>
      <c r="I166" s="49"/>
      <c r="J166" s="49"/>
      <c r="K166" s="49"/>
      <c r="L166" s="41"/>
      <c r="M166" s="41"/>
      <c r="N166" s="41"/>
      <c r="O166" s="41"/>
      <c r="P166" s="43"/>
      <c r="Q166" s="41"/>
      <c r="R166" s="41"/>
      <c r="S166" s="41"/>
      <c r="T166" s="41"/>
      <c r="U166" s="47"/>
      <c r="V166" s="41"/>
      <c r="W166" s="48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</row>
    <row r="167" spans="1:45">
      <c r="A167" s="38"/>
      <c r="B167" s="38"/>
      <c r="C167" s="38"/>
      <c r="D167" s="38"/>
      <c r="E167" s="49"/>
      <c r="F167" s="49"/>
      <c r="G167" s="38"/>
      <c r="H167" s="49"/>
      <c r="I167" s="49"/>
      <c r="J167" s="49"/>
      <c r="K167" s="49"/>
      <c r="L167" s="41"/>
      <c r="M167" s="41"/>
      <c r="N167" s="41"/>
      <c r="O167" s="41"/>
      <c r="P167" s="43"/>
      <c r="Q167" s="41"/>
      <c r="R167" s="41"/>
      <c r="S167" s="41"/>
      <c r="T167" s="41"/>
      <c r="U167" s="47"/>
      <c r="V167" s="41"/>
      <c r="W167" s="48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</row>
    <row r="168" spans="1:45">
      <c r="A168" s="38"/>
      <c r="B168" s="38"/>
      <c r="C168" s="38"/>
      <c r="D168" s="38"/>
      <c r="E168" s="49"/>
      <c r="F168" s="49"/>
      <c r="G168" s="38"/>
      <c r="H168" s="49"/>
      <c r="I168" s="49"/>
      <c r="J168" s="49"/>
      <c r="K168" s="49"/>
      <c r="L168" s="41"/>
      <c r="M168" s="41"/>
      <c r="N168" s="41"/>
      <c r="O168" s="41"/>
      <c r="P168" s="43"/>
      <c r="Q168" s="41"/>
      <c r="R168" s="41"/>
      <c r="S168" s="41"/>
      <c r="T168" s="41"/>
      <c r="U168" s="47"/>
      <c r="V168" s="41"/>
      <c r="W168" s="48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</row>
    <row r="169" spans="1:45">
      <c r="A169" s="38"/>
      <c r="B169" s="38"/>
      <c r="C169" s="38"/>
      <c r="D169" s="38"/>
      <c r="E169" s="49"/>
      <c r="F169" s="49"/>
      <c r="G169" s="38"/>
      <c r="H169" s="49"/>
      <c r="I169" s="49"/>
      <c r="J169" s="49"/>
      <c r="K169" s="49"/>
      <c r="L169" s="41"/>
      <c r="M169" s="41"/>
      <c r="N169" s="41"/>
      <c r="O169" s="41"/>
      <c r="P169" s="43"/>
      <c r="Q169" s="41"/>
      <c r="R169" s="41"/>
      <c r="S169" s="41"/>
      <c r="T169" s="41"/>
      <c r="U169" s="47"/>
      <c r="V169" s="41"/>
      <c r="W169" s="48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</row>
    <row r="170" spans="1:45">
      <c r="A170" s="38"/>
      <c r="B170" s="38"/>
      <c r="C170" s="38"/>
      <c r="D170" s="38"/>
      <c r="E170" s="49"/>
      <c r="F170" s="49"/>
      <c r="G170" s="38"/>
      <c r="H170" s="49"/>
      <c r="I170" s="49"/>
      <c r="J170" s="49"/>
      <c r="K170" s="49"/>
      <c r="L170" s="41"/>
      <c r="M170" s="41"/>
      <c r="N170" s="41"/>
      <c r="O170" s="41"/>
      <c r="P170" s="43"/>
      <c r="Q170" s="41"/>
      <c r="R170" s="41"/>
      <c r="S170" s="41"/>
      <c r="T170" s="41"/>
      <c r="U170" s="47"/>
      <c r="V170" s="41"/>
      <c r="W170" s="48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</row>
    <row r="171" spans="1:45">
      <c r="A171" s="38"/>
      <c r="B171" s="38"/>
      <c r="C171" s="38"/>
      <c r="D171" s="38"/>
      <c r="E171" s="49"/>
      <c r="F171" s="49"/>
      <c r="G171" s="38"/>
      <c r="H171" s="49"/>
      <c r="I171" s="49"/>
      <c r="J171" s="49"/>
      <c r="K171" s="49"/>
      <c r="L171" s="41"/>
      <c r="M171" s="41"/>
      <c r="N171" s="41"/>
      <c r="O171" s="41"/>
      <c r="P171" s="43"/>
      <c r="Q171" s="41"/>
      <c r="R171" s="41"/>
      <c r="S171" s="41"/>
      <c r="T171" s="41"/>
      <c r="U171" s="47"/>
      <c r="V171" s="41"/>
      <c r="W171" s="48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</row>
    <row r="172" spans="1:45">
      <c r="A172" s="38"/>
      <c r="B172" s="38"/>
      <c r="C172" s="38"/>
      <c r="D172" s="38"/>
      <c r="E172" s="49"/>
      <c r="F172" s="49"/>
      <c r="G172" s="38"/>
      <c r="H172" s="49"/>
      <c r="I172" s="49"/>
      <c r="J172" s="49"/>
      <c r="K172" s="49"/>
      <c r="L172" s="41"/>
      <c r="M172" s="41"/>
      <c r="N172" s="41"/>
      <c r="O172" s="41"/>
      <c r="P172" s="43"/>
      <c r="Q172" s="41"/>
      <c r="R172" s="41"/>
      <c r="S172" s="41"/>
      <c r="T172" s="41"/>
      <c r="U172" s="47"/>
      <c r="V172" s="41"/>
      <c r="W172" s="48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</row>
    <row r="173" spans="1:45">
      <c r="A173" s="38"/>
      <c r="B173" s="38"/>
      <c r="C173" s="38"/>
      <c r="D173" s="38"/>
      <c r="E173" s="49"/>
      <c r="F173" s="49"/>
      <c r="G173" s="38"/>
      <c r="H173" s="49"/>
      <c r="I173" s="49"/>
      <c r="J173" s="49"/>
      <c r="K173" s="49"/>
      <c r="L173" s="41"/>
      <c r="M173" s="41"/>
      <c r="N173" s="41"/>
      <c r="O173" s="41"/>
      <c r="P173" s="43"/>
      <c r="Q173" s="41"/>
      <c r="R173" s="41"/>
      <c r="S173" s="41"/>
      <c r="T173" s="41"/>
      <c r="U173" s="47"/>
      <c r="V173" s="41"/>
      <c r="W173" s="48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</row>
    <row r="174" spans="1:45">
      <c r="A174" s="38"/>
      <c r="B174" s="38"/>
      <c r="C174" s="38"/>
      <c r="D174" s="38"/>
      <c r="E174" s="49"/>
      <c r="F174" s="49"/>
      <c r="G174" s="38"/>
      <c r="H174" s="49"/>
      <c r="I174" s="49"/>
      <c r="J174" s="49"/>
      <c r="K174" s="49"/>
      <c r="L174" s="41"/>
      <c r="M174" s="41"/>
      <c r="N174" s="41"/>
      <c r="O174" s="41"/>
      <c r="P174" s="43"/>
      <c r="Q174" s="41"/>
      <c r="R174" s="41"/>
      <c r="S174" s="41"/>
      <c r="T174" s="41"/>
      <c r="U174" s="47"/>
      <c r="V174" s="41"/>
      <c r="W174" s="48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</row>
    <row r="175" spans="1:45">
      <c r="A175" s="38"/>
      <c r="B175" s="38"/>
      <c r="C175" s="38"/>
      <c r="D175" s="38"/>
      <c r="E175" s="49"/>
      <c r="F175" s="49"/>
      <c r="G175" s="38"/>
      <c r="H175" s="49"/>
      <c r="I175" s="49"/>
      <c r="J175" s="49"/>
      <c r="K175" s="49"/>
      <c r="L175" s="41"/>
      <c r="M175" s="41"/>
      <c r="N175" s="41"/>
      <c r="O175" s="41"/>
      <c r="P175" s="43"/>
      <c r="Q175" s="41"/>
      <c r="R175" s="41"/>
      <c r="S175" s="41"/>
      <c r="T175" s="41"/>
      <c r="U175" s="47"/>
      <c r="V175" s="41"/>
      <c r="W175" s="48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</row>
    <row r="176" spans="1:45">
      <c r="A176" s="38"/>
      <c r="B176" s="38"/>
      <c r="C176" s="38"/>
      <c r="D176" s="38"/>
      <c r="E176" s="49"/>
      <c r="F176" s="49"/>
      <c r="G176" s="38"/>
      <c r="H176" s="49"/>
      <c r="I176" s="49"/>
      <c r="J176" s="49"/>
      <c r="K176" s="49"/>
      <c r="L176" s="41"/>
      <c r="M176" s="41"/>
      <c r="N176" s="41"/>
      <c r="O176" s="41"/>
      <c r="P176" s="43"/>
      <c r="Q176" s="41"/>
      <c r="R176" s="41"/>
      <c r="S176" s="41"/>
      <c r="T176" s="41"/>
      <c r="U176" s="47"/>
      <c r="V176" s="41"/>
      <c r="W176" s="48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</row>
    <row r="177" spans="1:45">
      <c r="A177" s="38"/>
      <c r="B177" s="38"/>
      <c r="C177" s="38"/>
      <c r="D177" s="38"/>
      <c r="E177" s="49"/>
      <c r="F177" s="49"/>
      <c r="G177" s="38"/>
      <c r="H177" s="49"/>
      <c r="I177" s="49"/>
      <c r="J177" s="49"/>
      <c r="K177" s="49"/>
      <c r="L177" s="41"/>
      <c r="M177" s="41"/>
      <c r="N177" s="41"/>
      <c r="O177" s="41"/>
      <c r="P177" s="43"/>
      <c r="Q177" s="41"/>
      <c r="R177" s="41"/>
      <c r="S177" s="41"/>
      <c r="T177" s="41"/>
      <c r="U177" s="47"/>
      <c r="V177" s="41"/>
      <c r="W177" s="48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</row>
    <row r="178" spans="1:45">
      <c r="A178" s="38"/>
      <c r="B178" s="38"/>
      <c r="C178" s="38"/>
      <c r="D178" s="38"/>
      <c r="E178" s="49"/>
      <c r="F178" s="49"/>
      <c r="G178" s="38"/>
      <c r="H178" s="49"/>
      <c r="I178" s="49"/>
      <c r="J178" s="49"/>
      <c r="K178" s="49"/>
      <c r="L178" s="41"/>
      <c r="M178" s="41"/>
      <c r="N178" s="41"/>
      <c r="O178" s="41"/>
      <c r="P178" s="43"/>
      <c r="Q178" s="41"/>
      <c r="R178" s="41"/>
      <c r="S178" s="41"/>
      <c r="T178" s="41"/>
      <c r="U178" s="47"/>
      <c r="V178" s="41"/>
      <c r="W178" s="48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</row>
    <row r="179" spans="1:45">
      <c r="A179" s="38"/>
      <c r="B179" s="38"/>
      <c r="C179" s="38"/>
      <c r="D179" s="38"/>
      <c r="E179" s="49"/>
      <c r="F179" s="49"/>
      <c r="G179" s="38"/>
      <c r="H179" s="49"/>
      <c r="I179" s="49"/>
      <c r="J179" s="49"/>
      <c r="K179" s="49"/>
      <c r="L179" s="41"/>
      <c r="M179" s="41"/>
      <c r="N179" s="41"/>
      <c r="O179" s="41"/>
      <c r="P179" s="43"/>
      <c r="Q179" s="41"/>
      <c r="R179" s="41"/>
      <c r="S179" s="41"/>
      <c r="T179" s="41"/>
      <c r="U179" s="47"/>
      <c r="V179" s="41"/>
      <c r="W179" s="48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</row>
    <row r="180" spans="1:45">
      <c r="A180" s="38"/>
      <c r="B180" s="38"/>
      <c r="C180" s="38"/>
      <c r="D180" s="38"/>
      <c r="E180" s="49"/>
      <c r="F180" s="49"/>
      <c r="G180" s="38"/>
      <c r="H180" s="49"/>
      <c r="I180" s="49"/>
      <c r="J180" s="49"/>
      <c r="K180" s="49"/>
      <c r="L180" s="41"/>
      <c r="M180" s="41"/>
      <c r="N180" s="41"/>
      <c r="O180" s="41"/>
      <c r="P180" s="43"/>
      <c r="Q180" s="41"/>
      <c r="R180" s="41"/>
      <c r="S180" s="41"/>
      <c r="T180" s="41"/>
      <c r="U180" s="47"/>
      <c r="V180" s="41"/>
      <c r="W180" s="48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</row>
    <row r="181" spans="1:45">
      <c r="A181" s="38"/>
      <c r="B181" s="38"/>
      <c r="C181" s="38"/>
      <c r="D181" s="38"/>
      <c r="E181" s="49"/>
      <c r="F181" s="49"/>
      <c r="G181" s="38"/>
      <c r="H181" s="49"/>
      <c r="I181" s="49"/>
      <c r="J181" s="49"/>
      <c r="K181" s="49"/>
      <c r="L181" s="41"/>
      <c r="M181" s="41"/>
      <c r="N181" s="41"/>
      <c r="O181" s="41"/>
      <c r="P181" s="43"/>
      <c r="Q181" s="41"/>
      <c r="R181" s="41"/>
      <c r="S181" s="41"/>
      <c r="T181" s="41"/>
      <c r="U181" s="47"/>
      <c r="V181" s="41"/>
      <c r="W181" s="48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</row>
    <row r="182" spans="1:45">
      <c r="A182" s="38"/>
      <c r="B182" s="38"/>
      <c r="C182" s="38"/>
      <c r="D182" s="38"/>
      <c r="E182" s="49"/>
      <c r="F182" s="49"/>
      <c r="G182" s="38"/>
      <c r="H182" s="49"/>
      <c r="I182" s="49"/>
      <c r="J182" s="49"/>
      <c r="K182" s="49"/>
      <c r="L182" s="41"/>
      <c r="M182" s="41"/>
      <c r="N182" s="41"/>
      <c r="O182" s="41"/>
      <c r="P182" s="43"/>
      <c r="Q182" s="41"/>
      <c r="R182" s="41"/>
      <c r="S182" s="41"/>
      <c r="T182" s="41"/>
      <c r="U182" s="47"/>
      <c r="V182" s="41"/>
      <c r="W182" s="48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</row>
    <row r="183" spans="1:45">
      <c r="A183" s="38"/>
      <c r="B183" s="38"/>
      <c r="C183" s="38"/>
      <c r="D183" s="38"/>
      <c r="E183" s="49"/>
      <c r="F183" s="49"/>
      <c r="G183" s="38"/>
      <c r="H183" s="49"/>
      <c r="I183" s="49"/>
      <c r="J183" s="49"/>
      <c r="K183" s="49"/>
      <c r="L183" s="41"/>
      <c r="M183" s="41"/>
      <c r="N183" s="41"/>
      <c r="O183" s="41"/>
      <c r="P183" s="43"/>
      <c r="Q183" s="41"/>
      <c r="R183" s="41"/>
      <c r="S183" s="41"/>
      <c r="T183" s="41"/>
      <c r="U183" s="47"/>
      <c r="V183" s="41"/>
      <c r="W183" s="48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</row>
    <row r="184" spans="1:45">
      <c r="A184" s="38"/>
      <c r="B184" s="38"/>
      <c r="C184" s="38"/>
      <c r="D184" s="38"/>
      <c r="E184" s="49"/>
      <c r="F184" s="49"/>
      <c r="G184" s="38"/>
      <c r="H184" s="49"/>
      <c r="I184" s="49"/>
      <c r="J184" s="49"/>
      <c r="K184" s="49"/>
      <c r="L184" s="41"/>
      <c r="M184" s="41"/>
      <c r="N184" s="41"/>
      <c r="O184" s="41"/>
      <c r="P184" s="43"/>
      <c r="Q184" s="41"/>
      <c r="R184" s="41"/>
      <c r="S184" s="41"/>
      <c r="T184" s="41"/>
      <c r="U184" s="47"/>
      <c r="V184" s="41"/>
      <c r="W184" s="48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</row>
    <row r="185" spans="1:45">
      <c r="A185" s="38"/>
      <c r="B185" s="38"/>
      <c r="C185" s="38"/>
      <c r="D185" s="38"/>
      <c r="E185" s="49"/>
      <c r="F185" s="49"/>
      <c r="G185" s="38"/>
      <c r="H185" s="49"/>
      <c r="I185" s="49"/>
      <c r="J185" s="49"/>
      <c r="K185" s="49"/>
      <c r="L185" s="41"/>
      <c r="M185" s="41"/>
      <c r="N185" s="41"/>
      <c r="O185" s="41"/>
      <c r="P185" s="43"/>
      <c r="Q185" s="41"/>
      <c r="R185" s="41"/>
      <c r="S185" s="41"/>
      <c r="T185" s="41"/>
      <c r="U185" s="47"/>
      <c r="V185" s="41"/>
      <c r="W185" s="48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</row>
    <row r="186" spans="1:45">
      <c r="A186" s="38"/>
      <c r="B186" s="38"/>
      <c r="C186" s="38"/>
      <c r="D186" s="38"/>
      <c r="E186" s="49"/>
      <c r="F186" s="49"/>
      <c r="G186" s="38"/>
      <c r="H186" s="49"/>
      <c r="I186" s="49"/>
      <c r="J186" s="49"/>
      <c r="K186" s="49"/>
      <c r="L186" s="41"/>
      <c r="M186" s="41"/>
      <c r="N186" s="41"/>
      <c r="O186" s="41"/>
      <c r="P186" s="43"/>
      <c r="Q186" s="41"/>
      <c r="R186" s="41"/>
      <c r="S186" s="41"/>
      <c r="T186" s="41"/>
      <c r="U186" s="47"/>
      <c r="V186" s="41"/>
      <c r="W186" s="48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</row>
    <row r="187" spans="1:45">
      <c r="A187" s="38"/>
      <c r="B187" s="38"/>
      <c r="C187" s="38"/>
      <c r="D187" s="38"/>
      <c r="E187" s="49"/>
      <c r="F187" s="49"/>
      <c r="G187" s="38"/>
      <c r="H187" s="49"/>
      <c r="I187" s="49"/>
      <c r="J187" s="49"/>
      <c r="K187" s="49"/>
      <c r="L187" s="41"/>
      <c r="M187" s="41"/>
      <c r="N187" s="41"/>
      <c r="O187" s="41"/>
      <c r="P187" s="43"/>
      <c r="Q187" s="41"/>
      <c r="R187" s="41"/>
      <c r="S187" s="41"/>
      <c r="T187" s="41"/>
      <c r="U187" s="47"/>
      <c r="V187" s="41"/>
      <c r="W187" s="48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</row>
    <row r="188" spans="1:45">
      <c r="A188" s="38"/>
      <c r="B188" s="38"/>
      <c r="C188" s="38"/>
      <c r="D188" s="38"/>
      <c r="E188" s="49"/>
      <c r="F188" s="49"/>
      <c r="G188" s="38"/>
      <c r="H188" s="49"/>
      <c r="I188" s="49"/>
      <c r="J188" s="49"/>
      <c r="K188" s="49"/>
      <c r="L188" s="41"/>
      <c r="M188" s="41"/>
      <c r="N188" s="41"/>
      <c r="O188" s="41"/>
      <c r="P188" s="43"/>
      <c r="Q188" s="41"/>
      <c r="R188" s="41"/>
      <c r="S188" s="41"/>
      <c r="T188" s="41"/>
      <c r="U188" s="47"/>
      <c r="V188" s="41"/>
      <c r="W188" s="48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</row>
    <row r="189" spans="1:45">
      <c r="A189" s="38"/>
      <c r="B189" s="38"/>
      <c r="C189" s="38"/>
      <c r="D189" s="38"/>
      <c r="E189" s="49"/>
      <c r="F189" s="49"/>
      <c r="G189" s="38"/>
      <c r="H189" s="49"/>
      <c r="I189" s="49"/>
      <c r="J189" s="49"/>
      <c r="K189" s="49"/>
      <c r="L189" s="41"/>
      <c r="M189" s="41"/>
      <c r="N189" s="41"/>
      <c r="O189" s="41"/>
      <c r="P189" s="43"/>
      <c r="Q189" s="41"/>
      <c r="R189" s="41"/>
      <c r="S189" s="41"/>
      <c r="T189" s="41"/>
      <c r="U189" s="47"/>
      <c r="V189" s="41"/>
      <c r="W189" s="48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</row>
    <row r="190" spans="1:45">
      <c r="A190" s="38"/>
      <c r="B190" s="38"/>
      <c r="C190" s="38"/>
      <c r="D190" s="38"/>
      <c r="E190" s="49"/>
      <c r="F190" s="49"/>
      <c r="G190" s="38"/>
      <c r="H190" s="49"/>
      <c r="I190" s="49"/>
      <c r="J190" s="49"/>
      <c r="K190" s="49"/>
      <c r="L190" s="41"/>
      <c r="M190" s="41"/>
      <c r="N190" s="41"/>
      <c r="O190" s="41"/>
      <c r="P190" s="43"/>
      <c r="Q190" s="41"/>
      <c r="R190" s="41"/>
      <c r="S190" s="41"/>
      <c r="T190" s="41"/>
      <c r="U190" s="47"/>
      <c r="V190" s="41"/>
      <c r="W190" s="48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</row>
    <row r="191" spans="1:45">
      <c r="A191" s="38"/>
      <c r="B191" s="38"/>
      <c r="C191" s="38"/>
      <c r="D191" s="38"/>
      <c r="E191" s="49"/>
      <c r="F191" s="49"/>
      <c r="G191" s="38"/>
      <c r="H191" s="49"/>
      <c r="I191" s="49"/>
      <c r="J191" s="49"/>
      <c r="K191" s="49"/>
      <c r="L191" s="41"/>
      <c r="M191" s="41"/>
      <c r="N191" s="41"/>
      <c r="O191" s="41"/>
      <c r="P191" s="43"/>
      <c r="Q191" s="41"/>
      <c r="R191" s="41"/>
      <c r="S191" s="41"/>
      <c r="T191" s="41"/>
      <c r="U191" s="47"/>
      <c r="V191" s="41"/>
      <c r="W191" s="48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</row>
    <row r="192" spans="1:45">
      <c r="A192" s="38"/>
      <c r="B192" s="38"/>
      <c r="C192" s="38"/>
      <c r="D192" s="38"/>
      <c r="E192" s="49"/>
      <c r="F192" s="49"/>
      <c r="G192" s="38"/>
      <c r="H192" s="49"/>
      <c r="I192" s="49"/>
      <c r="J192" s="49"/>
      <c r="K192" s="49"/>
      <c r="L192" s="41"/>
      <c r="M192" s="41"/>
      <c r="N192" s="41"/>
      <c r="O192" s="41"/>
      <c r="P192" s="43"/>
      <c r="Q192" s="41"/>
      <c r="R192" s="41"/>
      <c r="S192" s="41"/>
      <c r="T192" s="41"/>
      <c r="U192" s="47"/>
      <c r="V192" s="41"/>
      <c r="W192" s="48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</row>
    <row r="193" spans="1:45">
      <c r="A193" s="38"/>
      <c r="B193" s="38"/>
      <c r="C193" s="38"/>
      <c r="D193" s="38"/>
      <c r="E193" s="49"/>
      <c r="F193" s="49"/>
      <c r="G193" s="38"/>
      <c r="H193" s="49"/>
      <c r="I193" s="49"/>
      <c r="J193" s="49"/>
      <c r="K193" s="49"/>
      <c r="L193" s="41"/>
      <c r="M193" s="41"/>
      <c r="N193" s="41"/>
      <c r="O193" s="41"/>
      <c r="P193" s="43"/>
      <c r="Q193" s="41"/>
      <c r="R193" s="41"/>
      <c r="S193" s="41"/>
      <c r="T193" s="41"/>
      <c r="U193" s="47"/>
      <c r="V193" s="41"/>
      <c r="W193" s="48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</row>
    <row r="194" spans="1:45">
      <c r="A194" s="38"/>
      <c r="B194" s="38"/>
      <c r="C194" s="38"/>
      <c r="D194" s="38"/>
      <c r="E194" s="49"/>
      <c r="F194" s="49"/>
      <c r="G194" s="38"/>
      <c r="H194" s="49"/>
      <c r="I194" s="49"/>
      <c r="J194" s="49"/>
      <c r="K194" s="49"/>
      <c r="L194" s="41"/>
      <c r="M194" s="41"/>
      <c r="N194" s="41"/>
      <c r="O194" s="41"/>
      <c r="P194" s="43"/>
      <c r="Q194" s="41"/>
      <c r="R194" s="41"/>
      <c r="S194" s="41"/>
      <c r="T194" s="41"/>
      <c r="U194" s="47"/>
      <c r="V194" s="41"/>
      <c r="W194" s="48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</row>
    <row r="195" spans="1:45">
      <c r="A195" s="38"/>
      <c r="B195" s="38"/>
      <c r="C195" s="38"/>
      <c r="D195" s="38"/>
      <c r="E195" s="49"/>
      <c r="F195" s="49"/>
      <c r="G195" s="38"/>
      <c r="H195" s="49"/>
      <c r="I195" s="49"/>
      <c r="J195" s="49"/>
      <c r="K195" s="49"/>
      <c r="L195" s="41"/>
      <c r="M195" s="41"/>
      <c r="N195" s="41"/>
      <c r="O195" s="41"/>
      <c r="P195" s="43"/>
      <c r="Q195" s="41"/>
      <c r="R195" s="41"/>
      <c r="S195" s="41"/>
      <c r="T195" s="41"/>
      <c r="U195" s="47"/>
      <c r="V195" s="41"/>
      <c r="W195" s="48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</row>
    <row r="196" spans="1:45">
      <c r="A196" s="38"/>
      <c r="B196" s="38"/>
      <c r="C196" s="38"/>
      <c r="D196" s="38"/>
      <c r="E196" s="49"/>
      <c r="F196" s="49"/>
      <c r="G196" s="38"/>
      <c r="H196" s="49"/>
      <c r="I196" s="49"/>
      <c r="J196" s="49"/>
      <c r="K196" s="49"/>
      <c r="L196" s="41"/>
      <c r="M196" s="41"/>
      <c r="N196" s="41"/>
      <c r="O196" s="41"/>
      <c r="P196" s="43"/>
      <c r="Q196" s="41"/>
      <c r="R196" s="41"/>
      <c r="S196" s="41"/>
      <c r="T196" s="41"/>
      <c r="U196" s="47"/>
      <c r="V196" s="41"/>
      <c r="W196" s="48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</row>
    <row r="197" spans="1:45">
      <c r="A197" s="38"/>
      <c r="B197" s="38"/>
      <c r="C197" s="38"/>
      <c r="D197" s="38"/>
      <c r="E197" s="49"/>
      <c r="F197" s="49"/>
      <c r="G197" s="38"/>
      <c r="H197" s="49"/>
      <c r="I197" s="49"/>
      <c r="J197" s="49"/>
      <c r="K197" s="49"/>
      <c r="L197" s="41"/>
      <c r="M197" s="41"/>
      <c r="N197" s="41"/>
      <c r="O197" s="41"/>
      <c r="P197" s="43"/>
      <c r="Q197" s="41"/>
      <c r="R197" s="41"/>
      <c r="S197" s="41"/>
      <c r="T197" s="41"/>
      <c r="U197" s="47"/>
      <c r="V197" s="41"/>
      <c r="W197" s="48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</row>
    <row r="198" spans="1:45">
      <c r="A198" s="38"/>
      <c r="B198" s="38"/>
      <c r="C198" s="38"/>
      <c r="D198" s="38"/>
      <c r="E198" s="49"/>
      <c r="F198" s="49"/>
      <c r="G198" s="38"/>
      <c r="H198" s="49"/>
      <c r="I198" s="49"/>
      <c r="J198" s="49"/>
      <c r="K198" s="49"/>
      <c r="L198" s="41"/>
      <c r="M198" s="41"/>
      <c r="N198" s="41"/>
      <c r="O198" s="41"/>
      <c r="P198" s="43"/>
      <c r="Q198" s="41"/>
      <c r="R198" s="41"/>
      <c r="S198" s="41"/>
      <c r="T198" s="41"/>
      <c r="U198" s="47"/>
      <c r="V198" s="41"/>
      <c r="W198" s="48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</row>
    <row r="199" spans="1:45">
      <c r="A199" s="38"/>
      <c r="B199" s="38"/>
      <c r="C199" s="38"/>
      <c r="D199" s="38"/>
      <c r="E199" s="49"/>
      <c r="F199" s="49"/>
      <c r="G199" s="38"/>
      <c r="H199" s="49"/>
      <c r="I199" s="49"/>
      <c r="J199" s="49"/>
      <c r="K199" s="49"/>
      <c r="L199" s="41"/>
      <c r="M199" s="41"/>
      <c r="N199" s="41"/>
      <c r="O199" s="41"/>
      <c r="P199" s="43"/>
      <c r="Q199" s="41"/>
      <c r="R199" s="41"/>
      <c r="S199" s="41"/>
      <c r="T199" s="41"/>
      <c r="U199" s="47"/>
      <c r="V199" s="41"/>
      <c r="W199" s="48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</row>
    <row r="200" spans="1:45">
      <c r="A200" s="38"/>
      <c r="B200" s="38"/>
      <c r="C200" s="38"/>
      <c r="D200" s="38"/>
      <c r="E200" s="49"/>
      <c r="F200" s="49"/>
      <c r="G200" s="38"/>
      <c r="H200" s="49"/>
      <c r="I200" s="49"/>
      <c r="J200" s="49"/>
      <c r="K200" s="49"/>
      <c r="L200" s="41"/>
      <c r="M200" s="41"/>
      <c r="N200" s="41"/>
      <c r="O200" s="41"/>
      <c r="P200" s="43"/>
      <c r="Q200" s="41"/>
      <c r="R200" s="41"/>
      <c r="S200" s="41"/>
      <c r="T200" s="41"/>
      <c r="U200" s="47"/>
      <c r="V200" s="41"/>
      <c r="W200" s="48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</row>
    <row r="201" spans="1:45">
      <c r="A201" s="38"/>
      <c r="B201" s="38"/>
      <c r="C201" s="38"/>
      <c r="D201" s="38"/>
      <c r="E201" s="49"/>
      <c r="F201" s="49"/>
      <c r="G201" s="38"/>
      <c r="H201" s="49"/>
      <c r="I201" s="49"/>
      <c r="J201" s="49"/>
      <c r="K201" s="49"/>
      <c r="L201" s="41"/>
      <c r="M201" s="41"/>
      <c r="N201" s="41"/>
      <c r="O201" s="41"/>
      <c r="P201" s="43"/>
      <c r="Q201" s="41"/>
      <c r="R201" s="41"/>
      <c r="S201" s="41"/>
      <c r="T201" s="41"/>
      <c r="U201" s="47"/>
      <c r="V201" s="41"/>
      <c r="W201" s="48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</row>
    <row r="202" spans="1:45">
      <c r="A202" s="38"/>
      <c r="B202" s="38"/>
      <c r="C202" s="38"/>
      <c r="D202" s="38"/>
      <c r="E202" s="49"/>
      <c r="F202" s="49"/>
      <c r="G202" s="38"/>
      <c r="H202" s="49"/>
      <c r="I202" s="49"/>
      <c r="J202" s="49"/>
      <c r="K202" s="49"/>
      <c r="L202" s="41"/>
      <c r="M202" s="41"/>
      <c r="N202" s="41"/>
      <c r="O202" s="41"/>
      <c r="P202" s="43"/>
      <c r="Q202" s="41"/>
      <c r="R202" s="41"/>
      <c r="S202" s="41"/>
      <c r="T202" s="41"/>
      <c r="U202" s="47"/>
      <c r="V202" s="41"/>
      <c r="W202" s="48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</row>
    <row r="203" spans="1:45">
      <c r="A203" s="38"/>
      <c r="B203" s="38"/>
      <c r="C203" s="38"/>
      <c r="D203" s="38"/>
      <c r="E203" s="49"/>
      <c r="F203" s="49"/>
      <c r="G203" s="38"/>
      <c r="H203" s="49"/>
      <c r="I203" s="49"/>
      <c r="J203" s="49"/>
      <c r="K203" s="49"/>
      <c r="L203" s="41"/>
      <c r="M203" s="41"/>
      <c r="N203" s="41"/>
      <c r="O203" s="41"/>
      <c r="P203" s="43"/>
      <c r="Q203" s="41"/>
      <c r="R203" s="41"/>
      <c r="S203" s="41"/>
      <c r="T203" s="41"/>
      <c r="U203" s="47"/>
      <c r="V203" s="41"/>
      <c r="W203" s="48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</row>
    <row r="204" spans="1:45">
      <c r="A204" s="38"/>
      <c r="B204" s="38"/>
      <c r="C204" s="38"/>
      <c r="D204" s="38"/>
      <c r="E204" s="49"/>
      <c r="F204" s="49"/>
      <c r="G204" s="38"/>
      <c r="H204" s="49"/>
      <c r="I204" s="49"/>
      <c r="J204" s="49"/>
      <c r="K204" s="49"/>
      <c r="L204" s="41"/>
      <c r="M204" s="41"/>
      <c r="N204" s="41"/>
      <c r="O204" s="41"/>
      <c r="P204" s="43"/>
      <c r="Q204" s="41"/>
      <c r="R204" s="41"/>
      <c r="S204" s="41"/>
      <c r="T204" s="41"/>
      <c r="U204" s="47"/>
      <c r="V204" s="41"/>
      <c r="W204" s="48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</row>
    <row r="205" spans="1:45">
      <c r="A205" s="38"/>
      <c r="B205" s="38"/>
      <c r="C205" s="38"/>
      <c r="D205" s="38"/>
      <c r="E205" s="49"/>
      <c r="F205" s="49"/>
      <c r="G205" s="38"/>
      <c r="H205" s="49"/>
      <c r="I205" s="49"/>
      <c r="J205" s="49"/>
      <c r="K205" s="49"/>
      <c r="L205" s="41"/>
      <c r="M205" s="41"/>
      <c r="N205" s="41"/>
      <c r="O205" s="41"/>
      <c r="P205" s="43"/>
      <c r="Q205" s="41"/>
      <c r="R205" s="41"/>
      <c r="S205" s="41"/>
      <c r="T205" s="41"/>
      <c r="U205" s="47"/>
      <c r="V205" s="41"/>
      <c r="W205" s="48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</row>
    <row r="206" spans="1:45">
      <c r="A206" s="38"/>
      <c r="B206" s="38"/>
      <c r="C206" s="38"/>
      <c r="D206" s="38"/>
      <c r="E206" s="49"/>
      <c r="F206" s="49"/>
      <c r="G206" s="38"/>
      <c r="H206" s="49"/>
      <c r="I206" s="49"/>
      <c r="J206" s="49"/>
      <c r="K206" s="49"/>
      <c r="L206" s="41"/>
      <c r="M206" s="41"/>
      <c r="N206" s="41"/>
      <c r="O206" s="41"/>
      <c r="P206" s="43"/>
      <c r="Q206" s="41"/>
      <c r="R206" s="41"/>
      <c r="S206" s="41"/>
      <c r="T206" s="41"/>
      <c r="U206" s="47"/>
      <c r="V206" s="41"/>
      <c r="W206" s="48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</row>
    <row r="207" spans="1:45">
      <c r="A207" s="38"/>
      <c r="B207" s="38"/>
      <c r="C207" s="38"/>
      <c r="D207" s="38"/>
      <c r="E207" s="49"/>
      <c r="F207" s="49"/>
      <c r="G207" s="38"/>
      <c r="H207" s="49"/>
      <c r="I207" s="49"/>
      <c r="J207" s="49"/>
      <c r="K207" s="49"/>
      <c r="L207" s="41"/>
      <c r="M207" s="41"/>
      <c r="N207" s="41"/>
      <c r="O207" s="41"/>
      <c r="P207" s="43"/>
      <c r="Q207" s="41"/>
      <c r="R207" s="41"/>
      <c r="S207" s="41"/>
      <c r="T207" s="41"/>
      <c r="U207" s="47"/>
      <c r="V207" s="41"/>
      <c r="W207" s="48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</row>
    <row r="208" spans="1:45">
      <c r="A208" s="38"/>
      <c r="B208" s="38"/>
      <c r="C208" s="38"/>
      <c r="D208" s="38"/>
      <c r="E208" s="49"/>
      <c r="F208" s="49"/>
      <c r="G208" s="38"/>
      <c r="H208" s="49"/>
      <c r="I208" s="49"/>
      <c r="J208" s="49"/>
      <c r="K208" s="49"/>
      <c r="L208" s="41"/>
      <c r="M208" s="41"/>
      <c r="N208" s="41"/>
      <c r="O208" s="41"/>
      <c r="P208" s="43"/>
      <c r="Q208" s="41"/>
      <c r="R208" s="41"/>
      <c r="S208" s="41"/>
      <c r="T208" s="41"/>
      <c r="U208" s="47"/>
      <c r="V208" s="41"/>
      <c r="W208" s="48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</row>
    <row r="209" spans="1:45">
      <c r="A209" s="38"/>
      <c r="B209" s="38"/>
      <c r="C209" s="38"/>
      <c r="D209" s="38"/>
      <c r="E209" s="49"/>
      <c r="F209" s="49"/>
      <c r="G209" s="38"/>
      <c r="H209" s="49"/>
      <c r="I209" s="49"/>
      <c r="J209" s="49"/>
      <c r="K209" s="49"/>
      <c r="L209" s="41"/>
      <c r="M209" s="41"/>
      <c r="N209" s="41"/>
      <c r="O209" s="41"/>
      <c r="P209" s="43"/>
      <c r="Q209" s="41"/>
      <c r="R209" s="41"/>
      <c r="S209" s="41"/>
      <c r="T209" s="41"/>
      <c r="U209" s="47"/>
      <c r="V209" s="41"/>
      <c r="W209" s="48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</row>
    <row r="210" spans="1:45">
      <c r="A210" s="38"/>
      <c r="B210" s="38"/>
      <c r="C210" s="38"/>
      <c r="D210" s="38"/>
      <c r="E210" s="49"/>
      <c r="F210" s="49"/>
      <c r="G210" s="38"/>
      <c r="H210" s="49"/>
      <c r="I210" s="49"/>
      <c r="J210" s="49"/>
      <c r="K210" s="49"/>
      <c r="L210" s="41"/>
      <c r="M210" s="41"/>
      <c r="N210" s="41"/>
      <c r="O210" s="41"/>
      <c r="P210" s="43"/>
      <c r="Q210" s="41"/>
      <c r="R210" s="41"/>
      <c r="S210" s="41"/>
      <c r="T210" s="41"/>
      <c r="U210" s="47"/>
      <c r="V210" s="41"/>
      <c r="W210" s="48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</row>
    <row r="211" spans="1:45">
      <c r="A211" s="38"/>
      <c r="B211" s="38"/>
      <c r="C211" s="38"/>
      <c r="D211" s="38"/>
      <c r="E211" s="49"/>
      <c r="F211" s="49"/>
      <c r="G211" s="38"/>
      <c r="H211" s="49"/>
      <c r="I211" s="49"/>
      <c r="J211" s="49"/>
      <c r="K211" s="49"/>
      <c r="L211" s="41"/>
      <c r="M211" s="41"/>
      <c r="N211" s="41"/>
      <c r="O211" s="41"/>
      <c r="P211" s="43"/>
      <c r="Q211" s="41"/>
      <c r="R211" s="41"/>
      <c r="S211" s="41"/>
      <c r="T211" s="41"/>
      <c r="U211" s="47"/>
      <c r="V211" s="41"/>
      <c r="W211" s="48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</row>
    <row r="212" spans="1:45">
      <c r="A212" s="38"/>
      <c r="B212" s="38"/>
      <c r="C212" s="38"/>
      <c r="D212" s="38"/>
      <c r="E212" s="49"/>
      <c r="F212" s="49"/>
      <c r="G212" s="38"/>
      <c r="H212" s="49"/>
      <c r="I212" s="49"/>
      <c r="J212" s="49"/>
      <c r="K212" s="49"/>
      <c r="L212" s="41"/>
      <c r="M212" s="41"/>
      <c r="N212" s="41"/>
      <c r="O212" s="41"/>
      <c r="P212" s="43"/>
      <c r="Q212" s="41"/>
      <c r="R212" s="41"/>
      <c r="S212" s="41"/>
      <c r="T212" s="41"/>
      <c r="U212" s="47"/>
      <c r="V212" s="41"/>
      <c r="W212" s="48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</row>
    <row r="213" spans="1:45">
      <c r="A213" s="38"/>
      <c r="B213" s="38"/>
      <c r="C213" s="38"/>
      <c r="D213" s="38"/>
      <c r="E213" s="49"/>
      <c r="F213" s="49"/>
      <c r="G213" s="38"/>
      <c r="H213" s="49"/>
      <c r="I213" s="49"/>
      <c r="J213" s="49"/>
      <c r="K213" s="49"/>
      <c r="L213" s="41"/>
      <c r="M213" s="41"/>
      <c r="N213" s="41"/>
      <c r="O213" s="41"/>
      <c r="P213" s="43"/>
      <c r="Q213" s="41"/>
      <c r="R213" s="41"/>
      <c r="S213" s="41"/>
      <c r="T213" s="41"/>
      <c r="U213" s="47"/>
      <c r="V213" s="41"/>
      <c r="W213" s="48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</row>
    <row r="214" spans="1:45">
      <c r="A214" s="38"/>
      <c r="B214" s="38"/>
      <c r="C214" s="38"/>
      <c r="D214" s="38"/>
      <c r="E214" s="49"/>
      <c r="F214" s="49"/>
      <c r="G214" s="38"/>
      <c r="H214" s="49"/>
      <c r="I214" s="49"/>
      <c r="J214" s="49"/>
      <c r="K214" s="49"/>
      <c r="L214" s="41"/>
      <c r="M214" s="41"/>
      <c r="N214" s="41"/>
      <c r="O214" s="41"/>
      <c r="P214" s="43"/>
      <c r="Q214" s="41"/>
      <c r="R214" s="41"/>
      <c r="S214" s="41"/>
      <c r="T214" s="41"/>
      <c r="U214" s="47"/>
      <c r="V214" s="41"/>
      <c r="W214" s="48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</row>
    <row r="215" spans="1:45">
      <c r="A215" s="38"/>
      <c r="B215" s="38"/>
      <c r="C215" s="38"/>
      <c r="D215" s="38"/>
      <c r="E215" s="49"/>
      <c r="F215" s="49"/>
      <c r="G215" s="38"/>
      <c r="H215" s="49"/>
      <c r="I215" s="49"/>
      <c r="J215" s="49"/>
      <c r="K215" s="49"/>
      <c r="L215" s="41"/>
      <c r="M215" s="41"/>
      <c r="N215" s="41"/>
      <c r="O215" s="41"/>
      <c r="P215" s="43"/>
      <c r="Q215" s="41"/>
      <c r="R215" s="41"/>
      <c r="S215" s="41"/>
      <c r="T215" s="41"/>
      <c r="U215" s="47"/>
      <c r="V215" s="41"/>
      <c r="W215" s="48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</row>
    <row r="216" spans="1:45">
      <c r="A216" s="38"/>
      <c r="B216" s="38"/>
      <c r="C216" s="38"/>
      <c r="D216" s="38"/>
      <c r="E216" s="49"/>
      <c r="F216" s="49"/>
      <c r="G216" s="38"/>
      <c r="H216" s="49"/>
      <c r="I216" s="49"/>
      <c r="J216" s="49"/>
      <c r="K216" s="49"/>
      <c r="L216" s="41"/>
      <c r="M216" s="41"/>
      <c r="N216" s="41"/>
      <c r="O216" s="41"/>
      <c r="P216" s="43"/>
      <c r="Q216" s="41"/>
      <c r="R216" s="41"/>
      <c r="S216" s="41"/>
      <c r="T216" s="41"/>
      <c r="U216" s="47"/>
      <c r="V216" s="41"/>
      <c r="W216" s="48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</row>
    <row r="217" spans="1:45">
      <c r="A217" s="38"/>
      <c r="B217" s="38"/>
      <c r="C217" s="38"/>
      <c r="D217" s="38"/>
      <c r="E217" s="49"/>
      <c r="F217" s="49"/>
      <c r="G217" s="38"/>
      <c r="H217" s="49"/>
      <c r="I217" s="49"/>
      <c r="J217" s="49"/>
      <c r="K217" s="49"/>
      <c r="L217" s="41"/>
      <c r="M217" s="41"/>
      <c r="N217" s="41"/>
      <c r="O217" s="41"/>
      <c r="P217" s="43"/>
      <c r="Q217" s="41"/>
      <c r="R217" s="41"/>
      <c r="S217" s="41"/>
      <c r="T217" s="41"/>
      <c r="U217" s="47"/>
      <c r="V217" s="41"/>
      <c r="W217" s="48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</row>
    <row r="218" spans="1:45">
      <c r="A218" s="38"/>
      <c r="B218" s="38"/>
      <c r="C218" s="38"/>
      <c r="D218" s="38"/>
      <c r="E218" s="49"/>
      <c r="F218" s="49"/>
      <c r="G218" s="38"/>
      <c r="H218" s="49"/>
      <c r="I218" s="49"/>
      <c r="J218" s="49"/>
      <c r="K218" s="49"/>
      <c r="L218" s="41"/>
      <c r="M218" s="41"/>
      <c r="N218" s="41"/>
      <c r="O218" s="41"/>
      <c r="P218" s="43"/>
      <c r="Q218" s="41"/>
      <c r="R218" s="41"/>
      <c r="S218" s="41"/>
      <c r="T218" s="41"/>
      <c r="U218" s="47"/>
      <c r="V218" s="41"/>
      <c r="W218" s="48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</row>
    <row r="219" spans="1:45">
      <c r="A219" s="38"/>
      <c r="B219" s="38"/>
      <c r="C219" s="38"/>
      <c r="D219" s="38"/>
      <c r="E219" s="49"/>
      <c r="F219" s="49"/>
      <c r="G219" s="38"/>
      <c r="H219" s="49"/>
      <c r="I219" s="49"/>
      <c r="J219" s="49"/>
      <c r="K219" s="49"/>
      <c r="L219" s="41"/>
      <c r="M219" s="41"/>
      <c r="N219" s="41"/>
      <c r="O219" s="41"/>
      <c r="P219" s="43"/>
      <c r="Q219" s="41"/>
      <c r="R219" s="41"/>
      <c r="S219" s="41"/>
      <c r="T219" s="41"/>
      <c r="U219" s="47"/>
      <c r="V219" s="41"/>
      <c r="W219" s="48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</row>
    <row r="220" spans="1:45">
      <c r="A220" s="38"/>
      <c r="B220" s="38"/>
      <c r="C220" s="38"/>
      <c r="D220" s="38"/>
      <c r="E220" s="49"/>
      <c r="F220" s="49"/>
      <c r="G220" s="38"/>
      <c r="H220" s="49"/>
      <c r="I220" s="49"/>
      <c r="J220" s="49"/>
      <c r="K220" s="49"/>
      <c r="L220" s="41"/>
      <c r="M220" s="41"/>
      <c r="N220" s="41"/>
      <c r="O220" s="41"/>
      <c r="P220" s="43"/>
      <c r="Q220" s="41"/>
      <c r="R220" s="41"/>
      <c r="S220" s="41"/>
      <c r="T220" s="41"/>
      <c r="U220" s="47"/>
      <c r="V220" s="41"/>
      <c r="W220" s="48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</row>
    <row r="221" spans="1:45">
      <c r="A221" s="38"/>
      <c r="B221" s="38"/>
      <c r="C221" s="38"/>
      <c r="D221" s="38"/>
      <c r="E221" s="49"/>
      <c r="F221" s="49"/>
      <c r="G221" s="38"/>
      <c r="H221" s="49"/>
      <c r="I221" s="49"/>
      <c r="J221" s="49"/>
      <c r="K221" s="49"/>
      <c r="L221" s="41"/>
      <c r="M221" s="41"/>
      <c r="N221" s="41"/>
      <c r="O221" s="41"/>
      <c r="P221" s="43"/>
      <c r="Q221" s="41"/>
      <c r="R221" s="41"/>
      <c r="S221" s="41"/>
      <c r="T221" s="41"/>
      <c r="U221" s="47"/>
      <c r="V221" s="41"/>
      <c r="W221" s="48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</row>
    <row r="222" spans="1:45">
      <c r="A222" s="38"/>
      <c r="B222" s="38"/>
      <c r="C222" s="38"/>
      <c r="D222" s="38"/>
      <c r="E222" s="49"/>
      <c r="F222" s="49"/>
      <c r="G222" s="38"/>
      <c r="H222" s="49"/>
      <c r="I222" s="49"/>
      <c r="J222" s="49"/>
      <c r="K222" s="49"/>
      <c r="L222" s="41"/>
      <c r="M222" s="41"/>
      <c r="N222" s="41"/>
      <c r="O222" s="41"/>
      <c r="P222" s="43"/>
      <c r="Q222" s="41"/>
      <c r="R222" s="41"/>
      <c r="S222" s="41"/>
      <c r="T222" s="41"/>
      <c r="U222" s="47"/>
      <c r="V222" s="41"/>
      <c r="W222" s="48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</row>
    <row r="223" spans="1:45">
      <c r="A223" s="38"/>
      <c r="B223" s="38"/>
      <c r="C223" s="38"/>
      <c r="D223" s="38"/>
      <c r="E223" s="49"/>
      <c r="F223" s="49"/>
      <c r="G223" s="38"/>
      <c r="H223" s="49"/>
      <c r="I223" s="49"/>
      <c r="J223" s="49"/>
      <c r="K223" s="49"/>
      <c r="L223" s="41"/>
      <c r="M223" s="41"/>
      <c r="N223" s="41"/>
      <c r="O223" s="41"/>
      <c r="P223" s="43"/>
      <c r="Q223" s="41"/>
      <c r="R223" s="41"/>
      <c r="S223" s="41"/>
      <c r="T223" s="41"/>
      <c r="U223" s="47"/>
      <c r="V223" s="41"/>
      <c r="W223" s="48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</row>
    <row r="224" spans="1:45">
      <c r="A224" s="38"/>
      <c r="B224" s="38"/>
      <c r="C224" s="38"/>
      <c r="D224" s="38"/>
      <c r="E224" s="49"/>
      <c r="F224" s="49"/>
      <c r="G224" s="38"/>
      <c r="H224" s="49"/>
      <c r="I224" s="49"/>
      <c r="J224" s="49"/>
      <c r="K224" s="49"/>
      <c r="L224" s="41"/>
      <c r="M224" s="41"/>
      <c r="N224" s="41"/>
      <c r="O224" s="41"/>
      <c r="P224" s="43"/>
      <c r="Q224" s="41"/>
      <c r="R224" s="41"/>
      <c r="S224" s="41"/>
      <c r="T224" s="41"/>
      <c r="U224" s="47"/>
      <c r="V224" s="41"/>
      <c r="W224" s="48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</row>
    <row r="225" spans="1:45">
      <c r="A225" s="38"/>
      <c r="B225" s="38"/>
      <c r="C225" s="38"/>
      <c r="D225" s="38"/>
      <c r="E225" s="49"/>
      <c r="F225" s="49"/>
      <c r="G225" s="38"/>
      <c r="H225" s="49"/>
      <c r="I225" s="49"/>
      <c r="J225" s="49"/>
      <c r="K225" s="49"/>
      <c r="L225" s="41"/>
      <c r="M225" s="41"/>
      <c r="N225" s="41"/>
      <c r="O225" s="41"/>
      <c r="P225" s="43"/>
      <c r="Q225" s="41"/>
      <c r="R225" s="41"/>
      <c r="S225" s="41"/>
      <c r="T225" s="41"/>
      <c r="U225" s="47"/>
      <c r="V225" s="41"/>
      <c r="W225" s="48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</row>
    <row r="226" spans="1:45">
      <c r="A226" s="38"/>
      <c r="B226" s="38"/>
      <c r="C226" s="38"/>
      <c r="D226" s="38"/>
      <c r="E226" s="49"/>
      <c r="F226" s="49"/>
      <c r="G226" s="38"/>
      <c r="H226" s="49"/>
      <c r="I226" s="49"/>
      <c r="J226" s="49"/>
      <c r="K226" s="49"/>
      <c r="L226" s="41"/>
      <c r="M226" s="41"/>
      <c r="N226" s="41"/>
      <c r="O226" s="41"/>
      <c r="P226" s="43"/>
      <c r="Q226" s="41"/>
      <c r="R226" s="41"/>
      <c r="S226" s="41"/>
      <c r="T226" s="41"/>
      <c r="U226" s="47"/>
      <c r="V226" s="41"/>
      <c r="W226" s="48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</row>
    <row r="227" spans="1:45">
      <c r="A227" s="38"/>
      <c r="B227" s="38"/>
      <c r="C227" s="38"/>
      <c r="D227" s="38"/>
      <c r="E227" s="49"/>
      <c r="F227" s="49"/>
      <c r="G227" s="38"/>
      <c r="H227" s="49"/>
      <c r="I227" s="49"/>
      <c r="J227" s="49"/>
      <c r="K227" s="49"/>
      <c r="L227" s="41"/>
      <c r="M227" s="41"/>
      <c r="N227" s="41"/>
      <c r="O227" s="41"/>
      <c r="P227" s="43"/>
      <c r="Q227" s="41"/>
      <c r="R227" s="41"/>
      <c r="S227" s="41"/>
      <c r="T227" s="41"/>
      <c r="U227" s="47"/>
      <c r="V227" s="41"/>
      <c r="W227" s="48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</row>
    <row r="228" spans="1:45">
      <c r="A228" s="38"/>
      <c r="B228" s="38"/>
      <c r="C228" s="38"/>
      <c r="D228" s="38"/>
      <c r="E228" s="49"/>
      <c r="F228" s="49"/>
      <c r="G228" s="38"/>
      <c r="H228" s="49"/>
      <c r="I228" s="49"/>
      <c r="J228" s="49"/>
      <c r="K228" s="49"/>
      <c r="L228" s="41"/>
      <c r="M228" s="41"/>
      <c r="N228" s="41"/>
      <c r="O228" s="41"/>
      <c r="P228" s="43"/>
      <c r="Q228" s="41"/>
      <c r="R228" s="41"/>
      <c r="S228" s="41"/>
      <c r="T228" s="41"/>
      <c r="U228" s="47"/>
      <c r="V228" s="41"/>
      <c r="W228" s="48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</row>
    <row r="229" spans="1:45">
      <c r="A229" s="38"/>
      <c r="B229" s="38"/>
      <c r="C229" s="38"/>
      <c r="D229" s="38"/>
      <c r="E229" s="49"/>
      <c r="F229" s="49"/>
      <c r="G229" s="38"/>
      <c r="H229" s="49"/>
      <c r="I229" s="49"/>
      <c r="J229" s="49"/>
      <c r="K229" s="49"/>
      <c r="L229" s="41"/>
      <c r="M229" s="41"/>
      <c r="N229" s="41"/>
      <c r="O229" s="41"/>
      <c r="P229" s="43"/>
      <c r="Q229" s="41"/>
      <c r="R229" s="41"/>
      <c r="S229" s="41"/>
      <c r="T229" s="41"/>
      <c r="U229" s="47"/>
      <c r="V229" s="41"/>
      <c r="W229" s="48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</row>
    <row r="230" spans="1:45">
      <c r="A230" s="38"/>
      <c r="B230" s="38"/>
      <c r="C230" s="38"/>
      <c r="D230" s="38"/>
      <c r="E230" s="49"/>
      <c r="F230" s="49"/>
      <c r="G230" s="38"/>
      <c r="H230" s="49"/>
      <c r="I230" s="49"/>
      <c r="J230" s="49"/>
      <c r="K230" s="49"/>
      <c r="L230" s="41"/>
      <c r="M230" s="41"/>
      <c r="N230" s="41"/>
      <c r="O230" s="41"/>
      <c r="P230" s="43"/>
      <c r="Q230" s="41"/>
      <c r="R230" s="41"/>
      <c r="S230" s="41"/>
      <c r="T230" s="41"/>
      <c r="U230" s="47"/>
      <c r="V230" s="41"/>
      <c r="W230" s="48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</row>
    <row r="231" spans="1:45">
      <c r="A231" s="38"/>
      <c r="B231" s="38"/>
      <c r="C231" s="38"/>
      <c r="D231" s="38"/>
      <c r="E231" s="49"/>
      <c r="F231" s="49"/>
      <c r="G231" s="38"/>
      <c r="H231" s="49"/>
      <c r="I231" s="49"/>
      <c r="J231" s="49"/>
      <c r="K231" s="49"/>
      <c r="L231" s="41"/>
      <c r="M231" s="41"/>
      <c r="N231" s="41"/>
      <c r="O231" s="41"/>
      <c r="P231" s="43"/>
      <c r="Q231" s="41"/>
      <c r="R231" s="41"/>
      <c r="S231" s="41"/>
      <c r="T231" s="41"/>
      <c r="U231" s="47"/>
      <c r="V231" s="41"/>
      <c r="W231" s="48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</row>
    <row r="232" spans="1:45">
      <c r="A232" s="38"/>
      <c r="B232" s="38"/>
      <c r="C232" s="38"/>
      <c r="D232" s="38"/>
      <c r="E232" s="49"/>
      <c r="F232" s="49"/>
      <c r="G232" s="38"/>
      <c r="H232" s="49"/>
      <c r="I232" s="49"/>
      <c r="J232" s="49"/>
      <c r="K232" s="49"/>
      <c r="L232" s="41"/>
      <c r="M232" s="41"/>
      <c r="N232" s="41"/>
      <c r="O232" s="41"/>
      <c r="P232" s="43"/>
      <c r="Q232" s="41"/>
      <c r="R232" s="41"/>
      <c r="S232" s="41"/>
      <c r="T232" s="41"/>
      <c r="U232" s="47"/>
      <c r="V232" s="41"/>
      <c r="W232" s="48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</row>
    <row r="233" spans="1:45">
      <c r="A233" s="38"/>
      <c r="B233" s="38"/>
      <c r="C233" s="38"/>
      <c r="D233" s="38"/>
      <c r="E233" s="49"/>
      <c r="F233" s="49"/>
      <c r="G233" s="38"/>
      <c r="H233" s="49"/>
      <c r="I233" s="49"/>
      <c r="J233" s="49"/>
      <c r="K233" s="49"/>
      <c r="L233" s="41"/>
      <c r="M233" s="41"/>
      <c r="N233" s="41"/>
      <c r="O233" s="41"/>
      <c r="P233" s="43"/>
      <c r="Q233" s="41"/>
      <c r="R233" s="41"/>
      <c r="S233" s="41"/>
      <c r="T233" s="41"/>
      <c r="U233" s="47"/>
      <c r="V233" s="41"/>
      <c r="W233" s="48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</row>
    <row r="234" spans="1:45">
      <c r="A234" s="38"/>
      <c r="B234" s="38"/>
      <c r="C234" s="38"/>
      <c r="D234" s="38"/>
      <c r="E234" s="49"/>
      <c r="F234" s="49"/>
      <c r="G234" s="38"/>
      <c r="H234" s="49"/>
      <c r="I234" s="49"/>
      <c r="J234" s="49"/>
      <c r="K234" s="49"/>
      <c r="L234" s="41"/>
      <c r="M234" s="41"/>
      <c r="N234" s="41"/>
      <c r="O234" s="41"/>
      <c r="P234" s="43"/>
      <c r="Q234" s="41"/>
      <c r="R234" s="41"/>
      <c r="S234" s="41"/>
      <c r="T234" s="41"/>
      <c r="U234" s="47"/>
      <c r="V234" s="41"/>
      <c r="W234" s="48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</row>
    <row r="235" spans="1:45">
      <c r="A235" s="38"/>
      <c r="B235" s="38"/>
      <c r="C235" s="38"/>
      <c r="D235" s="38"/>
      <c r="E235" s="49"/>
      <c r="F235" s="49"/>
      <c r="G235" s="38"/>
      <c r="H235" s="49"/>
      <c r="I235" s="49"/>
      <c r="J235" s="49"/>
      <c r="K235" s="49"/>
      <c r="L235" s="41"/>
      <c r="M235" s="41"/>
      <c r="N235" s="41"/>
      <c r="O235" s="41"/>
      <c r="P235" s="43"/>
      <c r="Q235" s="41"/>
      <c r="R235" s="41"/>
      <c r="S235" s="41"/>
      <c r="T235" s="41"/>
      <c r="U235" s="47"/>
      <c r="V235" s="41"/>
      <c r="W235" s="48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</row>
    <row r="236" spans="1:45">
      <c r="A236" s="38"/>
      <c r="B236" s="38"/>
      <c r="C236" s="38"/>
      <c r="D236" s="38"/>
      <c r="E236" s="49"/>
      <c r="F236" s="49"/>
      <c r="G236" s="38"/>
      <c r="H236" s="49"/>
      <c r="I236" s="49"/>
      <c r="J236" s="49"/>
      <c r="K236" s="49"/>
      <c r="L236" s="41"/>
      <c r="M236" s="41"/>
      <c r="N236" s="41"/>
      <c r="O236" s="41"/>
      <c r="P236" s="43"/>
      <c r="Q236" s="41"/>
      <c r="R236" s="41"/>
      <c r="S236" s="41"/>
      <c r="T236" s="41"/>
      <c r="U236" s="47"/>
      <c r="V236" s="41"/>
      <c r="W236" s="48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</row>
    <row r="237" spans="1:45">
      <c r="A237" s="38"/>
      <c r="B237" s="38"/>
      <c r="C237" s="38"/>
      <c r="D237" s="38"/>
      <c r="E237" s="49"/>
      <c r="F237" s="49"/>
      <c r="G237" s="38"/>
      <c r="H237" s="49"/>
      <c r="I237" s="49"/>
      <c r="J237" s="49"/>
      <c r="K237" s="49"/>
      <c r="L237" s="41"/>
      <c r="M237" s="41"/>
      <c r="N237" s="41"/>
      <c r="O237" s="41"/>
      <c r="P237" s="43"/>
      <c r="Q237" s="41"/>
      <c r="R237" s="41"/>
      <c r="S237" s="41"/>
      <c r="T237" s="41"/>
      <c r="U237" s="47"/>
      <c r="V237" s="41"/>
      <c r="W237" s="48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</row>
    <row r="238" spans="1:45">
      <c r="A238" s="38"/>
      <c r="B238" s="38"/>
      <c r="C238" s="38"/>
      <c r="D238" s="38"/>
      <c r="E238" s="49"/>
      <c r="F238" s="49"/>
      <c r="G238" s="38"/>
      <c r="H238" s="49"/>
      <c r="I238" s="49"/>
      <c r="J238" s="49"/>
      <c r="K238" s="49"/>
      <c r="L238" s="41"/>
      <c r="M238" s="41"/>
      <c r="N238" s="41"/>
      <c r="O238" s="41"/>
      <c r="P238" s="43"/>
      <c r="Q238" s="41"/>
      <c r="R238" s="41"/>
      <c r="S238" s="41"/>
      <c r="T238" s="41"/>
      <c r="U238" s="47"/>
      <c r="V238" s="41"/>
      <c r="W238" s="48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</row>
    <row r="239" spans="1:45">
      <c r="A239" s="38"/>
      <c r="B239" s="38"/>
      <c r="C239" s="38"/>
      <c r="D239" s="38"/>
      <c r="E239" s="49"/>
      <c r="F239" s="49"/>
      <c r="G239" s="38"/>
      <c r="H239" s="49"/>
      <c r="I239" s="49"/>
      <c r="J239" s="49"/>
      <c r="K239" s="49"/>
      <c r="L239" s="41"/>
      <c r="M239" s="41"/>
      <c r="N239" s="41"/>
      <c r="O239" s="41"/>
      <c r="P239" s="43"/>
      <c r="Q239" s="41"/>
      <c r="R239" s="41"/>
      <c r="S239" s="41"/>
      <c r="T239" s="41"/>
      <c r="U239" s="47"/>
      <c r="V239" s="41"/>
      <c r="W239" s="48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</row>
    <row r="240" spans="1:45">
      <c r="A240" s="38"/>
      <c r="B240" s="38"/>
      <c r="C240" s="38"/>
      <c r="D240" s="38"/>
      <c r="E240" s="49"/>
      <c r="F240" s="49"/>
      <c r="G240" s="38"/>
      <c r="H240" s="49"/>
      <c r="I240" s="49"/>
      <c r="J240" s="49"/>
      <c r="K240" s="49"/>
      <c r="L240" s="41"/>
      <c r="M240" s="41"/>
      <c r="N240" s="41"/>
      <c r="O240" s="41"/>
      <c r="P240" s="43"/>
      <c r="Q240" s="41"/>
      <c r="R240" s="41"/>
      <c r="S240" s="41"/>
      <c r="T240" s="41"/>
      <c r="U240" s="47"/>
      <c r="V240" s="41"/>
      <c r="W240" s="48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</row>
    <row r="241" spans="1:45">
      <c r="A241" s="38"/>
      <c r="B241" s="38"/>
      <c r="C241" s="38"/>
      <c r="D241" s="38"/>
      <c r="E241" s="49"/>
      <c r="F241" s="49"/>
      <c r="G241" s="38"/>
      <c r="H241" s="49"/>
      <c r="I241" s="49"/>
      <c r="J241" s="49"/>
      <c r="K241" s="49"/>
      <c r="L241" s="41"/>
      <c r="M241" s="41"/>
      <c r="N241" s="41"/>
      <c r="O241" s="41"/>
      <c r="P241" s="43"/>
      <c r="Q241" s="41"/>
      <c r="R241" s="41"/>
      <c r="S241" s="41"/>
      <c r="T241" s="41"/>
      <c r="U241" s="47"/>
      <c r="V241" s="41"/>
      <c r="W241" s="48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</row>
    <row r="242" spans="1:45">
      <c r="A242" s="38"/>
      <c r="B242" s="38"/>
      <c r="C242" s="38"/>
      <c r="D242" s="38"/>
      <c r="E242" s="49"/>
      <c r="F242" s="49"/>
      <c r="G242" s="38"/>
      <c r="H242" s="49"/>
      <c r="I242" s="49"/>
      <c r="J242" s="49"/>
      <c r="K242" s="49"/>
      <c r="L242" s="41"/>
      <c r="M242" s="41"/>
      <c r="N242" s="41"/>
      <c r="O242" s="41"/>
      <c r="P242" s="43"/>
      <c r="Q242" s="41"/>
      <c r="R242" s="41"/>
      <c r="S242" s="41"/>
      <c r="T242" s="41"/>
      <c r="U242" s="47"/>
      <c r="V242" s="41"/>
      <c r="W242" s="48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</row>
    <row r="243" spans="1:45">
      <c r="A243" s="38"/>
      <c r="B243" s="38"/>
      <c r="C243" s="38"/>
      <c r="D243" s="38"/>
      <c r="E243" s="49"/>
      <c r="F243" s="49"/>
      <c r="G243" s="38"/>
      <c r="H243" s="49"/>
      <c r="I243" s="49"/>
      <c r="J243" s="49"/>
      <c r="K243" s="49"/>
      <c r="L243" s="41"/>
      <c r="M243" s="41"/>
      <c r="N243" s="41"/>
      <c r="O243" s="41"/>
      <c r="P243" s="43"/>
      <c r="Q243" s="41"/>
      <c r="R243" s="41"/>
      <c r="S243" s="41"/>
      <c r="T243" s="41"/>
      <c r="U243" s="47"/>
      <c r="V243" s="41"/>
      <c r="W243" s="48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</row>
    <row r="244" spans="1:45">
      <c r="A244" s="38"/>
      <c r="B244" s="38"/>
      <c r="C244" s="38"/>
      <c r="D244" s="38"/>
      <c r="E244" s="49"/>
      <c r="F244" s="49"/>
      <c r="G244" s="38"/>
      <c r="H244" s="49"/>
      <c r="I244" s="49"/>
      <c r="J244" s="49"/>
      <c r="K244" s="49"/>
      <c r="L244" s="41"/>
      <c r="M244" s="41"/>
      <c r="N244" s="41"/>
      <c r="O244" s="41"/>
      <c r="P244" s="43"/>
      <c r="Q244" s="41"/>
      <c r="R244" s="41"/>
      <c r="S244" s="41"/>
      <c r="T244" s="41"/>
      <c r="U244" s="47"/>
      <c r="V244" s="41"/>
      <c r="W244" s="48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</row>
    <row r="245" spans="1:45">
      <c r="A245" s="38"/>
      <c r="B245" s="38"/>
      <c r="C245" s="38"/>
      <c r="D245" s="38"/>
      <c r="E245" s="49"/>
      <c r="F245" s="49"/>
      <c r="G245" s="38"/>
      <c r="H245" s="49"/>
      <c r="I245" s="49"/>
      <c r="J245" s="49"/>
      <c r="K245" s="49"/>
      <c r="L245" s="41"/>
      <c r="M245" s="41"/>
      <c r="N245" s="41"/>
      <c r="O245" s="41"/>
      <c r="P245" s="43"/>
      <c r="Q245" s="41"/>
      <c r="R245" s="41"/>
      <c r="S245" s="41"/>
      <c r="T245" s="41"/>
      <c r="U245" s="47"/>
      <c r="V245" s="41"/>
      <c r="W245" s="48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</row>
    <row r="246" spans="1:45">
      <c r="A246" s="38"/>
      <c r="B246" s="38"/>
      <c r="C246" s="38"/>
      <c r="D246" s="38"/>
      <c r="E246" s="49"/>
      <c r="F246" s="49"/>
      <c r="G246" s="38"/>
      <c r="H246" s="49"/>
      <c r="I246" s="49"/>
      <c r="J246" s="49"/>
      <c r="K246" s="49"/>
      <c r="L246" s="41"/>
      <c r="M246" s="41"/>
      <c r="N246" s="41"/>
      <c r="O246" s="41"/>
      <c r="P246" s="43"/>
      <c r="Q246" s="41"/>
      <c r="R246" s="41"/>
      <c r="S246" s="41"/>
      <c r="T246" s="41"/>
      <c r="U246" s="47"/>
      <c r="V246" s="41"/>
      <c r="W246" s="48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</row>
    <row r="247" spans="1:45">
      <c r="A247" s="38"/>
      <c r="B247" s="38"/>
      <c r="C247" s="38"/>
      <c r="D247" s="38"/>
      <c r="E247" s="49"/>
      <c r="F247" s="49"/>
      <c r="G247" s="38"/>
      <c r="H247" s="49"/>
      <c r="I247" s="49"/>
      <c r="J247" s="49"/>
      <c r="K247" s="49"/>
      <c r="L247" s="41"/>
      <c r="M247" s="41"/>
      <c r="N247" s="41"/>
      <c r="O247" s="41"/>
      <c r="P247" s="43"/>
      <c r="Q247" s="41"/>
      <c r="R247" s="41"/>
      <c r="S247" s="41"/>
      <c r="T247" s="41"/>
      <c r="U247" s="47"/>
      <c r="V247" s="41"/>
      <c r="W247" s="48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</row>
    <row r="248" spans="1:45">
      <c r="A248" s="38"/>
      <c r="B248" s="38"/>
      <c r="C248" s="38"/>
      <c r="D248" s="38"/>
      <c r="E248" s="49"/>
      <c r="F248" s="49"/>
      <c r="G248" s="38"/>
      <c r="H248" s="49"/>
      <c r="I248" s="49"/>
      <c r="J248" s="49"/>
      <c r="K248" s="49"/>
      <c r="L248" s="41"/>
      <c r="M248" s="41"/>
      <c r="N248" s="41"/>
      <c r="O248" s="41"/>
      <c r="P248" s="43"/>
      <c r="Q248" s="41"/>
      <c r="R248" s="41"/>
      <c r="S248" s="41"/>
      <c r="T248" s="41"/>
      <c r="U248" s="47"/>
      <c r="V248" s="41"/>
      <c r="W248" s="48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</row>
    <row r="249" spans="1:45">
      <c r="A249" s="38"/>
      <c r="B249" s="38"/>
      <c r="C249" s="38"/>
      <c r="D249" s="38"/>
      <c r="E249" s="49"/>
      <c r="F249" s="49"/>
      <c r="G249" s="38"/>
      <c r="H249" s="49"/>
      <c r="I249" s="49"/>
      <c r="J249" s="49"/>
      <c r="K249" s="49"/>
      <c r="L249" s="41"/>
      <c r="M249" s="41"/>
      <c r="N249" s="41"/>
      <c r="O249" s="41"/>
      <c r="P249" s="43"/>
      <c r="Q249" s="41"/>
      <c r="R249" s="41"/>
      <c r="S249" s="41"/>
      <c r="T249" s="41"/>
      <c r="U249" s="47"/>
      <c r="V249" s="41"/>
      <c r="W249" s="48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</row>
    <row r="250" spans="1:45">
      <c r="A250" s="38"/>
      <c r="B250" s="38"/>
      <c r="C250" s="38"/>
      <c r="D250" s="38"/>
      <c r="E250" s="49"/>
      <c r="F250" s="49"/>
      <c r="G250" s="38"/>
      <c r="H250" s="49"/>
      <c r="I250" s="49"/>
      <c r="J250" s="49"/>
      <c r="K250" s="49"/>
      <c r="L250" s="41"/>
      <c r="M250" s="41"/>
      <c r="N250" s="41"/>
      <c r="O250" s="41"/>
      <c r="P250" s="43"/>
      <c r="Q250" s="41"/>
      <c r="R250" s="41"/>
      <c r="S250" s="41"/>
      <c r="T250" s="41"/>
      <c r="U250" s="47"/>
      <c r="V250" s="41"/>
      <c r="W250" s="48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</row>
    <row r="251" spans="1:45">
      <c r="A251" s="38"/>
      <c r="B251" s="38"/>
      <c r="C251" s="38"/>
      <c r="D251" s="38"/>
      <c r="E251" s="49"/>
      <c r="F251" s="49"/>
      <c r="G251" s="38"/>
      <c r="H251" s="49"/>
      <c r="I251" s="49"/>
      <c r="J251" s="49"/>
      <c r="K251" s="49"/>
      <c r="L251" s="41"/>
      <c r="M251" s="41"/>
      <c r="N251" s="41"/>
      <c r="O251" s="41"/>
      <c r="P251" s="43"/>
      <c r="Q251" s="41"/>
      <c r="R251" s="41"/>
      <c r="S251" s="41"/>
      <c r="T251" s="41"/>
      <c r="U251" s="47"/>
      <c r="V251" s="41"/>
      <c r="W251" s="48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</row>
    <row r="252" spans="1:45">
      <c r="A252" s="38"/>
      <c r="B252" s="38"/>
      <c r="C252" s="38"/>
      <c r="D252" s="38"/>
      <c r="E252" s="49"/>
      <c r="F252" s="49"/>
      <c r="G252" s="38"/>
      <c r="H252" s="49"/>
      <c r="I252" s="49"/>
      <c r="J252" s="49"/>
      <c r="K252" s="49"/>
      <c r="L252" s="41"/>
      <c r="M252" s="41"/>
      <c r="N252" s="41"/>
      <c r="O252" s="41"/>
      <c r="P252" s="43"/>
      <c r="Q252" s="41"/>
      <c r="R252" s="41"/>
      <c r="S252" s="41"/>
      <c r="T252" s="41"/>
      <c r="U252" s="47"/>
      <c r="V252" s="41"/>
      <c r="W252" s="48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</row>
    <row r="253" spans="1:45">
      <c r="A253" s="38"/>
      <c r="B253" s="38"/>
      <c r="C253" s="38"/>
      <c r="D253" s="38"/>
      <c r="E253" s="49"/>
      <c r="F253" s="49"/>
      <c r="G253" s="38"/>
      <c r="H253" s="49"/>
      <c r="I253" s="49"/>
      <c r="J253" s="49"/>
      <c r="K253" s="49"/>
      <c r="L253" s="41"/>
      <c r="M253" s="41"/>
      <c r="N253" s="41"/>
      <c r="O253" s="41"/>
      <c r="P253" s="43"/>
      <c r="Q253" s="41"/>
      <c r="R253" s="41"/>
      <c r="S253" s="41"/>
      <c r="T253" s="41"/>
      <c r="U253" s="47"/>
      <c r="V253" s="41"/>
      <c r="W253" s="48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</row>
    <row r="254" spans="1:45">
      <c r="A254" s="38"/>
      <c r="B254" s="38"/>
      <c r="C254" s="38"/>
      <c r="D254" s="38"/>
      <c r="E254" s="49"/>
      <c r="F254" s="49"/>
      <c r="G254" s="38"/>
      <c r="H254" s="49"/>
      <c r="I254" s="49"/>
      <c r="J254" s="49"/>
      <c r="K254" s="49"/>
      <c r="L254" s="41"/>
      <c r="M254" s="41"/>
      <c r="N254" s="41"/>
      <c r="O254" s="41"/>
      <c r="P254" s="43"/>
      <c r="Q254" s="41"/>
      <c r="R254" s="41"/>
      <c r="S254" s="41"/>
      <c r="T254" s="41"/>
      <c r="U254" s="47"/>
      <c r="V254" s="41"/>
      <c r="W254" s="48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</row>
    <row r="255" spans="1:45">
      <c r="A255" s="38"/>
      <c r="B255" s="38"/>
      <c r="C255" s="38"/>
      <c r="D255" s="38"/>
      <c r="E255" s="49"/>
      <c r="F255" s="49"/>
      <c r="G255" s="38"/>
      <c r="H255" s="49"/>
      <c r="I255" s="49"/>
      <c r="J255" s="49"/>
      <c r="K255" s="49"/>
      <c r="L255" s="41"/>
      <c r="M255" s="41"/>
      <c r="N255" s="41"/>
      <c r="O255" s="41"/>
      <c r="P255" s="43"/>
      <c r="Q255" s="41"/>
      <c r="R255" s="41"/>
      <c r="S255" s="41"/>
      <c r="T255" s="41"/>
      <c r="U255" s="47"/>
      <c r="V255" s="41"/>
      <c r="W255" s="48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</row>
    <row r="256" spans="1:45">
      <c r="A256" s="38"/>
      <c r="B256" s="38"/>
      <c r="C256" s="38"/>
      <c r="D256" s="38"/>
      <c r="E256" s="49"/>
      <c r="F256" s="49"/>
      <c r="G256" s="38"/>
      <c r="H256" s="49"/>
      <c r="I256" s="49"/>
      <c r="J256" s="49"/>
      <c r="K256" s="49"/>
      <c r="L256" s="41"/>
      <c r="M256" s="41"/>
      <c r="N256" s="41"/>
      <c r="O256" s="41"/>
      <c r="P256" s="43"/>
      <c r="Q256" s="41"/>
      <c r="R256" s="41"/>
      <c r="S256" s="41"/>
      <c r="T256" s="41"/>
      <c r="U256" s="47"/>
      <c r="V256" s="41"/>
      <c r="W256" s="48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</row>
    <row r="257" spans="1:45">
      <c r="A257" s="38"/>
      <c r="B257" s="38"/>
      <c r="C257" s="38"/>
      <c r="D257" s="38"/>
      <c r="E257" s="49"/>
      <c r="F257" s="49"/>
      <c r="G257" s="38"/>
      <c r="H257" s="49"/>
      <c r="I257" s="49"/>
      <c r="J257" s="49"/>
      <c r="K257" s="49"/>
      <c r="L257" s="41"/>
      <c r="M257" s="41"/>
      <c r="N257" s="41"/>
      <c r="O257" s="41"/>
      <c r="P257" s="43"/>
      <c r="Q257" s="41"/>
      <c r="R257" s="41"/>
      <c r="S257" s="41"/>
      <c r="T257" s="41"/>
      <c r="U257" s="47"/>
      <c r="V257" s="41"/>
      <c r="W257" s="48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</row>
    <row r="258" spans="1:45">
      <c r="A258" s="38"/>
      <c r="B258" s="38"/>
      <c r="C258" s="38"/>
      <c r="D258" s="38"/>
      <c r="E258" s="49"/>
      <c r="F258" s="49"/>
      <c r="G258" s="38"/>
      <c r="H258" s="49"/>
      <c r="I258" s="49"/>
      <c r="J258" s="49"/>
      <c r="K258" s="49"/>
      <c r="L258" s="41"/>
      <c r="M258" s="41"/>
      <c r="N258" s="41"/>
      <c r="O258" s="41"/>
      <c r="P258" s="43"/>
      <c r="Q258" s="41"/>
      <c r="R258" s="41"/>
      <c r="S258" s="41"/>
      <c r="T258" s="41"/>
      <c r="U258" s="47"/>
      <c r="V258" s="41"/>
      <c r="W258" s="48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</row>
    <row r="259" spans="1:45">
      <c r="A259" s="38"/>
      <c r="B259" s="38"/>
      <c r="C259" s="38"/>
      <c r="D259" s="38"/>
      <c r="E259" s="49"/>
      <c r="F259" s="49"/>
      <c r="G259" s="38"/>
      <c r="H259" s="49"/>
      <c r="I259" s="49"/>
      <c r="J259" s="49"/>
      <c r="K259" s="49"/>
      <c r="L259" s="41"/>
      <c r="M259" s="41"/>
      <c r="N259" s="41"/>
      <c r="O259" s="41"/>
      <c r="P259" s="43"/>
      <c r="Q259" s="41"/>
      <c r="R259" s="41"/>
      <c r="S259" s="41"/>
      <c r="T259" s="41"/>
      <c r="U259" s="47"/>
      <c r="V259" s="41"/>
      <c r="W259" s="48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</row>
    <row r="260" spans="1:45">
      <c r="A260" s="38"/>
      <c r="B260" s="38"/>
      <c r="C260" s="38"/>
      <c r="D260" s="38"/>
      <c r="E260" s="49"/>
      <c r="F260" s="49"/>
      <c r="G260" s="38"/>
      <c r="H260" s="49"/>
      <c r="I260" s="49"/>
      <c r="J260" s="49"/>
      <c r="K260" s="49"/>
      <c r="L260" s="41"/>
      <c r="M260" s="41"/>
      <c r="N260" s="41"/>
      <c r="O260" s="41"/>
      <c r="P260" s="43"/>
      <c r="Q260" s="41"/>
      <c r="R260" s="41"/>
      <c r="S260" s="41"/>
      <c r="T260" s="41"/>
      <c r="U260" s="47"/>
      <c r="V260" s="41"/>
      <c r="W260" s="48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</row>
    <row r="261" spans="1:45">
      <c r="A261" s="38"/>
      <c r="B261" s="38"/>
      <c r="C261" s="38"/>
      <c r="D261" s="38"/>
      <c r="E261" s="49"/>
      <c r="F261" s="49"/>
      <c r="G261" s="38"/>
      <c r="H261" s="49"/>
      <c r="I261" s="49"/>
      <c r="J261" s="49"/>
      <c r="K261" s="49"/>
      <c r="L261" s="41"/>
      <c r="M261" s="41"/>
      <c r="N261" s="41"/>
      <c r="O261" s="41"/>
      <c r="P261" s="43"/>
      <c r="Q261" s="41"/>
      <c r="R261" s="41"/>
      <c r="S261" s="41"/>
      <c r="T261" s="41"/>
      <c r="U261" s="47"/>
      <c r="V261" s="41"/>
      <c r="W261" s="48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</row>
    <row r="262" spans="1:45">
      <c r="A262" s="38"/>
      <c r="B262" s="38"/>
      <c r="C262" s="38"/>
      <c r="D262" s="38"/>
      <c r="E262" s="49"/>
      <c r="F262" s="49"/>
      <c r="G262" s="38"/>
      <c r="H262" s="49"/>
      <c r="I262" s="49"/>
      <c r="J262" s="49"/>
      <c r="K262" s="49"/>
      <c r="L262" s="41"/>
      <c r="M262" s="41"/>
      <c r="N262" s="41"/>
      <c r="O262" s="41"/>
      <c r="P262" s="43"/>
      <c r="Q262" s="41"/>
      <c r="R262" s="41"/>
      <c r="S262" s="41"/>
      <c r="T262" s="41"/>
      <c r="U262" s="47"/>
      <c r="V262" s="41"/>
      <c r="W262" s="48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</row>
    <row r="263" spans="1:45">
      <c r="A263" s="38"/>
      <c r="B263" s="38"/>
      <c r="C263" s="38"/>
      <c r="D263" s="38"/>
      <c r="E263" s="49"/>
      <c r="F263" s="49"/>
      <c r="G263" s="38"/>
      <c r="H263" s="49"/>
      <c r="I263" s="49"/>
      <c r="J263" s="49"/>
      <c r="K263" s="49"/>
      <c r="L263" s="41"/>
      <c r="M263" s="41"/>
      <c r="N263" s="41"/>
      <c r="O263" s="41"/>
      <c r="P263" s="43"/>
      <c r="Q263" s="41"/>
      <c r="R263" s="41"/>
      <c r="S263" s="41"/>
      <c r="T263" s="41"/>
      <c r="U263" s="47"/>
      <c r="V263" s="41"/>
      <c r="W263" s="48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</row>
    <row r="264" spans="1:45">
      <c r="A264" s="38"/>
      <c r="B264" s="38"/>
      <c r="C264" s="38"/>
      <c r="D264" s="38"/>
      <c r="E264" s="49"/>
      <c r="F264" s="49"/>
      <c r="G264" s="38"/>
      <c r="H264" s="49"/>
      <c r="I264" s="49"/>
      <c r="J264" s="49"/>
      <c r="K264" s="49"/>
      <c r="L264" s="41"/>
      <c r="M264" s="41"/>
      <c r="N264" s="41"/>
      <c r="O264" s="41"/>
      <c r="P264" s="43"/>
      <c r="Q264" s="41"/>
      <c r="R264" s="41"/>
      <c r="S264" s="41"/>
      <c r="T264" s="41"/>
      <c r="U264" s="47"/>
      <c r="V264" s="41"/>
      <c r="W264" s="48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</row>
    <row r="265" spans="1:45">
      <c r="A265" s="38"/>
      <c r="B265" s="38"/>
      <c r="C265" s="38"/>
      <c r="D265" s="38"/>
      <c r="E265" s="49"/>
      <c r="F265" s="49"/>
      <c r="G265" s="38"/>
      <c r="H265" s="49"/>
      <c r="I265" s="49"/>
      <c r="J265" s="49"/>
      <c r="K265" s="49"/>
      <c r="L265" s="41"/>
      <c r="M265" s="41"/>
      <c r="N265" s="41"/>
      <c r="O265" s="41"/>
      <c r="P265" s="43"/>
      <c r="Q265" s="41"/>
      <c r="R265" s="41"/>
      <c r="S265" s="41"/>
      <c r="T265" s="41"/>
      <c r="U265" s="47"/>
      <c r="V265" s="41"/>
      <c r="W265" s="48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</row>
    <row r="266" spans="1:45">
      <c r="A266" s="38"/>
      <c r="B266" s="38"/>
      <c r="C266" s="38"/>
      <c r="D266" s="38"/>
      <c r="E266" s="49"/>
      <c r="F266" s="49"/>
      <c r="G266" s="38"/>
      <c r="H266" s="49"/>
      <c r="I266" s="49"/>
      <c r="J266" s="49"/>
      <c r="K266" s="49"/>
      <c r="L266" s="41"/>
      <c r="M266" s="41"/>
      <c r="N266" s="41"/>
      <c r="O266" s="41"/>
      <c r="P266" s="43"/>
      <c r="Q266" s="41"/>
      <c r="R266" s="41"/>
      <c r="S266" s="41"/>
      <c r="T266" s="41"/>
      <c r="U266" s="47"/>
      <c r="V266" s="41"/>
      <c r="W266" s="48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</row>
    <row r="267" spans="1:45">
      <c r="A267" s="38"/>
      <c r="B267" s="38"/>
      <c r="C267" s="38"/>
      <c r="D267" s="38"/>
      <c r="E267" s="49"/>
      <c r="F267" s="49"/>
      <c r="G267" s="38"/>
      <c r="H267" s="49"/>
      <c r="I267" s="49"/>
      <c r="J267" s="49"/>
      <c r="K267" s="49"/>
      <c r="L267" s="41"/>
      <c r="M267" s="41"/>
      <c r="N267" s="41"/>
      <c r="O267" s="41"/>
      <c r="P267" s="43"/>
      <c r="Q267" s="41"/>
      <c r="R267" s="41"/>
      <c r="S267" s="41"/>
      <c r="T267" s="41"/>
      <c r="U267" s="47"/>
      <c r="V267" s="41"/>
      <c r="W267" s="48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</row>
    <row r="268" spans="1:45">
      <c r="A268" s="38"/>
      <c r="B268" s="38"/>
      <c r="C268" s="38"/>
      <c r="D268" s="38"/>
      <c r="E268" s="49"/>
      <c r="F268" s="49"/>
      <c r="G268" s="38"/>
      <c r="H268" s="49"/>
      <c r="I268" s="49"/>
      <c r="J268" s="49"/>
      <c r="K268" s="49"/>
      <c r="L268" s="41"/>
      <c r="M268" s="41"/>
      <c r="N268" s="41"/>
      <c r="O268" s="41"/>
      <c r="P268" s="43"/>
      <c r="Q268" s="41"/>
      <c r="R268" s="41"/>
      <c r="S268" s="41"/>
      <c r="T268" s="41"/>
      <c r="U268" s="47"/>
      <c r="V268" s="41"/>
      <c r="W268" s="48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</row>
    <row r="269" spans="1:45">
      <c r="A269" s="38"/>
      <c r="B269" s="38"/>
      <c r="C269" s="38"/>
      <c r="D269" s="38"/>
      <c r="E269" s="49"/>
      <c r="F269" s="49"/>
      <c r="G269" s="38"/>
      <c r="H269" s="49"/>
      <c r="I269" s="49"/>
      <c r="J269" s="49"/>
      <c r="K269" s="49"/>
      <c r="L269" s="41"/>
      <c r="M269" s="41"/>
      <c r="N269" s="41"/>
      <c r="O269" s="41"/>
      <c r="P269" s="43"/>
      <c r="Q269" s="41"/>
      <c r="R269" s="41"/>
      <c r="S269" s="41"/>
      <c r="T269" s="41"/>
      <c r="U269" s="47"/>
      <c r="V269" s="41"/>
      <c r="W269" s="48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</row>
    <row r="270" spans="1:45">
      <c r="A270" s="38"/>
      <c r="B270" s="38"/>
      <c r="C270" s="38"/>
      <c r="D270" s="38"/>
      <c r="E270" s="49"/>
      <c r="F270" s="49"/>
      <c r="G270" s="38"/>
      <c r="H270" s="49"/>
      <c r="I270" s="49"/>
      <c r="J270" s="49"/>
      <c r="K270" s="49"/>
      <c r="L270" s="41"/>
      <c r="M270" s="41"/>
      <c r="N270" s="41"/>
      <c r="O270" s="41"/>
      <c r="P270" s="43"/>
      <c r="Q270" s="41"/>
      <c r="R270" s="41"/>
      <c r="S270" s="41"/>
      <c r="T270" s="41"/>
      <c r="U270" s="47"/>
      <c r="V270" s="41"/>
      <c r="W270" s="48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</row>
    <row r="271" spans="1:45">
      <c r="A271" s="38"/>
      <c r="B271" s="38"/>
      <c r="C271" s="38"/>
      <c r="D271" s="38"/>
      <c r="E271" s="49"/>
      <c r="F271" s="49"/>
      <c r="G271" s="38"/>
      <c r="H271" s="49"/>
      <c r="I271" s="49"/>
      <c r="J271" s="49"/>
      <c r="K271" s="49"/>
      <c r="L271" s="41"/>
      <c r="M271" s="41"/>
      <c r="N271" s="41"/>
      <c r="O271" s="41"/>
      <c r="P271" s="43"/>
      <c r="Q271" s="41"/>
      <c r="R271" s="41"/>
      <c r="S271" s="41"/>
      <c r="T271" s="41"/>
      <c r="U271" s="47"/>
      <c r="V271" s="41"/>
      <c r="W271" s="48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</row>
    <row r="272" spans="1:45">
      <c r="A272" s="38"/>
      <c r="B272" s="38"/>
      <c r="C272" s="38"/>
      <c r="D272" s="38"/>
      <c r="E272" s="49"/>
      <c r="F272" s="49"/>
      <c r="G272" s="38"/>
      <c r="H272" s="49"/>
      <c r="I272" s="49"/>
      <c r="J272" s="49"/>
      <c r="K272" s="49"/>
      <c r="L272" s="41"/>
      <c r="M272" s="41"/>
      <c r="N272" s="41"/>
      <c r="O272" s="41"/>
      <c r="P272" s="43"/>
      <c r="Q272" s="41"/>
      <c r="R272" s="41"/>
      <c r="S272" s="41"/>
      <c r="T272" s="41"/>
      <c r="U272" s="47"/>
      <c r="V272" s="41"/>
      <c r="W272" s="48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</row>
    <row r="273" spans="1:45">
      <c r="A273" s="38"/>
      <c r="B273" s="38"/>
      <c r="C273" s="38"/>
      <c r="D273" s="38"/>
      <c r="E273" s="49"/>
      <c r="F273" s="49"/>
      <c r="G273" s="38"/>
      <c r="H273" s="49"/>
      <c r="I273" s="49"/>
      <c r="J273" s="49"/>
      <c r="K273" s="49"/>
      <c r="L273" s="41"/>
      <c r="M273" s="41"/>
      <c r="N273" s="41"/>
      <c r="O273" s="41"/>
      <c r="P273" s="43"/>
      <c r="Q273" s="41"/>
      <c r="R273" s="41"/>
      <c r="S273" s="41"/>
      <c r="T273" s="41"/>
      <c r="U273" s="47"/>
      <c r="V273" s="41"/>
      <c r="W273" s="48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</row>
    <row r="274" spans="1:45">
      <c r="A274" s="38"/>
      <c r="B274" s="38"/>
      <c r="C274" s="38"/>
      <c r="D274" s="38"/>
      <c r="E274" s="49"/>
      <c r="F274" s="49"/>
      <c r="G274" s="38"/>
      <c r="H274" s="49"/>
      <c r="I274" s="49"/>
      <c r="J274" s="49"/>
      <c r="K274" s="49"/>
      <c r="L274" s="41"/>
      <c r="M274" s="41"/>
      <c r="N274" s="41"/>
      <c r="O274" s="41"/>
      <c r="P274" s="43"/>
      <c r="Q274" s="41"/>
      <c r="R274" s="41"/>
      <c r="S274" s="41"/>
      <c r="T274" s="41"/>
      <c r="U274" s="47"/>
      <c r="V274" s="41"/>
      <c r="W274" s="48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</row>
    <row r="275" spans="1:45">
      <c r="A275" s="38"/>
      <c r="B275" s="38"/>
      <c r="C275" s="38"/>
      <c r="D275" s="38"/>
      <c r="E275" s="49"/>
      <c r="F275" s="49"/>
      <c r="G275" s="38"/>
      <c r="H275" s="49"/>
      <c r="I275" s="49"/>
      <c r="J275" s="49"/>
      <c r="K275" s="49"/>
      <c r="L275" s="41"/>
      <c r="M275" s="41"/>
      <c r="N275" s="41"/>
      <c r="O275" s="41"/>
      <c r="P275" s="43"/>
      <c r="Q275" s="41"/>
      <c r="R275" s="41"/>
      <c r="S275" s="41"/>
      <c r="T275" s="41"/>
      <c r="U275" s="47"/>
      <c r="V275" s="41"/>
      <c r="W275" s="48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</row>
    <row r="276" spans="1:45">
      <c r="A276" s="38"/>
      <c r="B276" s="38"/>
      <c r="C276" s="38"/>
      <c r="D276" s="38"/>
      <c r="E276" s="49"/>
      <c r="F276" s="49"/>
      <c r="G276" s="38"/>
      <c r="H276" s="49"/>
      <c r="I276" s="49"/>
      <c r="J276" s="49"/>
      <c r="K276" s="49"/>
      <c r="L276" s="41"/>
      <c r="M276" s="41"/>
      <c r="N276" s="41"/>
      <c r="O276" s="41"/>
      <c r="P276" s="43"/>
      <c r="Q276" s="41"/>
      <c r="R276" s="41"/>
      <c r="S276" s="41"/>
      <c r="T276" s="41"/>
      <c r="U276" s="47"/>
      <c r="V276" s="41"/>
      <c r="W276" s="48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</row>
    <row r="277" spans="1:45">
      <c r="A277" s="38"/>
      <c r="B277" s="38"/>
      <c r="C277" s="38"/>
      <c r="D277" s="38"/>
      <c r="E277" s="49"/>
      <c r="F277" s="49"/>
      <c r="G277" s="38"/>
      <c r="H277" s="49"/>
      <c r="I277" s="49"/>
      <c r="J277" s="49"/>
      <c r="K277" s="49"/>
      <c r="L277" s="41"/>
      <c r="M277" s="41"/>
      <c r="N277" s="41"/>
      <c r="O277" s="41"/>
      <c r="P277" s="43"/>
      <c r="Q277" s="41"/>
      <c r="R277" s="41"/>
      <c r="S277" s="41"/>
      <c r="T277" s="41"/>
      <c r="U277" s="47"/>
      <c r="V277" s="41"/>
      <c r="W277" s="48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</row>
    <row r="278" spans="1:45">
      <c r="A278" s="38"/>
      <c r="B278" s="38"/>
      <c r="C278" s="38"/>
      <c r="D278" s="38"/>
      <c r="E278" s="49"/>
      <c r="F278" s="49"/>
      <c r="G278" s="38"/>
      <c r="H278" s="49"/>
      <c r="I278" s="49"/>
      <c r="J278" s="49"/>
      <c r="K278" s="49"/>
      <c r="L278" s="41"/>
      <c r="M278" s="41"/>
      <c r="N278" s="41"/>
      <c r="O278" s="41"/>
      <c r="P278" s="43"/>
      <c r="Q278" s="41"/>
      <c r="R278" s="41"/>
      <c r="S278" s="41"/>
      <c r="T278" s="41"/>
      <c r="U278" s="47"/>
      <c r="V278" s="41"/>
      <c r="W278" s="48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</row>
    <row r="279" spans="1:45">
      <c r="A279" s="38"/>
      <c r="B279" s="38"/>
      <c r="C279" s="38"/>
      <c r="D279" s="38"/>
      <c r="E279" s="49"/>
      <c r="F279" s="49"/>
      <c r="G279" s="38"/>
      <c r="H279" s="49"/>
      <c r="I279" s="49"/>
      <c r="J279" s="49"/>
      <c r="K279" s="49"/>
      <c r="L279" s="41"/>
      <c r="M279" s="41"/>
      <c r="N279" s="41"/>
      <c r="O279" s="41"/>
      <c r="P279" s="43"/>
      <c r="Q279" s="41"/>
      <c r="R279" s="41"/>
      <c r="S279" s="41"/>
      <c r="T279" s="41"/>
      <c r="U279" s="47"/>
      <c r="V279" s="41"/>
      <c r="W279" s="48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</row>
    <row r="280" spans="1:45">
      <c r="A280" s="38"/>
      <c r="B280" s="38"/>
      <c r="C280" s="38"/>
      <c r="D280" s="38"/>
      <c r="E280" s="49"/>
      <c r="F280" s="49"/>
      <c r="G280" s="38"/>
      <c r="H280" s="49"/>
      <c r="I280" s="49"/>
      <c r="J280" s="49"/>
      <c r="K280" s="49"/>
      <c r="L280" s="41"/>
      <c r="M280" s="41"/>
      <c r="N280" s="41"/>
      <c r="O280" s="41"/>
      <c r="P280" s="43"/>
      <c r="Q280" s="41"/>
      <c r="R280" s="41"/>
      <c r="S280" s="41"/>
      <c r="T280" s="41"/>
      <c r="U280" s="47"/>
      <c r="V280" s="41"/>
      <c r="W280" s="48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</row>
    <row r="281" spans="1:45">
      <c r="A281" s="38"/>
      <c r="B281" s="38"/>
      <c r="C281" s="38"/>
      <c r="D281" s="38"/>
      <c r="E281" s="49"/>
      <c r="F281" s="49"/>
      <c r="G281" s="38"/>
      <c r="H281" s="49"/>
      <c r="I281" s="49"/>
      <c r="J281" s="49"/>
      <c r="K281" s="49"/>
      <c r="L281" s="41"/>
      <c r="M281" s="41"/>
      <c r="N281" s="41"/>
      <c r="O281" s="41"/>
      <c r="P281" s="43"/>
      <c r="Q281" s="41"/>
      <c r="R281" s="41"/>
      <c r="S281" s="41"/>
      <c r="T281" s="41"/>
      <c r="U281" s="47"/>
      <c r="V281" s="41"/>
      <c r="W281" s="48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</row>
    <row r="282" spans="1:45">
      <c r="A282" s="38"/>
      <c r="B282" s="38"/>
      <c r="C282" s="38"/>
      <c r="D282" s="38"/>
      <c r="E282" s="49"/>
      <c r="F282" s="49"/>
      <c r="G282" s="38"/>
      <c r="H282" s="49"/>
      <c r="I282" s="49"/>
      <c r="J282" s="49"/>
      <c r="K282" s="49"/>
      <c r="L282" s="41"/>
      <c r="M282" s="41"/>
      <c r="N282" s="41"/>
      <c r="O282" s="41"/>
      <c r="P282" s="43"/>
      <c r="Q282" s="41"/>
      <c r="R282" s="41"/>
      <c r="S282" s="41"/>
      <c r="T282" s="41"/>
      <c r="U282" s="47"/>
      <c r="V282" s="41"/>
      <c r="W282" s="48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</row>
    <row r="283" spans="1:45">
      <c r="A283" s="38"/>
      <c r="B283" s="38"/>
      <c r="C283" s="38"/>
      <c r="D283" s="38"/>
      <c r="E283" s="49"/>
      <c r="F283" s="49"/>
      <c r="G283" s="38"/>
      <c r="H283" s="49"/>
      <c r="I283" s="49"/>
      <c r="J283" s="49"/>
      <c r="K283" s="49"/>
      <c r="L283" s="41"/>
      <c r="M283" s="41"/>
      <c r="N283" s="41"/>
      <c r="O283" s="41"/>
      <c r="P283" s="43"/>
      <c r="Q283" s="41"/>
      <c r="R283" s="41"/>
      <c r="S283" s="41"/>
      <c r="T283" s="41"/>
      <c r="U283" s="47"/>
      <c r="V283" s="41"/>
      <c r="W283" s="48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</row>
    <row r="284" spans="1:45">
      <c r="A284" s="38"/>
      <c r="B284" s="38"/>
      <c r="C284" s="38"/>
      <c r="D284" s="38"/>
      <c r="E284" s="49"/>
      <c r="F284" s="49"/>
      <c r="G284" s="38"/>
      <c r="H284" s="49"/>
      <c r="I284" s="49"/>
      <c r="J284" s="49"/>
      <c r="K284" s="49"/>
      <c r="L284" s="41"/>
      <c r="M284" s="41"/>
      <c r="N284" s="41"/>
      <c r="O284" s="41"/>
      <c r="P284" s="43"/>
      <c r="Q284" s="41"/>
      <c r="R284" s="41"/>
      <c r="S284" s="41"/>
      <c r="T284" s="41"/>
      <c r="U284" s="47"/>
      <c r="V284" s="41"/>
      <c r="W284" s="48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</row>
    <row r="285" spans="1:45">
      <c r="A285" s="38"/>
      <c r="B285" s="38"/>
      <c r="C285" s="38"/>
      <c r="D285" s="38"/>
      <c r="E285" s="49"/>
      <c r="F285" s="49"/>
      <c r="G285" s="38"/>
      <c r="H285" s="49"/>
      <c r="I285" s="49"/>
      <c r="J285" s="49"/>
      <c r="K285" s="49"/>
      <c r="L285" s="41"/>
      <c r="M285" s="41"/>
      <c r="N285" s="41"/>
      <c r="O285" s="41"/>
      <c r="P285" s="43"/>
      <c r="Q285" s="41"/>
      <c r="R285" s="41"/>
      <c r="S285" s="41"/>
      <c r="T285" s="41"/>
      <c r="U285" s="47"/>
      <c r="V285" s="41"/>
      <c r="W285" s="48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</row>
    <row r="286" spans="1:45">
      <c r="A286" s="38"/>
      <c r="B286" s="38"/>
      <c r="C286" s="38"/>
      <c r="D286" s="38"/>
      <c r="E286" s="49"/>
      <c r="F286" s="49"/>
      <c r="G286" s="38"/>
      <c r="H286" s="49"/>
      <c r="I286" s="49"/>
      <c r="J286" s="49"/>
      <c r="K286" s="49"/>
      <c r="L286" s="41"/>
      <c r="M286" s="41"/>
      <c r="N286" s="41"/>
      <c r="O286" s="41"/>
      <c r="P286" s="43"/>
      <c r="Q286" s="41"/>
      <c r="R286" s="41"/>
      <c r="S286" s="41"/>
      <c r="T286" s="41"/>
      <c r="U286" s="47"/>
      <c r="V286" s="41"/>
      <c r="W286" s="48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</row>
    <row r="287" spans="1:45">
      <c r="A287" s="38"/>
      <c r="B287" s="38"/>
      <c r="C287" s="38"/>
      <c r="D287" s="38"/>
      <c r="E287" s="49"/>
      <c r="F287" s="49"/>
      <c r="G287" s="38"/>
      <c r="H287" s="49"/>
      <c r="I287" s="49"/>
      <c r="J287" s="49"/>
      <c r="K287" s="49"/>
      <c r="L287" s="41"/>
      <c r="M287" s="41"/>
      <c r="N287" s="41"/>
      <c r="O287" s="41"/>
      <c r="P287" s="43"/>
      <c r="Q287" s="41"/>
      <c r="R287" s="41"/>
      <c r="S287" s="41"/>
      <c r="T287" s="41"/>
      <c r="U287" s="47"/>
      <c r="V287" s="41"/>
      <c r="W287" s="48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</row>
    <row r="288" spans="1:45">
      <c r="A288" s="38"/>
      <c r="B288" s="38"/>
      <c r="C288" s="38"/>
      <c r="D288" s="38"/>
      <c r="E288" s="49"/>
      <c r="F288" s="49"/>
      <c r="G288" s="38"/>
      <c r="H288" s="49"/>
      <c r="I288" s="49"/>
      <c r="J288" s="49"/>
      <c r="K288" s="49"/>
      <c r="L288" s="41"/>
      <c r="M288" s="41"/>
      <c r="N288" s="41"/>
      <c r="O288" s="41"/>
      <c r="P288" s="43"/>
      <c r="Q288" s="41"/>
      <c r="R288" s="41"/>
      <c r="S288" s="41"/>
      <c r="T288" s="41"/>
      <c r="U288" s="47"/>
      <c r="V288" s="41"/>
      <c r="W288" s="48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</row>
    <row r="289" spans="1:45">
      <c r="A289" s="38"/>
      <c r="B289" s="38"/>
      <c r="C289" s="38"/>
      <c r="D289" s="38"/>
      <c r="E289" s="49"/>
      <c r="F289" s="49"/>
      <c r="G289" s="38"/>
      <c r="H289" s="49"/>
      <c r="I289" s="49"/>
      <c r="J289" s="49"/>
      <c r="K289" s="49"/>
      <c r="L289" s="41"/>
      <c r="M289" s="41"/>
      <c r="N289" s="41"/>
      <c r="O289" s="41"/>
      <c r="P289" s="43"/>
      <c r="Q289" s="41"/>
      <c r="R289" s="41"/>
      <c r="S289" s="41"/>
      <c r="T289" s="41"/>
      <c r="U289" s="47"/>
      <c r="V289" s="41"/>
      <c r="W289" s="48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</row>
    <row r="290" spans="1:45">
      <c r="A290" s="38"/>
      <c r="B290" s="38"/>
      <c r="C290" s="38"/>
      <c r="D290" s="38"/>
      <c r="E290" s="49"/>
      <c r="F290" s="49"/>
      <c r="G290" s="38"/>
      <c r="H290" s="49"/>
      <c r="I290" s="49"/>
      <c r="J290" s="49"/>
      <c r="K290" s="49"/>
      <c r="L290" s="41"/>
      <c r="M290" s="41"/>
      <c r="N290" s="41"/>
      <c r="O290" s="41"/>
      <c r="P290" s="43"/>
      <c r="Q290" s="41"/>
      <c r="R290" s="41"/>
      <c r="S290" s="41"/>
      <c r="T290" s="41"/>
      <c r="U290" s="47"/>
      <c r="V290" s="41"/>
      <c r="W290" s="48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</row>
    <row r="291" spans="1:45">
      <c r="A291" s="38"/>
      <c r="B291" s="38"/>
      <c r="C291" s="38"/>
      <c r="D291" s="38"/>
      <c r="E291" s="49"/>
      <c r="F291" s="49"/>
      <c r="G291" s="38"/>
      <c r="H291" s="49"/>
      <c r="I291" s="49"/>
      <c r="J291" s="49"/>
      <c r="K291" s="49"/>
      <c r="L291" s="41"/>
      <c r="M291" s="41"/>
      <c r="N291" s="41"/>
      <c r="O291" s="41"/>
      <c r="P291" s="43"/>
      <c r="Q291" s="41"/>
      <c r="R291" s="41"/>
      <c r="S291" s="41"/>
      <c r="T291" s="41"/>
      <c r="U291" s="47"/>
      <c r="V291" s="41"/>
      <c r="W291" s="48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</row>
    <row r="292" spans="1:45">
      <c r="A292" s="38"/>
      <c r="B292" s="38"/>
      <c r="C292" s="38"/>
      <c r="D292" s="38"/>
      <c r="E292" s="49"/>
      <c r="F292" s="49"/>
      <c r="G292" s="38"/>
      <c r="H292" s="49"/>
      <c r="I292" s="49"/>
      <c r="J292" s="49"/>
      <c r="K292" s="49"/>
      <c r="L292" s="41"/>
      <c r="M292" s="41"/>
      <c r="N292" s="41"/>
      <c r="O292" s="41"/>
      <c r="P292" s="43"/>
      <c r="Q292" s="41"/>
      <c r="R292" s="41"/>
      <c r="S292" s="41"/>
      <c r="T292" s="41"/>
      <c r="U292" s="47"/>
      <c r="V292" s="41"/>
      <c r="W292" s="48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</row>
    <row r="293" spans="1:45">
      <c r="A293" s="38"/>
      <c r="B293" s="38"/>
      <c r="C293" s="38"/>
      <c r="D293" s="38"/>
      <c r="E293" s="49"/>
      <c r="F293" s="49"/>
      <c r="G293" s="38"/>
      <c r="H293" s="49"/>
      <c r="I293" s="49"/>
      <c r="J293" s="49"/>
      <c r="K293" s="49"/>
      <c r="L293" s="41"/>
      <c r="M293" s="41"/>
      <c r="N293" s="41"/>
      <c r="O293" s="41"/>
      <c r="P293" s="43"/>
      <c r="Q293" s="41"/>
      <c r="R293" s="41"/>
      <c r="S293" s="41"/>
      <c r="T293" s="41"/>
      <c r="U293" s="47"/>
      <c r="V293" s="41"/>
      <c r="W293" s="48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</row>
    <row r="294" spans="1:45">
      <c r="A294" s="38"/>
      <c r="B294" s="38"/>
      <c r="C294" s="38"/>
      <c r="D294" s="38"/>
      <c r="E294" s="49"/>
      <c r="F294" s="49"/>
      <c r="G294" s="38"/>
      <c r="H294" s="49"/>
      <c r="I294" s="49"/>
      <c r="J294" s="49"/>
      <c r="K294" s="49"/>
      <c r="L294" s="41"/>
      <c r="M294" s="41"/>
      <c r="N294" s="41"/>
      <c r="O294" s="41"/>
      <c r="P294" s="43"/>
      <c r="Q294" s="41"/>
      <c r="R294" s="41"/>
      <c r="S294" s="41"/>
      <c r="T294" s="41"/>
      <c r="U294" s="47"/>
      <c r="V294" s="41"/>
      <c r="W294" s="48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</row>
    <row r="295" spans="1:45">
      <c r="A295" s="38"/>
      <c r="B295" s="38"/>
      <c r="C295" s="38"/>
      <c r="D295" s="38"/>
      <c r="E295" s="49"/>
      <c r="F295" s="49"/>
      <c r="G295" s="38"/>
      <c r="H295" s="49"/>
      <c r="I295" s="49"/>
      <c r="J295" s="49"/>
      <c r="K295" s="49"/>
      <c r="L295" s="41"/>
      <c r="M295" s="41"/>
      <c r="N295" s="41"/>
      <c r="O295" s="41"/>
      <c r="P295" s="43"/>
      <c r="Q295" s="41"/>
      <c r="R295" s="41"/>
      <c r="S295" s="41"/>
      <c r="T295" s="41"/>
      <c r="U295" s="47"/>
      <c r="V295" s="41"/>
      <c r="W295" s="48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</row>
    <row r="296" spans="1:45">
      <c r="A296" s="38"/>
      <c r="B296" s="38"/>
      <c r="C296" s="38"/>
      <c r="D296" s="38"/>
      <c r="E296" s="49"/>
      <c r="F296" s="49"/>
      <c r="G296" s="38"/>
      <c r="H296" s="49"/>
      <c r="I296" s="49"/>
      <c r="J296" s="49"/>
      <c r="K296" s="49"/>
      <c r="L296" s="41"/>
      <c r="M296" s="41"/>
      <c r="N296" s="41"/>
      <c r="O296" s="41"/>
      <c r="P296" s="43"/>
      <c r="Q296" s="41"/>
      <c r="R296" s="41"/>
      <c r="S296" s="41"/>
      <c r="T296" s="41"/>
      <c r="U296" s="47"/>
      <c r="V296" s="41"/>
      <c r="W296" s="48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</row>
    <row r="297" spans="1:45">
      <c r="A297" s="38"/>
      <c r="B297" s="38"/>
      <c r="C297" s="38"/>
      <c r="D297" s="38"/>
      <c r="E297" s="49"/>
      <c r="F297" s="49"/>
      <c r="G297" s="38"/>
      <c r="H297" s="49"/>
      <c r="I297" s="49"/>
      <c r="J297" s="49"/>
      <c r="K297" s="49"/>
      <c r="L297" s="41"/>
      <c r="M297" s="41"/>
      <c r="N297" s="41"/>
      <c r="O297" s="41"/>
      <c r="P297" s="43"/>
      <c r="Q297" s="41"/>
      <c r="R297" s="41"/>
      <c r="S297" s="41"/>
      <c r="T297" s="41"/>
      <c r="U297" s="47"/>
      <c r="V297" s="41"/>
      <c r="W297" s="48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</row>
    <row r="298" spans="1:45">
      <c r="A298" s="38"/>
      <c r="B298" s="38"/>
      <c r="C298" s="38"/>
      <c r="D298" s="38"/>
      <c r="E298" s="49"/>
      <c r="F298" s="49"/>
      <c r="G298" s="38"/>
      <c r="H298" s="49"/>
      <c r="I298" s="49"/>
      <c r="J298" s="49"/>
      <c r="K298" s="49"/>
      <c r="L298" s="41"/>
      <c r="M298" s="41"/>
      <c r="N298" s="41"/>
      <c r="O298" s="41"/>
      <c r="P298" s="43"/>
      <c r="Q298" s="41"/>
      <c r="R298" s="41"/>
      <c r="S298" s="41"/>
      <c r="T298" s="41"/>
      <c r="U298" s="47"/>
      <c r="V298" s="41"/>
      <c r="W298" s="48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</row>
    <row r="299" spans="1:45">
      <c r="A299" s="38"/>
      <c r="B299" s="38"/>
      <c r="C299" s="38"/>
      <c r="D299" s="38"/>
      <c r="E299" s="49"/>
      <c r="F299" s="49"/>
      <c r="G299" s="38"/>
      <c r="H299" s="49"/>
      <c r="I299" s="49"/>
      <c r="J299" s="49"/>
      <c r="K299" s="49"/>
      <c r="L299" s="41"/>
      <c r="M299" s="41"/>
      <c r="N299" s="41"/>
      <c r="O299" s="41"/>
      <c r="P299" s="43"/>
      <c r="Q299" s="41"/>
      <c r="R299" s="41"/>
      <c r="S299" s="41"/>
      <c r="T299" s="41"/>
      <c r="U299" s="47"/>
      <c r="V299" s="41"/>
      <c r="W299" s="48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</row>
    <row r="300" spans="1:45">
      <c r="A300" s="38"/>
      <c r="B300" s="38"/>
      <c r="C300" s="38"/>
      <c r="D300" s="38"/>
      <c r="E300" s="49"/>
      <c r="F300" s="49"/>
      <c r="G300" s="38"/>
      <c r="H300" s="49"/>
      <c r="I300" s="49"/>
      <c r="J300" s="49"/>
      <c r="K300" s="49"/>
      <c r="L300" s="41"/>
      <c r="M300" s="41"/>
      <c r="N300" s="41"/>
      <c r="O300" s="41"/>
      <c r="P300" s="43"/>
      <c r="Q300" s="41"/>
      <c r="R300" s="41"/>
      <c r="S300" s="41"/>
      <c r="T300" s="41"/>
      <c r="U300" s="47"/>
      <c r="V300" s="41"/>
      <c r="W300" s="48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</row>
    <row r="301" spans="1:45">
      <c r="A301" s="38"/>
      <c r="B301" s="38"/>
      <c r="C301" s="38"/>
      <c r="D301" s="38"/>
      <c r="E301" s="49"/>
      <c r="F301" s="49"/>
      <c r="G301" s="38"/>
      <c r="H301" s="49"/>
      <c r="I301" s="49"/>
      <c r="J301" s="49"/>
      <c r="K301" s="49"/>
      <c r="L301" s="41"/>
      <c r="M301" s="41"/>
      <c r="N301" s="41"/>
      <c r="O301" s="41"/>
      <c r="P301" s="43"/>
      <c r="Q301" s="41"/>
      <c r="R301" s="41"/>
      <c r="S301" s="41"/>
      <c r="T301" s="41"/>
      <c r="U301" s="47"/>
      <c r="V301" s="41"/>
      <c r="W301" s="48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</row>
    <row r="302" spans="1:45">
      <c r="A302" s="38"/>
      <c r="B302" s="38"/>
      <c r="C302" s="38"/>
      <c r="D302" s="38"/>
      <c r="E302" s="49"/>
      <c r="F302" s="49"/>
      <c r="G302" s="38"/>
      <c r="H302" s="49"/>
      <c r="I302" s="49"/>
      <c r="J302" s="49"/>
      <c r="K302" s="49"/>
      <c r="L302" s="41"/>
      <c r="M302" s="41"/>
      <c r="N302" s="41"/>
      <c r="O302" s="41"/>
      <c r="P302" s="43"/>
      <c r="Q302" s="41"/>
      <c r="R302" s="41"/>
      <c r="S302" s="41"/>
      <c r="T302" s="41"/>
      <c r="U302" s="47"/>
      <c r="V302" s="41"/>
      <c r="W302" s="48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</row>
    <row r="303" spans="1:45">
      <c r="A303" s="38"/>
      <c r="B303" s="38"/>
      <c r="C303" s="38"/>
      <c r="D303" s="38"/>
      <c r="E303" s="49"/>
      <c r="F303" s="49"/>
      <c r="G303" s="38"/>
      <c r="H303" s="49"/>
      <c r="I303" s="49"/>
      <c r="J303" s="49"/>
      <c r="K303" s="49"/>
      <c r="L303" s="41"/>
      <c r="M303" s="41"/>
      <c r="N303" s="41"/>
      <c r="O303" s="41"/>
      <c r="P303" s="43"/>
      <c r="Q303" s="41"/>
      <c r="R303" s="41"/>
      <c r="S303" s="41"/>
      <c r="T303" s="41"/>
      <c r="U303" s="47"/>
      <c r="V303" s="41"/>
      <c r="W303" s="48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</row>
    <row r="304" spans="1:45">
      <c r="A304" s="38"/>
      <c r="B304" s="38"/>
      <c r="C304" s="38"/>
      <c r="D304" s="38"/>
      <c r="E304" s="49"/>
      <c r="F304" s="49"/>
      <c r="G304" s="38"/>
      <c r="H304" s="49"/>
      <c r="I304" s="49"/>
      <c r="J304" s="49"/>
      <c r="K304" s="49"/>
      <c r="L304" s="41"/>
      <c r="M304" s="41"/>
      <c r="N304" s="41"/>
      <c r="O304" s="41"/>
      <c r="P304" s="43"/>
      <c r="Q304" s="41"/>
      <c r="R304" s="41"/>
      <c r="S304" s="41"/>
      <c r="T304" s="41"/>
      <c r="U304" s="47"/>
      <c r="V304" s="41"/>
      <c r="W304" s="48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</row>
    <row r="305" spans="1:45">
      <c r="A305" s="38"/>
      <c r="B305" s="38"/>
      <c r="C305" s="38"/>
      <c r="D305" s="38"/>
      <c r="E305" s="49"/>
      <c r="F305" s="49"/>
      <c r="G305" s="38"/>
      <c r="H305" s="49"/>
      <c r="I305" s="49"/>
      <c r="J305" s="49"/>
      <c r="K305" s="49"/>
      <c r="L305" s="41"/>
      <c r="M305" s="41"/>
      <c r="N305" s="41"/>
      <c r="O305" s="41"/>
      <c r="P305" s="43"/>
      <c r="Q305" s="41"/>
      <c r="R305" s="41"/>
      <c r="S305" s="41"/>
      <c r="T305" s="41"/>
      <c r="U305" s="47"/>
      <c r="V305" s="41"/>
      <c r="W305" s="48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</row>
    <row r="306" spans="1:45">
      <c r="A306" s="38"/>
      <c r="B306" s="38"/>
      <c r="C306" s="38"/>
      <c r="D306" s="38"/>
      <c r="E306" s="49"/>
      <c r="F306" s="49"/>
      <c r="G306" s="38"/>
      <c r="H306" s="49"/>
      <c r="I306" s="49"/>
      <c r="J306" s="49"/>
      <c r="K306" s="49"/>
      <c r="L306" s="41"/>
      <c r="M306" s="41"/>
      <c r="N306" s="41"/>
      <c r="O306" s="41"/>
      <c r="P306" s="43"/>
      <c r="Q306" s="41"/>
      <c r="R306" s="41"/>
      <c r="S306" s="41"/>
      <c r="T306" s="41"/>
      <c r="U306" s="47"/>
      <c r="V306" s="41"/>
      <c r="W306" s="48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</row>
    <row r="307" spans="1:45">
      <c r="A307" s="38"/>
      <c r="B307" s="38"/>
      <c r="C307" s="38"/>
      <c r="D307" s="38"/>
      <c r="E307" s="49"/>
      <c r="F307" s="49"/>
      <c r="G307" s="38"/>
      <c r="H307" s="49"/>
      <c r="I307" s="49"/>
      <c r="J307" s="49"/>
      <c r="K307" s="49"/>
      <c r="L307" s="41"/>
      <c r="M307" s="41"/>
      <c r="N307" s="41"/>
      <c r="O307" s="41"/>
      <c r="P307" s="43"/>
      <c r="Q307" s="41"/>
      <c r="R307" s="41"/>
      <c r="S307" s="41"/>
      <c r="T307" s="41"/>
      <c r="U307" s="47"/>
      <c r="V307" s="41"/>
      <c r="W307" s="48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</row>
    <row r="308" spans="1:45">
      <c r="A308" s="38"/>
      <c r="B308" s="38"/>
      <c r="C308" s="38"/>
      <c r="D308" s="38"/>
      <c r="E308" s="49"/>
      <c r="F308" s="49"/>
      <c r="G308" s="38"/>
      <c r="H308" s="49"/>
      <c r="I308" s="49"/>
      <c r="J308" s="49"/>
      <c r="K308" s="49"/>
      <c r="L308" s="41"/>
      <c r="M308" s="41"/>
      <c r="N308" s="41"/>
      <c r="O308" s="41"/>
      <c r="P308" s="43"/>
      <c r="Q308" s="41"/>
      <c r="R308" s="41"/>
      <c r="S308" s="41"/>
      <c r="T308" s="41"/>
      <c r="U308" s="47"/>
      <c r="V308" s="41"/>
      <c r="W308" s="48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</row>
    <row r="309" spans="1:45">
      <c r="A309" s="38"/>
      <c r="B309" s="38"/>
      <c r="C309" s="38"/>
      <c r="D309" s="38"/>
      <c r="E309" s="49"/>
      <c r="F309" s="49"/>
      <c r="G309" s="38"/>
      <c r="H309" s="49"/>
      <c r="I309" s="49"/>
      <c r="J309" s="49"/>
      <c r="K309" s="49"/>
      <c r="L309" s="41"/>
      <c r="M309" s="41"/>
      <c r="N309" s="41"/>
      <c r="O309" s="41"/>
      <c r="P309" s="43"/>
      <c r="Q309" s="41"/>
      <c r="R309" s="41"/>
      <c r="S309" s="41"/>
      <c r="T309" s="41"/>
      <c r="U309" s="47"/>
      <c r="V309" s="41"/>
      <c r="W309" s="48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</row>
    <row r="310" spans="1:45">
      <c r="A310" s="38"/>
      <c r="B310" s="38"/>
      <c r="C310" s="38"/>
      <c r="D310" s="38"/>
      <c r="E310" s="49"/>
      <c r="F310" s="49"/>
      <c r="G310" s="38"/>
      <c r="H310" s="49"/>
      <c r="I310" s="49"/>
      <c r="J310" s="49"/>
      <c r="K310" s="49"/>
      <c r="L310" s="41"/>
      <c r="M310" s="41"/>
      <c r="N310" s="41"/>
      <c r="O310" s="41"/>
      <c r="P310" s="43"/>
      <c r="Q310" s="41"/>
      <c r="R310" s="41"/>
      <c r="S310" s="41"/>
      <c r="T310" s="41"/>
      <c r="U310" s="47"/>
      <c r="V310" s="41"/>
      <c r="W310" s="48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</row>
    <row r="311" spans="1:45">
      <c r="A311" s="38"/>
      <c r="B311" s="38"/>
      <c r="C311" s="38"/>
      <c r="D311" s="38"/>
      <c r="E311" s="49"/>
      <c r="F311" s="49"/>
      <c r="G311" s="38"/>
      <c r="H311" s="49"/>
      <c r="I311" s="49"/>
      <c r="J311" s="49"/>
      <c r="K311" s="49"/>
      <c r="L311" s="41"/>
      <c r="M311" s="41"/>
      <c r="N311" s="41"/>
      <c r="O311" s="41"/>
      <c r="P311" s="43"/>
      <c r="Q311" s="41"/>
      <c r="R311" s="41"/>
      <c r="S311" s="41"/>
      <c r="T311" s="41"/>
      <c r="U311" s="47"/>
      <c r="V311" s="41"/>
      <c r="W311" s="48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</row>
    <row r="312" spans="1:45">
      <c r="A312" s="38"/>
      <c r="B312" s="38"/>
      <c r="C312" s="38"/>
      <c r="D312" s="38"/>
      <c r="E312" s="49"/>
      <c r="F312" s="49"/>
      <c r="G312" s="38"/>
      <c r="H312" s="49"/>
      <c r="I312" s="49"/>
      <c r="J312" s="49"/>
      <c r="K312" s="49"/>
      <c r="L312" s="41"/>
      <c r="M312" s="41"/>
      <c r="N312" s="41"/>
      <c r="O312" s="41"/>
      <c r="P312" s="43"/>
      <c r="Q312" s="41"/>
      <c r="R312" s="41"/>
      <c r="S312" s="41"/>
      <c r="T312" s="41"/>
      <c r="U312" s="47"/>
      <c r="V312" s="41"/>
      <c r="W312" s="48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</row>
    <row r="313" spans="1:45">
      <c r="A313" s="38"/>
      <c r="B313" s="38"/>
      <c r="C313" s="38"/>
      <c r="D313" s="38"/>
      <c r="E313" s="49"/>
      <c r="F313" s="49"/>
      <c r="G313" s="38"/>
      <c r="H313" s="49"/>
      <c r="I313" s="49"/>
      <c r="J313" s="49"/>
      <c r="K313" s="49"/>
      <c r="L313" s="41"/>
      <c r="M313" s="41"/>
      <c r="N313" s="41"/>
      <c r="O313" s="41"/>
      <c r="P313" s="43"/>
      <c r="Q313" s="41"/>
      <c r="R313" s="41"/>
      <c r="S313" s="41"/>
      <c r="T313" s="41"/>
      <c r="U313" s="47"/>
      <c r="V313" s="41"/>
      <c r="W313" s="48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</row>
    <row r="314" spans="1:45">
      <c r="A314" s="38"/>
      <c r="B314" s="38"/>
      <c r="C314" s="38"/>
      <c r="D314" s="38"/>
      <c r="E314" s="49"/>
      <c r="F314" s="49"/>
      <c r="G314" s="38"/>
      <c r="H314" s="49"/>
      <c r="I314" s="49"/>
      <c r="J314" s="49"/>
      <c r="K314" s="49"/>
      <c r="L314" s="41"/>
      <c r="M314" s="41"/>
      <c r="N314" s="41"/>
      <c r="O314" s="41"/>
      <c r="P314" s="43"/>
      <c r="Q314" s="41"/>
      <c r="R314" s="41"/>
      <c r="S314" s="41"/>
      <c r="T314" s="41"/>
      <c r="U314" s="47"/>
      <c r="V314" s="41"/>
      <c r="W314" s="48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</row>
    <row r="315" spans="1:45">
      <c r="A315" s="38"/>
      <c r="B315" s="38"/>
      <c r="C315" s="38"/>
      <c r="D315" s="38"/>
      <c r="E315" s="49"/>
      <c r="F315" s="49"/>
      <c r="G315" s="38"/>
      <c r="H315" s="49"/>
      <c r="I315" s="49"/>
      <c r="J315" s="49"/>
      <c r="K315" s="49"/>
      <c r="L315" s="41"/>
      <c r="M315" s="41"/>
      <c r="N315" s="41"/>
      <c r="O315" s="41"/>
      <c r="P315" s="43"/>
      <c r="Q315" s="41"/>
      <c r="R315" s="41"/>
      <c r="S315" s="41"/>
      <c r="T315" s="41"/>
      <c r="U315" s="47"/>
      <c r="V315" s="41"/>
      <c r="W315" s="48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</row>
    <row r="316" spans="1:45">
      <c r="A316" s="38"/>
      <c r="B316" s="38"/>
      <c r="C316" s="38"/>
      <c r="D316" s="38"/>
      <c r="E316" s="49"/>
      <c r="F316" s="49"/>
      <c r="G316" s="38"/>
      <c r="H316" s="49"/>
      <c r="I316" s="49"/>
      <c r="J316" s="49"/>
      <c r="K316" s="49"/>
      <c r="L316" s="41"/>
      <c r="M316" s="41"/>
      <c r="N316" s="41"/>
      <c r="O316" s="41"/>
      <c r="P316" s="43"/>
      <c r="Q316" s="41"/>
      <c r="R316" s="41"/>
      <c r="S316" s="41"/>
      <c r="T316" s="41"/>
      <c r="U316" s="47"/>
      <c r="V316" s="41"/>
      <c r="W316" s="48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</row>
    <row r="317" spans="1:45">
      <c r="A317" s="38"/>
      <c r="B317" s="38"/>
      <c r="C317" s="38"/>
      <c r="D317" s="38"/>
      <c r="E317" s="49"/>
      <c r="F317" s="49"/>
      <c r="G317" s="38"/>
      <c r="H317" s="49"/>
      <c r="I317" s="49"/>
      <c r="J317" s="49"/>
      <c r="K317" s="49"/>
      <c r="L317" s="41"/>
      <c r="M317" s="41"/>
      <c r="N317" s="41"/>
      <c r="O317" s="41"/>
      <c r="P317" s="43"/>
      <c r="Q317" s="41"/>
      <c r="R317" s="41"/>
      <c r="S317" s="41"/>
      <c r="T317" s="41"/>
      <c r="U317" s="47"/>
      <c r="V317" s="41"/>
      <c r="W317" s="48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</row>
    <row r="318" spans="1:45">
      <c r="A318" s="38"/>
      <c r="B318" s="38"/>
      <c r="C318" s="38"/>
      <c r="D318" s="38"/>
      <c r="E318" s="49"/>
      <c r="F318" s="49"/>
      <c r="G318" s="38"/>
      <c r="H318" s="49"/>
      <c r="I318" s="49"/>
      <c r="J318" s="49"/>
      <c r="K318" s="49"/>
      <c r="L318" s="41"/>
      <c r="M318" s="41"/>
      <c r="N318" s="41"/>
      <c r="O318" s="41"/>
      <c r="P318" s="43"/>
      <c r="Q318" s="41"/>
      <c r="R318" s="41"/>
      <c r="S318" s="41"/>
      <c r="T318" s="41"/>
      <c r="U318" s="47"/>
      <c r="V318" s="41"/>
      <c r="W318" s="48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</row>
    <row r="319" spans="1:45">
      <c r="A319" s="38"/>
      <c r="B319" s="38"/>
      <c r="C319" s="38"/>
      <c r="D319" s="38"/>
      <c r="E319" s="49"/>
      <c r="F319" s="49"/>
      <c r="G319" s="38"/>
      <c r="H319" s="49"/>
      <c r="I319" s="49"/>
      <c r="J319" s="49"/>
      <c r="K319" s="49"/>
      <c r="L319" s="41"/>
      <c r="M319" s="41"/>
      <c r="N319" s="41"/>
      <c r="O319" s="41"/>
      <c r="P319" s="43"/>
      <c r="Q319" s="41"/>
      <c r="R319" s="41"/>
      <c r="S319" s="41"/>
      <c r="T319" s="41"/>
      <c r="U319" s="47"/>
      <c r="V319" s="41"/>
      <c r="W319" s="48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</row>
    <row r="320" spans="1:45">
      <c r="A320" s="38"/>
      <c r="B320" s="38"/>
      <c r="C320" s="38"/>
      <c r="D320" s="38"/>
      <c r="E320" s="49"/>
      <c r="F320" s="49"/>
      <c r="G320" s="38"/>
      <c r="H320" s="49"/>
      <c r="I320" s="49"/>
      <c r="J320" s="49"/>
      <c r="K320" s="49"/>
      <c r="L320" s="41"/>
      <c r="M320" s="41"/>
      <c r="N320" s="41"/>
      <c r="O320" s="41"/>
      <c r="P320" s="43"/>
      <c r="Q320" s="41"/>
      <c r="R320" s="41"/>
      <c r="S320" s="41"/>
      <c r="T320" s="41"/>
      <c r="U320" s="47"/>
      <c r="V320" s="41"/>
      <c r="W320" s="48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</row>
    <row r="321" spans="1:45">
      <c r="A321" s="38"/>
      <c r="B321" s="38"/>
      <c r="C321" s="38"/>
      <c r="D321" s="38"/>
      <c r="E321" s="49"/>
      <c r="F321" s="49"/>
      <c r="G321" s="38"/>
      <c r="H321" s="49"/>
      <c r="I321" s="49"/>
      <c r="J321" s="49"/>
      <c r="K321" s="49"/>
      <c r="L321" s="41"/>
      <c r="M321" s="41"/>
      <c r="N321" s="41"/>
      <c r="O321" s="41"/>
      <c r="P321" s="43"/>
      <c r="Q321" s="41"/>
      <c r="R321" s="41"/>
      <c r="S321" s="41"/>
      <c r="T321" s="41"/>
      <c r="U321" s="47"/>
      <c r="V321" s="41"/>
      <c r="W321" s="48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</row>
    <row r="322" spans="1:45">
      <c r="A322" s="38"/>
      <c r="B322" s="38"/>
      <c r="C322" s="38"/>
      <c r="D322" s="38"/>
      <c r="E322" s="49"/>
      <c r="F322" s="49"/>
      <c r="G322" s="38"/>
      <c r="H322" s="49"/>
      <c r="I322" s="49"/>
      <c r="J322" s="49"/>
      <c r="K322" s="49"/>
      <c r="L322" s="41"/>
      <c r="M322" s="41"/>
      <c r="N322" s="41"/>
      <c r="O322" s="41"/>
      <c r="P322" s="43"/>
      <c r="Q322" s="41"/>
      <c r="R322" s="41"/>
      <c r="S322" s="41"/>
      <c r="T322" s="41"/>
      <c r="U322" s="47"/>
      <c r="V322" s="41"/>
      <c r="W322" s="48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</row>
    <row r="323" spans="1:45">
      <c r="A323" s="38"/>
      <c r="B323" s="38"/>
      <c r="C323" s="38"/>
      <c r="D323" s="38"/>
      <c r="E323" s="49"/>
      <c r="F323" s="49"/>
      <c r="G323" s="38"/>
      <c r="H323" s="49"/>
      <c r="I323" s="49"/>
      <c r="J323" s="49"/>
      <c r="K323" s="49"/>
      <c r="L323" s="41"/>
      <c r="M323" s="41"/>
      <c r="N323" s="41"/>
      <c r="O323" s="41"/>
      <c r="P323" s="43"/>
      <c r="Q323" s="41"/>
      <c r="R323" s="41"/>
      <c r="S323" s="41"/>
      <c r="T323" s="41"/>
      <c r="U323" s="47"/>
      <c r="V323" s="41"/>
      <c r="W323" s="48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</row>
    <row r="324" spans="1:45">
      <c r="A324" s="38"/>
      <c r="B324" s="38"/>
      <c r="C324" s="38"/>
      <c r="D324" s="38"/>
      <c r="E324" s="49"/>
      <c r="F324" s="49"/>
      <c r="G324" s="38"/>
      <c r="H324" s="49"/>
      <c r="I324" s="49"/>
      <c r="J324" s="49"/>
      <c r="K324" s="49"/>
      <c r="L324" s="41"/>
      <c r="M324" s="41"/>
      <c r="N324" s="41"/>
      <c r="O324" s="41"/>
      <c r="P324" s="43"/>
      <c r="Q324" s="41"/>
      <c r="R324" s="41"/>
      <c r="S324" s="41"/>
      <c r="T324" s="41"/>
      <c r="U324" s="47"/>
      <c r="V324" s="41"/>
      <c r="W324" s="48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</row>
    <row r="325" spans="1:45">
      <c r="A325" s="38"/>
      <c r="B325" s="38"/>
      <c r="C325" s="38"/>
      <c r="D325" s="38"/>
      <c r="E325" s="49"/>
      <c r="F325" s="49"/>
      <c r="G325" s="38"/>
      <c r="H325" s="49"/>
      <c r="I325" s="49"/>
      <c r="J325" s="49"/>
      <c r="K325" s="49"/>
      <c r="L325" s="41"/>
      <c r="M325" s="41"/>
      <c r="N325" s="41"/>
      <c r="O325" s="41"/>
      <c r="P325" s="43"/>
      <c r="Q325" s="41"/>
      <c r="R325" s="41"/>
      <c r="S325" s="41"/>
      <c r="T325" s="41"/>
      <c r="U325" s="47"/>
      <c r="V325" s="41"/>
      <c r="W325" s="48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</row>
    <row r="326" spans="1:45">
      <c r="A326" s="38"/>
      <c r="B326" s="38"/>
      <c r="C326" s="38"/>
      <c r="D326" s="38"/>
      <c r="E326" s="49"/>
      <c r="F326" s="49"/>
      <c r="G326" s="38"/>
      <c r="H326" s="49"/>
      <c r="I326" s="49"/>
      <c r="J326" s="49"/>
      <c r="K326" s="49"/>
      <c r="L326" s="41"/>
      <c r="M326" s="41"/>
      <c r="N326" s="41"/>
      <c r="O326" s="41"/>
      <c r="P326" s="43"/>
      <c r="Q326" s="41"/>
      <c r="R326" s="41"/>
      <c r="S326" s="41"/>
      <c r="T326" s="41"/>
      <c r="U326" s="47"/>
      <c r="V326" s="41"/>
      <c r="W326" s="48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</row>
    <row r="327" spans="1:45">
      <c r="A327" s="38"/>
      <c r="B327" s="38"/>
      <c r="C327" s="38"/>
      <c r="D327" s="38"/>
      <c r="E327" s="49"/>
      <c r="F327" s="49"/>
      <c r="G327" s="38"/>
      <c r="H327" s="49"/>
      <c r="I327" s="49"/>
      <c r="J327" s="49"/>
      <c r="K327" s="49"/>
      <c r="L327" s="41"/>
      <c r="M327" s="41"/>
      <c r="N327" s="41"/>
      <c r="O327" s="41"/>
      <c r="P327" s="43"/>
      <c r="Q327" s="41"/>
      <c r="R327" s="41"/>
      <c r="S327" s="41"/>
      <c r="T327" s="41"/>
      <c r="U327" s="47"/>
      <c r="V327" s="41"/>
      <c r="W327" s="48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</row>
    <row r="328" spans="1:45">
      <c r="A328" s="38"/>
      <c r="B328" s="38"/>
      <c r="C328" s="38"/>
      <c r="D328" s="38"/>
      <c r="E328" s="49"/>
      <c r="F328" s="49"/>
      <c r="G328" s="38"/>
      <c r="H328" s="49"/>
      <c r="I328" s="49"/>
      <c r="J328" s="49"/>
      <c r="K328" s="49"/>
      <c r="L328" s="41"/>
      <c r="M328" s="41"/>
      <c r="N328" s="41"/>
      <c r="O328" s="41"/>
      <c r="P328" s="43"/>
      <c r="Q328" s="41"/>
      <c r="R328" s="41"/>
      <c r="S328" s="41"/>
      <c r="T328" s="41"/>
      <c r="U328" s="47"/>
      <c r="V328" s="41"/>
      <c r="W328" s="48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</row>
    <row r="329" spans="1:45">
      <c r="A329" s="38"/>
      <c r="B329" s="38"/>
      <c r="C329" s="38"/>
      <c r="D329" s="38"/>
      <c r="E329" s="49"/>
      <c r="F329" s="49"/>
      <c r="G329" s="38"/>
      <c r="H329" s="49"/>
      <c r="I329" s="49"/>
      <c r="J329" s="49"/>
      <c r="K329" s="49"/>
      <c r="L329" s="41"/>
      <c r="M329" s="41"/>
      <c r="N329" s="41"/>
      <c r="O329" s="41"/>
      <c r="P329" s="43"/>
      <c r="Q329" s="41"/>
      <c r="R329" s="41"/>
      <c r="S329" s="41"/>
      <c r="T329" s="41"/>
      <c r="U329" s="47"/>
      <c r="V329" s="41"/>
      <c r="W329" s="48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</row>
    <row r="330" spans="1:45">
      <c r="A330" s="38"/>
      <c r="B330" s="38"/>
      <c r="C330" s="38"/>
      <c r="D330" s="38"/>
      <c r="E330" s="49"/>
      <c r="F330" s="49"/>
      <c r="G330" s="38"/>
      <c r="H330" s="49"/>
      <c r="I330" s="49"/>
      <c r="J330" s="49"/>
      <c r="K330" s="49"/>
      <c r="L330" s="41"/>
      <c r="M330" s="41"/>
      <c r="N330" s="41"/>
      <c r="O330" s="41"/>
      <c r="P330" s="43"/>
      <c r="Q330" s="41"/>
      <c r="R330" s="41"/>
      <c r="S330" s="41"/>
      <c r="T330" s="41"/>
      <c r="U330" s="47"/>
      <c r="V330" s="41"/>
      <c r="W330" s="48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</row>
    <row r="331" spans="1:45">
      <c r="A331" s="38"/>
      <c r="B331" s="38"/>
      <c r="C331" s="38"/>
      <c r="D331" s="38"/>
      <c r="E331" s="49"/>
      <c r="F331" s="49"/>
      <c r="G331" s="38"/>
      <c r="H331" s="49"/>
      <c r="I331" s="49"/>
      <c r="J331" s="49"/>
      <c r="K331" s="49"/>
      <c r="L331" s="41"/>
      <c r="M331" s="41"/>
      <c r="N331" s="41"/>
      <c r="O331" s="41"/>
      <c r="P331" s="43"/>
      <c r="Q331" s="41"/>
      <c r="R331" s="41"/>
      <c r="S331" s="41"/>
      <c r="T331" s="41"/>
      <c r="U331" s="47"/>
      <c r="V331" s="41"/>
      <c r="W331" s="48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</row>
    <row r="332" spans="1:45">
      <c r="A332" s="38"/>
      <c r="B332" s="38"/>
      <c r="C332" s="38"/>
      <c r="D332" s="38"/>
      <c r="E332" s="49"/>
      <c r="F332" s="49"/>
      <c r="G332" s="38"/>
      <c r="H332" s="49"/>
      <c r="I332" s="49"/>
      <c r="J332" s="49"/>
      <c r="K332" s="49"/>
      <c r="L332" s="41"/>
      <c r="M332" s="41"/>
      <c r="N332" s="41"/>
      <c r="O332" s="41"/>
      <c r="P332" s="43"/>
      <c r="Q332" s="41"/>
      <c r="R332" s="41"/>
      <c r="S332" s="41"/>
      <c r="T332" s="41"/>
      <c r="U332" s="47"/>
      <c r="V332" s="41"/>
      <c r="W332" s="48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</row>
    <row r="333" spans="1:45">
      <c r="A333" s="38"/>
      <c r="B333" s="38"/>
      <c r="C333" s="38"/>
      <c r="D333" s="38"/>
      <c r="E333" s="49"/>
      <c r="F333" s="49"/>
      <c r="G333" s="38"/>
      <c r="H333" s="49"/>
      <c r="I333" s="49"/>
      <c r="J333" s="49"/>
      <c r="K333" s="49"/>
      <c r="L333" s="41"/>
      <c r="M333" s="41"/>
      <c r="N333" s="41"/>
      <c r="O333" s="41"/>
      <c r="P333" s="43"/>
      <c r="Q333" s="41"/>
      <c r="R333" s="41"/>
      <c r="S333" s="41"/>
      <c r="T333" s="41"/>
      <c r="U333" s="47"/>
      <c r="V333" s="41"/>
      <c r="W333" s="48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</row>
    <row r="334" spans="1:45">
      <c r="A334" s="38"/>
      <c r="B334" s="38"/>
      <c r="C334" s="38"/>
      <c r="D334" s="38"/>
      <c r="E334" s="49"/>
      <c r="F334" s="49"/>
      <c r="G334" s="38"/>
      <c r="H334" s="49"/>
      <c r="I334" s="49"/>
      <c r="J334" s="49"/>
      <c r="K334" s="49"/>
      <c r="L334" s="41"/>
      <c r="M334" s="41"/>
      <c r="N334" s="41"/>
      <c r="O334" s="41"/>
      <c r="P334" s="43"/>
      <c r="Q334" s="41"/>
      <c r="R334" s="41"/>
      <c r="S334" s="41"/>
      <c r="T334" s="41"/>
      <c r="U334" s="47"/>
      <c r="V334" s="41"/>
      <c r="W334" s="48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</row>
    <row r="335" spans="1:45">
      <c r="A335" s="38"/>
      <c r="B335" s="38"/>
      <c r="C335" s="38"/>
      <c r="D335" s="38"/>
      <c r="E335" s="49"/>
      <c r="F335" s="49"/>
      <c r="G335" s="38"/>
      <c r="H335" s="49"/>
      <c r="I335" s="49"/>
      <c r="J335" s="49"/>
      <c r="K335" s="49"/>
      <c r="L335" s="41"/>
      <c r="M335" s="41"/>
      <c r="N335" s="41"/>
      <c r="O335" s="41"/>
      <c r="P335" s="43"/>
      <c r="Q335" s="41"/>
      <c r="R335" s="41"/>
      <c r="S335" s="41"/>
      <c r="T335" s="41"/>
      <c r="U335" s="47"/>
      <c r="V335" s="41"/>
      <c r="W335" s="48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</row>
    <row r="336" spans="1:45">
      <c r="A336" s="38"/>
      <c r="B336" s="38"/>
      <c r="C336" s="38"/>
      <c r="D336" s="38"/>
      <c r="E336" s="49"/>
      <c r="F336" s="49"/>
      <c r="G336" s="38"/>
      <c r="H336" s="49"/>
      <c r="I336" s="49"/>
      <c r="J336" s="49"/>
      <c r="K336" s="49"/>
      <c r="L336" s="41"/>
      <c r="M336" s="41"/>
      <c r="N336" s="41"/>
      <c r="O336" s="41"/>
      <c r="P336" s="43"/>
      <c r="Q336" s="41"/>
      <c r="R336" s="41"/>
      <c r="S336" s="41"/>
      <c r="T336" s="41"/>
      <c r="U336" s="47"/>
      <c r="V336" s="41"/>
      <c r="W336" s="48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</row>
    <row r="337" spans="1:45">
      <c r="A337" s="38"/>
      <c r="B337" s="38"/>
      <c r="C337" s="38"/>
      <c r="D337" s="38"/>
      <c r="E337" s="49"/>
      <c r="F337" s="49"/>
      <c r="G337" s="38"/>
      <c r="H337" s="49"/>
      <c r="I337" s="49"/>
      <c r="J337" s="49"/>
      <c r="K337" s="49"/>
      <c r="L337" s="41"/>
      <c r="M337" s="41"/>
      <c r="N337" s="41"/>
      <c r="O337" s="41"/>
      <c r="P337" s="43"/>
      <c r="Q337" s="41"/>
      <c r="R337" s="41"/>
      <c r="S337" s="41"/>
      <c r="T337" s="41"/>
      <c r="U337" s="47"/>
      <c r="V337" s="41"/>
      <c r="W337" s="48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</row>
    <row r="338" spans="1:45">
      <c r="A338" s="38"/>
      <c r="B338" s="38"/>
      <c r="C338" s="38"/>
      <c r="D338" s="38"/>
      <c r="E338" s="49"/>
      <c r="F338" s="49"/>
      <c r="G338" s="38"/>
      <c r="H338" s="49"/>
      <c r="I338" s="49"/>
      <c r="J338" s="49"/>
      <c r="K338" s="49"/>
      <c r="L338" s="41"/>
      <c r="M338" s="41"/>
      <c r="N338" s="41"/>
      <c r="O338" s="41"/>
      <c r="P338" s="43"/>
      <c r="Q338" s="41"/>
      <c r="R338" s="41"/>
      <c r="S338" s="41"/>
      <c r="T338" s="41"/>
      <c r="U338" s="47"/>
      <c r="V338" s="41"/>
      <c r="W338" s="48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</row>
    <row r="339" spans="1:45">
      <c r="A339" s="38"/>
      <c r="B339" s="38"/>
      <c r="C339" s="38"/>
      <c r="D339" s="38"/>
      <c r="E339" s="49"/>
      <c r="F339" s="49"/>
      <c r="G339" s="38"/>
      <c r="H339" s="49"/>
      <c r="I339" s="49"/>
      <c r="J339" s="49"/>
      <c r="K339" s="49"/>
      <c r="L339" s="41"/>
      <c r="M339" s="41"/>
      <c r="N339" s="41"/>
      <c r="O339" s="41"/>
      <c r="P339" s="43"/>
      <c r="Q339" s="41"/>
      <c r="R339" s="41"/>
      <c r="S339" s="41"/>
      <c r="T339" s="41"/>
      <c r="U339" s="47"/>
      <c r="V339" s="41"/>
      <c r="W339" s="48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</row>
    <row r="340" spans="1:45">
      <c r="A340" s="38"/>
      <c r="B340" s="38"/>
      <c r="C340" s="38"/>
      <c r="D340" s="38"/>
      <c r="E340" s="49"/>
      <c r="F340" s="49"/>
      <c r="G340" s="38"/>
      <c r="H340" s="49"/>
      <c r="I340" s="49"/>
      <c r="J340" s="49"/>
      <c r="K340" s="49"/>
      <c r="L340" s="41"/>
      <c r="M340" s="41"/>
      <c r="N340" s="41"/>
      <c r="O340" s="41"/>
      <c r="P340" s="43"/>
      <c r="Q340" s="41"/>
      <c r="R340" s="41"/>
      <c r="S340" s="41"/>
      <c r="T340" s="41"/>
      <c r="U340" s="47"/>
      <c r="V340" s="41"/>
      <c r="W340" s="48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</row>
    <row r="341" spans="1:45">
      <c r="A341" s="38"/>
      <c r="B341" s="38"/>
      <c r="C341" s="38"/>
      <c r="D341" s="38"/>
      <c r="E341" s="49"/>
      <c r="F341" s="49"/>
      <c r="G341" s="38"/>
      <c r="H341" s="49"/>
      <c r="I341" s="49"/>
      <c r="J341" s="49"/>
      <c r="K341" s="49"/>
      <c r="L341" s="41"/>
      <c r="M341" s="41"/>
      <c r="N341" s="41"/>
      <c r="O341" s="41"/>
      <c r="P341" s="43"/>
      <c r="Q341" s="41"/>
      <c r="R341" s="41"/>
      <c r="S341" s="41"/>
      <c r="T341" s="41"/>
      <c r="U341" s="47"/>
      <c r="V341" s="41"/>
      <c r="W341" s="48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</row>
    <row r="342" spans="1:45">
      <c r="A342" s="38"/>
      <c r="B342" s="38"/>
      <c r="C342" s="38"/>
      <c r="D342" s="38"/>
      <c r="E342" s="49"/>
      <c r="F342" s="49"/>
      <c r="G342" s="38"/>
      <c r="H342" s="49"/>
      <c r="I342" s="49"/>
      <c r="J342" s="49"/>
      <c r="K342" s="49"/>
      <c r="L342" s="41"/>
      <c r="M342" s="41"/>
      <c r="N342" s="41"/>
      <c r="O342" s="41"/>
      <c r="P342" s="43"/>
      <c r="Q342" s="41"/>
      <c r="R342" s="41"/>
      <c r="S342" s="41"/>
      <c r="T342" s="41"/>
      <c r="U342" s="47"/>
      <c r="V342" s="41"/>
      <c r="W342" s="48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</row>
    <row r="343" spans="1:45">
      <c r="A343" s="38"/>
      <c r="B343" s="38"/>
      <c r="C343" s="38"/>
      <c r="D343" s="38"/>
      <c r="E343" s="49"/>
      <c r="F343" s="49"/>
      <c r="G343" s="38"/>
      <c r="H343" s="49"/>
      <c r="I343" s="49"/>
      <c r="J343" s="49"/>
      <c r="K343" s="49"/>
      <c r="L343" s="41"/>
      <c r="M343" s="41"/>
      <c r="N343" s="41"/>
      <c r="O343" s="41"/>
      <c r="P343" s="43"/>
      <c r="Q343" s="41"/>
      <c r="R343" s="41"/>
      <c r="S343" s="41"/>
      <c r="T343" s="41"/>
      <c r="U343" s="47"/>
      <c r="V343" s="41"/>
      <c r="W343" s="48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</row>
    <row r="344" spans="1:45">
      <c r="A344" s="38"/>
      <c r="B344" s="38"/>
      <c r="C344" s="38"/>
      <c r="D344" s="38"/>
      <c r="E344" s="49"/>
      <c r="F344" s="49"/>
      <c r="G344" s="38"/>
      <c r="H344" s="49"/>
      <c r="I344" s="49"/>
      <c r="J344" s="49"/>
      <c r="K344" s="49"/>
      <c r="L344" s="41"/>
      <c r="M344" s="41"/>
      <c r="N344" s="41"/>
      <c r="O344" s="41"/>
      <c r="P344" s="43"/>
      <c r="Q344" s="41"/>
      <c r="R344" s="41"/>
      <c r="S344" s="41"/>
      <c r="T344" s="41"/>
      <c r="U344" s="47"/>
      <c r="V344" s="41"/>
      <c r="W344" s="48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</row>
    <row r="345" spans="1:45">
      <c r="A345" s="38"/>
      <c r="B345" s="38"/>
      <c r="C345" s="38"/>
      <c r="D345" s="38"/>
      <c r="E345" s="49"/>
      <c r="F345" s="49"/>
      <c r="G345" s="38"/>
      <c r="H345" s="49"/>
      <c r="I345" s="49"/>
      <c r="J345" s="49"/>
      <c r="K345" s="49"/>
      <c r="L345" s="41"/>
      <c r="M345" s="41"/>
      <c r="N345" s="41"/>
      <c r="O345" s="41"/>
      <c r="P345" s="43"/>
      <c r="Q345" s="41"/>
      <c r="R345" s="41"/>
      <c r="S345" s="41"/>
      <c r="T345" s="41"/>
      <c r="U345" s="47"/>
      <c r="V345" s="41"/>
      <c r="W345" s="48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</row>
    <row r="346" spans="1:45">
      <c r="A346" s="38"/>
      <c r="B346" s="38"/>
      <c r="C346" s="38"/>
      <c r="D346" s="38"/>
      <c r="E346" s="49"/>
      <c r="F346" s="49"/>
      <c r="G346" s="38"/>
      <c r="H346" s="49"/>
      <c r="I346" s="49"/>
      <c r="J346" s="49"/>
      <c r="K346" s="49"/>
      <c r="L346" s="41"/>
      <c r="M346" s="41"/>
      <c r="N346" s="41"/>
      <c r="O346" s="41"/>
      <c r="P346" s="43"/>
      <c r="Q346" s="41"/>
      <c r="R346" s="41"/>
      <c r="S346" s="41"/>
      <c r="T346" s="41"/>
      <c r="U346" s="47"/>
      <c r="V346" s="41"/>
      <c r="W346" s="48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</row>
    <row r="347" spans="1:45">
      <c r="A347" s="38"/>
      <c r="B347" s="38"/>
      <c r="C347" s="38"/>
      <c r="D347" s="38"/>
      <c r="E347" s="49"/>
      <c r="F347" s="49"/>
      <c r="G347" s="38"/>
      <c r="H347" s="49"/>
      <c r="I347" s="49"/>
      <c r="J347" s="49"/>
      <c r="K347" s="49"/>
      <c r="L347" s="41"/>
      <c r="M347" s="41"/>
      <c r="N347" s="41"/>
      <c r="O347" s="41"/>
      <c r="P347" s="43"/>
      <c r="Q347" s="41"/>
      <c r="R347" s="41"/>
      <c r="S347" s="41"/>
      <c r="T347" s="41"/>
      <c r="U347" s="47"/>
      <c r="V347" s="41"/>
      <c r="W347" s="48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</row>
    <row r="348" spans="1:45">
      <c r="A348" s="38"/>
      <c r="B348" s="38"/>
      <c r="C348" s="38"/>
      <c r="D348" s="38"/>
      <c r="E348" s="49"/>
      <c r="F348" s="49"/>
      <c r="G348" s="38"/>
      <c r="H348" s="49"/>
      <c r="I348" s="49"/>
      <c r="J348" s="49"/>
      <c r="K348" s="49"/>
      <c r="L348" s="41"/>
      <c r="M348" s="41"/>
      <c r="N348" s="41"/>
      <c r="O348" s="41"/>
      <c r="P348" s="43"/>
      <c r="Q348" s="41"/>
      <c r="R348" s="41"/>
      <c r="S348" s="41"/>
      <c r="T348" s="41"/>
      <c r="U348" s="47"/>
      <c r="V348" s="41"/>
      <c r="W348" s="48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</row>
    <row r="349" spans="1:45">
      <c r="A349" s="38"/>
      <c r="B349" s="38"/>
      <c r="C349" s="38"/>
      <c r="D349" s="38"/>
      <c r="E349" s="49"/>
      <c r="F349" s="49"/>
      <c r="G349" s="38"/>
      <c r="H349" s="49"/>
      <c r="I349" s="49"/>
      <c r="J349" s="49"/>
      <c r="K349" s="49"/>
      <c r="L349" s="41"/>
      <c r="M349" s="41"/>
      <c r="N349" s="41"/>
      <c r="O349" s="41"/>
      <c r="P349" s="43"/>
      <c r="Q349" s="41"/>
      <c r="R349" s="41"/>
      <c r="S349" s="41"/>
      <c r="T349" s="41"/>
      <c r="U349" s="47"/>
      <c r="V349" s="41"/>
      <c r="W349" s="48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</row>
    <row r="350" spans="1:45">
      <c r="A350" s="38"/>
      <c r="B350" s="38"/>
      <c r="C350" s="38"/>
      <c r="D350" s="38"/>
      <c r="E350" s="49"/>
      <c r="F350" s="49"/>
      <c r="G350" s="38"/>
      <c r="H350" s="49"/>
      <c r="I350" s="49"/>
      <c r="J350" s="49"/>
      <c r="K350" s="49"/>
      <c r="L350" s="41"/>
      <c r="M350" s="41"/>
      <c r="N350" s="41"/>
      <c r="O350" s="41"/>
      <c r="P350" s="43"/>
      <c r="Q350" s="41"/>
      <c r="R350" s="41"/>
      <c r="S350" s="41"/>
      <c r="T350" s="41"/>
      <c r="U350" s="47"/>
      <c r="V350" s="41"/>
      <c r="W350" s="48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</row>
    <row r="351" spans="1:45">
      <c r="A351" s="38"/>
      <c r="B351" s="38"/>
      <c r="C351" s="38"/>
      <c r="D351" s="38"/>
      <c r="E351" s="49"/>
      <c r="F351" s="49"/>
      <c r="G351" s="38"/>
      <c r="H351" s="49"/>
      <c r="I351" s="49"/>
      <c r="J351" s="49"/>
      <c r="K351" s="49"/>
      <c r="L351" s="41"/>
      <c r="M351" s="41"/>
      <c r="N351" s="41"/>
      <c r="O351" s="41"/>
      <c r="P351" s="43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</row>
    <row r="352" spans="1:45">
      <c r="A352" s="38"/>
      <c r="B352" s="38"/>
      <c r="C352" s="38"/>
      <c r="D352" s="38"/>
      <c r="E352" s="49"/>
      <c r="F352" s="49"/>
      <c r="G352" s="38"/>
      <c r="H352" s="49"/>
      <c r="I352" s="49"/>
      <c r="J352" s="49"/>
      <c r="K352" s="49"/>
      <c r="L352" s="41"/>
      <c r="M352" s="41"/>
      <c r="N352" s="41"/>
      <c r="O352" s="41"/>
      <c r="P352" s="43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</row>
    <row r="353" spans="1:45">
      <c r="A353" s="38"/>
      <c r="B353" s="38"/>
      <c r="C353" s="38"/>
      <c r="D353" s="38"/>
      <c r="E353" s="49"/>
      <c r="F353" s="49"/>
      <c r="G353" s="38"/>
      <c r="H353" s="49"/>
      <c r="I353" s="49"/>
      <c r="J353" s="49"/>
      <c r="K353" s="49"/>
      <c r="L353" s="41"/>
      <c r="M353" s="41"/>
      <c r="N353" s="41"/>
      <c r="O353" s="41"/>
      <c r="P353" s="43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</row>
    <row r="354" spans="1:45">
      <c r="A354" s="38"/>
      <c r="B354" s="38"/>
      <c r="C354" s="38"/>
      <c r="D354" s="38"/>
      <c r="E354" s="49"/>
      <c r="F354" s="49"/>
      <c r="G354" s="38"/>
      <c r="H354" s="49"/>
      <c r="I354" s="49"/>
      <c r="J354" s="49"/>
      <c r="K354" s="49"/>
      <c r="L354" s="41"/>
      <c r="M354" s="41"/>
      <c r="N354" s="41"/>
      <c r="O354" s="41"/>
      <c r="P354" s="43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</row>
    <row r="355" spans="1:45">
      <c r="A355" s="38"/>
      <c r="B355" s="38"/>
      <c r="C355" s="38"/>
      <c r="D355" s="38"/>
      <c r="E355" s="49"/>
      <c r="F355" s="49"/>
      <c r="G355" s="38"/>
      <c r="H355" s="49"/>
      <c r="I355" s="49"/>
      <c r="J355" s="49"/>
      <c r="K355" s="49"/>
      <c r="L355" s="41"/>
      <c r="M355" s="41"/>
      <c r="N355" s="41"/>
      <c r="O355" s="41"/>
      <c r="P355" s="43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</row>
    <row r="356" spans="1:45">
      <c r="A356" s="38"/>
      <c r="B356" s="38"/>
      <c r="C356" s="38"/>
      <c r="D356" s="38"/>
      <c r="E356" s="49"/>
      <c r="F356" s="49"/>
      <c r="G356" s="38"/>
      <c r="H356" s="49"/>
      <c r="I356" s="49"/>
      <c r="J356" s="49"/>
      <c r="K356" s="49"/>
      <c r="L356" s="41"/>
      <c r="M356" s="41"/>
      <c r="N356" s="41"/>
      <c r="O356" s="41"/>
      <c r="P356" s="43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</row>
    <row r="357" spans="1:45">
      <c r="A357" s="38"/>
      <c r="B357" s="38"/>
      <c r="C357" s="38"/>
      <c r="D357" s="38"/>
      <c r="E357" s="49"/>
      <c r="F357" s="49"/>
      <c r="G357" s="38"/>
      <c r="H357" s="49"/>
      <c r="I357" s="49"/>
      <c r="J357" s="49"/>
      <c r="K357" s="49"/>
      <c r="L357" s="41"/>
      <c r="M357" s="41"/>
      <c r="N357" s="41"/>
      <c r="O357" s="41"/>
      <c r="P357" s="43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</row>
    <row r="358" spans="1:45">
      <c r="A358" s="38"/>
      <c r="B358" s="38"/>
      <c r="C358" s="38"/>
      <c r="D358" s="38"/>
      <c r="E358" s="49"/>
      <c r="F358" s="49"/>
      <c r="G358" s="38"/>
      <c r="H358" s="49"/>
      <c r="I358" s="49"/>
      <c r="J358" s="49"/>
      <c r="K358" s="49"/>
      <c r="L358" s="41"/>
      <c r="M358" s="41"/>
      <c r="N358" s="41"/>
      <c r="O358" s="41"/>
      <c r="P358" s="43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</row>
    <row r="359" spans="1:45">
      <c r="A359" s="38"/>
      <c r="B359" s="38"/>
      <c r="C359" s="38"/>
      <c r="D359" s="38"/>
      <c r="E359" s="49"/>
      <c r="F359" s="49"/>
      <c r="G359" s="38"/>
      <c r="H359" s="49"/>
      <c r="I359" s="49"/>
      <c r="J359" s="49"/>
      <c r="K359" s="49"/>
      <c r="L359" s="41"/>
      <c r="M359" s="41"/>
      <c r="N359" s="41"/>
      <c r="O359" s="41"/>
      <c r="P359" s="43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</row>
    <row r="360" spans="1:45">
      <c r="A360" s="38"/>
      <c r="B360" s="38"/>
      <c r="C360" s="38"/>
      <c r="D360" s="38"/>
      <c r="E360" s="49"/>
      <c r="F360" s="49"/>
      <c r="G360" s="38"/>
      <c r="H360" s="49"/>
      <c r="I360" s="49"/>
      <c r="J360" s="49"/>
      <c r="K360" s="49"/>
      <c r="L360" s="41"/>
      <c r="M360" s="41"/>
      <c r="N360" s="41"/>
      <c r="O360" s="41"/>
      <c r="P360" s="43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</row>
    <row r="361" spans="1:45">
      <c r="A361" s="38"/>
      <c r="B361" s="38"/>
      <c r="C361" s="38"/>
      <c r="D361" s="38"/>
      <c r="E361" s="49"/>
      <c r="F361" s="49"/>
      <c r="G361" s="38"/>
      <c r="H361" s="49"/>
      <c r="I361" s="49"/>
      <c r="J361" s="49"/>
      <c r="K361" s="49"/>
      <c r="L361" s="41"/>
      <c r="M361" s="41"/>
      <c r="N361" s="41"/>
      <c r="O361" s="41"/>
      <c r="P361" s="43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</row>
    <row r="362" spans="1:45">
      <c r="A362" s="38"/>
      <c r="B362" s="38"/>
      <c r="C362" s="38"/>
      <c r="D362" s="38"/>
      <c r="E362" s="49"/>
      <c r="F362" s="49"/>
      <c r="G362" s="38"/>
      <c r="H362" s="49"/>
      <c r="I362" s="49"/>
      <c r="J362" s="49"/>
      <c r="K362" s="49"/>
      <c r="L362" s="41"/>
      <c r="M362" s="41"/>
      <c r="N362" s="41"/>
      <c r="O362" s="41"/>
      <c r="P362" s="43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</row>
    <row r="363" spans="1:45">
      <c r="A363" s="38"/>
      <c r="B363" s="38"/>
      <c r="C363" s="38"/>
      <c r="D363" s="38"/>
      <c r="E363" s="49"/>
      <c r="F363" s="49"/>
      <c r="G363" s="38"/>
      <c r="H363" s="49"/>
      <c r="I363" s="49"/>
      <c r="J363" s="49"/>
      <c r="K363" s="49"/>
      <c r="L363" s="41"/>
      <c r="M363" s="41"/>
      <c r="N363" s="41"/>
      <c r="O363" s="41"/>
      <c r="P363" s="43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</row>
    <row r="364" spans="1:45">
      <c r="A364" s="38"/>
      <c r="B364" s="38"/>
      <c r="C364" s="38"/>
      <c r="D364" s="38"/>
      <c r="E364" s="49"/>
      <c r="F364" s="49"/>
      <c r="G364" s="38"/>
      <c r="H364" s="49"/>
      <c r="I364" s="49"/>
      <c r="J364" s="49"/>
      <c r="K364" s="49"/>
      <c r="L364" s="41"/>
      <c r="M364" s="41"/>
      <c r="N364" s="41"/>
      <c r="O364" s="41"/>
      <c r="P364" s="43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</row>
    <row r="365" spans="1:45">
      <c r="A365" s="38"/>
      <c r="B365" s="38"/>
      <c r="C365" s="38"/>
      <c r="D365" s="38"/>
      <c r="E365" s="49"/>
      <c r="F365" s="49"/>
      <c r="G365" s="38"/>
      <c r="H365" s="49"/>
      <c r="I365" s="49"/>
      <c r="J365" s="49"/>
      <c r="K365" s="49"/>
      <c r="L365" s="41"/>
      <c r="M365" s="41"/>
      <c r="N365" s="41"/>
      <c r="O365" s="41"/>
      <c r="P365" s="43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</row>
    <row r="366" spans="1:45">
      <c r="A366" s="38"/>
      <c r="B366" s="38"/>
      <c r="C366" s="38"/>
      <c r="D366" s="38"/>
      <c r="E366" s="49"/>
      <c r="F366" s="49"/>
      <c r="G366" s="38"/>
      <c r="H366" s="49"/>
      <c r="I366" s="49"/>
      <c r="J366" s="49"/>
      <c r="K366" s="49"/>
      <c r="L366" s="41"/>
      <c r="M366" s="41"/>
      <c r="N366" s="41"/>
      <c r="O366" s="41"/>
      <c r="P366" s="43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</row>
    <row r="367" spans="1:45">
      <c r="A367" s="38"/>
      <c r="B367" s="38"/>
      <c r="C367" s="38"/>
      <c r="D367" s="38"/>
      <c r="E367" s="49"/>
      <c r="F367" s="49"/>
      <c r="G367" s="38"/>
      <c r="H367" s="49"/>
      <c r="I367" s="49"/>
      <c r="J367" s="49"/>
      <c r="K367" s="49"/>
      <c r="L367" s="41"/>
      <c r="M367" s="41"/>
      <c r="N367" s="41"/>
      <c r="O367" s="41"/>
      <c r="P367" s="43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</row>
    <row r="368" spans="1:45">
      <c r="A368" s="38"/>
      <c r="B368" s="38"/>
      <c r="C368" s="38"/>
      <c r="D368" s="38"/>
      <c r="E368" s="49"/>
      <c r="F368" s="49"/>
      <c r="G368" s="38"/>
      <c r="H368" s="49"/>
      <c r="I368" s="49"/>
      <c r="J368" s="49"/>
      <c r="K368" s="49"/>
      <c r="L368" s="41"/>
      <c r="M368" s="41"/>
      <c r="N368" s="41"/>
      <c r="O368" s="41"/>
      <c r="P368" s="43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</row>
    <row r="369" spans="1:45">
      <c r="A369" s="38"/>
      <c r="B369" s="38"/>
      <c r="C369" s="38"/>
      <c r="D369" s="38"/>
      <c r="E369" s="49"/>
      <c r="F369" s="49"/>
      <c r="G369" s="38"/>
      <c r="H369" s="49"/>
      <c r="I369" s="49"/>
      <c r="J369" s="49"/>
      <c r="K369" s="49"/>
      <c r="L369" s="41"/>
      <c r="M369" s="41"/>
      <c r="N369" s="41"/>
      <c r="O369" s="41"/>
      <c r="P369" s="43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</row>
    <row r="370" spans="1:45">
      <c r="A370" s="38"/>
      <c r="B370" s="38"/>
      <c r="C370" s="38"/>
      <c r="D370" s="38"/>
      <c r="E370" s="49"/>
      <c r="F370" s="49"/>
      <c r="G370" s="38"/>
      <c r="H370" s="49"/>
      <c r="I370" s="49"/>
      <c r="J370" s="49"/>
      <c r="K370" s="49"/>
      <c r="L370" s="41"/>
      <c r="M370" s="41"/>
      <c r="N370" s="41"/>
      <c r="O370" s="41"/>
      <c r="P370" s="43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</row>
    <row r="371" spans="1:45">
      <c r="A371" s="38"/>
      <c r="B371" s="38"/>
      <c r="C371" s="38"/>
      <c r="D371" s="38"/>
      <c r="E371" s="49"/>
      <c r="F371" s="49"/>
      <c r="G371" s="38"/>
      <c r="H371" s="49"/>
      <c r="I371" s="49"/>
      <c r="J371" s="49"/>
      <c r="K371" s="49"/>
      <c r="L371" s="41"/>
      <c r="M371" s="41"/>
      <c r="N371" s="41"/>
      <c r="O371" s="41"/>
      <c r="P371" s="43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</row>
    <row r="372" spans="1:45">
      <c r="A372" s="38"/>
      <c r="B372" s="38"/>
      <c r="C372" s="38"/>
      <c r="D372" s="38"/>
      <c r="E372" s="49"/>
      <c r="F372" s="49"/>
      <c r="G372" s="38"/>
      <c r="H372" s="49"/>
      <c r="I372" s="49"/>
      <c r="J372" s="49"/>
      <c r="K372" s="49"/>
      <c r="L372" s="41"/>
      <c r="M372" s="41"/>
      <c r="N372" s="41"/>
      <c r="O372" s="41"/>
      <c r="P372" s="43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</row>
    <row r="373" spans="1:45">
      <c r="A373" s="38"/>
      <c r="B373" s="38"/>
      <c r="C373" s="38"/>
      <c r="D373" s="38"/>
      <c r="E373" s="49"/>
      <c r="F373" s="49"/>
      <c r="G373" s="38"/>
      <c r="H373" s="49"/>
      <c r="I373" s="49"/>
      <c r="J373" s="49"/>
      <c r="K373" s="49"/>
      <c r="L373" s="41"/>
      <c r="M373" s="41"/>
      <c r="N373" s="41"/>
      <c r="O373" s="41"/>
      <c r="P373" s="43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</row>
    <row r="374" spans="1:45">
      <c r="A374" s="38"/>
      <c r="B374" s="38"/>
      <c r="C374" s="38"/>
      <c r="D374" s="38"/>
      <c r="E374" s="49"/>
      <c r="F374" s="49"/>
      <c r="G374" s="38"/>
      <c r="H374" s="49"/>
      <c r="I374" s="49"/>
      <c r="J374" s="49"/>
      <c r="K374" s="49"/>
      <c r="L374" s="41"/>
      <c r="M374" s="41"/>
      <c r="N374" s="41"/>
      <c r="O374" s="41"/>
      <c r="P374" s="43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</row>
    <row r="375" spans="1:45">
      <c r="A375" s="38"/>
      <c r="B375" s="38"/>
      <c r="C375" s="38"/>
      <c r="D375" s="38"/>
      <c r="E375" s="49"/>
      <c r="F375" s="49"/>
      <c r="G375" s="38"/>
      <c r="H375" s="49"/>
      <c r="I375" s="49"/>
      <c r="J375" s="49"/>
      <c r="K375" s="49"/>
      <c r="L375" s="41"/>
      <c r="M375" s="41"/>
      <c r="N375" s="41"/>
      <c r="O375" s="41"/>
      <c r="P375" s="43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</row>
    <row r="376" spans="1:45">
      <c r="A376" s="38"/>
      <c r="B376" s="38"/>
      <c r="C376" s="38"/>
      <c r="D376" s="38"/>
      <c r="E376" s="49"/>
      <c r="F376" s="49"/>
      <c r="G376" s="38"/>
      <c r="H376" s="49"/>
      <c r="I376" s="49"/>
      <c r="J376" s="49"/>
      <c r="K376" s="49"/>
      <c r="L376" s="41"/>
      <c r="M376" s="41"/>
      <c r="N376" s="41"/>
      <c r="O376" s="41"/>
      <c r="P376" s="43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</row>
    <row r="377" spans="1:45">
      <c r="A377" s="38"/>
      <c r="B377" s="38"/>
      <c r="C377" s="38"/>
      <c r="D377" s="38"/>
      <c r="E377" s="49"/>
      <c r="F377" s="49"/>
      <c r="G377" s="38"/>
      <c r="H377" s="49"/>
      <c r="I377" s="49"/>
      <c r="J377" s="49"/>
      <c r="K377" s="49"/>
      <c r="L377" s="41"/>
      <c r="M377" s="41"/>
      <c r="N377" s="41"/>
      <c r="O377" s="41"/>
      <c r="P377" s="43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</row>
    <row r="378" spans="1:45">
      <c r="A378" s="38"/>
      <c r="B378" s="38"/>
      <c r="C378" s="38"/>
      <c r="D378" s="38"/>
      <c r="E378" s="49"/>
      <c r="F378" s="49"/>
      <c r="G378" s="38"/>
      <c r="H378" s="49"/>
      <c r="I378" s="49"/>
      <c r="J378" s="49"/>
      <c r="K378" s="49"/>
      <c r="L378" s="41"/>
      <c r="M378" s="41"/>
      <c r="N378" s="41"/>
      <c r="O378" s="41"/>
      <c r="P378" s="43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</row>
    <row r="379" spans="1:45">
      <c r="A379" s="38"/>
      <c r="B379" s="38"/>
      <c r="C379" s="38"/>
      <c r="D379" s="38"/>
      <c r="E379" s="49"/>
      <c r="F379" s="49"/>
      <c r="G379" s="38"/>
      <c r="H379" s="49"/>
      <c r="I379" s="49"/>
      <c r="J379" s="49"/>
      <c r="K379" s="49"/>
      <c r="L379" s="41"/>
      <c r="M379" s="41"/>
      <c r="N379" s="41"/>
      <c r="O379" s="41"/>
      <c r="P379" s="43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</row>
    <row r="380" spans="1:45">
      <c r="A380" s="38"/>
      <c r="B380" s="38"/>
      <c r="C380" s="38"/>
      <c r="D380" s="38"/>
      <c r="E380" s="49"/>
      <c r="F380" s="49"/>
      <c r="G380" s="38"/>
      <c r="H380" s="49"/>
      <c r="I380" s="49"/>
      <c r="J380" s="49"/>
      <c r="K380" s="49"/>
      <c r="L380" s="41"/>
      <c r="M380" s="41"/>
      <c r="N380" s="41"/>
      <c r="O380" s="41"/>
      <c r="P380" s="43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</row>
    <row r="381" spans="1:45">
      <c r="A381" s="38"/>
      <c r="B381" s="38"/>
      <c r="C381" s="38"/>
      <c r="D381" s="38"/>
      <c r="E381" s="49"/>
      <c r="F381" s="49"/>
      <c r="G381" s="38"/>
      <c r="H381" s="49"/>
      <c r="I381" s="49"/>
      <c r="J381" s="49"/>
      <c r="K381" s="49"/>
      <c r="L381" s="41"/>
      <c r="M381" s="41"/>
      <c r="N381" s="41"/>
      <c r="O381" s="41"/>
      <c r="P381" s="43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</row>
    <row r="382" spans="1:45">
      <c r="A382" s="38"/>
      <c r="B382" s="38"/>
      <c r="C382" s="38"/>
      <c r="D382" s="38"/>
      <c r="E382" s="49"/>
      <c r="F382" s="49"/>
      <c r="G382" s="38"/>
      <c r="H382" s="49"/>
      <c r="I382" s="49"/>
      <c r="J382" s="49"/>
      <c r="K382" s="49"/>
      <c r="L382" s="41"/>
      <c r="M382" s="41"/>
      <c r="N382" s="41"/>
      <c r="O382" s="41"/>
      <c r="P382" s="43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</row>
    <row r="383" spans="1:45">
      <c r="A383" s="38"/>
      <c r="B383" s="38"/>
      <c r="C383" s="38"/>
      <c r="D383" s="38"/>
      <c r="E383" s="49"/>
      <c r="F383" s="49"/>
      <c r="G383" s="38"/>
      <c r="H383" s="49"/>
      <c r="I383" s="49"/>
      <c r="J383" s="49"/>
      <c r="K383" s="49"/>
      <c r="L383" s="41"/>
      <c r="M383" s="41"/>
      <c r="N383" s="41"/>
      <c r="O383" s="41"/>
      <c r="P383" s="43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</row>
    <row r="384" spans="1:45">
      <c r="A384" s="38"/>
      <c r="B384" s="38"/>
      <c r="C384" s="38"/>
      <c r="D384" s="38"/>
      <c r="E384" s="49"/>
      <c r="F384" s="49"/>
      <c r="G384" s="38"/>
      <c r="H384" s="49"/>
      <c r="I384" s="49"/>
      <c r="J384" s="49"/>
      <c r="K384" s="49"/>
      <c r="L384" s="41"/>
      <c r="M384" s="41"/>
      <c r="N384" s="41"/>
      <c r="O384" s="41"/>
      <c r="P384" s="43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</row>
    <row r="385" spans="1:45">
      <c r="A385" s="38"/>
      <c r="B385" s="38"/>
      <c r="C385" s="38"/>
      <c r="D385" s="38"/>
      <c r="E385" s="49"/>
      <c r="F385" s="49"/>
      <c r="G385" s="38"/>
      <c r="H385" s="49"/>
      <c r="I385" s="49"/>
      <c r="J385" s="49"/>
      <c r="K385" s="49"/>
      <c r="L385" s="41"/>
      <c r="M385" s="41"/>
      <c r="N385" s="41"/>
      <c r="O385" s="41"/>
      <c r="P385" s="43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</row>
    <row r="386" spans="1:45">
      <c r="A386" s="38"/>
      <c r="B386" s="38"/>
      <c r="C386" s="38"/>
      <c r="D386" s="38"/>
      <c r="E386" s="49"/>
      <c r="F386" s="49"/>
      <c r="G386" s="38"/>
      <c r="H386" s="49"/>
      <c r="I386" s="49"/>
      <c r="J386" s="49"/>
      <c r="K386" s="49"/>
      <c r="L386" s="41"/>
      <c r="M386" s="41"/>
      <c r="N386" s="41"/>
      <c r="O386" s="41"/>
      <c r="P386" s="43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</row>
    <row r="387" spans="1:45">
      <c r="A387" s="38"/>
      <c r="B387" s="38"/>
      <c r="C387" s="38"/>
      <c r="D387" s="38"/>
      <c r="E387" s="49"/>
      <c r="F387" s="49"/>
      <c r="G387" s="38"/>
      <c r="H387" s="49"/>
      <c r="I387" s="49"/>
      <c r="J387" s="49"/>
      <c r="K387" s="49"/>
      <c r="L387" s="41"/>
      <c r="M387" s="41"/>
      <c r="N387" s="41"/>
      <c r="O387" s="41"/>
      <c r="P387" s="43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</row>
    <row r="388" spans="1:45">
      <c r="A388" s="38"/>
      <c r="B388" s="38"/>
      <c r="C388" s="38"/>
      <c r="D388" s="38"/>
      <c r="E388" s="49"/>
      <c r="F388" s="49"/>
      <c r="G388" s="38"/>
      <c r="H388" s="49"/>
      <c r="I388" s="49"/>
      <c r="J388" s="49"/>
      <c r="K388" s="49"/>
      <c r="L388" s="41"/>
      <c r="M388" s="41"/>
      <c r="N388" s="41"/>
      <c r="O388" s="41"/>
      <c r="P388" s="43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</row>
    <row r="389" spans="1:45">
      <c r="A389" s="38"/>
      <c r="B389" s="38"/>
      <c r="C389" s="38"/>
      <c r="D389" s="38"/>
      <c r="E389" s="49"/>
      <c r="F389" s="49"/>
      <c r="G389" s="38"/>
      <c r="H389" s="49"/>
      <c r="I389" s="49"/>
      <c r="J389" s="49"/>
      <c r="K389" s="49"/>
      <c r="L389" s="41"/>
      <c r="M389" s="41"/>
      <c r="N389" s="41"/>
      <c r="O389" s="41"/>
      <c r="P389" s="43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</row>
    <row r="390" spans="1:45">
      <c r="A390" s="38"/>
      <c r="B390" s="38"/>
      <c r="C390" s="38"/>
      <c r="D390" s="38"/>
      <c r="E390" s="49"/>
      <c r="F390" s="49"/>
      <c r="G390" s="38"/>
      <c r="H390" s="49"/>
      <c r="I390" s="49"/>
      <c r="J390" s="49"/>
      <c r="K390" s="49"/>
      <c r="L390" s="41"/>
      <c r="M390" s="41"/>
      <c r="N390" s="41"/>
      <c r="O390" s="41"/>
      <c r="P390" s="43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</row>
    <row r="391" spans="1:45">
      <c r="A391" s="38"/>
      <c r="B391" s="38"/>
      <c r="C391" s="38"/>
      <c r="D391" s="38"/>
      <c r="E391" s="49"/>
      <c r="F391" s="49"/>
      <c r="G391" s="38"/>
      <c r="H391" s="49"/>
      <c r="I391" s="49"/>
      <c r="J391" s="49"/>
      <c r="K391" s="49"/>
      <c r="L391" s="41"/>
      <c r="M391" s="41"/>
      <c r="N391" s="41"/>
      <c r="O391" s="41"/>
      <c r="P391" s="43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</row>
    <row r="392" spans="1:45">
      <c r="A392" s="38"/>
      <c r="B392" s="38"/>
      <c r="C392" s="38"/>
      <c r="D392" s="38"/>
      <c r="E392" s="49"/>
      <c r="F392" s="49"/>
      <c r="G392" s="38"/>
      <c r="H392" s="49"/>
      <c r="I392" s="49"/>
      <c r="J392" s="49"/>
      <c r="K392" s="49"/>
      <c r="L392" s="41"/>
      <c r="M392" s="41"/>
      <c r="N392" s="41"/>
      <c r="O392" s="41"/>
      <c r="P392" s="43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</row>
    <row r="393" spans="1:45">
      <c r="A393" s="38"/>
      <c r="B393" s="38"/>
      <c r="C393" s="38"/>
      <c r="D393" s="38"/>
      <c r="E393" s="49"/>
      <c r="F393" s="49"/>
      <c r="G393" s="38"/>
      <c r="H393" s="49"/>
      <c r="I393" s="49"/>
      <c r="J393" s="49"/>
      <c r="K393" s="49"/>
      <c r="L393" s="41"/>
      <c r="M393" s="41"/>
      <c r="N393" s="41"/>
      <c r="O393" s="41"/>
      <c r="P393" s="43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</row>
    <row r="394" spans="1:45">
      <c r="A394" s="38"/>
      <c r="B394" s="38"/>
      <c r="C394" s="38"/>
      <c r="D394" s="38"/>
      <c r="E394" s="49"/>
      <c r="F394" s="49"/>
      <c r="G394" s="38"/>
      <c r="H394" s="49"/>
      <c r="I394" s="49"/>
      <c r="J394" s="49"/>
      <c r="K394" s="49"/>
      <c r="L394" s="41"/>
      <c r="M394" s="41"/>
      <c r="N394" s="41"/>
      <c r="O394" s="41"/>
      <c r="P394" s="43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</row>
    <row r="395" spans="1:45">
      <c r="A395" s="38"/>
      <c r="B395" s="38"/>
      <c r="C395" s="38"/>
      <c r="D395" s="38"/>
      <c r="E395" s="49"/>
      <c r="F395" s="49"/>
      <c r="G395" s="38"/>
      <c r="H395" s="49"/>
      <c r="I395" s="49"/>
      <c r="J395" s="49"/>
      <c r="K395" s="49"/>
      <c r="L395" s="41"/>
      <c r="M395" s="41"/>
      <c r="N395" s="41"/>
      <c r="O395" s="41"/>
      <c r="P395" s="43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</row>
    <row r="396" spans="1:45">
      <c r="A396" s="38"/>
      <c r="B396" s="38"/>
      <c r="C396" s="38"/>
      <c r="D396" s="38"/>
      <c r="E396" s="49"/>
      <c r="F396" s="49"/>
      <c r="G396" s="38"/>
      <c r="H396" s="49"/>
      <c r="I396" s="49"/>
      <c r="J396" s="49"/>
      <c r="K396" s="49"/>
      <c r="L396" s="41"/>
      <c r="M396" s="41"/>
      <c r="N396" s="41"/>
      <c r="O396" s="41"/>
      <c r="P396" s="43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</row>
    <row r="397" spans="1:45">
      <c r="A397" s="38"/>
      <c r="B397" s="38"/>
      <c r="C397" s="38"/>
      <c r="D397" s="38"/>
      <c r="E397" s="49"/>
      <c r="F397" s="49"/>
      <c r="G397" s="38"/>
      <c r="H397" s="49"/>
      <c r="I397" s="49"/>
      <c r="J397" s="49"/>
      <c r="K397" s="49"/>
      <c r="L397" s="41"/>
      <c r="M397" s="41"/>
      <c r="N397" s="41"/>
      <c r="O397" s="41"/>
      <c r="P397" s="43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</row>
    <row r="398" spans="1:45">
      <c r="A398" s="38"/>
      <c r="B398" s="38"/>
      <c r="C398" s="38"/>
      <c r="D398" s="38"/>
      <c r="E398" s="49"/>
      <c r="F398" s="49"/>
      <c r="G398" s="38"/>
      <c r="H398" s="49"/>
      <c r="I398" s="49"/>
      <c r="J398" s="49"/>
      <c r="K398" s="49"/>
      <c r="L398" s="41"/>
      <c r="M398" s="41"/>
      <c r="N398" s="41"/>
      <c r="O398" s="41"/>
      <c r="P398" s="43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</row>
    <row r="399" spans="1:45">
      <c r="A399" s="38"/>
      <c r="B399" s="38"/>
      <c r="C399" s="38"/>
      <c r="D399" s="38"/>
      <c r="E399" s="49"/>
      <c r="F399" s="49"/>
      <c r="G399" s="38"/>
      <c r="H399" s="49"/>
      <c r="I399" s="49"/>
      <c r="J399" s="49"/>
      <c r="K399" s="49"/>
      <c r="L399" s="41"/>
      <c r="M399" s="41"/>
      <c r="N399" s="41"/>
      <c r="O399" s="41"/>
      <c r="P399" s="43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</row>
    <row r="400" spans="1:45">
      <c r="A400" s="38"/>
      <c r="B400" s="38"/>
      <c r="C400" s="38"/>
      <c r="D400" s="38"/>
      <c r="E400" s="49"/>
      <c r="F400" s="49"/>
      <c r="G400" s="38"/>
      <c r="H400" s="49"/>
      <c r="I400" s="49"/>
      <c r="J400" s="49"/>
      <c r="K400" s="49"/>
      <c r="L400" s="41"/>
      <c r="M400" s="41"/>
      <c r="N400" s="41"/>
      <c r="O400" s="41"/>
      <c r="P400" s="43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</row>
    <row r="401" spans="1:45">
      <c r="A401" s="38"/>
      <c r="B401" s="38"/>
      <c r="C401" s="38"/>
      <c r="D401" s="38"/>
      <c r="E401" s="49"/>
      <c r="F401" s="49"/>
      <c r="G401" s="38"/>
      <c r="H401" s="49"/>
      <c r="I401" s="49"/>
      <c r="J401" s="49"/>
      <c r="K401" s="49"/>
      <c r="L401" s="41"/>
      <c r="M401" s="41"/>
      <c r="N401" s="41"/>
      <c r="O401" s="41"/>
      <c r="P401" s="43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</row>
    <row r="402" spans="1:45">
      <c r="A402" s="38"/>
      <c r="B402" s="38"/>
      <c r="C402" s="38"/>
      <c r="D402" s="38"/>
      <c r="E402" s="49"/>
      <c r="F402" s="49"/>
      <c r="G402" s="38"/>
      <c r="H402" s="49"/>
      <c r="I402" s="49"/>
      <c r="J402" s="49"/>
      <c r="K402" s="49"/>
      <c r="L402" s="41"/>
      <c r="M402" s="41"/>
      <c r="N402" s="41"/>
      <c r="O402" s="41"/>
      <c r="P402" s="43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</row>
    <row r="403" spans="1:45">
      <c r="A403" s="38"/>
      <c r="B403" s="38"/>
      <c r="C403" s="38"/>
      <c r="D403" s="38"/>
      <c r="E403" s="49"/>
      <c r="F403" s="49"/>
      <c r="G403" s="38"/>
      <c r="H403" s="49"/>
      <c r="I403" s="49"/>
      <c r="J403" s="49"/>
      <c r="K403" s="49"/>
      <c r="L403" s="41"/>
      <c r="M403" s="41"/>
      <c r="N403" s="41"/>
      <c r="O403" s="41"/>
      <c r="P403" s="43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</row>
    <row r="404" spans="1:45">
      <c r="A404" s="38"/>
      <c r="B404" s="38"/>
      <c r="C404" s="38"/>
      <c r="D404" s="38"/>
      <c r="E404" s="49"/>
      <c r="F404" s="49"/>
      <c r="G404" s="38"/>
      <c r="H404" s="49"/>
      <c r="I404" s="49"/>
      <c r="J404" s="49"/>
      <c r="K404" s="49"/>
      <c r="L404" s="41"/>
      <c r="M404" s="41"/>
      <c r="N404" s="41"/>
      <c r="O404" s="41"/>
      <c r="P404" s="43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</row>
    <row r="405" spans="1:45">
      <c r="A405" s="38"/>
      <c r="B405" s="38"/>
      <c r="C405" s="38"/>
      <c r="D405" s="38"/>
      <c r="E405" s="49"/>
      <c r="F405" s="49"/>
      <c r="G405" s="38"/>
      <c r="H405" s="49"/>
      <c r="I405" s="49"/>
      <c r="J405" s="49"/>
      <c r="K405" s="49"/>
      <c r="L405" s="41"/>
      <c r="M405" s="41"/>
      <c r="N405" s="41"/>
      <c r="O405" s="41"/>
      <c r="P405" s="43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</row>
    <row r="406" spans="1:45">
      <c r="A406" s="38"/>
      <c r="B406" s="38"/>
      <c r="C406" s="38"/>
      <c r="D406" s="38"/>
      <c r="E406" s="49"/>
      <c r="F406" s="49"/>
      <c r="G406" s="38"/>
      <c r="H406" s="49"/>
      <c r="I406" s="49"/>
      <c r="J406" s="49"/>
      <c r="K406" s="49"/>
      <c r="L406" s="41"/>
      <c r="M406" s="41"/>
      <c r="N406" s="41"/>
      <c r="O406" s="41"/>
      <c r="P406" s="43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</row>
    <row r="407" spans="1:45">
      <c r="A407" s="38"/>
      <c r="B407" s="38"/>
      <c r="C407" s="38"/>
      <c r="D407" s="38"/>
      <c r="E407" s="49"/>
      <c r="F407" s="49"/>
      <c r="G407" s="38"/>
      <c r="H407" s="49"/>
      <c r="I407" s="49"/>
      <c r="J407" s="49"/>
      <c r="K407" s="49"/>
      <c r="L407" s="41"/>
      <c r="M407" s="41"/>
      <c r="N407" s="41"/>
      <c r="O407" s="41"/>
      <c r="P407" s="43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</row>
    <row r="408" spans="1:45">
      <c r="A408" s="38"/>
      <c r="B408" s="38"/>
      <c r="C408" s="38"/>
      <c r="D408" s="38"/>
      <c r="E408" s="49"/>
      <c r="F408" s="49"/>
      <c r="G408" s="38"/>
      <c r="H408" s="49"/>
      <c r="I408" s="49"/>
      <c r="J408" s="49"/>
      <c r="K408" s="49"/>
      <c r="L408" s="41"/>
      <c r="M408" s="41"/>
      <c r="N408" s="41"/>
      <c r="O408" s="41"/>
      <c r="P408" s="43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</row>
    <row r="409" spans="1:45">
      <c r="A409" s="38"/>
      <c r="B409" s="38"/>
      <c r="C409" s="38"/>
      <c r="D409" s="38"/>
      <c r="E409" s="49"/>
      <c r="F409" s="49"/>
      <c r="G409" s="38"/>
      <c r="H409" s="49"/>
      <c r="I409" s="49"/>
      <c r="J409" s="49"/>
      <c r="K409" s="49"/>
      <c r="L409" s="41"/>
      <c r="M409" s="41"/>
      <c r="N409" s="41"/>
      <c r="O409" s="41"/>
      <c r="P409" s="43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</row>
    <row r="410" spans="1:45">
      <c r="A410" s="38"/>
      <c r="B410" s="38"/>
      <c r="C410" s="38"/>
      <c r="D410" s="38"/>
      <c r="E410" s="49"/>
      <c r="F410" s="49"/>
      <c r="G410" s="38"/>
      <c r="H410" s="49"/>
      <c r="I410" s="49"/>
      <c r="J410" s="49"/>
      <c r="K410" s="49"/>
      <c r="L410" s="41"/>
      <c r="M410" s="41"/>
      <c r="N410" s="41"/>
      <c r="O410" s="41"/>
      <c r="P410" s="43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</row>
    <row r="411" spans="1:45">
      <c r="A411" s="38"/>
      <c r="B411" s="38"/>
      <c r="C411" s="38"/>
      <c r="D411" s="38"/>
      <c r="E411" s="49"/>
      <c r="F411" s="49"/>
      <c r="G411" s="38"/>
      <c r="H411" s="49"/>
      <c r="I411" s="49"/>
      <c r="J411" s="49"/>
      <c r="K411" s="49"/>
      <c r="L411" s="41"/>
      <c r="M411" s="41"/>
      <c r="N411" s="41"/>
      <c r="O411" s="41"/>
      <c r="P411" s="43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</row>
    <row r="412" spans="1:45">
      <c r="A412" s="38"/>
      <c r="B412" s="38"/>
      <c r="C412" s="38"/>
      <c r="D412" s="38"/>
      <c r="E412" s="49"/>
      <c r="F412" s="49"/>
      <c r="G412" s="38"/>
      <c r="H412" s="49"/>
      <c r="I412" s="49"/>
      <c r="J412" s="49"/>
      <c r="K412" s="49"/>
      <c r="L412" s="41"/>
      <c r="M412" s="41"/>
      <c r="N412" s="41"/>
      <c r="O412" s="41"/>
      <c r="P412" s="43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</row>
    <row r="413" spans="1:45">
      <c r="A413" s="38"/>
      <c r="B413" s="38"/>
      <c r="C413" s="38"/>
      <c r="D413" s="38"/>
      <c r="E413" s="49"/>
      <c r="F413" s="49"/>
      <c r="G413" s="38"/>
      <c r="H413" s="49"/>
      <c r="I413" s="49"/>
      <c r="J413" s="49"/>
      <c r="K413" s="49"/>
      <c r="L413" s="41"/>
      <c r="M413" s="41"/>
      <c r="N413" s="41"/>
      <c r="O413" s="41"/>
      <c r="P413" s="43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</row>
    <row r="414" spans="1:45">
      <c r="A414" s="38"/>
      <c r="B414" s="38"/>
      <c r="C414" s="38"/>
      <c r="D414" s="38"/>
      <c r="E414" s="49"/>
      <c r="F414" s="49"/>
      <c r="G414" s="38"/>
      <c r="H414" s="49"/>
      <c r="I414" s="49"/>
      <c r="J414" s="49"/>
      <c r="K414" s="49"/>
      <c r="L414" s="41"/>
      <c r="M414" s="41"/>
      <c r="N414" s="41"/>
      <c r="O414" s="41"/>
      <c r="P414" s="43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</row>
    <row r="415" spans="1:45">
      <c r="A415" s="38"/>
      <c r="B415" s="38"/>
      <c r="C415" s="38"/>
      <c r="D415" s="38"/>
      <c r="E415" s="49"/>
      <c r="F415" s="49"/>
      <c r="G415" s="38"/>
      <c r="H415" s="49"/>
      <c r="I415" s="49"/>
      <c r="J415" s="49"/>
      <c r="K415" s="49"/>
      <c r="L415" s="41"/>
      <c r="M415" s="41"/>
      <c r="N415" s="41"/>
      <c r="O415" s="41"/>
      <c r="P415" s="43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</row>
    <row r="416" spans="1:45">
      <c r="A416" s="38"/>
      <c r="B416" s="38"/>
      <c r="C416" s="38"/>
      <c r="D416" s="38"/>
      <c r="E416" s="49"/>
      <c r="F416" s="49"/>
      <c r="G416" s="38"/>
      <c r="H416" s="49"/>
      <c r="I416" s="49"/>
      <c r="J416" s="49"/>
      <c r="K416" s="49"/>
      <c r="L416" s="41"/>
      <c r="M416" s="41"/>
      <c r="N416" s="41"/>
      <c r="O416" s="41"/>
      <c r="P416" s="43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</row>
    <row r="417" spans="1:45">
      <c r="A417" s="38"/>
      <c r="B417" s="38"/>
      <c r="C417" s="38"/>
      <c r="D417" s="38"/>
      <c r="E417" s="49"/>
      <c r="F417" s="49"/>
      <c r="G417" s="38"/>
      <c r="H417" s="49"/>
      <c r="I417" s="49"/>
      <c r="J417" s="49"/>
      <c r="K417" s="49"/>
      <c r="L417" s="41"/>
      <c r="M417" s="41"/>
      <c r="N417" s="41"/>
      <c r="O417" s="41"/>
      <c r="P417" s="43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</row>
    <row r="418" spans="1:45">
      <c r="A418" s="38"/>
      <c r="B418" s="38"/>
      <c r="C418" s="38"/>
      <c r="D418" s="38"/>
      <c r="E418" s="49"/>
      <c r="F418" s="49"/>
      <c r="G418" s="38"/>
      <c r="H418" s="49"/>
      <c r="I418" s="49"/>
      <c r="J418" s="49"/>
      <c r="K418" s="49"/>
      <c r="L418" s="41"/>
      <c r="M418" s="41"/>
      <c r="N418" s="41"/>
      <c r="O418" s="41"/>
      <c r="P418" s="43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</row>
    <row r="419" spans="1:45">
      <c r="A419" s="38"/>
      <c r="B419" s="38"/>
      <c r="C419" s="38"/>
      <c r="D419" s="38"/>
      <c r="E419" s="49"/>
      <c r="F419" s="49"/>
      <c r="G419" s="38"/>
      <c r="H419" s="49"/>
      <c r="I419" s="49"/>
      <c r="J419" s="49"/>
      <c r="K419" s="49"/>
      <c r="L419" s="41"/>
      <c r="M419" s="41"/>
      <c r="N419" s="41"/>
      <c r="O419" s="41"/>
      <c r="P419" s="43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</row>
    <row r="420" spans="1:45">
      <c r="A420" s="38"/>
      <c r="B420" s="38"/>
      <c r="C420" s="38"/>
      <c r="D420" s="38"/>
      <c r="E420" s="49"/>
      <c r="F420" s="49"/>
      <c r="G420" s="38"/>
      <c r="H420" s="49"/>
      <c r="I420" s="49"/>
      <c r="J420" s="49"/>
      <c r="K420" s="49"/>
      <c r="L420" s="41"/>
      <c r="M420" s="41"/>
      <c r="N420" s="41"/>
      <c r="O420" s="41"/>
      <c r="P420" s="43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</row>
    <row r="421" spans="1:45">
      <c r="A421" s="38"/>
      <c r="B421" s="38"/>
      <c r="C421" s="38"/>
      <c r="D421" s="38"/>
      <c r="E421" s="49"/>
      <c r="F421" s="49"/>
      <c r="G421" s="38"/>
      <c r="H421" s="49"/>
      <c r="I421" s="49"/>
      <c r="J421" s="49"/>
      <c r="K421" s="49"/>
      <c r="L421" s="41"/>
      <c r="M421" s="41"/>
      <c r="N421" s="41"/>
      <c r="O421" s="41"/>
      <c r="P421" s="43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</row>
    <row r="422" spans="1:45">
      <c r="A422" s="38"/>
      <c r="B422" s="38"/>
      <c r="C422" s="38"/>
      <c r="D422" s="38"/>
      <c r="E422" s="49"/>
      <c r="F422" s="49"/>
      <c r="G422" s="38"/>
      <c r="H422" s="49"/>
      <c r="I422" s="49"/>
      <c r="J422" s="49"/>
      <c r="K422" s="49"/>
      <c r="L422" s="41"/>
      <c r="M422" s="41"/>
      <c r="N422" s="41"/>
      <c r="O422" s="41"/>
      <c r="P422" s="43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</row>
    <row r="423" spans="1:45">
      <c r="A423" s="38"/>
      <c r="B423" s="38"/>
      <c r="C423" s="38"/>
      <c r="D423" s="38"/>
      <c r="E423" s="49"/>
      <c r="F423" s="49"/>
      <c r="G423" s="38"/>
      <c r="H423" s="49"/>
      <c r="I423" s="49"/>
      <c r="J423" s="49"/>
      <c r="K423" s="49"/>
      <c r="L423" s="41"/>
      <c r="M423" s="41"/>
      <c r="N423" s="41"/>
      <c r="O423" s="41"/>
      <c r="P423" s="43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</row>
    <row r="424" spans="1:45">
      <c r="A424" s="38"/>
      <c r="B424" s="38"/>
      <c r="C424" s="38"/>
      <c r="D424" s="38"/>
      <c r="E424" s="49"/>
      <c r="F424" s="49"/>
      <c r="G424" s="38"/>
      <c r="H424" s="49"/>
      <c r="I424" s="49"/>
      <c r="J424" s="49"/>
      <c r="K424" s="49"/>
      <c r="L424" s="41"/>
      <c r="M424" s="41"/>
      <c r="N424" s="41"/>
      <c r="O424" s="41"/>
      <c r="P424" s="43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</row>
    <row r="425" spans="1:45">
      <c r="A425" s="38"/>
      <c r="B425" s="38"/>
      <c r="C425" s="38"/>
      <c r="D425" s="38"/>
      <c r="E425" s="49"/>
      <c r="F425" s="49"/>
      <c r="G425" s="38"/>
      <c r="H425" s="49"/>
      <c r="I425" s="49"/>
      <c r="J425" s="49"/>
      <c r="K425" s="49"/>
      <c r="L425" s="41"/>
      <c r="M425" s="41"/>
      <c r="N425" s="41"/>
      <c r="O425" s="41"/>
      <c r="P425" s="43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</row>
    <row r="426" spans="1:45">
      <c r="A426" s="38"/>
      <c r="B426" s="38"/>
      <c r="C426" s="38"/>
      <c r="D426" s="38"/>
      <c r="E426" s="49"/>
      <c r="F426" s="49"/>
      <c r="G426" s="38"/>
      <c r="H426" s="49"/>
      <c r="I426" s="49"/>
      <c r="J426" s="49"/>
      <c r="K426" s="49"/>
      <c r="L426" s="41"/>
      <c r="M426" s="41"/>
      <c r="N426" s="41"/>
      <c r="O426" s="41"/>
      <c r="P426" s="43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</row>
    <row r="427" spans="1:45">
      <c r="A427" s="38"/>
      <c r="B427" s="38"/>
      <c r="C427" s="38"/>
      <c r="D427" s="38"/>
      <c r="E427" s="49"/>
      <c r="F427" s="49"/>
      <c r="G427" s="38"/>
      <c r="H427" s="49"/>
      <c r="I427" s="49"/>
      <c r="J427" s="49"/>
      <c r="K427" s="49"/>
      <c r="L427" s="41"/>
      <c r="M427" s="41"/>
      <c r="N427" s="41"/>
      <c r="O427" s="41"/>
      <c r="P427" s="43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</row>
    <row r="428" spans="1:45">
      <c r="A428" s="38"/>
      <c r="B428" s="38"/>
      <c r="C428" s="38"/>
      <c r="D428" s="38"/>
      <c r="E428" s="49"/>
      <c r="F428" s="49"/>
      <c r="G428" s="38"/>
      <c r="H428" s="49"/>
      <c r="I428" s="49"/>
      <c r="J428" s="49"/>
      <c r="K428" s="49"/>
      <c r="L428" s="41"/>
      <c r="M428" s="41"/>
      <c r="N428" s="41"/>
      <c r="O428" s="41"/>
      <c r="P428" s="43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</row>
    <row r="429" spans="1:45">
      <c r="A429" s="38"/>
      <c r="B429" s="38"/>
      <c r="C429" s="38"/>
      <c r="D429" s="38"/>
      <c r="E429" s="49"/>
      <c r="F429" s="49"/>
      <c r="G429" s="38"/>
      <c r="H429" s="49"/>
      <c r="I429" s="49"/>
      <c r="J429" s="49"/>
      <c r="K429" s="49"/>
      <c r="L429" s="41"/>
      <c r="M429" s="41"/>
      <c r="N429" s="41"/>
      <c r="O429" s="41"/>
      <c r="P429" s="43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</row>
    <row r="430" spans="1:45">
      <c r="A430" s="38"/>
      <c r="B430" s="38"/>
      <c r="C430" s="38"/>
      <c r="D430" s="38"/>
      <c r="E430" s="49"/>
      <c r="F430" s="49"/>
      <c r="G430" s="38"/>
      <c r="H430" s="49"/>
      <c r="I430" s="49"/>
      <c r="J430" s="49"/>
      <c r="K430" s="49"/>
      <c r="L430" s="41"/>
      <c r="M430" s="41"/>
      <c r="N430" s="41"/>
      <c r="O430" s="41"/>
      <c r="P430" s="43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</row>
    <row r="431" spans="1:45">
      <c r="A431" s="38"/>
      <c r="B431" s="38"/>
      <c r="C431" s="38"/>
      <c r="D431" s="38"/>
      <c r="E431" s="49"/>
      <c r="F431" s="49"/>
      <c r="G431" s="38"/>
      <c r="H431" s="49"/>
      <c r="I431" s="49"/>
      <c r="J431" s="49"/>
      <c r="K431" s="49"/>
      <c r="L431" s="41"/>
      <c r="M431" s="41"/>
      <c r="N431" s="41"/>
      <c r="O431" s="41"/>
      <c r="P431" s="43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</row>
    <row r="432" spans="1:45">
      <c r="A432" s="38"/>
      <c r="B432" s="38"/>
      <c r="C432" s="38"/>
      <c r="D432" s="38"/>
      <c r="E432" s="49"/>
      <c r="F432" s="49"/>
      <c r="G432" s="38"/>
      <c r="H432" s="49"/>
      <c r="I432" s="49"/>
      <c r="J432" s="49"/>
      <c r="K432" s="49"/>
      <c r="L432" s="41"/>
      <c r="M432" s="41"/>
      <c r="N432" s="41"/>
      <c r="O432" s="41"/>
      <c r="P432" s="43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</row>
    <row r="433" spans="1:45">
      <c r="A433" s="38"/>
      <c r="B433" s="38"/>
      <c r="C433" s="38"/>
      <c r="D433" s="38"/>
      <c r="E433" s="49"/>
      <c r="F433" s="49"/>
      <c r="G433" s="38"/>
      <c r="H433" s="49"/>
      <c r="I433" s="49"/>
      <c r="J433" s="49"/>
      <c r="K433" s="49"/>
      <c r="L433" s="41"/>
      <c r="M433" s="41"/>
      <c r="N433" s="41"/>
      <c r="O433" s="41"/>
      <c r="P433" s="43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</row>
    <row r="434" spans="1:45">
      <c r="A434" s="38"/>
      <c r="B434" s="38"/>
      <c r="C434" s="38"/>
      <c r="D434" s="38"/>
      <c r="E434" s="49"/>
      <c r="F434" s="49"/>
      <c r="G434" s="38"/>
      <c r="H434" s="49"/>
      <c r="I434" s="49"/>
      <c r="J434" s="49"/>
      <c r="K434" s="49"/>
      <c r="L434" s="41"/>
      <c r="M434" s="41"/>
      <c r="N434" s="41"/>
      <c r="O434" s="41"/>
      <c r="P434" s="43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</row>
    <row r="435" spans="1:45">
      <c r="A435" s="38"/>
      <c r="B435" s="38"/>
      <c r="C435" s="38"/>
      <c r="D435" s="38"/>
      <c r="E435" s="49"/>
      <c r="F435" s="49"/>
      <c r="G435" s="38"/>
      <c r="H435" s="49"/>
      <c r="I435" s="49"/>
      <c r="J435" s="49"/>
      <c r="K435" s="49"/>
      <c r="L435" s="41"/>
      <c r="M435" s="41"/>
      <c r="N435" s="41"/>
      <c r="O435" s="41"/>
      <c r="P435" s="43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</row>
    <row r="436" spans="1:45">
      <c r="A436" s="38"/>
      <c r="B436" s="38"/>
      <c r="C436" s="38"/>
      <c r="D436" s="38"/>
      <c r="E436" s="49"/>
      <c r="F436" s="49"/>
      <c r="G436" s="38"/>
      <c r="H436" s="49"/>
      <c r="I436" s="49"/>
      <c r="J436" s="49"/>
      <c r="K436" s="49"/>
      <c r="L436" s="41"/>
      <c r="M436" s="41"/>
      <c r="N436" s="41"/>
      <c r="O436" s="41"/>
      <c r="P436" s="43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</row>
    <row r="437" spans="1:45">
      <c r="A437" s="38"/>
      <c r="B437" s="38"/>
      <c r="C437" s="38"/>
      <c r="D437" s="38"/>
      <c r="E437" s="49"/>
      <c r="F437" s="49"/>
      <c r="G437" s="38"/>
      <c r="H437" s="49"/>
      <c r="I437" s="49"/>
      <c r="J437" s="49"/>
      <c r="K437" s="49"/>
      <c r="L437" s="41"/>
      <c r="M437" s="41"/>
      <c r="N437" s="41"/>
      <c r="O437" s="41"/>
      <c r="P437" s="43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</row>
    <row r="438" spans="1:45">
      <c r="A438" s="38"/>
      <c r="B438" s="38"/>
      <c r="C438" s="38"/>
      <c r="D438" s="38"/>
      <c r="E438" s="49"/>
      <c r="F438" s="49"/>
      <c r="G438" s="38"/>
      <c r="H438" s="49"/>
      <c r="I438" s="49"/>
      <c r="J438" s="49"/>
      <c r="K438" s="49"/>
      <c r="L438" s="41"/>
      <c r="M438" s="41"/>
      <c r="N438" s="41"/>
      <c r="O438" s="41"/>
      <c r="P438" s="43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</row>
    <row r="439" spans="1:45">
      <c r="A439" s="38"/>
      <c r="B439" s="38"/>
      <c r="C439" s="38"/>
      <c r="D439" s="38"/>
      <c r="E439" s="49"/>
      <c r="F439" s="49"/>
      <c r="G439" s="38"/>
      <c r="H439" s="49"/>
      <c r="I439" s="49"/>
      <c r="J439" s="49"/>
      <c r="K439" s="49"/>
      <c r="L439" s="41"/>
      <c r="M439" s="41"/>
      <c r="N439" s="41"/>
      <c r="O439" s="41"/>
      <c r="P439" s="43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</row>
    <row r="440" spans="1:45">
      <c r="A440" s="38"/>
      <c r="B440" s="38"/>
      <c r="C440" s="38"/>
      <c r="D440" s="38"/>
      <c r="E440" s="49"/>
      <c r="F440" s="49"/>
      <c r="G440" s="38"/>
      <c r="H440" s="49"/>
      <c r="I440" s="49"/>
      <c r="J440" s="49"/>
      <c r="K440" s="49"/>
      <c r="L440" s="41"/>
      <c r="M440" s="41"/>
      <c r="N440" s="41"/>
      <c r="O440" s="41"/>
      <c r="P440" s="43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</row>
    <row r="441" spans="1:45">
      <c r="A441" s="38"/>
      <c r="B441" s="38"/>
      <c r="C441" s="38"/>
      <c r="D441" s="38"/>
      <c r="E441" s="49"/>
      <c r="F441" s="49"/>
      <c r="G441" s="38"/>
      <c r="H441" s="49"/>
      <c r="I441" s="49"/>
      <c r="J441" s="49"/>
      <c r="K441" s="49"/>
      <c r="L441" s="41"/>
      <c r="M441" s="41"/>
      <c r="N441" s="41"/>
      <c r="O441" s="41"/>
      <c r="P441" s="43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</row>
    <row r="442" spans="1:45">
      <c r="A442" s="38"/>
      <c r="B442" s="38"/>
      <c r="C442" s="38"/>
      <c r="D442" s="38"/>
      <c r="E442" s="49"/>
      <c r="F442" s="49"/>
      <c r="G442" s="38"/>
      <c r="H442" s="49"/>
      <c r="I442" s="49"/>
      <c r="J442" s="49"/>
      <c r="K442" s="49"/>
      <c r="L442" s="41"/>
      <c r="M442" s="41"/>
      <c r="N442" s="41"/>
      <c r="O442" s="41"/>
      <c r="P442" s="43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</row>
    <row r="443" spans="1:45">
      <c r="A443" s="38"/>
      <c r="B443" s="38"/>
      <c r="C443" s="38"/>
      <c r="D443" s="38"/>
      <c r="E443" s="49"/>
      <c r="F443" s="49"/>
      <c r="G443" s="38"/>
      <c r="H443" s="49"/>
      <c r="I443" s="49"/>
      <c r="J443" s="49"/>
      <c r="K443" s="49"/>
      <c r="L443" s="41"/>
      <c r="M443" s="41"/>
      <c r="N443" s="41"/>
      <c r="O443" s="41"/>
      <c r="P443" s="43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</row>
    <row r="444" spans="1:45">
      <c r="A444" s="38"/>
      <c r="B444" s="38"/>
      <c r="C444" s="38"/>
      <c r="D444" s="38"/>
      <c r="E444" s="49"/>
      <c r="F444" s="49"/>
      <c r="G444" s="38"/>
      <c r="H444" s="49"/>
      <c r="I444" s="49"/>
      <c r="J444" s="49"/>
      <c r="K444" s="49"/>
      <c r="L444" s="41"/>
      <c r="M444" s="41"/>
      <c r="N444" s="41"/>
      <c r="O444" s="41"/>
      <c r="P444" s="43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</row>
    <row r="445" spans="1:45">
      <c r="A445" s="38"/>
      <c r="B445" s="38"/>
      <c r="C445" s="38"/>
      <c r="D445" s="38"/>
      <c r="E445" s="49"/>
      <c r="F445" s="49"/>
      <c r="G445" s="38"/>
      <c r="H445" s="49"/>
      <c r="I445" s="49"/>
      <c r="J445" s="49"/>
      <c r="K445" s="49"/>
      <c r="L445" s="41"/>
      <c r="M445" s="41"/>
      <c r="N445" s="41"/>
      <c r="O445" s="41"/>
      <c r="P445" s="43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</row>
    <row r="446" spans="1:45">
      <c r="A446" s="38"/>
      <c r="B446" s="38"/>
      <c r="C446" s="38"/>
      <c r="D446" s="38"/>
      <c r="E446" s="49"/>
      <c r="F446" s="49"/>
      <c r="G446" s="38"/>
      <c r="H446" s="49"/>
      <c r="I446" s="49"/>
      <c r="J446" s="49"/>
      <c r="K446" s="49"/>
      <c r="L446" s="41"/>
      <c r="M446" s="41"/>
      <c r="N446" s="41"/>
      <c r="O446" s="41"/>
      <c r="P446" s="43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</row>
    <row r="447" spans="1:45">
      <c r="A447" s="38"/>
      <c r="B447" s="38"/>
      <c r="C447" s="38"/>
      <c r="D447" s="38"/>
      <c r="E447" s="49"/>
      <c r="F447" s="49"/>
      <c r="G447" s="38"/>
      <c r="H447" s="49"/>
      <c r="I447" s="49"/>
      <c r="J447" s="49"/>
      <c r="K447" s="49"/>
      <c r="L447" s="41"/>
      <c r="M447" s="41"/>
      <c r="N447" s="41"/>
      <c r="O447" s="41"/>
      <c r="P447" s="43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</row>
    <row r="448" spans="1:45">
      <c r="A448" s="38"/>
      <c r="B448" s="38"/>
      <c r="C448" s="38"/>
      <c r="D448" s="38"/>
      <c r="E448" s="49"/>
      <c r="F448" s="49"/>
      <c r="G448" s="38"/>
      <c r="H448" s="49"/>
      <c r="I448" s="49"/>
      <c r="J448" s="49"/>
      <c r="K448" s="49"/>
      <c r="L448" s="41"/>
      <c r="M448" s="41"/>
      <c r="N448" s="41"/>
      <c r="O448" s="41"/>
      <c r="P448" s="43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</row>
    <row r="449" spans="1:45">
      <c r="A449" s="38"/>
      <c r="B449" s="38"/>
      <c r="C449" s="38"/>
      <c r="D449" s="38"/>
      <c r="E449" s="49"/>
      <c r="F449" s="49"/>
      <c r="G449" s="38"/>
      <c r="H449" s="49"/>
      <c r="I449" s="49"/>
      <c r="J449" s="49"/>
      <c r="K449" s="49"/>
      <c r="L449" s="41"/>
      <c r="M449" s="41"/>
      <c r="N449" s="41"/>
      <c r="O449" s="41"/>
      <c r="P449" s="43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</row>
    <row r="450" spans="1:45">
      <c r="A450" s="38"/>
      <c r="B450" s="38"/>
      <c r="C450" s="38"/>
      <c r="D450" s="38"/>
      <c r="E450" s="49"/>
      <c r="F450" s="49"/>
      <c r="G450" s="38"/>
      <c r="H450" s="49"/>
      <c r="I450" s="49"/>
      <c r="J450" s="49"/>
      <c r="K450" s="49"/>
      <c r="L450" s="41"/>
      <c r="M450" s="41"/>
      <c r="N450" s="41"/>
      <c r="O450" s="41"/>
      <c r="P450" s="43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</row>
    <row r="451" spans="1:45">
      <c r="A451" s="38"/>
      <c r="B451" s="38"/>
      <c r="C451" s="38"/>
      <c r="D451" s="38"/>
      <c r="E451" s="49"/>
      <c r="F451" s="49"/>
      <c r="G451" s="38"/>
      <c r="H451" s="49"/>
      <c r="I451" s="49"/>
      <c r="J451" s="49"/>
      <c r="K451" s="49"/>
      <c r="L451" s="41"/>
      <c r="M451" s="41"/>
      <c r="N451" s="41"/>
      <c r="O451" s="41"/>
      <c r="P451" s="43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</row>
    <row r="452" spans="1:45">
      <c r="A452" s="38"/>
      <c r="B452" s="38"/>
      <c r="C452" s="38"/>
      <c r="D452" s="38"/>
      <c r="E452" s="49"/>
      <c r="F452" s="49"/>
      <c r="G452" s="38"/>
      <c r="H452" s="49"/>
      <c r="I452" s="49"/>
      <c r="J452" s="49"/>
      <c r="K452" s="49"/>
      <c r="L452" s="41"/>
      <c r="M452" s="41"/>
      <c r="N452" s="41"/>
      <c r="O452" s="41"/>
      <c r="P452" s="43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</row>
    <row r="453" spans="1:45">
      <c r="A453" s="38"/>
      <c r="B453" s="38"/>
      <c r="C453" s="38"/>
      <c r="D453" s="38"/>
      <c r="E453" s="49"/>
      <c r="F453" s="49"/>
      <c r="G453" s="38"/>
      <c r="H453" s="49"/>
      <c r="I453" s="49"/>
      <c r="J453" s="49"/>
      <c r="K453" s="49"/>
      <c r="L453" s="41"/>
      <c r="M453" s="41"/>
      <c r="N453" s="41"/>
      <c r="O453" s="41"/>
      <c r="P453" s="43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</row>
    <row r="454" spans="1:45">
      <c r="A454" s="38"/>
      <c r="B454" s="38"/>
      <c r="C454" s="38"/>
      <c r="D454" s="38"/>
      <c r="E454" s="49"/>
      <c r="F454" s="49"/>
      <c r="G454" s="38"/>
      <c r="H454" s="49"/>
      <c r="I454" s="49"/>
      <c r="J454" s="49"/>
      <c r="K454" s="49"/>
      <c r="L454" s="41"/>
      <c r="M454" s="41"/>
      <c r="N454" s="41"/>
      <c r="O454" s="41"/>
      <c r="P454" s="43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</row>
    <row r="455" spans="1:45">
      <c r="A455" s="38"/>
      <c r="B455" s="38"/>
      <c r="C455" s="38"/>
      <c r="D455" s="38"/>
      <c r="E455" s="49"/>
      <c r="F455" s="49"/>
      <c r="G455" s="38"/>
      <c r="H455" s="49"/>
      <c r="I455" s="49"/>
      <c r="J455" s="49"/>
      <c r="K455" s="49"/>
      <c r="L455" s="41"/>
      <c r="M455" s="41"/>
      <c r="N455" s="41"/>
      <c r="O455" s="41"/>
      <c r="P455" s="43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</row>
    <row r="456" spans="1:45">
      <c r="A456" s="38"/>
      <c r="B456" s="38"/>
      <c r="C456" s="38"/>
      <c r="D456" s="38"/>
      <c r="E456" s="49"/>
      <c r="F456" s="49"/>
      <c r="G456" s="38"/>
      <c r="H456" s="49"/>
      <c r="I456" s="49"/>
      <c r="J456" s="49"/>
      <c r="K456" s="49"/>
      <c r="L456" s="41"/>
      <c r="M456" s="41"/>
      <c r="N456" s="41"/>
      <c r="O456" s="41"/>
      <c r="P456" s="43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</row>
    <row r="457" spans="1:45">
      <c r="A457" s="38"/>
      <c r="B457" s="38"/>
      <c r="C457" s="38"/>
      <c r="D457" s="38"/>
      <c r="E457" s="49"/>
      <c r="F457" s="49"/>
      <c r="G457" s="38"/>
      <c r="H457" s="49"/>
      <c r="I457" s="49"/>
      <c r="J457" s="49"/>
      <c r="K457" s="49"/>
      <c r="L457" s="41"/>
      <c r="M457" s="41"/>
      <c r="N457" s="41"/>
      <c r="O457" s="41"/>
      <c r="P457" s="43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</row>
    <row r="458" spans="1:45">
      <c r="A458" s="38"/>
      <c r="B458" s="38"/>
      <c r="C458" s="38"/>
      <c r="D458" s="38"/>
      <c r="E458" s="49"/>
      <c r="F458" s="49"/>
      <c r="G458" s="38"/>
      <c r="H458" s="49"/>
      <c r="I458" s="49"/>
      <c r="J458" s="49"/>
      <c r="K458" s="49"/>
      <c r="L458" s="41"/>
      <c r="M458" s="41"/>
      <c r="N458" s="41"/>
      <c r="O458" s="41"/>
      <c r="P458" s="43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</row>
    <row r="459" spans="1:45">
      <c r="A459" s="38"/>
      <c r="B459" s="38"/>
      <c r="C459" s="38"/>
      <c r="D459" s="38"/>
      <c r="E459" s="49"/>
      <c r="F459" s="49"/>
      <c r="G459" s="38"/>
      <c r="H459" s="49"/>
      <c r="I459" s="49"/>
      <c r="J459" s="49"/>
      <c r="K459" s="49"/>
      <c r="L459" s="41"/>
      <c r="M459" s="41"/>
      <c r="N459" s="41"/>
      <c r="O459" s="41"/>
      <c r="P459" s="43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</row>
    <row r="460" spans="1:45">
      <c r="A460" s="38"/>
      <c r="B460" s="38"/>
      <c r="C460" s="38"/>
      <c r="D460" s="38"/>
      <c r="E460" s="49"/>
      <c r="F460" s="49"/>
      <c r="G460" s="38"/>
      <c r="H460" s="49"/>
      <c r="I460" s="49"/>
      <c r="J460" s="49"/>
      <c r="K460" s="49"/>
      <c r="L460" s="41"/>
      <c r="M460" s="41"/>
      <c r="N460" s="41"/>
      <c r="O460" s="41"/>
      <c r="P460" s="43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</row>
    <row r="461" spans="1:45">
      <c r="A461" s="38"/>
      <c r="B461" s="38"/>
      <c r="C461" s="38"/>
      <c r="D461" s="38"/>
      <c r="E461" s="49"/>
      <c r="F461" s="49"/>
      <c r="G461" s="38"/>
      <c r="H461" s="49"/>
      <c r="I461" s="49"/>
      <c r="J461" s="49"/>
      <c r="K461" s="49"/>
      <c r="L461" s="41"/>
      <c r="M461" s="41"/>
      <c r="N461" s="41"/>
      <c r="O461" s="41"/>
      <c r="P461" s="43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</row>
    <row r="462" spans="1:45">
      <c r="A462" s="38"/>
      <c r="B462" s="38"/>
      <c r="C462" s="38"/>
      <c r="D462" s="38"/>
      <c r="E462" s="49"/>
      <c r="F462" s="49"/>
      <c r="G462" s="38"/>
      <c r="H462" s="49"/>
      <c r="I462" s="49"/>
      <c r="J462" s="49"/>
      <c r="K462" s="49"/>
      <c r="L462" s="41"/>
      <c r="M462" s="41"/>
      <c r="N462" s="41"/>
      <c r="O462" s="41"/>
      <c r="P462" s="43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</row>
    <row r="463" spans="1:45">
      <c r="A463" s="38"/>
      <c r="B463" s="38"/>
      <c r="C463" s="38"/>
      <c r="D463" s="38"/>
      <c r="E463" s="49"/>
      <c r="F463" s="49"/>
      <c r="G463" s="38"/>
      <c r="H463" s="49"/>
      <c r="I463" s="49"/>
      <c r="J463" s="49"/>
      <c r="K463" s="49"/>
      <c r="L463" s="41"/>
      <c r="M463" s="41"/>
      <c r="N463" s="41"/>
      <c r="O463" s="41"/>
      <c r="P463" s="43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</row>
    <row r="464" spans="1:45">
      <c r="A464" s="38"/>
      <c r="B464" s="38"/>
      <c r="C464" s="38"/>
      <c r="D464" s="38"/>
      <c r="E464" s="49"/>
      <c r="F464" s="49"/>
      <c r="G464" s="38"/>
      <c r="H464" s="49"/>
      <c r="I464" s="49"/>
      <c r="J464" s="49"/>
      <c r="K464" s="49"/>
      <c r="L464" s="41"/>
      <c r="M464" s="41"/>
      <c r="N464" s="41"/>
      <c r="O464" s="41"/>
      <c r="P464" s="43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</row>
    <row r="465" spans="1:45">
      <c r="A465" s="38"/>
      <c r="B465" s="38"/>
      <c r="C465" s="38"/>
      <c r="D465" s="38"/>
      <c r="E465" s="49"/>
      <c r="F465" s="49"/>
      <c r="G465" s="38"/>
      <c r="H465" s="49"/>
      <c r="I465" s="49"/>
      <c r="J465" s="49"/>
      <c r="K465" s="49"/>
      <c r="L465" s="41"/>
      <c r="M465" s="41"/>
      <c r="N465" s="41"/>
      <c r="O465" s="41"/>
      <c r="P465" s="43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</row>
    <row r="466" spans="1:45">
      <c r="A466" s="38"/>
      <c r="B466" s="38"/>
      <c r="C466" s="38"/>
      <c r="D466" s="38"/>
      <c r="E466" s="49"/>
      <c r="F466" s="49"/>
      <c r="G466" s="38"/>
      <c r="H466" s="49"/>
      <c r="I466" s="49"/>
      <c r="J466" s="49"/>
      <c r="K466" s="49"/>
      <c r="L466" s="41"/>
      <c r="M466" s="41"/>
      <c r="N466" s="41"/>
      <c r="O466" s="41"/>
      <c r="P466" s="43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</row>
    <row r="467" spans="1:45">
      <c r="A467" s="38"/>
      <c r="B467" s="38"/>
      <c r="C467" s="38"/>
      <c r="D467" s="38"/>
      <c r="E467" s="49"/>
      <c r="F467" s="49"/>
      <c r="G467" s="38"/>
      <c r="H467" s="49"/>
      <c r="I467" s="49"/>
      <c r="J467" s="49"/>
      <c r="K467" s="49"/>
      <c r="L467" s="41"/>
      <c r="M467" s="41"/>
      <c r="N467" s="41"/>
      <c r="O467" s="41"/>
      <c r="P467" s="43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</row>
    <row r="468" spans="1:45">
      <c r="A468" s="38"/>
      <c r="B468" s="38"/>
      <c r="C468" s="38"/>
      <c r="D468" s="38"/>
      <c r="E468" s="49"/>
      <c r="F468" s="49"/>
      <c r="G468" s="38"/>
      <c r="H468" s="49"/>
      <c r="I468" s="49"/>
      <c r="J468" s="49"/>
      <c r="K468" s="49"/>
      <c r="L468" s="41"/>
      <c r="M468" s="41"/>
      <c r="N468" s="41"/>
      <c r="O468" s="41"/>
      <c r="P468" s="43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</row>
    <row r="469" spans="1:45">
      <c r="A469" s="38"/>
      <c r="B469" s="38"/>
      <c r="C469" s="38"/>
      <c r="D469" s="38"/>
      <c r="E469" s="49"/>
      <c r="F469" s="49"/>
      <c r="G469" s="38"/>
      <c r="H469" s="49"/>
      <c r="I469" s="49"/>
      <c r="J469" s="49"/>
      <c r="K469" s="49"/>
      <c r="L469" s="41"/>
      <c r="M469" s="41"/>
      <c r="N469" s="41"/>
      <c r="O469" s="41"/>
      <c r="P469" s="43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</row>
    <row r="470" spans="1:45">
      <c r="A470" s="38"/>
      <c r="B470" s="38"/>
      <c r="C470" s="38"/>
      <c r="D470" s="38"/>
      <c r="E470" s="49"/>
      <c r="F470" s="49"/>
      <c r="G470" s="38"/>
      <c r="H470" s="49"/>
      <c r="I470" s="49"/>
      <c r="J470" s="49"/>
      <c r="K470" s="49"/>
      <c r="L470" s="41"/>
      <c r="M470" s="41"/>
      <c r="N470" s="41"/>
      <c r="O470" s="41"/>
      <c r="P470" s="43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</row>
    <row r="471" spans="1:45">
      <c r="A471" s="38"/>
      <c r="B471" s="38"/>
      <c r="C471" s="38"/>
      <c r="D471" s="38"/>
      <c r="E471" s="49"/>
      <c r="F471" s="49"/>
      <c r="G471" s="38"/>
      <c r="H471" s="49"/>
      <c r="I471" s="49"/>
      <c r="J471" s="49"/>
      <c r="K471" s="49"/>
      <c r="L471" s="41"/>
      <c r="M471" s="41"/>
      <c r="N471" s="41"/>
      <c r="O471" s="41"/>
      <c r="P471" s="43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</row>
    <row r="472" spans="1:45">
      <c r="A472" s="38"/>
      <c r="B472" s="38"/>
      <c r="C472" s="38"/>
      <c r="D472" s="38"/>
      <c r="E472" s="49"/>
      <c r="F472" s="49"/>
      <c r="G472" s="38"/>
      <c r="H472" s="49"/>
      <c r="I472" s="49"/>
      <c r="J472" s="49"/>
      <c r="K472" s="49"/>
      <c r="L472" s="41"/>
      <c r="M472" s="41"/>
      <c r="N472" s="41"/>
      <c r="O472" s="41"/>
      <c r="P472" s="43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</row>
    <row r="473" spans="1:45">
      <c r="A473" s="38"/>
      <c r="B473" s="38"/>
      <c r="C473" s="38"/>
      <c r="D473" s="38"/>
      <c r="E473" s="49"/>
      <c r="F473" s="49"/>
      <c r="G473" s="38"/>
      <c r="H473" s="49"/>
      <c r="I473" s="49"/>
      <c r="J473" s="49"/>
      <c r="K473" s="49"/>
      <c r="L473" s="41"/>
      <c r="M473" s="41"/>
      <c r="N473" s="41"/>
      <c r="O473" s="41"/>
      <c r="P473" s="43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</row>
    <row r="474" spans="1:45">
      <c r="A474" s="38"/>
      <c r="B474" s="38"/>
      <c r="C474" s="38"/>
      <c r="D474" s="38"/>
      <c r="E474" s="49"/>
      <c r="F474" s="49"/>
      <c r="G474" s="38"/>
      <c r="H474" s="49"/>
      <c r="I474" s="49"/>
      <c r="J474" s="49"/>
      <c r="K474" s="49"/>
      <c r="L474" s="41"/>
      <c r="M474" s="41"/>
      <c r="N474" s="41"/>
      <c r="O474" s="41"/>
      <c r="P474" s="43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</row>
    <row r="475" spans="1:45">
      <c r="A475" s="38"/>
      <c r="B475" s="38"/>
      <c r="C475" s="38"/>
      <c r="D475" s="38"/>
      <c r="E475" s="49"/>
      <c r="F475" s="49"/>
      <c r="G475" s="38"/>
      <c r="H475" s="49"/>
      <c r="I475" s="49"/>
      <c r="J475" s="49"/>
      <c r="K475" s="49"/>
      <c r="L475" s="41"/>
      <c r="M475" s="41"/>
      <c r="N475" s="41"/>
      <c r="O475" s="41"/>
      <c r="P475" s="43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</row>
    <row r="476" spans="1:45">
      <c r="A476" s="38"/>
      <c r="B476" s="38"/>
      <c r="C476" s="38"/>
      <c r="D476" s="38"/>
      <c r="E476" s="49"/>
      <c r="F476" s="49"/>
      <c r="G476" s="38"/>
      <c r="H476" s="49"/>
      <c r="I476" s="49"/>
      <c r="J476" s="49"/>
      <c r="K476" s="49"/>
      <c r="L476" s="41"/>
      <c r="M476" s="41"/>
      <c r="N476" s="41"/>
      <c r="O476" s="41"/>
      <c r="P476" s="43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</row>
    <row r="477" spans="1:45">
      <c r="A477" s="38"/>
      <c r="B477" s="38"/>
      <c r="C477" s="38"/>
      <c r="D477" s="38"/>
      <c r="E477" s="49"/>
      <c r="F477" s="49"/>
      <c r="G477" s="38"/>
      <c r="H477" s="49"/>
      <c r="I477" s="49"/>
      <c r="J477" s="49"/>
      <c r="K477" s="49"/>
      <c r="L477" s="41"/>
      <c r="M477" s="41"/>
      <c r="N477" s="41"/>
      <c r="O477" s="41"/>
      <c r="P477" s="43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</row>
    <row r="478" spans="1:45">
      <c r="A478" s="38"/>
      <c r="B478" s="38"/>
      <c r="C478" s="38"/>
      <c r="D478" s="38"/>
      <c r="E478" s="49"/>
      <c r="F478" s="49"/>
      <c r="G478" s="38"/>
      <c r="H478" s="49"/>
      <c r="I478" s="49"/>
      <c r="J478" s="49"/>
      <c r="K478" s="49"/>
      <c r="L478" s="41"/>
      <c r="M478" s="41"/>
      <c r="N478" s="41"/>
      <c r="O478" s="41"/>
      <c r="P478" s="43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</row>
    <row r="479" spans="1:45">
      <c r="A479" s="38"/>
      <c r="B479" s="38"/>
      <c r="C479" s="38"/>
      <c r="D479" s="38"/>
      <c r="E479" s="49"/>
      <c r="F479" s="49"/>
      <c r="G479" s="38"/>
      <c r="H479" s="49"/>
      <c r="I479" s="49"/>
      <c r="J479" s="49"/>
      <c r="K479" s="49"/>
      <c r="L479" s="41"/>
      <c r="M479" s="41"/>
      <c r="N479" s="41"/>
      <c r="O479" s="41"/>
      <c r="P479" s="43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</row>
    <row r="480" spans="1:45">
      <c r="A480" s="38"/>
      <c r="B480" s="38"/>
      <c r="C480" s="38"/>
      <c r="D480" s="38"/>
      <c r="E480" s="49"/>
      <c r="F480" s="49"/>
      <c r="G480" s="38"/>
      <c r="H480" s="49"/>
      <c r="I480" s="49"/>
      <c r="J480" s="49"/>
      <c r="K480" s="49"/>
      <c r="L480" s="41"/>
      <c r="M480" s="41"/>
      <c r="N480" s="41"/>
      <c r="O480" s="41"/>
      <c r="P480" s="43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</row>
    <row r="481" spans="1:45">
      <c r="A481" s="38"/>
      <c r="B481" s="38"/>
      <c r="C481" s="38"/>
      <c r="D481" s="38"/>
      <c r="E481" s="49"/>
      <c r="F481" s="49"/>
      <c r="G481" s="38"/>
      <c r="H481" s="49"/>
      <c r="I481" s="49"/>
      <c r="J481" s="49"/>
      <c r="K481" s="49"/>
      <c r="L481" s="41"/>
      <c r="M481" s="41"/>
      <c r="N481" s="41"/>
      <c r="O481" s="41"/>
      <c r="P481" s="43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</row>
    <row r="482" spans="1:45">
      <c r="A482" s="38"/>
      <c r="B482" s="38"/>
      <c r="C482" s="38"/>
      <c r="D482" s="38"/>
      <c r="E482" s="49"/>
      <c r="F482" s="49"/>
      <c r="G482" s="38"/>
      <c r="H482" s="49"/>
      <c r="I482" s="49"/>
      <c r="J482" s="49"/>
      <c r="K482" s="49"/>
      <c r="L482" s="41"/>
      <c r="M482" s="41"/>
      <c r="N482" s="41"/>
      <c r="O482" s="41"/>
      <c r="P482" s="43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</row>
    <row r="483" spans="1:45">
      <c r="A483" s="38"/>
      <c r="B483" s="38"/>
      <c r="C483" s="38"/>
      <c r="D483" s="38"/>
      <c r="E483" s="49"/>
      <c r="F483" s="49"/>
      <c r="G483" s="38"/>
      <c r="H483" s="49"/>
      <c r="I483" s="49"/>
      <c r="J483" s="49"/>
      <c r="K483" s="49"/>
      <c r="L483" s="41"/>
      <c r="M483" s="41"/>
      <c r="N483" s="41"/>
      <c r="O483" s="41"/>
      <c r="P483" s="43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</row>
    <row r="484" spans="1:45">
      <c r="A484" s="38"/>
      <c r="B484" s="38"/>
      <c r="C484" s="38"/>
      <c r="D484" s="38"/>
      <c r="E484" s="49"/>
      <c r="F484" s="49"/>
      <c r="G484" s="38"/>
      <c r="H484" s="49"/>
      <c r="I484" s="49"/>
      <c r="J484" s="49"/>
      <c r="K484" s="49"/>
      <c r="L484" s="41"/>
      <c r="M484" s="41"/>
      <c r="N484" s="41"/>
      <c r="O484" s="41"/>
      <c r="P484" s="43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</row>
    <row r="485" spans="1:45">
      <c r="A485" s="38"/>
      <c r="B485" s="38"/>
      <c r="C485" s="38"/>
      <c r="D485" s="38"/>
      <c r="E485" s="49"/>
      <c r="F485" s="49"/>
      <c r="G485" s="38"/>
      <c r="H485" s="49"/>
      <c r="I485" s="49"/>
      <c r="J485" s="49"/>
      <c r="K485" s="49"/>
      <c r="L485" s="41"/>
      <c r="M485" s="41"/>
      <c r="N485" s="41"/>
      <c r="O485" s="41"/>
      <c r="P485" s="43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</row>
    <row r="486" spans="1:45">
      <c r="A486" s="38"/>
      <c r="B486" s="38"/>
      <c r="C486" s="38"/>
      <c r="D486" s="38"/>
      <c r="E486" s="49"/>
      <c r="F486" s="49"/>
      <c r="G486" s="38"/>
      <c r="H486" s="49"/>
      <c r="I486" s="49"/>
      <c r="J486" s="49"/>
      <c r="K486" s="49"/>
      <c r="L486" s="41"/>
      <c r="M486" s="41"/>
      <c r="N486" s="41"/>
      <c r="O486" s="41"/>
      <c r="P486" s="43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</row>
    <row r="487" spans="1:45">
      <c r="A487" s="38"/>
      <c r="B487" s="38"/>
      <c r="C487" s="38"/>
      <c r="D487" s="38"/>
      <c r="E487" s="49"/>
      <c r="F487" s="49"/>
      <c r="G487" s="38"/>
      <c r="H487" s="49"/>
      <c r="I487" s="49"/>
      <c r="J487" s="49"/>
      <c r="K487" s="49"/>
      <c r="L487" s="41"/>
      <c r="M487" s="41"/>
      <c r="N487" s="41"/>
      <c r="O487" s="41"/>
      <c r="P487" s="43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</row>
    <row r="488" spans="1:45">
      <c r="A488" s="38"/>
      <c r="B488" s="38"/>
      <c r="C488" s="38"/>
      <c r="D488" s="38"/>
      <c r="E488" s="49"/>
      <c r="F488" s="49"/>
      <c r="G488" s="38"/>
      <c r="H488" s="49"/>
      <c r="I488" s="49"/>
      <c r="J488" s="49"/>
      <c r="K488" s="49"/>
      <c r="L488" s="41"/>
      <c r="M488" s="41"/>
      <c r="N488" s="41"/>
      <c r="O488" s="41"/>
      <c r="P488" s="43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</row>
    <row r="489" spans="1:45">
      <c r="A489" s="38"/>
      <c r="B489" s="38"/>
      <c r="C489" s="38"/>
      <c r="D489" s="38"/>
      <c r="E489" s="49"/>
      <c r="F489" s="49"/>
      <c r="G489" s="38"/>
      <c r="H489" s="49"/>
      <c r="I489" s="49"/>
      <c r="J489" s="49"/>
      <c r="K489" s="49"/>
      <c r="L489" s="41"/>
      <c r="M489" s="41"/>
      <c r="N489" s="41"/>
      <c r="O489" s="41"/>
      <c r="P489" s="43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</row>
    <row r="490" spans="1:45">
      <c r="A490" s="38"/>
      <c r="B490" s="38"/>
      <c r="C490" s="38"/>
      <c r="D490" s="38"/>
      <c r="E490" s="49"/>
      <c r="F490" s="49"/>
      <c r="G490" s="38"/>
      <c r="H490" s="49"/>
      <c r="I490" s="49"/>
      <c r="J490" s="49"/>
      <c r="K490" s="49"/>
      <c r="L490" s="41"/>
      <c r="M490" s="41"/>
      <c r="N490" s="41"/>
      <c r="O490" s="41"/>
      <c r="P490" s="43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</row>
    <row r="491" spans="1:45">
      <c r="A491" s="38"/>
      <c r="B491" s="38"/>
      <c r="C491" s="38"/>
      <c r="D491" s="38"/>
      <c r="E491" s="49"/>
      <c r="F491" s="49"/>
      <c r="G491" s="38"/>
      <c r="H491" s="49"/>
      <c r="I491" s="49"/>
      <c r="J491" s="49"/>
      <c r="K491" s="49"/>
      <c r="L491" s="41"/>
      <c r="M491" s="41"/>
      <c r="N491" s="41"/>
      <c r="O491" s="41"/>
      <c r="P491" s="43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</row>
    <row r="492" spans="1:45">
      <c r="A492" s="38"/>
      <c r="B492" s="38"/>
      <c r="C492" s="38"/>
      <c r="D492" s="38"/>
      <c r="E492" s="49"/>
      <c r="F492" s="49"/>
      <c r="G492" s="38"/>
      <c r="H492" s="49"/>
      <c r="I492" s="49"/>
      <c r="J492" s="49"/>
      <c r="K492" s="49"/>
      <c r="L492" s="41"/>
      <c r="M492" s="41"/>
      <c r="N492" s="41"/>
      <c r="O492" s="41"/>
      <c r="P492" s="43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</row>
    <row r="493" spans="1:45">
      <c r="A493" s="38"/>
      <c r="B493" s="38"/>
      <c r="C493" s="38"/>
      <c r="D493" s="38"/>
      <c r="E493" s="49"/>
      <c r="F493" s="49"/>
      <c r="G493" s="38"/>
      <c r="H493" s="49"/>
      <c r="I493" s="49"/>
      <c r="J493" s="49"/>
      <c r="K493" s="49"/>
      <c r="L493" s="41"/>
      <c r="M493" s="41"/>
      <c r="N493" s="41"/>
      <c r="O493" s="41"/>
      <c r="P493" s="43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</row>
    <row r="494" spans="1:45">
      <c r="A494" s="38"/>
      <c r="B494" s="38"/>
      <c r="C494" s="38"/>
      <c r="D494" s="38"/>
      <c r="E494" s="49"/>
      <c r="F494" s="49"/>
      <c r="G494" s="38"/>
      <c r="H494" s="49"/>
      <c r="I494" s="49"/>
      <c r="J494" s="49"/>
      <c r="K494" s="49"/>
      <c r="L494" s="41"/>
      <c r="M494" s="41"/>
      <c r="N494" s="41"/>
      <c r="O494" s="41"/>
      <c r="P494" s="43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</row>
    <row r="495" spans="1:45">
      <c r="A495" s="38"/>
      <c r="B495" s="38"/>
      <c r="C495" s="38"/>
      <c r="D495" s="38"/>
      <c r="E495" s="49"/>
      <c r="F495" s="49"/>
      <c r="G495" s="38"/>
      <c r="H495" s="49"/>
      <c r="I495" s="49"/>
      <c r="J495" s="49"/>
      <c r="K495" s="49"/>
      <c r="L495" s="41"/>
      <c r="M495" s="41"/>
      <c r="N495" s="41"/>
      <c r="O495" s="41"/>
      <c r="P495" s="43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</row>
    <row r="496" spans="1:45">
      <c r="A496" s="38"/>
      <c r="B496" s="38"/>
      <c r="C496" s="38"/>
      <c r="D496" s="38"/>
      <c r="E496" s="49"/>
      <c r="F496" s="49"/>
      <c r="G496" s="38"/>
      <c r="H496" s="49"/>
      <c r="I496" s="49"/>
      <c r="J496" s="49"/>
      <c r="K496" s="49"/>
      <c r="L496" s="41"/>
      <c r="M496" s="41"/>
      <c r="N496" s="41"/>
      <c r="O496" s="41"/>
      <c r="P496" s="43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</row>
    <row r="497" spans="1:45">
      <c r="A497" s="38"/>
      <c r="B497" s="38"/>
      <c r="C497" s="38"/>
      <c r="D497" s="38"/>
      <c r="E497" s="49"/>
      <c r="F497" s="49"/>
      <c r="G497" s="38"/>
      <c r="H497" s="49"/>
      <c r="I497" s="49"/>
      <c r="J497" s="49"/>
      <c r="K497" s="49"/>
      <c r="L497" s="41"/>
      <c r="M497" s="41"/>
      <c r="N497" s="41"/>
      <c r="O497" s="41"/>
      <c r="P497" s="43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</row>
    <row r="498" spans="1:45">
      <c r="A498" s="38"/>
      <c r="B498" s="38"/>
      <c r="C498" s="38"/>
      <c r="D498" s="38"/>
      <c r="E498" s="49"/>
      <c r="F498" s="49"/>
      <c r="G498" s="38"/>
      <c r="H498" s="49"/>
      <c r="I498" s="49"/>
      <c r="J498" s="49"/>
      <c r="K498" s="49"/>
      <c r="L498" s="41"/>
      <c r="M498" s="41"/>
      <c r="N498" s="41"/>
      <c r="O498" s="41"/>
      <c r="P498" s="43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</row>
    <row r="499" spans="1:45">
      <c r="A499" s="38"/>
      <c r="B499" s="38"/>
      <c r="C499" s="38"/>
      <c r="D499" s="38"/>
      <c r="E499" s="49"/>
      <c r="F499" s="49"/>
      <c r="G499" s="38"/>
      <c r="H499" s="49"/>
      <c r="I499" s="49"/>
      <c r="J499" s="49"/>
      <c r="K499" s="49"/>
      <c r="L499" s="41"/>
      <c r="M499" s="41"/>
      <c r="N499" s="41"/>
      <c r="O499" s="41"/>
      <c r="P499" s="43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</row>
    <row r="500" spans="1:45">
      <c r="A500" s="38"/>
      <c r="B500" s="38"/>
      <c r="C500" s="38"/>
      <c r="D500" s="38"/>
      <c r="E500" s="49"/>
      <c r="F500" s="49"/>
      <c r="G500" s="38"/>
      <c r="H500" s="49"/>
      <c r="I500" s="49"/>
      <c r="J500" s="49"/>
      <c r="K500" s="49"/>
      <c r="L500" s="41"/>
      <c r="M500" s="41"/>
      <c r="N500" s="41"/>
      <c r="O500" s="41"/>
      <c r="P500" s="43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</row>
    <row r="501" spans="1:45">
      <c r="A501" s="38"/>
      <c r="B501" s="38"/>
      <c r="C501" s="38"/>
      <c r="D501" s="38"/>
      <c r="E501" s="49"/>
      <c r="F501" s="49"/>
      <c r="G501" s="38"/>
      <c r="H501" s="49"/>
      <c r="I501" s="49"/>
      <c r="J501" s="49"/>
      <c r="K501" s="49"/>
      <c r="L501" s="41"/>
      <c r="M501" s="41"/>
      <c r="N501" s="41"/>
      <c r="O501" s="41"/>
      <c r="P501" s="43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</row>
    <row r="502" spans="1:45">
      <c r="A502" s="38"/>
      <c r="B502" s="38"/>
      <c r="C502" s="38"/>
      <c r="D502" s="38"/>
      <c r="E502" s="49"/>
      <c r="F502" s="49"/>
      <c r="G502" s="38"/>
      <c r="H502" s="49"/>
      <c r="I502" s="49"/>
      <c r="J502" s="49"/>
      <c r="K502" s="49"/>
      <c r="L502" s="41"/>
      <c r="M502" s="41"/>
      <c r="N502" s="41"/>
      <c r="O502" s="41"/>
      <c r="P502" s="43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</row>
    <row r="503" spans="1:45">
      <c r="A503" s="38"/>
      <c r="B503" s="38"/>
      <c r="C503" s="38"/>
      <c r="D503" s="38"/>
      <c r="E503" s="49"/>
      <c r="F503" s="49"/>
      <c r="G503" s="38"/>
      <c r="H503" s="49"/>
      <c r="I503" s="49"/>
      <c r="J503" s="49"/>
      <c r="K503" s="49"/>
      <c r="L503" s="41"/>
      <c r="M503" s="41"/>
      <c r="N503" s="41"/>
      <c r="O503" s="41"/>
      <c r="P503" s="43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</row>
    <row r="504" spans="1:45">
      <c r="A504" s="38"/>
      <c r="B504" s="38"/>
      <c r="C504" s="38"/>
      <c r="D504" s="38"/>
      <c r="E504" s="49"/>
      <c r="F504" s="49"/>
      <c r="G504" s="38"/>
      <c r="H504" s="49"/>
      <c r="I504" s="49"/>
      <c r="J504" s="49"/>
      <c r="K504" s="49"/>
      <c r="L504" s="41"/>
      <c r="M504" s="41"/>
      <c r="N504" s="41"/>
      <c r="O504" s="41"/>
      <c r="P504" s="43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</row>
    <row r="505" spans="1:45">
      <c r="A505" s="38"/>
      <c r="B505" s="38"/>
      <c r="C505" s="38"/>
      <c r="D505" s="38"/>
      <c r="E505" s="49"/>
      <c r="F505" s="49"/>
      <c r="G505" s="38"/>
      <c r="H505" s="49"/>
      <c r="I505" s="49"/>
      <c r="J505" s="49"/>
      <c r="K505" s="49"/>
      <c r="L505" s="41"/>
      <c r="M505" s="41"/>
      <c r="N505" s="41"/>
      <c r="O505" s="41"/>
      <c r="P505" s="43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</row>
    <row r="506" spans="1:45">
      <c r="A506" s="38"/>
      <c r="B506" s="38"/>
      <c r="C506" s="38"/>
      <c r="D506" s="38"/>
      <c r="E506" s="49"/>
      <c r="F506" s="49"/>
      <c r="G506" s="38"/>
      <c r="H506" s="49"/>
      <c r="I506" s="49"/>
      <c r="J506" s="49"/>
      <c r="K506" s="49"/>
      <c r="L506" s="41"/>
      <c r="M506" s="41"/>
      <c r="N506" s="41"/>
      <c r="O506" s="41"/>
      <c r="P506" s="43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</row>
    <row r="507" spans="1:45">
      <c r="A507" s="38"/>
      <c r="B507" s="38"/>
      <c r="C507" s="38"/>
      <c r="D507" s="38"/>
      <c r="E507" s="49"/>
      <c r="F507" s="49"/>
      <c r="G507" s="38"/>
      <c r="H507" s="49"/>
      <c r="I507" s="49"/>
      <c r="J507" s="49"/>
      <c r="K507" s="49"/>
      <c r="L507" s="41"/>
      <c r="M507" s="41"/>
      <c r="N507" s="41"/>
      <c r="O507" s="41"/>
      <c r="P507" s="43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</row>
    <row r="508" spans="1:45">
      <c r="A508" s="38"/>
      <c r="B508" s="38"/>
      <c r="C508" s="38"/>
      <c r="D508" s="38"/>
      <c r="E508" s="49"/>
      <c r="F508" s="49"/>
      <c r="G508" s="38"/>
      <c r="H508" s="49"/>
      <c r="I508" s="49"/>
      <c r="J508" s="49"/>
      <c r="K508" s="49"/>
      <c r="L508" s="41"/>
      <c r="M508" s="41"/>
      <c r="N508" s="41"/>
      <c r="O508" s="41"/>
      <c r="P508" s="43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</row>
    <row r="509" spans="1:45">
      <c r="A509" s="38"/>
      <c r="B509" s="38"/>
      <c r="C509" s="38"/>
      <c r="D509" s="38"/>
      <c r="E509" s="49"/>
      <c r="F509" s="49"/>
      <c r="G509" s="38"/>
      <c r="H509" s="49"/>
      <c r="I509" s="49"/>
      <c r="J509" s="49"/>
      <c r="K509" s="49"/>
      <c r="L509" s="41"/>
      <c r="M509" s="41"/>
      <c r="N509" s="41"/>
      <c r="O509" s="41"/>
      <c r="P509" s="43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</row>
    <row r="510" spans="1:45">
      <c r="A510" s="38"/>
      <c r="B510" s="38"/>
      <c r="C510" s="38"/>
      <c r="D510" s="38"/>
      <c r="E510" s="49"/>
      <c r="F510" s="49"/>
      <c r="G510" s="38"/>
      <c r="H510" s="49"/>
      <c r="I510" s="49"/>
      <c r="J510" s="49"/>
      <c r="K510" s="49"/>
      <c r="L510" s="41"/>
      <c r="M510" s="41"/>
      <c r="N510" s="41"/>
      <c r="O510" s="41"/>
      <c r="P510" s="43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</row>
    <row r="511" spans="1:45">
      <c r="A511" s="38"/>
      <c r="B511" s="38"/>
      <c r="C511" s="38"/>
      <c r="D511" s="38"/>
      <c r="E511" s="49"/>
      <c r="F511" s="49"/>
      <c r="G511" s="38"/>
      <c r="H511" s="49"/>
      <c r="I511" s="49"/>
      <c r="J511" s="49"/>
      <c r="K511" s="49"/>
      <c r="L511" s="41"/>
      <c r="M511" s="41"/>
      <c r="N511" s="41"/>
      <c r="O511" s="41"/>
      <c r="P511" s="43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</row>
    <row r="512" spans="1:45">
      <c r="A512" s="38"/>
      <c r="B512" s="38"/>
      <c r="C512" s="38"/>
      <c r="D512" s="38"/>
      <c r="E512" s="49"/>
      <c r="F512" s="49"/>
      <c r="G512" s="38"/>
      <c r="H512" s="49"/>
      <c r="I512" s="49"/>
      <c r="J512" s="49"/>
      <c r="K512" s="49"/>
      <c r="L512" s="41"/>
      <c r="M512" s="41"/>
      <c r="N512" s="41"/>
      <c r="O512" s="41"/>
      <c r="P512" s="43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</row>
    <row r="513" spans="1:45">
      <c r="A513" s="38"/>
      <c r="B513" s="38"/>
      <c r="C513" s="38"/>
      <c r="D513" s="38"/>
      <c r="E513" s="49"/>
      <c r="F513" s="49"/>
      <c r="G513" s="38"/>
      <c r="H513" s="49"/>
      <c r="I513" s="49"/>
      <c r="J513" s="49"/>
      <c r="K513" s="49"/>
      <c r="L513" s="41"/>
      <c r="M513" s="41"/>
      <c r="N513" s="41"/>
      <c r="O513" s="41"/>
      <c r="P513" s="43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</row>
    <row r="514" spans="1:45">
      <c r="A514" s="38"/>
      <c r="B514" s="38"/>
      <c r="C514" s="38"/>
      <c r="D514" s="38"/>
      <c r="E514" s="49"/>
      <c r="F514" s="49"/>
      <c r="G514" s="38"/>
      <c r="H514" s="49"/>
      <c r="I514" s="49"/>
      <c r="J514" s="49"/>
      <c r="K514" s="49"/>
      <c r="L514" s="41"/>
      <c r="M514" s="41"/>
      <c r="N514" s="41"/>
      <c r="O514" s="41"/>
      <c r="P514" s="43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</row>
    <row r="515" spans="1:45">
      <c r="A515" s="38"/>
      <c r="B515" s="38"/>
      <c r="C515" s="38"/>
      <c r="D515" s="38"/>
      <c r="E515" s="49"/>
      <c r="F515" s="49"/>
      <c r="G515" s="38"/>
      <c r="H515" s="49"/>
      <c r="I515" s="49"/>
      <c r="J515" s="49"/>
      <c r="K515" s="49"/>
      <c r="L515" s="41"/>
      <c r="M515" s="41"/>
      <c r="N515" s="41"/>
      <c r="O515" s="41"/>
      <c r="P515" s="43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</row>
    <row r="516" spans="1:45">
      <c r="A516" s="38"/>
      <c r="B516" s="38"/>
      <c r="C516" s="38"/>
      <c r="D516" s="38"/>
      <c r="E516" s="49"/>
      <c r="F516" s="49"/>
      <c r="G516" s="38"/>
      <c r="H516" s="49"/>
      <c r="I516" s="49"/>
      <c r="J516" s="49"/>
      <c r="K516" s="49"/>
      <c r="L516" s="41"/>
      <c r="M516" s="41"/>
      <c r="N516" s="41"/>
      <c r="O516" s="41"/>
      <c r="P516" s="43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</row>
    <row r="517" spans="1:45">
      <c r="A517" s="38"/>
      <c r="B517" s="38"/>
      <c r="C517" s="38"/>
      <c r="D517" s="38"/>
      <c r="E517" s="49"/>
      <c r="F517" s="49"/>
      <c r="G517" s="38"/>
      <c r="H517" s="49"/>
      <c r="I517" s="49"/>
      <c r="J517" s="49"/>
      <c r="K517" s="49"/>
      <c r="L517" s="41"/>
      <c r="M517" s="41"/>
      <c r="N517" s="41"/>
      <c r="O517" s="41"/>
      <c r="P517" s="43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</row>
    <row r="518" spans="1:45">
      <c r="A518" s="38"/>
      <c r="B518" s="38"/>
      <c r="C518" s="38"/>
      <c r="D518" s="38"/>
      <c r="E518" s="49"/>
      <c r="F518" s="49"/>
      <c r="G518" s="38"/>
      <c r="H518" s="49"/>
      <c r="I518" s="49"/>
      <c r="J518" s="49"/>
      <c r="K518" s="49"/>
      <c r="L518" s="41"/>
      <c r="M518" s="41"/>
      <c r="N518" s="41"/>
      <c r="O518" s="41"/>
      <c r="P518" s="43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</row>
    <row r="519" spans="1:45">
      <c r="A519" s="38"/>
      <c r="B519" s="38"/>
      <c r="C519" s="38"/>
      <c r="D519" s="38"/>
      <c r="E519" s="49"/>
      <c r="F519" s="49"/>
      <c r="G519" s="38"/>
      <c r="H519" s="49"/>
      <c r="I519" s="49"/>
      <c r="J519" s="49"/>
      <c r="K519" s="49"/>
      <c r="L519" s="41"/>
      <c r="M519" s="41"/>
      <c r="N519" s="41"/>
      <c r="O519" s="41"/>
      <c r="P519" s="43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</row>
    <row r="520" spans="1:45">
      <c r="A520" s="38"/>
      <c r="B520" s="38"/>
      <c r="C520" s="38"/>
      <c r="D520" s="38"/>
      <c r="E520" s="49"/>
      <c r="F520" s="49"/>
      <c r="G520" s="38"/>
      <c r="H520" s="49"/>
      <c r="I520" s="49"/>
      <c r="J520" s="49"/>
      <c r="K520" s="49"/>
      <c r="L520" s="41"/>
      <c r="M520" s="41"/>
      <c r="N520" s="41"/>
      <c r="O520" s="41"/>
      <c r="P520" s="43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</row>
    <row r="521" spans="1:45">
      <c r="A521" s="38"/>
      <c r="B521" s="38"/>
      <c r="C521" s="38"/>
      <c r="D521" s="38"/>
      <c r="E521" s="49"/>
      <c r="F521" s="49"/>
      <c r="G521" s="38"/>
      <c r="H521" s="49"/>
      <c r="I521" s="49"/>
      <c r="J521" s="49"/>
      <c r="K521" s="49"/>
      <c r="L521" s="41"/>
      <c r="M521" s="41"/>
      <c r="N521" s="41"/>
      <c r="O521" s="41"/>
      <c r="P521" s="43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</row>
    <row r="522" spans="1:45">
      <c r="A522" s="38"/>
      <c r="B522" s="38"/>
      <c r="C522" s="38"/>
      <c r="D522" s="38"/>
      <c r="E522" s="49"/>
      <c r="F522" s="49"/>
      <c r="G522" s="38"/>
      <c r="H522" s="49"/>
      <c r="I522" s="49"/>
      <c r="J522" s="49"/>
      <c r="K522" s="49"/>
      <c r="L522" s="41"/>
      <c r="M522" s="41"/>
      <c r="N522" s="41"/>
      <c r="O522" s="41"/>
      <c r="P522" s="43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</row>
    <row r="523" spans="1:45">
      <c r="A523" s="38"/>
      <c r="B523" s="38"/>
      <c r="C523" s="38"/>
      <c r="D523" s="38"/>
      <c r="E523" s="49"/>
      <c r="F523" s="49"/>
      <c r="G523" s="38"/>
      <c r="H523" s="49"/>
      <c r="I523" s="49"/>
      <c r="J523" s="49"/>
      <c r="K523" s="49"/>
      <c r="L523" s="41"/>
      <c r="M523" s="41"/>
      <c r="N523" s="41"/>
      <c r="O523" s="41"/>
      <c r="P523" s="43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</row>
    <row r="524" spans="1:45">
      <c r="A524" s="38"/>
      <c r="B524" s="38"/>
      <c r="C524" s="38"/>
      <c r="D524" s="38"/>
      <c r="E524" s="49"/>
      <c r="F524" s="49"/>
      <c r="G524" s="38"/>
      <c r="H524" s="49"/>
      <c r="I524" s="49"/>
      <c r="J524" s="49"/>
      <c r="K524" s="49"/>
      <c r="L524" s="41"/>
      <c r="M524" s="41"/>
      <c r="N524" s="41"/>
      <c r="O524" s="41"/>
      <c r="P524" s="43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</row>
    <row r="525" spans="1:45">
      <c r="A525" s="38"/>
      <c r="B525" s="38"/>
      <c r="C525" s="38"/>
      <c r="D525" s="38"/>
      <c r="E525" s="49"/>
      <c r="F525" s="49"/>
      <c r="G525" s="38"/>
      <c r="H525" s="49"/>
      <c r="I525" s="49"/>
      <c r="J525" s="49"/>
      <c r="K525" s="49"/>
      <c r="L525" s="41"/>
      <c r="M525" s="41"/>
      <c r="N525" s="41"/>
      <c r="O525" s="41"/>
      <c r="P525" s="43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</row>
    <row r="526" spans="1:45">
      <c r="A526" s="38"/>
      <c r="B526" s="38"/>
      <c r="C526" s="38"/>
      <c r="D526" s="38"/>
      <c r="E526" s="49"/>
      <c r="F526" s="49"/>
      <c r="G526" s="38"/>
      <c r="H526" s="49"/>
      <c r="I526" s="49"/>
      <c r="J526" s="49"/>
      <c r="K526" s="49"/>
      <c r="L526" s="41"/>
      <c r="M526" s="41"/>
      <c r="N526" s="41"/>
      <c r="O526" s="41"/>
      <c r="P526" s="43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</row>
    <row r="527" spans="1:45">
      <c r="A527" s="38"/>
      <c r="B527" s="38"/>
      <c r="C527" s="38"/>
      <c r="D527" s="38"/>
      <c r="E527" s="49"/>
      <c r="F527" s="49"/>
      <c r="G527" s="38"/>
      <c r="H527" s="49"/>
      <c r="I527" s="49"/>
      <c r="J527" s="49"/>
      <c r="K527" s="49"/>
      <c r="L527" s="41"/>
      <c r="M527" s="41"/>
      <c r="N527" s="41"/>
      <c r="O527" s="41"/>
      <c r="P527" s="43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</row>
    <row r="528" spans="1:45">
      <c r="A528" s="38"/>
      <c r="B528" s="38"/>
      <c r="C528" s="38"/>
      <c r="D528" s="38"/>
      <c r="E528" s="49"/>
      <c r="F528" s="49"/>
      <c r="G528" s="38"/>
      <c r="H528" s="49"/>
      <c r="I528" s="49"/>
      <c r="J528" s="49"/>
      <c r="K528" s="49"/>
      <c r="L528" s="41"/>
      <c r="M528" s="41"/>
      <c r="N528" s="41"/>
      <c r="O528" s="41"/>
      <c r="P528" s="43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</row>
    <row r="529" spans="1:45">
      <c r="A529" s="38"/>
      <c r="B529" s="38"/>
      <c r="C529" s="38"/>
      <c r="D529" s="38"/>
      <c r="E529" s="49"/>
      <c r="F529" s="49"/>
      <c r="G529" s="38"/>
      <c r="H529" s="49"/>
      <c r="I529" s="49"/>
      <c r="J529" s="49"/>
      <c r="K529" s="49"/>
      <c r="L529" s="41"/>
      <c r="M529" s="41"/>
      <c r="N529" s="41"/>
      <c r="O529" s="41"/>
      <c r="P529" s="43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</row>
    <row r="530" spans="1:45">
      <c r="A530" s="38"/>
      <c r="B530" s="38"/>
      <c r="C530" s="38"/>
      <c r="D530" s="38"/>
      <c r="E530" s="49"/>
      <c r="F530" s="49"/>
      <c r="G530" s="38"/>
      <c r="H530" s="49"/>
      <c r="I530" s="49"/>
      <c r="J530" s="49"/>
      <c r="K530" s="49"/>
      <c r="L530" s="41"/>
      <c r="M530" s="41"/>
      <c r="N530" s="41"/>
      <c r="O530" s="41"/>
      <c r="P530" s="43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</row>
    <row r="531" spans="1:45">
      <c r="A531" s="38"/>
      <c r="B531" s="38"/>
      <c r="C531" s="38"/>
      <c r="D531" s="38"/>
      <c r="E531" s="49"/>
      <c r="F531" s="49"/>
      <c r="G531" s="38"/>
      <c r="H531" s="49"/>
      <c r="I531" s="49"/>
      <c r="J531" s="49"/>
      <c r="K531" s="49"/>
      <c r="L531" s="41"/>
      <c r="M531" s="41"/>
      <c r="N531" s="41"/>
      <c r="O531" s="41"/>
      <c r="P531" s="43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</row>
    <row r="532" spans="1:45">
      <c r="A532" s="38"/>
      <c r="B532" s="38"/>
      <c r="C532" s="38"/>
      <c r="D532" s="38"/>
      <c r="E532" s="49"/>
      <c r="F532" s="49"/>
      <c r="G532" s="38"/>
      <c r="H532" s="49"/>
      <c r="I532" s="49"/>
      <c r="J532" s="49"/>
      <c r="K532" s="49"/>
      <c r="L532" s="41"/>
      <c r="M532" s="41"/>
      <c r="N532" s="41"/>
      <c r="O532" s="41"/>
      <c r="P532" s="43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</row>
    <row r="533" spans="1:45">
      <c r="A533" s="38"/>
      <c r="B533" s="38"/>
      <c r="C533" s="38"/>
      <c r="D533" s="38"/>
      <c r="E533" s="49"/>
      <c r="F533" s="49"/>
      <c r="G533" s="38"/>
      <c r="H533" s="49"/>
      <c r="I533" s="49"/>
      <c r="J533" s="49"/>
      <c r="K533" s="49"/>
      <c r="L533" s="41"/>
      <c r="M533" s="41"/>
      <c r="N533" s="41"/>
      <c r="O533" s="41"/>
      <c r="P533" s="43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</row>
    <row r="534" spans="1:45">
      <c r="A534" s="38"/>
      <c r="B534" s="38"/>
      <c r="C534" s="38"/>
      <c r="D534" s="38"/>
      <c r="E534" s="49"/>
      <c r="F534" s="49"/>
      <c r="G534" s="38"/>
      <c r="H534" s="49"/>
      <c r="I534" s="49"/>
      <c r="J534" s="49"/>
      <c r="K534" s="49"/>
      <c r="L534" s="41"/>
      <c r="M534" s="41"/>
      <c r="N534" s="41"/>
      <c r="O534" s="41"/>
      <c r="P534" s="43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</row>
    <row r="535" spans="1:45">
      <c r="A535" s="38"/>
      <c r="B535" s="38"/>
      <c r="C535" s="38"/>
      <c r="D535" s="38"/>
      <c r="E535" s="49"/>
      <c r="F535" s="49"/>
      <c r="G535" s="38"/>
      <c r="H535" s="49"/>
      <c r="I535" s="49"/>
      <c r="J535" s="49"/>
      <c r="K535" s="49"/>
      <c r="L535" s="41"/>
      <c r="M535" s="41"/>
      <c r="N535" s="41"/>
      <c r="O535" s="41"/>
      <c r="P535" s="43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</row>
    <row r="536" spans="1:45">
      <c r="A536" s="38"/>
      <c r="B536" s="38"/>
      <c r="C536" s="38"/>
      <c r="D536" s="38"/>
      <c r="E536" s="49"/>
      <c r="F536" s="49"/>
      <c r="G536" s="38"/>
      <c r="H536" s="49"/>
      <c r="I536" s="49"/>
      <c r="J536" s="49"/>
      <c r="K536" s="49"/>
      <c r="L536" s="41"/>
      <c r="M536" s="41"/>
      <c r="N536" s="41"/>
      <c r="O536" s="41"/>
      <c r="P536" s="43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</row>
    <row r="537" spans="1:45">
      <c r="A537" s="38"/>
      <c r="B537" s="38"/>
      <c r="C537" s="38"/>
      <c r="D537" s="38"/>
      <c r="E537" s="49"/>
      <c r="F537" s="49"/>
      <c r="G537" s="38"/>
      <c r="H537" s="49"/>
      <c r="I537" s="49"/>
      <c r="J537" s="49"/>
      <c r="K537" s="49"/>
      <c r="L537" s="41"/>
      <c r="M537" s="41"/>
      <c r="N537" s="41"/>
      <c r="O537" s="41"/>
      <c r="P537" s="43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</row>
    <row r="538" spans="1:45">
      <c r="A538" s="38"/>
      <c r="B538" s="38"/>
      <c r="C538" s="38"/>
      <c r="D538" s="38"/>
      <c r="E538" s="49"/>
      <c r="F538" s="49"/>
      <c r="G538" s="38"/>
      <c r="H538" s="49"/>
      <c r="I538" s="49"/>
      <c r="J538" s="49"/>
      <c r="K538" s="49"/>
      <c r="L538" s="41"/>
      <c r="M538" s="41"/>
      <c r="N538" s="41"/>
      <c r="O538" s="41"/>
      <c r="P538" s="43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</row>
    <row r="539" spans="1:45">
      <c r="A539" s="38"/>
      <c r="B539" s="38"/>
      <c r="C539" s="38"/>
      <c r="D539" s="38"/>
      <c r="E539" s="49"/>
      <c r="F539" s="49"/>
      <c r="G539" s="38"/>
      <c r="H539" s="49"/>
      <c r="I539" s="49"/>
      <c r="J539" s="49"/>
      <c r="K539" s="49"/>
      <c r="L539" s="41"/>
      <c r="M539" s="41"/>
      <c r="N539" s="41"/>
      <c r="O539" s="41"/>
      <c r="P539" s="43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</row>
    <row r="540" spans="1:45">
      <c r="A540" s="38"/>
      <c r="B540" s="38"/>
      <c r="C540" s="38"/>
      <c r="D540" s="38"/>
      <c r="E540" s="49"/>
      <c r="F540" s="49"/>
      <c r="G540" s="38"/>
      <c r="H540" s="49"/>
      <c r="I540" s="49"/>
      <c r="J540" s="49"/>
      <c r="K540" s="49"/>
      <c r="L540" s="41"/>
      <c r="M540" s="41"/>
      <c r="N540" s="41"/>
      <c r="O540" s="41"/>
      <c r="P540" s="43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</row>
    <row r="541" spans="1:45">
      <c r="A541" s="38"/>
      <c r="B541" s="38"/>
      <c r="C541" s="38"/>
      <c r="D541" s="38"/>
      <c r="E541" s="49"/>
      <c r="F541" s="49"/>
      <c r="G541" s="38"/>
      <c r="H541" s="49"/>
      <c r="I541" s="49"/>
      <c r="J541" s="49"/>
      <c r="K541" s="49"/>
      <c r="L541" s="41"/>
      <c r="M541" s="41"/>
      <c r="N541" s="41"/>
      <c r="O541" s="41"/>
      <c r="P541" s="43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</row>
    <row r="542" spans="1:45">
      <c r="A542" s="38"/>
      <c r="B542" s="38"/>
      <c r="C542" s="38"/>
      <c r="D542" s="38"/>
      <c r="E542" s="49"/>
      <c r="F542" s="49"/>
      <c r="G542" s="38"/>
      <c r="H542" s="49"/>
      <c r="I542" s="49"/>
      <c r="J542" s="49"/>
      <c r="K542" s="49"/>
      <c r="L542" s="41"/>
      <c r="M542" s="41"/>
      <c r="N542" s="41"/>
      <c r="O542" s="41"/>
      <c r="P542" s="43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</row>
    <row r="543" spans="1:45">
      <c r="A543" s="38"/>
      <c r="B543" s="38"/>
      <c r="C543" s="38"/>
      <c r="D543" s="38"/>
      <c r="E543" s="49"/>
      <c r="F543" s="49"/>
      <c r="G543" s="38"/>
      <c r="H543" s="49"/>
      <c r="I543" s="49"/>
      <c r="J543" s="49"/>
      <c r="K543" s="49"/>
      <c r="L543" s="41"/>
      <c r="M543" s="41"/>
      <c r="N543" s="41"/>
      <c r="O543" s="41"/>
      <c r="P543" s="43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</row>
    <row r="544" spans="1:45">
      <c r="A544" s="38"/>
      <c r="B544" s="38"/>
      <c r="C544" s="38"/>
      <c r="D544" s="38"/>
      <c r="E544" s="49"/>
      <c r="F544" s="49"/>
      <c r="G544" s="38"/>
      <c r="H544" s="49"/>
      <c r="I544" s="49"/>
      <c r="J544" s="49"/>
      <c r="K544" s="49"/>
      <c r="L544" s="41"/>
      <c r="M544" s="41"/>
      <c r="N544" s="41"/>
      <c r="O544" s="41"/>
      <c r="P544" s="43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</row>
    <row r="545" spans="1:45">
      <c r="A545" s="38"/>
      <c r="B545" s="38"/>
      <c r="C545" s="38"/>
      <c r="D545" s="38"/>
      <c r="E545" s="49"/>
      <c r="F545" s="49"/>
      <c r="G545" s="38"/>
      <c r="H545" s="49"/>
      <c r="I545" s="49"/>
      <c r="J545" s="49"/>
      <c r="K545" s="49"/>
      <c r="L545" s="41"/>
      <c r="M545" s="41"/>
      <c r="N545" s="41"/>
      <c r="O545" s="41"/>
      <c r="P545" s="43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</row>
    <row r="546" spans="1:45">
      <c r="A546" s="38"/>
      <c r="B546" s="38"/>
      <c r="C546" s="38"/>
      <c r="D546" s="38"/>
      <c r="E546" s="49"/>
      <c r="F546" s="49"/>
      <c r="G546" s="38"/>
      <c r="H546" s="49"/>
      <c r="I546" s="49"/>
      <c r="J546" s="49"/>
      <c r="K546" s="49"/>
      <c r="L546" s="41"/>
      <c r="M546" s="41"/>
      <c r="N546" s="41"/>
      <c r="O546" s="41"/>
      <c r="P546" s="43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</row>
    <row r="547" spans="1:45">
      <c r="A547" s="38"/>
      <c r="B547" s="38"/>
      <c r="C547" s="38"/>
      <c r="D547" s="38"/>
      <c r="E547" s="49"/>
      <c r="F547" s="49"/>
      <c r="G547" s="38"/>
      <c r="H547" s="49"/>
      <c r="I547" s="49"/>
      <c r="J547" s="49"/>
      <c r="K547" s="49"/>
      <c r="L547" s="41"/>
      <c r="M547" s="41"/>
      <c r="N547" s="41"/>
      <c r="O547" s="41"/>
      <c r="P547" s="43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</row>
    <row r="548" spans="1:45">
      <c r="A548" s="38"/>
      <c r="B548" s="38"/>
      <c r="C548" s="38"/>
      <c r="D548" s="38"/>
      <c r="E548" s="49"/>
      <c r="F548" s="49"/>
      <c r="G548" s="38"/>
      <c r="H548" s="49"/>
      <c r="I548" s="49"/>
      <c r="J548" s="49"/>
      <c r="K548" s="49"/>
      <c r="L548" s="41"/>
      <c r="M548" s="41"/>
      <c r="N548" s="41"/>
      <c r="O548" s="41"/>
      <c r="P548" s="43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</row>
    <row r="549" spans="1:45">
      <c r="A549" s="38"/>
      <c r="B549" s="38"/>
      <c r="C549" s="38"/>
      <c r="D549" s="38"/>
      <c r="E549" s="49"/>
      <c r="F549" s="49"/>
      <c r="G549" s="38"/>
      <c r="H549" s="49"/>
      <c r="I549" s="49"/>
      <c r="J549" s="49"/>
      <c r="K549" s="49"/>
      <c r="L549" s="41"/>
      <c r="M549" s="41"/>
      <c r="N549" s="41"/>
      <c r="O549" s="41"/>
      <c r="P549" s="43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</row>
    <row r="550" spans="1:45">
      <c r="A550" s="38"/>
      <c r="B550" s="38"/>
      <c r="C550" s="38"/>
      <c r="D550" s="38"/>
      <c r="E550" s="49"/>
      <c r="F550" s="49"/>
      <c r="G550" s="38"/>
      <c r="H550" s="49"/>
      <c r="I550" s="49"/>
      <c r="J550" s="49"/>
      <c r="K550" s="49"/>
      <c r="L550" s="41"/>
      <c r="M550" s="41"/>
      <c r="N550" s="41"/>
      <c r="O550" s="41"/>
      <c r="P550" s="43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</row>
    <row r="551" spans="1:45">
      <c r="A551" s="38"/>
      <c r="B551" s="38"/>
      <c r="C551" s="38"/>
      <c r="D551" s="38"/>
      <c r="E551" s="49"/>
      <c r="F551" s="49"/>
      <c r="G551" s="38"/>
      <c r="H551" s="49"/>
      <c r="I551" s="49"/>
      <c r="J551" s="49"/>
      <c r="K551" s="49"/>
      <c r="L551" s="41"/>
      <c r="M551" s="41"/>
      <c r="N551" s="41"/>
      <c r="O551" s="41"/>
      <c r="P551" s="43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</row>
    <row r="552" spans="1:45">
      <c r="A552" s="38"/>
      <c r="B552" s="38"/>
      <c r="C552" s="38"/>
      <c r="D552" s="38"/>
      <c r="E552" s="49"/>
      <c r="F552" s="49"/>
      <c r="G552" s="38"/>
      <c r="H552" s="49"/>
      <c r="I552" s="49"/>
      <c r="J552" s="49"/>
      <c r="K552" s="49"/>
      <c r="L552" s="41"/>
      <c r="M552" s="41"/>
      <c r="N552" s="41"/>
      <c r="O552" s="41"/>
      <c r="P552" s="43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</row>
    <row r="553" spans="1:45">
      <c r="A553" s="38"/>
      <c r="B553" s="38"/>
      <c r="C553" s="38"/>
      <c r="D553" s="38"/>
      <c r="E553" s="49"/>
      <c r="F553" s="49"/>
      <c r="G553" s="38"/>
      <c r="H553" s="49"/>
      <c r="I553" s="49"/>
      <c r="J553" s="49"/>
      <c r="K553" s="49"/>
      <c r="L553" s="41"/>
      <c r="M553" s="41"/>
      <c r="N553" s="41"/>
      <c r="O553" s="41"/>
      <c r="P553" s="43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</row>
    <row r="554" spans="1:45">
      <c r="A554" s="38"/>
      <c r="B554" s="38"/>
      <c r="C554" s="38"/>
      <c r="D554" s="38"/>
      <c r="E554" s="49"/>
      <c r="F554" s="49"/>
      <c r="G554" s="38"/>
      <c r="H554" s="49"/>
      <c r="I554" s="49"/>
      <c r="J554" s="49"/>
      <c r="K554" s="49"/>
      <c r="L554" s="41"/>
      <c r="M554" s="41"/>
      <c r="N554" s="41"/>
      <c r="O554" s="41"/>
      <c r="P554" s="43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</row>
    <row r="555" spans="1:45">
      <c r="A555" s="38"/>
      <c r="B555" s="38"/>
      <c r="C555" s="38"/>
      <c r="D555" s="38"/>
      <c r="E555" s="49"/>
      <c r="F555" s="49"/>
      <c r="G555" s="38"/>
      <c r="H555" s="49"/>
      <c r="I555" s="49"/>
      <c r="J555" s="49"/>
      <c r="K555" s="49"/>
      <c r="L555" s="41"/>
      <c r="M555" s="41"/>
      <c r="N555" s="41"/>
      <c r="O555" s="41"/>
      <c r="P555" s="43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</row>
    <row r="556" spans="1:45">
      <c r="A556" s="38"/>
      <c r="B556" s="38"/>
      <c r="C556" s="38"/>
      <c r="D556" s="38"/>
      <c r="E556" s="49"/>
      <c r="F556" s="49"/>
      <c r="G556" s="38"/>
      <c r="H556" s="49"/>
      <c r="I556" s="49"/>
      <c r="J556" s="49"/>
      <c r="K556" s="49"/>
      <c r="L556" s="41"/>
      <c r="M556" s="41"/>
      <c r="N556" s="41"/>
      <c r="O556" s="41"/>
      <c r="P556" s="43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</row>
    <row r="557" spans="1:45">
      <c r="A557" s="38"/>
      <c r="B557" s="38"/>
      <c r="C557" s="38"/>
      <c r="D557" s="38"/>
      <c r="E557" s="49"/>
      <c r="F557" s="49"/>
      <c r="G557" s="38"/>
      <c r="H557" s="49"/>
      <c r="I557" s="49"/>
      <c r="J557" s="49"/>
      <c r="K557" s="49"/>
      <c r="L557" s="41"/>
      <c r="M557" s="41"/>
      <c r="N557" s="41"/>
      <c r="O557" s="41"/>
      <c r="P557" s="43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</row>
    <row r="558" spans="1:45">
      <c r="A558" s="38"/>
      <c r="B558" s="38"/>
      <c r="C558" s="38"/>
      <c r="D558" s="38"/>
      <c r="E558" s="49"/>
      <c r="F558" s="49"/>
      <c r="G558" s="38"/>
      <c r="H558" s="49"/>
      <c r="I558" s="49"/>
      <c r="J558" s="49"/>
      <c r="K558" s="49"/>
      <c r="L558" s="41"/>
      <c r="M558" s="41"/>
      <c r="N558" s="41"/>
      <c r="O558" s="41"/>
      <c r="P558" s="43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</row>
    <row r="559" spans="1:45">
      <c r="A559" s="38"/>
      <c r="B559" s="38"/>
      <c r="C559" s="38"/>
      <c r="D559" s="38"/>
      <c r="E559" s="49"/>
      <c r="F559" s="49"/>
      <c r="G559" s="38"/>
      <c r="H559" s="49"/>
      <c r="I559" s="49"/>
      <c r="J559" s="49"/>
      <c r="K559" s="49"/>
      <c r="L559" s="41"/>
      <c r="M559" s="41"/>
      <c r="N559" s="41"/>
      <c r="O559" s="41"/>
      <c r="P559" s="43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</row>
    <row r="560" spans="1:45">
      <c r="A560" s="38"/>
      <c r="B560" s="38"/>
      <c r="C560" s="38"/>
      <c r="D560" s="38"/>
      <c r="E560" s="49"/>
      <c r="F560" s="49"/>
      <c r="G560" s="38"/>
      <c r="H560" s="49"/>
      <c r="I560" s="49"/>
      <c r="J560" s="49"/>
      <c r="K560" s="49"/>
      <c r="L560" s="41"/>
      <c r="M560" s="41"/>
      <c r="N560" s="41"/>
      <c r="O560" s="41"/>
      <c r="P560" s="43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</row>
    <row r="561" spans="1:45">
      <c r="A561" s="38"/>
      <c r="B561" s="38"/>
      <c r="C561" s="38"/>
      <c r="D561" s="38"/>
      <c r="E561" s="49"/>
      <c r="F561" s="49"/>
      <c r="G561" s="38"/>
      <c r="H561" s="49"/>
      <c r="I561" s="49"/>
      <c r="J561" s="49"/>
      <c r="K561" s="49"/>
      <c r="L561" s="41"/>
      <c r="M561" s="41"/>
      <c r="N561" s="41"/>
      <c r="O561" s="41"/>
      <c r="P561" s="43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</row>
    <row r="562" spans="1:45">
      <c r="A562" s="38"/>
      <c r="B562" s="38"/>
      <c r="C562" s="38"/>
      <c r="D562" s="38"/>
      <c r="E562" s="49"/>
      <c r="F562" s="49"/>
      <c r="G562" s="38"/>
      <c r="H562" s="49"/>
      <c r="I562" s="49"/>
      <c r="J562" s="49"/>
      <c r="K562" s="49"/>
      <c r="L562" s="41"/>
      <c r="M562" s="41"/>
      <c r="N562" s="41"/>
      <c r="O562" s="41"/>
      <c r="P562" s="43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</row>
    <row r="563" spans="1:45">
      <c r="A563" s="38"/>
      <c r="B563" s="38"/>
      <c r="C563" s="38"/>
      <c r="D563" s="38"/>
      <c r="E563" s="49"/>
      <c r="F563" s="49"/>
      <c r="G563" s="38"/>
      <c r="H563" s="49"/>
      <c r="I563" s="49"/>
      <c r="J563" s="49"/>
      <c r="K563" s="49"/>
      <c r="L563" s="41"/>
      <c r="M563" s="41"/>
      <c r="N563" s="41"/>
      <c r="O563" s="41"/>
      <c r="P563" s="43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</row>
    <row r="564" spans="1:45">
      <c r="A564" s="38"/>
      <c r="B564" s="38"/>
      <c r="C564" s="38"/>
      <c r="D564" s="38"/>
      <c r="E564" s="49"/>
      <c r="F564" s="49"/>
      <c r="G564" s="38"/>
      <c r="H564" s="49"/>
      <c r="I564" s="49"/>
      <c r="J564" s="49"/>
      <c r="K564" s="49"/>
      <c r="L564" s="41"/>
      <c r="M564" s="41"/>
      <c r="N564" s="41"/>
      <c r="O564" s="41"/>
      <c r="P564" s="43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</row>
    <row r="565" spans="1:45">
      <c r="A565" s="38"/>
      <c r="B565" s="38"/>
      <c r="C565" s="38"/>
      <c r="D565" s="38"/>
      <c r="E565" s="49"/>
      <c r="F565" s="49"/>
      <c r="G565" s="38"/>
      <c r="H565" s="49"/>
      <c r="I565" s="49"/>
      <c r="J565" s="49"/>
      <c r="K565" s="49"/>
      <c r="L565" s="41"/>
      <c r="M565" s="41"/>
      <c r="N565" s="41"/>
      <c r="O565" s="41"/>
      <c r="P565" s="43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</row>
    <row r="566" spans="1:45">
      <c r="A566" s="38"/>
      <c r="B566" s="38"/>
      <c r="C566" s="38"/>
      <c r="D566" s="38"/>
      <c r="E566" s="49"/>
      <c r="F566" s="49"/>
      <c r="G566" s="38"/>
      <c r="H566" s="49"/>
      <c r="I566" s="49"/>
      <c r="J566" s="49"/>
      <c r="K566" s="49"/>
      <c r="L566" s="41"/>
      <c r="M566" s="41"/>
      <c r="N566" s="41"/>
      <c r="O566" s="41"/>
      <c r="P566" s="43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</row>
    <row r="567" spans="1:45">
      <c r="A567" s="38"/>
      <c r="B567" s="38"/>
      <c r="C567" s="38"/>
      <c r="D567" s="38"/>
      <c r="E567" s="49"/>
      <c r="F567" s="49"/>
      <c r="G567" s="38"/>
      <c r="H567" s="49"/>
      <c r="I567" s="49"/>
      <c r="J567" s="49"/>
      <c r="K567" s="49"/>
      <c r="L567" s="41"/>
      <c r="M567" s="41"/>
      <c r="N567" s="41"/>
      <c r="O567" s="41"/>
      <c r="P567" s="43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</row>
    <row r="568" spans="1:45">
      <c r="A568" s="38"/>
      <c r="B568" s="38"/>
      <c r="C568" s="38"/>
      <c r="D568" s="38"/>
      <c r="E568" s="49"/>
      <c r="F568" s="49"/>
      <c r="G568" s="38"/>
      <c r="H568" s="49"/>
      <c r="I568" s="49"/>
      <c r="J568" s="49"/>
      <c r="K568" s="49"/>
      <c r="L568" s="41"/>
      <c r="M568" s="41"/>
      <c r="N568" s="41"/>
      <c r="O568" s="41"/>
      <c r="P568" s="43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</row>
    <row r="569" spans="1:45">
      <c r="A569" s="38"/>
      <c r="B569" s="38"/>
      <c r="C569" s="38"/>
      <c r="D569" s="38"/>
      <c r="E569" s="49"/>
      <c r="F569" s="49"/>
      <c r="G569" s="38"/>
      <c r="H569" s="49"/>
      <c r="I569" s="49"/>
      <c r="J569" s="49"/>
      <c r="K569" s="49"/>
      <c r="L569" s="41"/>
      <c r="M569" s="41"/>
      <c r="N569" s="41"/>
      <c r="O569" s="41"/>
      <c r="P569" s="43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</row>
    <row r="570" spans="1:45">
      <c r="A570" s="38"/>
      <c r="B570" s="38"/>
      <c r="C570" s="38"/>
      <c r="D570" s="38"/>
      <c r="E570" s="49"/>
      <c r="F570" s="49"/>
      <c r="G570" s="38"/>
      <c r="H570" s="49"/>
      <c r="I570" s="49"/>
      <c r="J570" s="49"/>
      <c r="K570" s="49"/>
      <c r="L570" s="41"/>
      <c r="M570" s="41"/>
      <c r="N570" s="41"/>
      <c r="O570" s="41"/>
      <c r="P570" s="43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</row>
    <row r="571" spans="1:45">
      <c r="A571" s="38"/>
      <c r="B571" s="38"/>
      <c r="C571" s="38"/>
      <c r="D571" s="38"/>
      <c r="E571" s="49"/>
      <c r="F571" s="49"/>
      <c r="G571" s="38"/>
      <c r="H571" s="49"/>
      <c r="I571" s="49"/>
      <c r="J571" s="49"/>
      <c r="K571" s="49"/>
      <c r="L571" s="41"/>
      <c r="M571" s="41"/>
      <c r="N571" s="41"/>
      <c r="O571" s="41"/>
      <c r="P571" s="43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</row>
    <row r="572" spans="1:45">
      <c r="A572" s="38"/>
      <c r="B572" s="38"/>
      <c r="C572" s="38"/>
      <c r="D572" s="38"/>
      <c r="E572" s="49"/>
      <c r="F572" s="49"/>
      <c r="G572" s="38"/>
      <c r="H572" s="49"/>
      <c r="I572" s="49"/>
      <c r="J572" s="49"/>
      <c r="K572" s="49"/>
      <c r="L572" s="41"/>
      <c r="M572" s="41"/>
      <c r="N572" s="41"/>
      <c r="O572" s="41"/>
      <c r="P572" s="43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</row>
    <row r="573" spans="1:45">
      <c r="A573" s="38"/>
      <c r="B573" s="38"/>
      <c r="C573" s="38"/>
      <c r="D573" s="38"/>
      <c r="E573" s="49"/>
      <c r="F573" s="49"/>
      <c r="G573" s="38"/>
      <c r="H573" s="49"/>
      <c r="I573" s="49"/>
      <c r="J573" s="49"/>
      <c r="K573" s="49"/>
      <c r="L573" s="41"/>
      <c r="M573" s="41"/>
      <c r="N573" s="41"/>
      <c r="O573" s="41"/>
      <c r="P573" s="43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</row>
    <row r="574" spans="1:45">
      <c r="A574" s="38"/>
      <c r="B574" s="38"/>
      <c r="C574" s="38"/>
      <c r="D574" s="38"/>
      <c r="E574" s="49"/>
      <c r="F574" s="49"/>
      <c r="G574" s="38"/>
      <c r="H574" s="49"/>
      <c r="I574" s="49"/>
      <c r="J574" s="49"/>
      <c r="K574" s="49"/>
      <c r="L574" s="41"/>
      <c r="M574" s="41"/>
      <c r="N574" s="41"/>
      <c r="O574" s="41"/>
      <c r="P574" s="43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</row>
    <row r="575" spans="1:45">
      <c r="A575" s="38"/>
      <c r="B575" s="38"/>
      <c r="C575" s="38"/>
      <c r="D575" s="38"/>
      <c r="E575" s="49"/>
      <c r="F575" s="49"/>
      <c r="G575" s="38"/>
      <c r="H575" s="49"/>
      <c r="I575" s="49"/>
      <c r="J575" s="49"/>
      <c r="K575" s="49"/>
      <c r="L575" s="41"/>
      <c r="M575" s="41"/>
      <c r="N575" s="41"/>
      <c r="O575" s="41"/>
      <c r="P575" s="43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</row>
    <row r="576" spans="1:45">
      <c r="A576" s="38"/>
      <c r="B576" s="38"/>
      <c r="C576" s="38"/>
      <c r="D576" s="38"/>
      <c r="E576" s="49"/>
      <c r="F576" s="49"/>
      <c r="G576" s="38"/>
      <c r="H576" s="49"/>
      <c r="I576" s="49"/>
      <c r="J576" s="49"/>
      <c r="K576" s="49"/>
      <c r="L576" s="41"/>
      <c r="M576" s="41"/>
      <c r="N576" s="41"/>
      <c r="O576" s="41"/>
      <c r="P576" s="43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</row>
    <row r="577" spans="1:45">
      <c r="A577" s="38"/>
      <c r="B577" s="38"/>
      <c r="C577" s="38"/>
      <c r="D577" s="38"/>
      <c r="E577" s="49"/>
      <c r="F577" s="49"/>
      <c r="G577" s="38"/>
      <c r="H577" s="49"/>
      <c r="I577" s="49"/>
      <c r="J577" s="49"/>
      <c r="K577" s="49"/>
      <c r="L577" s="41"/>
      <c r="M577" s="41"/>
      <c r="N577" s="41"/>
      <c r="O577" s="41"/>
      <c r="P577" s="43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</row>
    <row r="578" spans="1:45">
      <c r="A578" s="38"/>
      <c r="B578" s="38"/>
      <c r="C578" s="38"/>
      <c r="D578" s="38"/>
      <c r="E578" s="49"/>
      <c r="F578" s="49"/>
      <c r="G578" s="38"/>
      <c r="H578" s="49"/>
      <c r="I578" s="49"/>
      <c r="J578" s="49"/>
      <c r="K578" s="49"/>
      <c r="L578" s="41"/>
      <c r="M578" s="41"/>
      <c r="N578" s="41"/>
      <c r="O578" s="41"/>
      <c r="P578" s="43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</row>
    <row r="579" spans="1:45">
      <c r="A579" s="38"/>
      <c r="B579" s="38"/>
      <c r="C579" s="38"/>
      <c r="D579" s="38"/>
      <c r="E579" s="49"/>
      <c r="F579" s="49"/>
      <c r="G579" s="38"/>
      <c r="H579" s="49"/>
      <c r="I579" s="49"/>
      <c r="J579" s="49"/>
      <c r="K579" s="49"/>
      <c r="L579" s="41"/>
      <c r="M579" s="41"/>
      <c r="N579" s="41"/>
      <c r="O579" s="41"/>
      <c r="P579" s="43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</row>
    <row r="580" spans="1:45">
      <c r="A580" s="38"/>
      <c r="B580" s="38"/>
      <c r="C580" s="38"/>
      <c r="D580" s="38"/>
      <c r="E580" s="49"/>
      <c r="F580" s="49"/>
      <c r="G580" s="38"/>
      <c r="H580" s="49"/>
      <c r="I580" s="49"/>
      <c r="J580" s="49"/>
      <c r="K580" s="49"/>
      <c r="L580" s="41"/>
      <c r="M580" s="41"/>
      <c r="N580" s="41"/>
      <c r="O580" s="41"/>
      <c r="P580" s="43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</row>
    <row r="581" spans="1:45">
      <c r="A581" s="38"/>
      <c r="B581" s="38"/>
      <c r="C581" s="38"/>
      <c r="D581" s="38"/>
      <c r="E581" s="49"/>
      <c r="F581" s="49"/>
      <c r="G581" s="38"/>
      <c r="H581" s="49"/>
      <c r="I581" s="49"/>
      <c r="J581" s="49"/>
      <c r="K581" s="49"/>
      <c r="L581" s="41"/>
      <c r="M581" s="41"/>
      <c r="N581" s="41"/>
      <c r="O581" s="41"/>
      <c r="P581" s="43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</row>
    <row r="582" spans="1:45">
      <c r="A582" s="38"/>
      <c r="B582" s="38"/>
      <c r="C582" s="38"/>
      <c r="D582" s="38"/>
      <c r="E582" s="49"/>
      <c r="F582" s="49"/>
      <c r="G582" s="38"/>
      <c r="H582" s="49"/>
      <c r="I582" s="49"/>
      <c r="J582" s="49"/>
      <c r="K582" s="49"/>
      <c r="L582" s="41"/>
      <c r="M582" s="41"/>
      <c r="N582" s="41"/>
      <c r="O582" s="41"/>
      <c r="P582" s="43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</row>
    <row r="583" spans="1:45">
      <c r="A583" s="38"/>
      <c r="B583" s="38"/>
      <c r="C583" s="38"/>
      <c r="D583" s="38"/>
      <c r="E583" s="49"/>
      <c r="F583" s="49"/>
      <c r="G583" s="38"/>
      <c r="H583" s="49"/>
      <c r="I583" s="49"/>
      <c r="J583" s="49"/>
      <c r="K583" s="49"/>
      <c r="L583" s="41"/>
      <c r="M583" s="41"/>
      <c r="N583" s="41"/>
      <c r="O583" s="41"/>
      <c r="P583" s="43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</row>
    <row r="584" spans="1:45">
      <c r="A584" s="38"/>
      <c r="B584" s="38"/>
      <c r="C584" s="38"/>
      <c r="D584" s="38"/>
      <c r="E584" s="49"/>
      <c r="F584" s="49"/>
      <c r="G584" s="38"/>
      <c r="H584" s="49"/>
      <c r="I584" s="49"/>
      <c r="J584" s="49"/>
      <c r="K584" s="49"/>
      <c r="L584" s="41"/>
      <c r="M584" s="41"/>
      <c r="N584" s="41"/>
      <c r="O584" s="41"/>
      <c r="P584" s="43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</row>
    <row r="585" spans="1:45">
      <c r="A585" s="38"/>
      <c r="B585" s="38"/>
      <c r="C585" s="38"/>
      <c r="D585" s="38"/>
      <c r="E585" s="49"/>
      <c r="F585" s="49"/>
      <c r="G585" s="38"/>
      <c r="H585" s="49"/>
      <c r="I585" s="49"/>
      <c r="J585" s="49"/>
      <c r="K585" s="49"/>
      <c r="L585" s="41"/>
      <c r="M585" s="41"/>
      <c r="N585" s="41"/>
      <c r="O585" s="41"/>
      <c r="P585" s="43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</row>
    <row r="586" spans="1:45">
      <c r="A586" s="38"/>
      <c r="B586" s="38"/>
      <c r="C586" s="38"/>
      <c r="D586" s="38"/>
      <c r="E586" s="49"/>
      <c r="F586" s="49"/>
      <c r="G586" s="38"/>
      <c r="H586" s="49"/>
      <c r="I586" s="49"/>
      <c r="J586" s="49"/>
      <c r="K586" s="49"/>
      <c r="L586" s="41"/>
      <c r="M586" s="41"/>
      <c r="N586" s="41"/>
      <c r="O586" s="41"/>
      <c r="P586" s="43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</row>
    <row r="587" spans="1:45">
      <c r="A587" s="38"/>
      <c r="B587" s="38"/>
      <c r="C587" s="38"/>
      <c r="D587" s="38"/>
      <c r="E587" s="49"/>
      <c r="F587" s="49"/>
      <c r="G587" s="38"/>
      <c r="H587" s="49"/>
      <c r="I587" s="49"/>
      <c r="J587" s="49"/>
      <c r="K587" s="49"/>
      <c r="L587" s="41"/>
      <c r="M587" s="41"/>
      <c r="N587" s="41"/>
      <c r="O587" s="41"/>
      <c r="P587" s="43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</row>
    <row r="588" spans="1:45">
      <c r="A588" s="38"/>
      <c r="B588" s="38"/>
      <c r="C588" s="38"/>
      <c r="D588" s="38"/>
      <c r="E588" s="49"/>
      <c r="F588" s="49"/>
      <c r="G588" s="38"/>
      <c r="H588" s="49"/>
      <c r="I588" s="49"/>
      <c r="J588" s="49"/>
      <c r="K588" s="49"/>
      <c r="L588" s="41"/>
      <c r="M588" s="41"/>
      <c r="N588" s="41"/>
      <c r="O588" s="41"/>
      <c r="P588" s="43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</row>
    <row r="589" spans="1:45">
      <c r="A589" s="38"/>
      <c r="B589" s="38"/>
      <c r="C589" s="38"/>
      <c r="D589" s="38"/>
      <c r="E589" s="49"/>
      <c r="F589" s="49"/>
      <c r="G589" s="38"/>
      <c r="H589" s="49"/>
      <c r="I589" s="49"/>
      <c r="J589" s="49"/>
      <c r="K589" s="49"/>
      <c r="L589" s="41"/>
      <c r="M589" s="41"/>
      <c r="N589" s="41"/>
      <c r="O589" s="41"/>
      <c r="P589" s="43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</row>
    <row r="590" spans="1:45">
      <c r="A590" s="38"/>
      <c r="B590" s="38"/>
      <c r="C590" s="38"/>
      <c r="D590" s="38"/>
      <c r="E590" s="49"/>
      <c r="F590" s="49"/>
      <c r="G590" s="38"/>
      <c r="H590" s="49"/>
      <c r="I590" s="49"/>
      <c r="J590" s="49"/>
      <c r="K590" s="49"/>
      <c r="L590" s="41"/>
      <c r="M590" s="41"/>
      <c r="N590" s="41"/>
      <c r="O590" s="41"/>
      <c r="P590" s="43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</row>
    <row r="591" spans="1:45">
      <c r="A591" s="38"/>
      <c r="B591" s="38"/>
      <c r="C591" s="38"/>
      <c r="D591" s="38"/>
      <c r="E591" s="49"/>
      <c r="F591" s="49"/>
      <c r="G591" s="38"/>
      <c r="H591" s="49"/>
      <c r="I591" s="49"/>
      <c r="J591" s="49"/>
      <c r="K591" s="49"/>
      <c r="L591" s="41"/>
      <c r="M591" s="41"/>
      <c r="N591" s="41"/>
      <c r="O591" s="41"/>
      <c r="P591" s="43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</row>
    <row r="592" spans="1:45">
      <c r="A592" s="38"/>
      <c r="B592" s="38"/>
      <c r="C592" s="38"/>
      <c r="D592" s="38"/>
      <c r="E592" s="49"/>
      <c r="F592" s="49"/>
      <c r="G592" s="38"/>
      <c r="H592" s="49"/>
      <c r="I592" s="49"/>
      <c r="J592" s="49"/>
      <c r="K592" s="49"/>
      <c r="L592" s="41"/>
      <c r="M592" s="41"/>
      <c r="N592" s="41"/>
      <c r="O592" s="41"/>
      <c r="P592" s="43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</row>
    <row r="593" spans="1:45">
      <c r="A593" s="38"/>
      <c r="B593" s="38"/>
      <c r="C593" s="38"/>
      <c r="D593" s="38"/>
      <c r="E593" s="49"/>
      <c r="F593" s="49"/>
      <c r="G593" s="38"/>
      <c r="H593" s="49"/>
      <c r="I593" s="49"/>
      <c r="J593" s="49"/>
      <c r="K593" s="49"/>
      <c r="L593" s="41"/>
      <c r="M593" s="41"/>
      <c r="N593" s="41"/>
      <c r="O593" s="41"/>
      <c r="P593" s="43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</row>
    <row r="594" spans="1:45">
      <c r="A594" s="38"/>
      <c r="B594" s="38"/>
      <c r="C594" s="38"/>
      <c r="D594" s="38"/>
      <c r="E594" s="49"/>
      <c r="F594" s="49"/>
      <c r="G594" s="38"/>
      <c r="H594" s="49"/>
      <c r="I594" s="49"/>
      <c r="J594" s="49"/>
      <c r="K594" s="49"/>
      <c r="L594" s="41"/>
      <c r="M594" s="41"/>
      <c r="N594" s="41"/>
      <c r="O594" s="41"/>
      <c r="P594" s="43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</row>
    <row r="595" spans="1:45">
      <c r="A595" s="38"/>
      <c r="B595" s="38"/>
      <c r="C595" s="38"/>
      <c r="D595" s="38"/>
      <c r="E595" s="49"/>
      <c r="F595" s="49"/>
      <c r="G595" s="38"/>
      <c r="H595" s="49"/>
      <c r="I595" s="49"/>
      <c r="J595" s="49"/>
      <c r="K595" s="49"/>
      <c r="L595" s="41"/>
      <c r="M595" s="41"/>
      <c r="N595" s="41"/>
      <c r="O595" s="41"/>
      <c r="P595" s="43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</row>
    <row r="596" spans="1:45">
      <c r="A596" s="38"/>
      <c r="B596" s="38"/>
      <c r="C596" s="38"/>
      <c r="D596" s="38"/>
      <c r="E596" s="49"/>
      <c r="F596" s="49"/>
      <c r="G596" s="38"/>
      <c r="H596" s="49"/>
      <c r="I596" s="49"/>
      <c r="J596" s="49"/>
      <c r="K596" s="49"/>
      <c r="L596" s="41"/>
      <c r="M596" s="41"/>
      <c r="N596" s="41"/>
      <c r="O596" s="41"/>
      <c r="P596" s="43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</row>
    <row r="597" spans="1:45">
      <c r="A597" s="38"/>
      <c r="B597" s="38"/>
      <c r="C597" s="38"/>
      <c r="D597" s="38"/>
      <c r="E597" s="49"/>
      <c r="F597" s="49"/>
      <c r="G597" s="38"/>
      <c r="H597" s="49"/>
      <c r="I597" s="49"/>
      <c r="J597" s="49"/>
      <c r="K597" s="49"/>
      <c r="L597" s="41"/>
      <c r="M597" s="41"/>
      <c r="N597" s="41"/>
      <c r="O597" s="41"/>
      <c r="P597" s="43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</row>
    <row r="598" spans="1:45">
      <c r="A598" s="38"/>
      <c r="B598" s="38"/>
      <c r="C598" s="38"/>
      <c r="D598" s="38"/>
      <c r="E598" s="49"/>
      <c r="F598" s="49"/>
      <c r="G598" s="38"/>
      <c r="H598" s="49"/>
      <c r="I598" s="49"/>
      <c r="J598" s="49"/>
      <c r="K598" s="49"/>
      <c r="L598" s="41"/>
      <c r="M598" s="41"/>
      <c r="N598" s="41"/>
      <c r="O598" s="41"/>
      <c r="P598" s="43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</row>
    <row r="599" spans="1:45">
      <c r="A599" s="38"/>
      <c r="B599" s="38"/>
      <c r="C599" s="38"/>
      <c r="D599" s="38"/>
      <c r="E599" s="49"/>
      <c r="F599" s="49"/>
      <c r="G599" s="38"/>
      <c r="H599" s="49"/>
      <c r="I599" s="49"/>
      <c r="J599" s="49"/>
      <c r="K599" s="49"/>
      <c r="L599" s="41"/>
      <c r="M599" s="41"/>
      <c r="N599" s="41"/>
      <c r="O599" s="41"/>
      <c r="P599" s="43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</row>
    <row r="600" spans="1:45">
      <c r="A600" s="38"/>
      <c r="B600" s="38"/>
      <c r="C600" s="38"/>
      <c r="D600" s="38"/>
      <c r="E600" s="49"/>
      <c r="F600" s="49"/>
      <c r="G600" s="38"/>
      <c r="H600" s="49"/>
      <c r="I600" s="49"/>
      <c r="J600" s="49"/>
      <c r="K600" s="49"/>
      <c r="L600" s="41"/>
      <c r="M600" s="41"/>
      <c r="N600" s="41"/>
      <c r="O600" s="41"/>
      <c r="P600" s="43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</row>
    <row r="601" spans="1:45">
      <c r="A601" s="38"/>
      <c r="B601" s="38"/>
      <c r="C601" s="38"/>
      <c r="D601" s="38"/>
      <c r="E601" s="49"/>
      <c r="F601" s="49"/>
      <c r="G601" s="38"/>
      <c r="H601" s="49"/>
      <c r="I601" s="49"/>
      <c r="J601" s="49"/>
      <c r="K601" s="49"/>
      <c r="L601" s="41"/>
      <c r="M601" s="41"/>
      <c r="N601" s="41"/>
      <c r="O601" s="41"/>
      <c r="P601" s="43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</row>
    <row r="602" spans="1:45">
      <c r="A602" s="38"/>
      <c r="B602" s="38"/>
      <c r="C602" s="38"/>
      <c r="D602" s="38"/>
      <c r="E602" s="49"/>
      <c r="F602" s="49"/>
      <c r="G602" s="38"/>
      <c r="H602" s="49"/>
      <c r="I602" s="49"/>
      <c r="J602" s="49"/>
      <c r="K602" s="49"/>
      <c r="L602" s="41"/>
      <c r="M602" s="41"/>
      <c r="N602" s="41"/>
      <c r="O602" s="41"/>
      <c r="P602" s="43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</row>
    <row r="603" spans="1:45">
      <c r="A603" s="38"/>
      <c r="B603" s="38"/>
      <c r="C603" s="38"/>
      <c r="D603" s="38"/>
      <c r="E603" s="49"/>
      <c r="F603" s="49"/>
      <c r="G603" s="38"/>
      <c r="H603" s="49"/>
      <c r="I603" s="49"/>
      <c r="J603" s="49"/>
      <c r="K603" s="49"/>
      <c r="L603" s="41"/>
      <c r="M603" s="41"/>
      <c r="N603" s="41"/>
      <c r="O603" s="41"/>
      <c r="P603" s="43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</row>
    <row r="604" spans="1:45">
      <c r="A604" s="38"/>
      <c r="B604" s="38"/>
      <c r="C604" s="38"/>
      <c r="D604" s="38"/>
      <c r="E604" s="49"/>
      <c r="F604" s="49"/>
      <c r="G604" s="38"/>
      <c r="H604" s="49"/>
      <c r="I604" s="49"/>
      <c r="J604" s="49"/>
      <c r="K604" s="49"/>
      <c r="L604" s="41"/>
      <c r="M604" s="41"/>
      <c r="N604" s="41"/>
      <c r="O604" s="41"/>
      <c r="P604" s="43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</row>
    <row r="605" spans="1:45">
      <c r="A605" s="38"/>
      <c r="B605" s="38"/>
      <c r="C605" s="38"/>
      <c r="D605" s="38"/>
      <c r="E605" s="49"/>
      <c r="F605" s="49"/>
      <c r="G605" s="38"/>
      <c r="H605" s="49"/>
      <c r="I605" s="49"/>
      <c r="J605" s="49"/>
      <c r="K605" s="49"/>
      <c r="L605" s="41"/>
      <c r="M605" s="41"/>
      <c r="N605" s="41"/>
      <c r="O605" s="41"/>
      <c r="P605" s="43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</row>
    <row r="606" spans="1:45">
      <c r="A606" s="38"/>
      <c r="B606" s="38"/>
      <c r="C606" s="38"/>
      <c r="D606" s="38"/>
      <c r="E606" s="49"/>
      <c r="F606" s="49"/>
      <c r="G606" s="38"/>
      <c r="H606" s="49"/>
      <c r="I606" s="49"/>
      <c r="J606" s="49"/>
      <c r="K606" s="49"/>
      <c r="L606" s="41"/>
      <c r="M606" s="41"/>
      <c r="N606" s="41"/>
      <c r="O606" s="41"/>
      <c r="P606" s="43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</row>
    <row r="607" spans="1:45">
      <c r="A607" s="38"/>
      <c r="B607" s="38"/>
      <c r="C607" s="38"/>
      <c r="D607" s="38"/>
      <c r="E607" s="49"/>
      <c r="F607" s="49"/>
      <c r="G607" s="38"/>
      <c r="H607" s="49"/>
      <c r="I607" s="49"/>
      <c r="J607" s="49"/>
      <c r="K607" s="49"/>
      <c r="L607" s="41"/>
      <c r="M607" s="41"/>
      <c r="N607" s="41"/>
      <c r="O607" s="41"/>
      <c r="P607" s="43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</row>
    <row r="608" spans="1:45">
      <c r="A608" s="38"/>
      <c r="B608" s="38"/>
      <c r="C608" s="38"/>
      <c r="D608" s="38"/>
      <c r="E608" s="49"/>
      <c r="F608" s="49"/>
      <c r="G608" s="38"/>
      <c r="H608" s="49"/>
      <c r="I608" s="49"/>
      <c r="J608" s="49"/>
      <c r="K608" s="49"/>
      <c r="L608" s="41"/>
      <c r="M608" s="41"/>
      <c r="N608" s="41"/>
      <c r="O608" s="41"/>
      <c r="P608" s="43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</row>
    <row r="609" spans="1:45">
      <c r="A609" s="38"/>
      <c r="B609" s="38"/>
      <c r="C609" s="38"/>
      <c r="D609" s="38"/>
      <c r="E609" s="49"/>
      <c r="F609" s="49"/>
      <c r="G609" s="38"/>
      <c r="H609" s="49"/>
      <c r="I609" s="49"/>
      <c r="J609" s="49"/>
      <c r="K609" s="49"/>
      <c r="L609" s="41"/>
      <c r="M609" s="41"/>
      <c r="N609" s="41"/>
      <c r="O609" s="41"/>
      <c r="P609" s="43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</row>
    <row r="610" spans="1:45">
      <c r="A610" s="38"/>
      <c r="B610" s="38"/>
      <c r="C610" s="38"/>
      <c r="D610" s="38"/>
      <c r="E610" s="49"/>
      <c r="F610" s="49"/>
      <c r="G610" s="38"/>
      <c r="H610" s="49"/>
      <c r="I610" s="49"/>
      <c r="J610" s="49"/>
      <c r="K610" s="49"/>
      <c r="L610" s="41"/>
      <c r="M610" s="41"/>
      <c r="N610" s="41"/>
      <c r="O610" s="41"/>
      <c r="P610" s="43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</row>
    <row r="611" spans="1:45">
      <c r="A611" s="38"/>
      <c r="B611" s="38"/>
      <c r="C611" s="38"/>
      <c r="D611" s="38"/>
      <c r="E611" s="49"/>
      <c r="F611" s="49"/>
      <c r="G611" s="38"/>
      <c r="H611" s="49"/>
      <c r="I611" s="49"/>
      <c r="J611" s="49"/>
      <c r="K611" s="49"/>
      <c r="L611" s="41"/>
      <c r="M611" s="41"/>
      <c r="N611" s="41"/>
      <c r="O611" s="41"/>
      <c r="P611" s="43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</row>
    <row r="612" spans="1:45">
      <c r="A612" s="38"/>
      <c r="B612" s="38"/>
      <c r="C612" s="38"/>
      <c r="D612" s="38"/>
      <c r="E612" s="49"/>
      <c r="F612" s="49"/>
      <c r="G612" s="38"/>
      <c r="H612" s="49"/>
      <c r="I612" s="49"/>
      <c r="J612" s="49"/>
      <c r="K612" s="49"/>
      <c r="L612" s="41"/>
      <c r="M612" s="41"/>
      <c r="N612" s="41"/>
      <c r="O612" s="41"/>
      <c r="P612" s="43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</row>
    <row r="613" spans="1:45">
      <c r="A613" s="38"/>
      <c r="B613" s="38"/>
      <c r="C613" s="38"/>
      <c r="D613" s="38"/>
      <c r="E613" s="49"/>
      <c r="F613" s="49"/>
      <c r="G613" s="38"/>
      <c r="H613" s="49"/>
      <c r="I613" s="49"/>
      <c r="J613" s="49"/>
      <c r="K613" s="49"/>
      <c r="L613" s="41"/>
      <c r="M613" s="41"/>
      <c r="N613" s="41"/>
      <c r="O613" s="41"/>
      <c r="P613" s="43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</row>
    <row r="614" spans="1:45">
      <c r="A614" s="38"/>
      <c r="B614" s="38"/>
      <c r="C614" s="38"/>
      <c r="D614" s="38"/>
      <c r="E614" s="49"/>
      <c r="F614" s="49"/>
      <c r="G614" s="38"/>
      <c r="H614" s="49"/>
      <c r="I614" s="49"/>
      <c r="J614" s="49"/>
      <c r="K614" s="49"/>
      <c r="L614" s="41"/>
      <c r="M614" s="41"/>
      <c r="N614" s="41"/>
      <c r="O614" s="41"/>
      <c r="P614" s="43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</row>
    <row r="615" spans="1:45">
      <c r="A615" s="38"/>
      <c r="B615" s="38"/>
      <c r="C615" s="38"/>
      <c r="D615" s="38"/>
      <c r="E615" s="49"/>
      <c r="F615" s="49"/>
      <c r="G615" s="38"/>
      <c r="H615" s="49"/>
      <c r="I615" s="49"/>
      <c r="J615" s="49"/>
      <c r="K615" s="49"/>
      <c r="L615" s="41"/>
      <c r="M615" s="41"/>
      <c r="N615" s="41"/>
      <c r="O615" s="41"/>
      <c r="P615" s="43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</row>
    <row r="616" spans="1:45">
      <c r="A616" s="38"/>
      <c r="B616" s="38"/>
      <c r="C616" s="38"/>
      <c r="D616" s="38"/>
      <c r="E616" s="49"/>
      <c r="F616" s="49"/>
      <c r="G616" s="38"/>
      <c r="H616" s="49"/>
      <c r="I616" s="49"/>
      <c r="J616" s="49"/>
      <c r="K616" s="49"/>
      <c r="L616" s="41"/>
      <c r="M616" s="41"/>
      <c r="N616" s="41"/>
      <c r="O616" s="41"/>
      <c r="P616" s="43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</row>
    <row r="617" spans="1:45">
      <c r="A617" s="38"/>
      <c r="B617" s="38"/>
      <c r="C617" s="38"/>
      <c r="D617" s="38"/>
      <c r="E617" s="49"/>
      <c r="F617" s="49"/>
      <c r="G617" s="38"/>
      <c r="H617" s="49"/>
      <c r="I617" s="49"/>
      <c r="J617" s="49"/>
      <c r="K617" s="49"/>
      <c r="L617" s="41"/>
      <c r="M617" s="41"/>
      <c r="N617" s="41"/>
      <c r="O617" s="41"/>
      <c r="P617" s="43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</row>
    <row r="618" spans="1:45">
      <c r="A618" s="38"/>
      <c r="B618" s="38"/>
      <c r="C618" s="38"/>
      <c r="D618" s="38"/>
      <c r="E618" s="49"/>
      <c r="F618" s="49"/>
      <c r="G618" s="38"/>
      <c r="H618" s="49"/>
      <c r="I618" s="49"/>
      <c r="J618" s="49"/>
      <c r="K618" s="49"/>
      <c r="L618" s="41"/>
      <c r="M618" s="41"/>
      <c r="N618" s="41"/>
      <c r="O618" s="41"/>
      <c r="P618" s="43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</row>
    <row r="619" spans="1:45">
      <c r="A619" s="38"/>
      <c r="B619" s="38"/>
      <c r="C619" s="38"/>
      <c r="D619" s="38"/>
      <c r="E619" s="49"/>
      <c r="F619" s="49"/>
      <c r="G619" s="38"/>
      <c r="H619" s="49"/>
      <c r="I619" s="49"/>
      <c r="J619" s="49"/>
      <c r="K619" s="49"/>
      <c r="L619" s="41"/>
      <c r="M619" s="41"/>
      <c r="N619" s="41"/>
      <c r="O619" s="41"/>
      <c r="P619" s="43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</row>
    <row r="620" spans="1:45">
      <c r="A620" s="38"/>
      <c r="B620" s="38"/>
      <c r="C620" s="38"/>
      <c r="D620" s="38"/>
      <c r="E620" s="49"/>
      <c r="F620" s="49"/>
      <c r="G620" s="38"/>
      <c r="H620" s="49"/>
      <c r="I620" s="49"/>
      <c r="J620" s="49"/>
      <c r="K620" s="49"/>
      <c r="L620" s="41"/>
      <c r="M620" s="41"/>
      <c r="N620" s="41"/>
      <c r="O620" s="41"/>
      <c r="P620" s="43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</row>
    <row r="621" spans="1:45">
      <c r="A621" s="38"/>
      <c r="B621" s="38"/>
      <c r="C621" s="38"/>
      <c r="D621" s="38"/>
      <c r="E621" s="49"/>
      <c r="F621" s="49"/>
      <c r="G621" s="38"/>
      <c r="H621" s="49"/>
      <c r="I621" s="49"/>
      <c r="J621" s="49"/>
      <c r="K621" s="49"/>
      <c r="L621" s="41"/>
      <c r="M621" s="41"/>
      <c r="N621" s="41"/>
      <c r="O621" s="41"/>
      <c r="P621" s="43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</row>
    <row r="622" spans="1:45">
      <c r="A622" s="38"/>
      <c r="B622" s="38"/>
      <c r="C622" s="38"/>
      <c r="D622" s="38"/>
      <c r="E622" s="49"/>
      <c r="F622" s="49"/>
      <c r="G622" s="38"/>
      <c r="H622" s="49"/>
      <c r="I622" s="49"/>
      <c r="J622" s="49"/>
      <c r="K622" s="49"/>
      <c r="L622" s="41"/>
      <c r="M622" s="41"/>
      <c r="N622" s="41"/>
      <c r="O622" s="41"/>
      <c r="P622" s="43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</row>
    <row r="623" spans="1:45">
      <c r="A623" s="38"/>
      <c r="B623" s="38"/>
      <c r="C623" s="38"/>
      <c r="D623" s="38"/>
      <c r="E623" s="49"/>
      <c r="F623" s="49"/>
      <c r="G623" s="38"/>
      <c r="H623" s="49"/>
      <c r="I623" s="49"/>
      <c r="J623" s="49"/>
      <c r="K623" s="49"/>
      <c r="L623" s="41"/>
      <c r="M623" s="41"/>
      <c r="N623" s="41"/>
      <c r="O623" s="41"/>
      <c r="P623" s="43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</row>
    <row r="624" spans="1:45">
      <c r="A624" s="38"/>
      <c r="B624" s="38"/>
      <c r="C624" s="38"/>
      <c r="D624" s="38"/>
      <c r="E624" s="49"/>
      <c r="F624" s="49"/>
      <c r="G624" s="38"/>
      <c r="H624" s="49"/>
      <c r="I624" s="49"/>
      <c r="J624" s="49"/>
      <c r="K624" s="49"/>
      <c r="L624" s="41"/>
      <c r="M624" s="41"/>
      <c r="N624" s="41"/>
      <c r="O624" s="41"/>
      <c r="P624" s="43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</row>
    <row r="625" spans="1:45">
      <c r="A625" s="38"/>
      <c r="B625" s="38"/>
      <c r="C625" s="38"/>
      <c r="D625" s="38"/>
      <c r="E625" s="49"/>
      <c r="F625" s="49"/>
      <c r="G625" s="38"/>
      <c r="H625" s="49"/>
      <c r="I625" s="49"/>
      <c r="J625" s="49"/>
      <c r="K625" s="49"/>
      <c r="L625" s="41"/>
      <c r="M625" s="41"/>
      <c r="N625" s="41"/>
      <c r="O625" s="41"/>
      <c r="P625" s="43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</row>
    <row r="626" spans="1:45">
      <c r="A626" s="38"/>
      <c r="B626" s="38"/>
      <c r="C626" s="38"/>
      <c r="D626" s="38"/>
      <c r="E626" s="49"/>
      <c r="F626" s="49"/>
      <c r="G626" s="38"/>
      <c r="H626" s="49"/>
      <c r="I626" s="49"/>
      <c r="J626" s="49"/>
      <c r="K626" s="49"/>
      <c r="L626" s="41"/>
      <c r="M626" s="41"/>
      <c r="N626" s="41"/>
      <c r="O626" s="41"/>
      <c r="P626" s="43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</row>
    <row r="627" spans="1:45">
      <c r="A627" s="38"/>
      <c r="B627" s="38"/>
      <c r="C627" s="38"/>
      <c r="D627" s="38"/>
      <c r="E627" s="49"/>
      <c r="F627" s="49"/>
      <c r="G627" s="38"/>
      <c r="H627" s="49"/>
      <c r="I627" s="49"/>
      <c r="J627" s="49"/>
      <c r="K627" s="49"/>
      <c r="L627" s="41"/>
      <c r="M627" s="41"/>
      <c r="N627" s="41"/>
      <c r="O627" s="41"/>
      <c r="P627" s="43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</row>
    <row r="628" spans="1:45">
      <c r="A628" s="38"/>
      <c r="B628" s="38"/>
      <c r="C628" s="38"/>
      <c r="D628" s="38"/>
      <c r="E628" s="49"/>
      <c r="F628" s="49"/>
      <c r="G628" s="38"/>
      <c r="H628" s="49"/>
      <c r="I628" s="49"/>
      <c r="J628" s="49"/>
      <c r="K628" s="49"/>
      <c r="L628" s="41"/>
      <c r="M628" s="41"/>
      <c r="N628" s="41"/>
      <c r="O628" s="41"/>
      <c r="P628" s="43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</row>
    <row r="629" spans="1:45">
      <c r="A629" s="38"/>
      <c r="B629" s="38"/>
      <c r="C629" s="38"/>
      <c r="D629" s="38"/>
      <c r="E629" s="49"/>
      <c r="F629" s="49"/>
      <c r="G629" s="38"/>
      <c r="H629" s="49"/>
      <c r="I629" s="49"/>
      <c r="J629" s="49"/>
      <c r="K629" s="49"/>
      <c r="L629" s="41"/>
      <c r="M629" s="41"/>
      <c r="N629" s="41"/>
      <c r="O629" s="41"/>
      <c r="P629" s="43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</row>
    <row r="630" spans="1:45">
      <c r="A630" s="38"/>
      <c r="B630" s="38"/>
      <c r="C630" s="38"/>
      <c r="D630" s="38"/>
      <c r="E630" s="49"/>
      <c r="F630" s="49"/>
      <c r="G630" s="38"/>
      <c r="H630" s="49"/>
      <c r="I630" s="49"/>
      <c r="J630" s="49"/>
      <c r="K630" s="49"/>
      <c r="L630" s="41"/>
      <c r="M630" s="41"/>
      <c r="N630" s="41"/>
      <c r="O630" s="41"/>
      <c r="P630" s="43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</row>
    <row r="631" spans="1:45">
      <c r="A631" s="38"/>
      <c r="B631" s="38"/>
      <c r="C631" s="38"/>
      <c r="D631" s="38"/>
      <c r="E631" s="49"/>
      <c r="F631" s="49"/>
      <c r="G631" s="38"/>
      <c r="H631" s="49"/>
      <c r="I631" s="49"/>
      <c r="J631" s="49"/>
      <c r="K631" s="49"/>
      <c r="L631" s="41"/>
      <c r="M631" s="41"/>
      <c r="N631" s="41"/>
      <c r="O631" s="41"/>
      <c r="P631" s="43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</row>
    <row r="632" spans="1:45">
      <c r="A632" s="38"/>
      <c r="B632" s="38"/>
      <c r="C632" s="38"/>
      <c r="D632" s="38"/>
      <c r="E632" s="49"/>
      <c r="F632" s="49"/>
      <c r="G632" s="38"/>
      <c r="H632" s="49"/>
      <c r="I632" s="49"/>
      <c r="J632" s="49"/>
      <c r="K632" s="49"/>
      <c r="L632" s="41"/>
      <c r="M632" s="41"/>
      <c r="N632" s="41"/>
      <c r="O632" s="41"/>
      <c r="P632" s="43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</row>
    <row r="633" spans="1:45">
      <c r="A633" s="38"/>
      <c r="B633" s="38"/>
      <c r="C633" s="38"/>
      <c r="D633" s="38"/>
      <c r="E633" s="49"/>
      <c r="F633" s="49"/>
      <c r="G633" s="38"/>
      <c r="H633" s="49"/>
      <c r="I633" s="49"/>
      <c r="J633" s="49"/>
      <c r="K633" s="49"/>
      <c r="L633" s="41"/>
      <c r="M633" s="41"/>
      <c r="N633" s="41"/>
      <c r="O633" s="41"/>
      <c r="P633" s="43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</row>
    <row r="634" spans="1:45">
      <c r="A634" s="38"/>
      <c r="B634" s="38"/>
      <c r="C634" s="38"/>
      <c r="D634" s="38"/>
      <c r="E634" s="49"/>
      <c r="F634" s="49"/>
      <c r="G634" s="38"/>
      <c r="H634" s="49"/>
      <c r="I634" s="49"/>
      <c r="J634" s="49"/>
      <c r="K634" s="49"/>
      <c r="L634" s="41"/>
      <c r="M634" s="41"/>
      <c r="N634" s="41"/>
      <c r="O634" s="41"/>
      <c r="P634" s="43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</row>
    <row r="635" spans="1:45">
      <c r="A635" s="38"/>
      <c r="B635" s="38"/>
      <c r="C635" s="38"/>
      <c r="D635" s="38"/>
      <c r="E635" s="49"/>
      <c r="F635" s="49"/>
      <c r="G635" s="38"/>
      <c r="H635" s="49"/>
      <c r="I635" s="49"/>
      <c r="J635" s="49"/>
      <c r="K635" s="49"/>
      <c r="L635" s="41"/>
      <c r="M635" s="41"/>
      <c r="N635" s="41"/>
      <c r="O635" s="41"/>
      <c r="P635" s="43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</row>
    <row r="636" spans="1:45">
      <c r="A636" s="38"/>
      <c r="B636" s="38"/>
      <c r="C636" s="38"/>
      <c r="D636" s="38"/>
      <c r="E636" s="49"/>
      <c r="F636" s="49"/>
      <c r="G636" s="38"/>
      <c r="H636" s="49"/>
      <c r="I636" s="49"/>
      <c r="J636" s="49"/>
      <c r="K636" s="49"/>
      <c r="L636" s="41"/>
      <c r="M636" s="41"/>
      <c r="N636" s="41"/>
      <c r="O636" s="41"/>
      <c r="P636" s="43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</row>
    <row r="637" spans="1:45">
      <c r="A637" s="38"/>
      <c r="B637" s="38"/>
      <c r="C637" s="38"/>
      <c r="D637" s="38"/>
      <c r="E637" s="49"/>
      <c r="F637" s="49"/>
      <c r="G637" s="38"/>
      <c r="H637" s="49"/>
      <c r="I637" s="49"/>
      <c r="J637" s="49"/>
      <c r="K637" s="49"/>
      <c r="L637" s="41"/>
      <c r="M637" s="41"/>
      <c r="N637" s="41"/>
      <c r="O637" s="41"/>
      <c r="P637" s="43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</row>
    <row r="638" spans="1:45">
      <c r="A638" s="38"/>
      <c r="B638" s="38"/>
      <c r="C638" s="38"/>
      <c r="D638" s="38"/>
      <c r="E638" s="49"/>
      <c r="F638" s="49"/>
      <c r="G638" s="38"/>
      <c r="H638" s="49"/>
      <c r="I638" s="49"/>
      <c r="J638" s="49"/>
      <c r="K638" s="49"/>
      <c r="L638" s="41"/>
      <c r="M638" s="41"/>
      <c r="N638" s="41"/>
      <c r="O638" s="41"/>
      <c r="P638" s="43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</row>
    <row r="639" spans="1:45">
      <c r="A639" s="38"/>
      <c r="B639" s="38"/>
      <c r="C639" s="38"/>
      <c r="D639" s="38"/>
      <c r="E639" s="49"/>
      <c r="F639" s="49"/>
      <c r="G639" s="38"/>
      <c r="H639" s="49"/>
      <c r="I639" s="49"/>
      <c r="J639" s="49"/>
      <c r="K639" s="49"/>
      <c r="L639" s="41"/>
      <c r="M639" s="41"/>
      <c r="N639" s="41"/>
      <c r="O639" s="41"/>
      <c r="P639" s="43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</row>
    <row r="640" spans="1:45">
      <c r="A640" s="38"/>
      <c r="B640" s="38"/>
      <c r="C640" s="38"/>
      <c r="D640" s="38"/>
      <c r="E640" s="49"/>
      <c r="F640" s="49"/>
      <c r="G640" s="38"/>
      <c r="H640" s="49"/>
      <c r="I640" s="49"/>
      <c r="J640" s="49"/>
      <c r="K640" s="49"/>
      <c r="L640" s="41"/>
      <c r="M640" s="41"/>
      <c r="N640" s="41"/>
      <c r="O640" s="41"/>
      <c r="P640" s="43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</row>
    <row r="641" spans="1:45">
      <c r="A641" s="38"/>
      <c r="B641" s="38"/>
      <c r="C641" s="38"/>
      <c r="D641" s="38"/>
      <c r="E641" s="49"/>
      <c r="F641" s="49"/>
      <c r="G641" s="38"/>
      <c r="H641" s="49"/>
      <c r="I641" s="49"/>
      <c r="J641" s="49"/>
      <c r="K641" s="49"/>
      <c r="L641" s="41"/>
      <c r="M641" s="41"/>
      <c r="N641" s="41"/>
      <c r="O641" s="41"/>
      <c r="P641" s="43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</row>
    <row r="642" spans="1:45">
      <c r="A642" s="38"/>
      <c r="B642" s="38"/>
      <c r="C642" s="38"/>
      <c r="D642" s="38"/>
      <c r="E642" s="49"/>
      <c r="F642" s="49"/>
      <c r="G642" s="38"/>
      <c r="H642" s="49"/>
      <c r="I642" s="49"/>
      <c r="J642" s="49"/>
      <c r="K642" s="49"/>
      <c r="L642" s="41"/>
      <c r="M642" s="41"/>
      <c r="N642" s="41"/>
      <c r="O642" s="41"/>
      <c r="P642" s="43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</row>
    <row r="643" spans="1:45">
      <c r="A643" s="38"/>
      <c r="B643" s="38"/>
      <c r="C643" s="38"/>
      <c r="D643" s="38"/>
      <c r="E643" s="49"/>
      <c r="F643" s="49"/>
      <c r="G643" s="38"/>
      <c r="H643" s="49"/>
      <c r="I643" s="49"/>
      <c r="J643" s="49"/>
      <c r="K643" s="49"/>
      <c r="L643" s="41"/>
      <c r="M643" s="41"/>
      <c r="N643" s="41"/>
      <c r="O643" s="41"/>
      <c r="P643" s="43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</row>
    <row r="644" spans="1:45">
      <c r="A644" s="38"/>
      <c r="B644" s="38"/>
      <c r="C644" s="38"/>
      <c r="D644" s="38"/>
      <c r="E644" s="49"/>
      <c r="F644" s="49"/>
      <c r="G644" s="38"/>
      <c r="H644" s="49"/>
      <c r="I644" s="49"/>
      <c r="J644" s="49"/>
      <c r="K644" s="49"/>
      <c r="L644" s="41"/>
      <c r="M644" s="41"/>
      <c r="N644" s="41"/>
      <c r="O644" s="41"/>
      <c r="P644" s="43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</row>
    <row r="645" spans="1:45">
      <c r="A645" s="38"/>
      <c r="B645" s="38"/>
      <c r="C645" s="38"/>
      <c r="D645" s="38"/>
      <c r="E645" s="49"/>
      <c r="F645" s="49"/>
      <c r="G645" s="38"/>
      <c r="H645" s="49"/>
      <c r="I645" s="49"/>
      <c r="J645" s="49"/>
      <c r="K645" s="49"/>
      <c r="L645" s="41"/>
      <c r="M645" s="41"/>
      <c r="N645" s="41"/>
      <c r="O645" s="41"/>
      <c r="P645" s="43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</row>
    <row r="646" spans="1:45">
      <c r="A646" s="38"/>
      <c r="B646" s="38"/>
      <c r="C646" s="38"/>
      <c r="D646" s="38"/>
      <c r="E646" s="49"/>
      <c r="F646" s="49"/>
      <c r="G646" s="38"/>
      <c r="H646" s="49"/>
      <c r="I646" s="49"/>
      <c r="J646" s="49"/>
      <c r="K646" s="49"/>
      <c r="L646" s="41"/>
      <c r="M646" s="41"/>
      <c r="N646" s="41"/>
      <c r="O646" s="41"/>
      <c r="P646" s="43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</row>
    <row r="647" spans="1:45">
      <c r="A647" s="38"/>
      <c r="B647" s="38"/>
      <c r="C647" s="38"/>
      <c r="D647" s="38"/>
      <c r="E647" s="49"/>
      <c r="F647" s="49"/>
      <c r="G647" s="38"/>
      <c r="H647" s="49"/>
      <c r="I647" s="49"/>
      <c r="J647" s="49"/>
      <c r="K647" s="49"/>
      <c r="L647" s="41"/>
      <c r="M647" s="41"/>
      <c r="N647" s="41"/>
      <c r="O647" s="41"/>
      <c r="P647" s="43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</row>
    <row r="648" spans="1:45">
      <c r="A648" s="38"/>
      <c r="B648" s="38"/>
      <c r="C648" s="38"/>
      <c r="D648" s="38"/>
      <c r="E648" s="49"/>
      <c r="F648" s="49"/>
      <c r="G648" s="38"/>
      <c r="H648" s="49"/>
      <c r="I648" s="49"/>
      <c r="J648" s="49"/>
      <c r="K648" s="49"/>
      <c r="L648" s="41"/>
      <c r="M648" s="41"/>
      <c r="N648" s="41"/>
      <c r="O648" s="41"/>
      <c r="P648" s="43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</row>
    <row r="649" spans="1:45">
      <c r="A649" s="38"/>
      <c r="B649" s="38"/>
      <c r="C649" s="38"/>
      <c r="D649" s="38"/>
      <c r="E649" s="49"/>
      <c r="F649" s="49"/>
      <c r="G649" s="38"/>
      <c r="H649" s="49"/>
      <c r="I649" s="49"/>
      <c r="J649" s="49"/>
      <c r="K649" s="49"/>
      <c r="L649" s="41"/>
      <c r="M649" s="41"/>
      <c r="N649" s="41"/>
      <c r="O649" s="41"/>
      <c r="P649" s="43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</row>
    <row r="650" spans="1:45">
      <c r="A650" s="38"/>
      <c r="B650" s="38"/>
      <c r="C650" s="38"/>
      <c r="D650" s="38"/>
      <c r="E650" s="49"/>
      <c r="F650" s="49"/>
      <c r="G650" s="38"/>
      <c r="H650" s="49"/>
      <c r="I650" s="49"/>
      <c r="J650" s="49"/>
      <c r="K650" s="49"/>
      <c r="L650" s="41"/>
      <c r="M650" s="41"/>
      <c r="N650" s="41"/>
      <c r="O650" s="41"/>
      <c r="P650" s="43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</row>
    <row r="651" spans="1:45">
      <c r="A651" s="38"/>
      <c r="B651" s="38"/>
      <c r="C651" s="38"/>
      <c r="D651" s="38"/>
      <c r="E651" s="49"/>
      <c r="F651" s="49"/>
      <c r="G651" s="38"/>
      <c r="H651" s="49"/>
      <c r="I651" s="49"/>
      <c r="J651" s="49"/>
      <c r="K651" s="49"/>
      <c r="L651" s="41"/>
      <c r="M651" s="41"/>
      <c r="N651" s="41"/>
      <c r="O651" s="41"/>
      <c r="P651" s="43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</row>
    <row r="652" spans="1:45">
      <c r="A652" s="38"/>
      <c r="B652" s="38"/>
      <c r="C652" s="38"/>
      <c r="D652" s="38"/>
      <c r="E652" s="49"/>
      <c r="F652" s="49"/>
      <c r="G652" s="38"/>
      <c r="H652" s="49"/>
      <c r="I652" s="49"/>
      <c r="J652" s="49"/>
      <c r="K652" s="49"/>
      <c r="L652" s="41"/>
      <c r="M652" s="41"/>
      <c r="N652" s="41"/>
      <c r="O652" s="41"/>
      <c r="P652" s="43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</row>
    <row r="653" spans="1:45">
      <c r="A653" s="38"/>
      <c r="B653" s="38"/>
      <c r="C653" s="38"/>
      <c r="D653" s="38"/>
      <c r="E653" s="49"/>
      <c r="F653" s="49"/>
      <c r="G653" s="38"/>
      <c r="H653" s="49"/>
      <c r="I653" s="49"/>
      <c r="J653" s="49"/>
      <c r="K653" s="49"/>
      <c r="L653" s="41"/>
      <c r="M653" s="41"/>
      <c r="N653" s="41"/>
      <c r="O653" s="41"/>
      <c r="P653" s="43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</row>
    <row r="654" spans="1:45">
      <c r="A654" s="38"/>
      <c r="B654" s="38"/>
      <c r="C654" s="38"/>
      <c r="D654" s="38"/>
      <c r="E654" s="49"/>
      <c r="F654" s="49"/>
      <c r="G654" s="38"/>
      <c r="H654" s="49"/>
      <c r="I654" s="49"/>
      <c r="J654" s="49"/>
      <c r="K654" s="49"/>
      <c r="L654" s="41"/>
      <c r="M654" s="41"/>
      <c r="N654" s="41"/>
      <c r="O654" s="41"/>
      <c r="P654" s="43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</row>
    <row r="655" spans="1:45">
      <c r="A655" s="38"/>
      <c r="B655" s="38"/>
      <c r="C655" s="38"/>
      <c r="D655" s="38"/>
      <c r="E655" s="49"/>
      <c r="F655" s="49"/>
      <c r="G655" s="38"/>
      <c r="H655" s="49"/>
      <c r="I655" s="49"/>
      <c r="J655" s="49"/>
      <c r="K655" s="49"/>
      <c r="L655" s="41"/>
      <c r="M655" s="41"/>
      <c r="N655" s="41"/>
      <c r="O655" s="41"/>
      <c r="P655" s="43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</row>
    <row r="656" spans="1:45">
      <c r="A656" s="38"/>
      <c r="B656" s="38"/>
      <c r="C656" s="38"/>
      <c r="D656" s="38"/>
      <c r="E656" s="49"/>
      <c r="F656" s="49"/>
      <c r="G656" s="38"/>
      <c r="H656" s="49"/>
      <c r="I656" s="49"/>
      <c r="J656" s="49"/>
      <c r="K656" s="49"/>
      <c r="L656" s="41"/>
      <c r="M656" s="41"/>
      <c r="N656" s="41"/>
      <c r="O656" s="41"/>
      <c r="P656" s="43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</row>
    <row r="657" spans="1:45">
      <c r="A657" s="38"/>
      <c r="B657" s="38"/>
      <c r="C657" s="38"/>
      <c r="D657" s="38"/>
      <c r="E657" s="49"/>
      <c r="F657" s="49"/>
      <c r="G657" s="38"/>
      <c r="H657" s="49"/>
      <c r="I657" s="49"/>
      <c r="J657" s="49"/>
      <c r="K657" s="49"/>
      <c r="L657" s="41"/>
      <c r="M657" s="41"/>
      <c r="N657" s="41"/>
      <c r="O657" s="41"/>
      <c r="P657" s="43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</row>
    <row r="658" spans="1:45">
      <c r="A658" s="38"/>
      <c r="B658" s="38"/>
      <c r="C658" s="38"/>
      <c r="D658" s="38"/>
      <c r="E658" s="49"/>
      <c r="F658" s="49"/>
      <c r="G658" s="38"/>
      <c r="H658" s="49"/>
      <c r="I658" s="49"/>
      <c r="J658" s="49"/>
      <c r="K658" s="49"/>
      <c r="L658" s="41"/>
      <c r="M658" s="41"/>
      <c r="N658" s="41"/>
      <c r="O658" s="41"/>
      <c r="P658" s="43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</row>
    <row r="659" spans="1:45">
      <c r="A659" s="38"/>
      <c r="B659" s="38"/>
      <c r="C659" s="38"/>
      <c r="D659" s="38"/>
      <c r="E659" s="49"/>
      <c r="F659" s="49"/>
      <c r="G659" s="38"/>
      <c r="H659" s="49"/>
      <c r="I659" s="49"/>
      <c r="J659" s="49"/>
      <c r="K659" s="49"/>
      <c r="L659" s="41"/>
      <c r="M659" s="41"/>
      <c r="N659" s="41"/>
      <c r="O659" s="41"/>
      <c r="P659" s="43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</row>
    <row r="660" spans="1:45">
      <c r="A660" s="38"/>
      <c r="B660" s="38"/>
      <c r="C660" s="38"/>
      <c r="D660" s="38"/>
      <c r="E660" s="49"/>
      <c r="F660" s="49"/>
      <c r="G660" s="38"/>
      <c r="H660" s="49"/>
      <c r="I660" s="49"/>
      <c r="J660" s="49"/>
      <c r="K660" s="49"/>
      <c r="L660" s="41"/>
      <c r="M660" s="41"/>
      <c r="N660" s="41"/>
      <c r="O660" s="41"/>
      <c r="P660" s="43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</row>
    <row r="661" spans="1:45">
      <c r="A661" s="38"/>
      <c r="B661" s="38"/>
      <c r="C661" s="38"/>
      <c r="D661" s="38"/>
      <c r="E661" s="49"/>
      <c r="F661" s="49"/>
      <c r="G661" s="38"/>
      <c r="H661" s="49"/>
      <c r="I661" s="49"/>
      <c r="J661" s="49"/>
      <c r="K661" s="49"/>
      <c r="L661" s="41"/>
      <c r="M661" s="41"/>
      <c r="N661" s="41"/>
      <c r="O661" s="41"/>
      <c r="P661" s="43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</row>
    <row r="662" spans="1:45">
      <c r="A662" s="38"/>
      <c r="B662" s="38"/>
      <c r="C662" s="38"/>
      <c r="D662" s="38"/>
      <c r="E662" s="49"/>
      <c r="F662" s="49"/>
      <c r="G662" s="38"/>
      <c r="H662" s="49"/>
      <c r="I662" s="49"/>
      <c r="J662" s="49"/>
      <c r="K662" s="49"/>
      <c r="L662" s="41"/>
      <c r="M662" s="41"/>
      <c r="N662" s="41"/>
      <c r="O662" s="41"/>
      <c r="P662" s="43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</row>
    <row r="663" spans="1:45">
      <c r="A663" s="38"/>
      <c r="B663" s="38"/>
      <c r="C663" s="38"/>
      <c r="D663" s="38"/>
      <c r="E663" s="49"/>
      <c r="F663" s="49"/>
      <c r="G663" s="38"/>
      <c r="H663" s="49"/>
      <c r="I663" s="49"/>
      <c r="J663" s="49"/>
      <c r="K663" s="49"/>
      <c r="L663" s="41"/>
      <c r="M663" s="41"/>
      <c r="N663" s="41"/>
      <c r="O663" s="41"/>
      <c r="P663" s="43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</row>
    <row r="664" spans="1:45">
      <c r="A664" s="38"/>
      <c r="B664" s="38"/>
      <c r="C664" s="38"/>
      <c r="D664" s="38"/>
      <c r="E664" s="49"/>
      <c r="F664" s="49"/>
      <c r="G664" s="38"/>
      <c r="H664" s="49"/>
      <c r="I664" s="49"/>
      <c r="J664" s="49"/>
      <c r="K664" s="49"/>
      <c r="L664" s="41"/>
      <c r="M664" s="41"/>
      <c r="N664" s="41"/>
      <c r="O664" s="41"/>
      <c r="P664" s="43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</row>
    <row r="665" spans="1:45">
      <c r="A665" s="38"/>
      <c r="B665" s="38"/>
      <c r="C665" s="38"/>
      <c r="D665" s="38"/>
      <c r="E665" s="49"/>
      <c r="F665" s="49"/>
      <c r="G665" s="38"/>
      <c r="H665" s="49"/>
      <c r="I665" s="49"/>
      <c r="J665" s="49"/>
      <c r="K665" s="49"/>
      <c r="L665" s="41"/>
      <c r="M665" s="41"/>
      <c r="N665" s="41"/>
      <c r="O665" s="41"/>
      <c r="P665" s="43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</row>
    <row r="666" spans="1:45">
      <c r="A666" s="38"/>
      <c r="B666" s="38"/>
      <c r="C666" s="38"/>
      <c r="D666" s="38"/>
      <c r="E666" s="49"/>
      <c r="F666" s="49"/>
      <c r="G666" s="38"/>
      <c r="H666" s="49"/>
      <c r="I666" s="49"/>
      <c r="J666" s="49"/>
      <c r="K666" s="49"/>
      <c r="L666" s="41"/>
      <c r="M666" s="41"/>
      <c r="N666" s="41"/>
      <c r="O666" s="41"/>
      <c r="P666" s="43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</row>
    <row r="667" spans="1:45">
      <c r="A667" s="38"/>
      <c r="B667" s="38"/>
      <c r="C667" s="38"/>
      <c r="D667" s="38"/>
      <c r="E667" s="49"/>
      <c r="F667" s="49"/>
      <c r="G667" s="38"/>
      <c r="H667" s="49"/>
      <c r="I667" s="49"/>
      <c r="J667" s="49"/>
      <c r="K667" s="49"/>
      <c r="L667" s="41"/>
      <c r="M667" s="41"/>
      <c r="N667" s="41"/>
      <c r="O667" s="41"/>
      <c r="P667" s="43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</row>
    <row r="668" spans="1:45">
      <c r="A668" s="38"/>
      <c r="B668" s="38"/>
      <c r="C668" s="38"/>
      <c r="D668" s="38"/>
      <c r="E668" s="49"/>
      <c r="F668" s="49"/>
      <c r="G668" s="38"/>
      <c r="H668" s="49"/>
      <c r="I668" s="49"/>
      <c r="J668" s="49"/>
      <c r="K668" s="49"/>
      <c r="L668" s="41"/>
      <c r="M668" s="41"/>
      <c r="N668" s="41"/>
      <c r="O668" s="41"/>
      <c r="P668" s="43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</row>
    <row r="669" spans="1:45">
      <c r="A669" s="38"/>
      <c r="B669" s="38"/>
      <c r="C669" s="38"/>
      <c r="D669" s="38"/>
      <c r="E669" s="49"/>
      <c r="F669" s="49"/>
      <c r="G669" s="38"/>
      <c r="H669" s="49"/>
      <c r="I669" s="49"/>
      <c r="J669" s="49"/>
      <c r="K669" s="49"/>
      <c r="L669" s="41"/>
      <c r="M669" s="41"/>
      <c r="N669" s="41"/>
      <c r="O669" s="41"/>
      <c r="P669" s="43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</row>
    <row r="670" spans="1:45">
      <c r="A670" s="38"/>
      <c r="B670" s="38"/>
      <c r="C670" s="38"/>
      <c r="D670" s="38"/>
      <c r="E670" s="49"/>
      <c r="F670" s="49"/>
      <c r="G670" s="38"/>
      <c r="H670" s="49"/>
      <c r="I670" s="49"/>
      <c r="J670" s="49"/>
      <c r="K670" s="49"/>
      <c r="L670" s="41"/>
      <c r="M670" s="41"/>
      <c r="N670" s="41"/>
      <c r="O670" s="41"/>
      <c r="P670" s="43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</row>
    <row r="671" spans="1:45">
      <c r="A671" s="38"/>
      <c r="B671" s="38"/>
      <c r="C671" s="38"/>
      <c r="D671" s="38"/>
      <c r="E671" s="49"/>
      <c r="F671" s="49"/>
      <c r="G671" s="38"/>
      <c r="H671" s="49"/>
      <c r="I671" s="49"/>
      <c r="J671" s="49"/>
      <c r="K671" s="49"/>
      <c r="L671" s="41"/>
      <c r="M671" s="41"/>
      <c r="N671" s="41"/>
      <c r="O671" s="41"/>
      <c r="P671" s="43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</row>
    <row r="672" spans="1:45">
      <c r="A672" s="38"/>
      <c r="B672" s="38"/>
      <c r="C672" s="38"/>
      <c r="D672" s="38"/>
      <c r="E672" s="49"/>
      <c r="F672" s="49"/>
      <c r="G672" s="38"/>
      <c r="H672" s="49"/>
      <c r="I672" s="49"/>
      <c r="J672" s="49"/>
      <c r="K672" s="49"/>
      <c r="L672" s="41"/>
      <c r="M672" s="41"/>
      <c r="N672" s="41"/>
      <c r="O672" s="41"/>
      <c r="P672" s="43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</row>
    <row r="673" spans="1:45">
      <c r="A673" s="38"/>
      <c r="B673" s="38"/>
      <c r="C673" s="38"/>
      <c r="D673" s="38"/>
      <c r="E673" s="49"/>
      <c r="F673" s="49"/>
      <c r="G673" s="38"/>
      <c r="H673" s="49"/>
      <c r="I673" s="49"/>
      <c r="J673" s="49"/>
      <c r="K673" s="49"/>
      <c r="L673" s="41"/>
      <c r="M673" s="41"/>
      <c r="N673" s="41"/>
      <c r="O673" s="41"/>
      <c r="P673" s="43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</row>
    <row r="674" spans="1:45">
      <c r="A674" s="38"/>
      <c r="B674" s="38"/>
      <c r="C674" s="38"/>
      <c r="D674" s="38"/>
      <c r="E674" s="49"/>
      <c r="F674" s="49"/>
      <c r="G674" s="38"/>
      <c r="H674" s="49"/>
      <c r="I674" s="49"/>
      <c r="J674" s="49"/>
      <c r="K674" s="49"/>
      <c r="L674" s="41"/>
      <c r="M674" s="41"/>
      <c r="N674" s="41"/>
      <c r="O674" s="41"/>
      <c r="P674" s="43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</row>
    <row r="675" spans="1:45">
      <c r="A675" s="38"/>
      <c r="B675" s="38"/>
      <c r="C675" s="38"/>
      <c r="D675" s="38"/>
      <c r="E675" s="49"/>
      <c r="F675" s="49"/>
      <c r="G675" s="38"/>
      <c r="H675" s="49"/>
      <c r="I675" s="49"/>
      <c r="J675" s="49"/>
      <c r="K675" s="49"/>
      <c r="L675" s="41"/>
      <c r="M675" s="41"/>
      <c r="N675" s="41"/>
      <c r="O675" s="41"/>
      <c r="P675" s="43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</row>
    <row r="676" spans="1:45">
      <c r="A676" s="38"/>
      <c r="B676" s="38"/>
      <c r="C676" s="38"/>
      <c r="D676" s="38"/>
      <c r="E676" s="49"/>
      <c r="F676" s="49"/>
      <c r="G676" s="38"/>
      <c r="H676" s="49"/>
      <c r="I676" s="49"/>
      <c r="J676" s="49"/>
      <c r="K676" s="49"/>
      <c r="L676" s="41"/>
      <c r="M676" s="41"/>
      <c r="N676" s="41"/>
      <c r="O676" s="41"/>
      <c r="P676" s="43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</row>
    <row r="677" spans="1:45">
      <c r="A677" s="38"/>
      <c r="B677" s="38"/>
      <c r="C677" s="38"/>
      <c r="D677" s="38"/>
      <c r="E677" s="49"/>
      <c r="F677" s="49"/>
      <c r="G677" s="38"/>
      <c r="H677" s="49"/>
      <c r="I677" s="49"/>
      <c r="J677" s="49"/>
      <c r="K677" s="49"/>
      <c r="L677" s="41"/>
      <c r="M677" s="41"/>
      <c r="N677" s="41"/>
      <c r="O677" s="41"/>
      <c r="P677" s="43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</row>
    <row r="678" spans="1:45">
      <c r="A678" s="38"/>
      <c r="B678" s="38"/>
      <c r="C678" s="38"/>
      <c r="D678" s="38"/>
      <c r="E678" s="49"/>
      <c r="F678" s="49"/>
      <c r="G678" s="38"/>
      <c r="H678" s="49"/>
      <c r="I678" s="49"/>
      <c r="J678" s="49"/>
      <c r="K678" s="49"/>
      <c r="L678" s="41"/>
      <c r="M678" s="41"/>
      <c r="N678" s="41"/>
      <c r="O678" s="41"/>
      <c r="P678" s="43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</row>
    <row r="679" spans="1:45">
      <c r="A679" s="38"/>
      <c r="B679" s="38"/>
      <c r="C679" s="38"/>
      <c r="D679" s="38"/>
      <c r="E679" s="49"/>
      <c r="F679" s="49"/>
      <c r="G679" s="38"/>
      <c r="H679" s="49"/>
      <c r="I679" s="49"/>
      <c r="J679" s="49"/>
      <c r="K679" s="49"/>
      <c r="L679" s="41"/>
      <c r="M679" s="41"/>
      <c r="N679" s="41"/>
      <c r="O679" s="41"/>
      <c r="P679" s="43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</row>
    <row r="680" spans="1:45">
      <c r="A680" s="38"/>
      <c r="B680" s="38"/>
      <c r="C680" s="38"/>
      <c r="D680" s="38"/>
      <c r="E680" s="49"/>
      <c r="F680" s="49"/>
      <c r="G680" s="38"/>
      <c r="H680" s="49"/>
      <c r="I680" s="49"/>
      <c r="J680" s="49"/>
      <c r="K680" s="49"/>
      <c r="L680" s="41"/>
      <c r="M680" s="41"/>
      <c r="N680" s="41"/>
      <c r="O680" s="41"/>
      <c r="P680" s="43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</row>
    <row r="681" spans="1:45">
      <c r="A681" s="38"/>
      <c r="B681" s="38"/>
      <c r="C681" s="38"/>
      <c r="D681" s="38"/>
      <c r="E681" s="49"/>
      <c r="F681" s="49"/>
      <c r="G681" s="38"/>
      <c r="H681" s="49"/>
      <c r="I681" s="49"/>
      <c r="J681" s="49"/>
      <c r="K681" s="49"/>
      <c r="L681" s="41"/>
      <c r="M681" s="41"/>
      <c r="N681" s="41"/>
      <c r="O681" s="41"/>
      <c r="P681" s="43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</row>
    <row r="682" spans="1:45">
      <c r="A682" s="38"/>
      <c r="B682" s="38"/>
      <c r="C682" s="38"/>
      <c r="D682" s="38"/>
      <c r="E682" s="49"/>
      <c r="F682" s="49"/>
      <c r="G682" s="38"/>
      <c r="H682" s="49"/>
      <c r="I682" s="49"/>
      <c r="J682" s="49"/>
      <c r="K682" s="49"/>
      <c r="L682" s="41"/>
      <c r="M682" s="41"/>
      <c r="N682" s="41"/>
      <c r="O682" s="41"/>
      <c r="P682" s="43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</row>
    <row r="683" spans="1:45">
      <c r="A683" s="38"/>
      <c r="B683" s="38"/>
      <c r="C683" s="38"/>
      <c r="D683" s="38"/>
      <c r="E683" s="49"/>
      <c r="F683" s="49"/>
      <c r="G683" s="38"/>
      <c r="H683" s="49"/>
      <c r="I683" s="49"/>
      <c r="J683" s="49"/>
      <c r="K683" s="49"/>
      <c r="L683" s="41"/>
      <c r="M683" s="41"/>
      <c r="N683" s="41"/>
      <c r="O683" s="41"/>
      <c r="P683" s="43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</row>
    <row r="684" spans="1:45">
      <c r="A684" s="38"/>
      <c r="B684" s="38"/>
      <c r="C684" s="38"/>
      <c r="D684" s="38"/>
      <c r="E684" s="49"/>
      <c r="F684" s="49"/>
      <c r="G684" s="38"/>
      <c r="H684" s="49"/>
      <c r="I684" s="49"/>
      <c r="J684" s="49"/>
      <c r="K684" s="49"/>
      <c r="L684" s="41"/>
      <c r="M684" s="41"/>
      <c r="N684" s="41"/>
      <c r="O684" s="41"/>
      <c r="P684" s="43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</row>
    <row r="685" spans="1:45">
      <c r="A685" s="38"/>
      <c r="B685" s="38"/>
      <c r="C685" s="38"/>
      <c r="D685" s="38"/>
      <c r="E685" s="49"/>
      <c r="F685" s="49"/>
      <c r="G685" s="38"/>
      <c r="H685" s="49"/>
      <c r="I685" s="49"/>
      <c r="J685" s="49"/>
      <c r="K685" s="49"/>
      <c r="L685" s="41"/>
      <c r="M685" s="41"/>
      <c r="N685" s="41"/>
      <c r="O685" s="41"/>
      <c r="P685" s="43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</row>
    <row r="686" spans="1:45">
      <c r="A686" s="38"/>
      <c r="B686" s="38"/>
      <c r="C686" s="38"/>
      <c r="D686" s="38"/>
      <c r="E686" s="49"/>
      <c r="F686" s="49"/>
      <c r="G686" s="38"/>
      <c r="H686" s="49"/>
      <c r="I686" s="49"/>
      <c r="J686" s="49"/>
      <c r="K686" s="49"/>
      <c r="L686" s="41"/>
      <c r="M686" s="41"/>
      <c r="N686" s="41"/>
      <c r="O686" s="41"/>
      <c r="P686" s="43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</row>
    <row r="687" spans="1:45">
      <c r="A687" s="38"/>
      <c r="B687" s="38"/>
      <c r="C687" s="38"/>
      <c r="D687" s="38"/>
      <c r="E687" s="49"/>
      <c r="F687" s="49"/>
      <c r="G687" s="38"/>
      <c r="H687" s="49"/>
      <c r="I687" s="49"/>
      <c r="J687" s="49"/>
      <c r="K687" s="49"/>
      <c r="L687" s="41"/>
      <c r="M687" s="41"/>
      <c r="N687" s="41"/>
      <c r="O687" s="41"/>
      <c r="P687" s="43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</row>
    <row r="688" spans="1:45">
      <c r="A688" s="38"/>
      <c r="B688" s="38"/>
      <c r="C688" s="38"/>
      <c r="D688" s="38"/>
      <c r="E688" s="49"/>
      <c r="F688" s="49"/>
      <c r="G688" s="38"/>
      <c r="H688" s="49"/>
      <c r="I688" s="49"/>
      <c r="J688" s="49"/>
      <c r="K688" s="49"/>
      <c r="L688" s="41"/>
      <c r="M688" s="41"/>
      <c r="N688" s="41"/>
      <c r="O688" s="41"/>
      <c r="P688" s="43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</row>
    <row r="689" spans="1:45">
      <c r="A689" s="38"/>
      <c r="B689" s="38"/>
      <c r="C689" s="38"/>
      <c r="D689" s="38"/>
      <c r="E689" s="49"/>
      <c r="F689" s="49"/>
      <c r="G689" s="38"/>
      <c r="H689" s="49"/>
      <c r="I689" s="49"/>
      <c r="J689" s="49"/>
      <c r="K689" s="49"/>
      <c r="L689" s="41"/>
      <c r="M689" s="41"/>
      <c r="N689" s="41"/>
      <c r="O689" s="41"/>
      <c r="P689" s="43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</row>
    <row r="690" spans="1:45">
      <c r="A690" s="38"/>
      <c r="B690" s="38"/>
      <c r="C690" s="38"/>
      <c r="D690" s="38"/>
      <c r="E690" s="49"/>
      <c r="F690" s="49"/>
      <c r="G690" s="38"/>
      <c r="H690" s="49"/>
      <c r="I690" s="49"/>
      <c r="J690" s="49"/>
      <c r="K690" s="49"/>
      <c r="L690" s="41"/>
      <c r="M690" s="41"/>
      <c r="N690" s="41"/>
      <c r="O690" s="41"/>
      <c r="P690" s="43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</row>
    <row r="691" spans="1:45">
      <c r="A691" s="38"/>
      <c r="B691" s="38"/>
      <c r="C691" s="38"/>
      <c r="D691" s="38"/>
      <c r="E691" s="49"/>
      <c r="F691" s="49"/>
      <c r="G691" s="38"/>
      <c r="H691" s="49"/>
      <c r="I691" s="49"/>
      <c r="J691" s="49"/>
      <c r="K691" s="49"/>
      <c r="L691" s="41"/>
      <c r="M691" s="41"/>
      <c r="N691" s="41"/>
      <c r="O691" s="41"/>
      <c r="P691" s="43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</row>
    <row r="692" spans="1:45">
      <c r="A692" s="38"/>
      <c r="B692" s="38"/>
      <c r="C692" s="38"/>
      <c r="D692" s="38"/>
      <c r="E692" s="49"/>
      <c r="F692" s="49"/>
      <c r="G692" s="38"/>
      <c r="H692" s="49"/>
      <c r="I692" s="49"/>
      <c r="J692" s="49"/>
      <c r="K692" s="49"/>
      <c r="L692" s="41"/>
      <c r="M692" s="41"/>
      <c r="N692" s="41"/>
      <c r="O692" s="41"/>
      <c r="P692" s="43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</row>
    <row r="693" spans="1:45">
      <c r="A693" s="38"/>
      <c r="B693" s="38"/>
      <c r="C693" s="38"/>
      <c r="D693" s="38"/>
      <c r="E693" s="49"/>
      <c r="F693" s="49"/>
      <c r="G693" s="38"/>
      <c r="H693" s="49"/>
      <c r="I693" s="49"/>
      <c r="J693" s="49"/>
      <c r="K693" s="49"/>
      <c r="L693" s="41"/>
      <c r="M693" s="41"/>
      <c r="N693" s="41"/>
      <c r="O693" s="41"/>
      <c r="P693" s="43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</row>
    <row r="694" spans="1:45">
      <c r="A694" s="38"/>
      <c r="B694" s="38"/>
      <c r="C694" s="38"/>
      <c r="D694" s="38"/>
      <c r="E694" s="49"/>
      <c r="F694" s="49"/>
      <c r="G694" s="38"/>
      <c r="H694" s="49"/>
      <c r="I694" s="49"/>
      <c r="J694" s="49"/>
      <c r="K694" s="49"/>
      <c r="L694" s="41"/>
      <c r="M694" s="41"/>
      <c r="N694" s="41"/>
      <c r="O694" s="41"/>
      <c r="P694" s="43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</row>
    <row r="695" spans="1:45">
      <c r="A695" s="38"/>
      <c r="B695" s="38"/>
      <c r="C695" s="38"/>
      <c r="D695" s="38"/>
      <c r="E695" s="49"/>
      <c r="F695" s="49"/>
      <c r="G695" s="38"/>
      <c r="H695" s="49"/>
      <c r="I695" s="49"/>
      <c r="J695" s="49"/>
      <c r="K695" s="49"/>
      <c r="L695" s="41"/>
      <c r="M695" s="41"/>
      <c r="N695" s="41"/>
      <c r="O695" s="41"/>
      <c r="P695" s="43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</row>
    <row r="696" spans="1:45">
      <c r="A696" s="38"/>
      <c r="B696" s="38"/>
      <c r="C696" s="38"/>
      <c r="D696" s="38"/>
      <c r="E696" s="49"/>
      <c r="F696" s="49"/>
      <c r="G696" s="38"/>
      <c r="H696" s="49"/>
      <c r="I696" s="49"/>
      <c r="J696" s="49"/>
      <c r="K696" s="49"/>
      <c r="L696" s="41"/>
      <c r="M696" s="41"/>
      <c r="N696" s="41"/>
      <c r="O696" s="41"/>
      <c r="P696" s="43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</row>
    <row r="697" spans="1:45">
      <c r="A697" s="38"/>
      <c r="B697" s="38"/>
      <c r="C697" s="38"/>
      <c r="D697" s="38"/>
      <c r="E697" s="49"/>
      <c r="F697" s="49"/>
      <c r="G697" s="38"/>
      <c r="H697" s="49"/>
      <c r="I697" s="49"/>
      <c r="J697" s="49"/>
      <c r="K697" s="49"/>
      <c r="L697" s="41"/>
      <c r="M697" s="41"/>
      <c r="N697" s="41"/>
      <c r="O697" s="41"/>
      <c r="P697" s="43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</row>
    <row r="698" spans="1:45">
      <c r="A698" s="38"/>
      <c r="B698" s="38"/>
      <c r="C698" s="38"/>
      <c r="D698" s="38"/>
      <c r="E698" s="49"/>
      <c r="F698" s="49"/>
      <c r="G698" s="38"/>
      <c r="H698" s="49"/>
      <c r="I698" s="49"/>
      <c r="J698" s="49"/>
      <c r="K698" s="49"/>
      <c r="L698" s="41"/>
      <c r="M698" s="41"/>
      <c r="N698" s="41"/>
      <c r="O698" s="41"/>
      <c r="P698" s="43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</row>
    <row r="699" spans="1:45">
      <c r="A699" s="38"/>
      <c r="B699" s="38"/>
      <c r="C699" s="38"/>
      <c r="D699" s="38"/>
      <c r="E699" s="49"/>
      <c r="F699" s="49"/>
      <c r="G699" s="38"/>
      <c r="H699" s="49"/>
      <c r="I699" s="49"/>
      <c r="J699" s="49"/>
      <c r="K699" s="49"/>
      <c r="L699" s="41"/>
      <c r="M699" s="41"/>
      <c r="N699" s="41"/>
      <c r="O699" s="41"/>
      <c r="P699" s="43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</row>
    <row r="700" spans="1:45">
      <c r="A700" s="38"/>
      <c r="B700" s="38"/>
      <c r="C700" s="38"/>
      <c r="D700" s="38"/>
      <c r="E700" s="49"/>
      <c r="F700" s="49"/>
      <c r="G700" s="38"/>
      <c r="H700" s="49"/>
      <c r="I700" s="49"/>
      <c r="J700" s="49"/>
      <c r="K700" s="49"/>
      <c r="L700" s="41"/>
      <c r="M700" s="41"/>
      <c r="N700" s="41"/>
      <c r="O700" s="41"/>
      <c r="P700" s="43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</row>
    <row r="701" spans="1:45">
      <c r="A701" s="38"/>
      <c r="B701" s="38"/>
      <c r="C701" s="38"/>
      <c r="D701" s="38"/>
      <c r="E701" s="49"/>
      <c r="F701" s="49"/>
      <c r="G701" s="38"/>
      <c r="H701" s="49"/>
      <c r="I701" s="49"/>
      <c r="J701" s="49"/>
      <c r="K701" s="49"/>
      <c r="L701" s="41"/>
      <c r="M701" s="41"/>
      <c r="N701" s="41"/>
      <c r="O701" s="41"/>
      <c r="P701" s="43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</row>
    <row r="702" spans="1:45">
      <c r="A702" s="38"/>
      <c r="B702" s="38"/>
      <c r="C702" s="38"/>
      <c r="D702" s="38"/>
      <c r="E702" s="49"/>
      <c r="F702" s="49"/>
      <c r="G702" s="38"/>
      <c r="H702" s="49"/>
      <c r="I702" s="49"/>
      <c r="J702" s="49"/>
      <c r="K702" s="49"/>
      <c r="L702" s="41"/>
      <c r="M702" s="41"/>
      <c r="N702" s="41"/>
      <c r="O702" s="41"/>
      <c r="P702" s="43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</row>
    <row r="703" spans="1:45">
      <c r="A703" s="38"/>
      <c r="B703" s="38"/>
      <c r="C703" s="38"/>
      <c r="D703" s="38"/>
      <c r="E703" s="49"/>
      <c r="F703" s="49"/>
      <c r="G703" s="38"/>
      <c r="H703" s="49"/>
      <c r="I703" s="49"/>
      <c r="J703" s="49"/>
      <c r="K703" s="49"/>
      <c r="L703" s="41"/>
      <c r="M703" s="41"/>
      <c r="N703" s="41"/>
      <c r="O703" s="41"/>
      <c r="P703" s="43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</row>
    <row r="704" spans="1:45">
      <c r="A704" s="38"/>
      <c r="B704" s="38"/>
      <c r="C704" s="38"/>
      <c r="D704" s="38"/>
      <c r="E704" s="49"/>
      <c r="F704" s="49"/>
      <c r="G704" s="38"/>
      <c r="H704" s="49"/>
      <c r="I704" s="49"/>
      <c r="J704" s="49"/>
      <c r="K704" s="49"/>
      <c r="L704" s="41"/>
      <c r="M704" s="41"/>
      <c r="N704" s="41"/>
      <c r="O704" s="41"/>
      <c r="P704" s="43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</row>
    <row r="705" spans="1:45">
      <c r="A705" s="38"/>
      <c r="B705" s="38"/>
      <c r="C705" s="38"/>
      <c r="D705" s="38"/>
      <c r="E705" s="49"/>
      <c r="F705" s="49"/>
      <c r="G705" s="38"/>
      <c r="H705" s="49"/>
      <c r="I705" s="49"/>
      <c r="J705" s="49"/>
      <c r="K705" s="49"/>
      <c r="L705" s="41"/>
      <c r="M705" s="41"/>
      <c r="N705" s="41"/>
      <c r="O705" s="41"/>
      <c r="P705" s="43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</row>
    <row r="706" spans="1:45">
      <c r="A706" s="38"/>
      <c r="B706" s="38"/>
      <c r="C706" s="38"/>
      <c r="D706" s="38"/>
      <c r="E706" s="49"/>
      <c r="F706" s="49"/>
      <c r="G706" s="38"/>
      <c r="H706" s="49"/>
      <c r="I706" s="49"/>
      <c r="J706" s="49"/>
      <c r="K706" s="49"/>
      <c r="L706" s="41"/>
      <c r="M706" s="41"/>
      <c r="N706" s="41"/>
      <c r="O706" s="41"/>
      <c r="P706" s="43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</row>
    <row r="707" spans="1:45">
      <c r="A707" s="38"/>
      <c r="B707" s="38"/>
      <c r="C707" s="38"/>
      <c r="D707" s="38"/>
      <c r="E707" s="49"/>
      <c r="F707" s="49"/>
      <c r="G707" s="38"/>
      <c r="H707" s="49"/>
      <c r="I707" s="49"/>
      <c r="J707" s="49"/>
      <c r="K707" s="49"/>
      <c r="L707" s="41"/>
      <c r="M707" s="41"/>
      <c r="N707" s="41"/>
      <c r="O707" s="41"/>
      <c r="P707" s="43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</row>
    <row r="708" spans="1:45">
      <c r="A708" s="38"/>
      <c r="B708" s="38"/>
      <c r="C708" s="38"/>
      <c r="D708" s="38"/>
      <c r="E708" s="49"/>
      <c r="F708" s="49"/>
      <c r="G708" s="38"/>
      <c r="H708" s="49"/>
      <c r="I708" s="49"/>
      <c r="J708" s="49"/>
      <c r="K708" s="49"/>
      <c r="L708" s="41"/>
      <c r="M708" s="41"/>
      <c r="N708" s="41"/>
      <c r="O708" s="41"/>
      <c r="P708" s="43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</row>
    <row r="709" spans="1:45">
      <c r="A709" s="38"/>
      <c r="B709" s="38"/>
      <c r="C709" s="38"/>
      <c r="D709" s="38"/>
      <c r="E709" s="49"/>
      <c r="F709" s="49"/>
      <c r="G709" s="38"/>
      <c r="H709" s="49"/>
      <c r="I709" s="49"/>
      <c r="J709" s="49"/>
      <c r="K709" s="49"/>
      <c r="L709" s="41"/>
      <c r="M709" s="41"/>
      <c r="N709" s="41"/>
      <c r="O709" s="41"/>
      <c r="P709" s="43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</row>
    <row r="710" spans="1:45">
      <c r="A710" s="38"/>
      <c r="B710" s="38"/>
      <c r="C710" s="38"/>
      <c r="D710" s="38"/>
      <c r="E710" s="49"/>
      <c r="F710" s="49"/>
      <c r="G710" s="38"/>
      <c r="H710" s="49"/>
      <c r="I710" s="49"/>
      <c r="J710" s="49"/>
      <c r="K710" s="49"/>
      <c r="L710" s="41"/>
      <c r="M710" s="41"/>
      <c r="N710" s="41"/>
      <c r="O710" s="41"/>
      <c r="P710" s="43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</row>
    <row r="711" spans="1:45">
      <c r="A711" s="38"/>
      <c r="B711" s="38"/>
      <c r="C711" s="38"/>
      <c r="D711" s="38"/>
      <c r="E711" s="49"/>
      <c r="F711" s="49"/>
      <c r="G711" s="38"/>
      <c r="H711" s="49"/>
      <c r="I711" s="49"/>
      <c r="J711" s="49"/>
      <c r="K711" s="49"/>
      <c r="L711" s="41"/>
      <c r="M711" s="41"/>
      <c r="N711" s="41"/>
      <c r="O711" s="41"/>
      <c r="P711" s="43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</row>
    <row r="712" spans="1:45">
      <c r="A712" s="38"/>
      <c r="B712" s="38"/>
      <c r="C712" s="38"/>
      <c r="D712" s="38"/>
      <c r="E712" s="49"/>
      <c r="F712" s="49"/>
      <c r="G712" s="38"/>
      <c r="H712" s="49"/>
      <c r="I712" s="49"/>
      <c r="J712" s="49"/>
      <c r="K712" s="49"/>
      <c r="L712" s="41"/>
      <c r="M712" s="41"/>
      <c r="N712" s="41"/>
      <c r="O712" s="41"/>
      <c r="P712" s="43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</row>
    <row r="713" spans="1:45">
      <c r="A713" s="38"/>
      <c r="B713" s="38"/>
      <c r="C713" s="38"/>
      <c r="D713" s="38"/>
      <c r="E713" s="49"/>
      <c r="F713" s="49"/>
      <c r="G713" s="38"/>
      <c r="H713" s="49"/>
      <c r="I713" s="49"/>
      <c r="J713" s="49"/>
      <c r="K713" s="49"/>
      <c r="L713" s="41"/>
      <c r="M713" s="41"/>
      <c r="N713" s="41"/>
      <c r="O713" s="41"/>
      <c r="P713" s="43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</row>
    <row r="714" spans="1:45">
      <c r="A714" s="38"/>
      <c r="B714" s="38"/>
      <c r="C714" s="38"/>
      <c r="D714" s="38"/>
      <c r="E714" s="49"/>
      <c r="F714" s="49"/>
      <c r="G714" s="38"/>
      <c r="H714" s="49"/>
      <c r="I714" s="49"/>
      <c r="J714" s="49"/>
      <c r="K714" s="49"/>
      <c r="L714" s="41"/>
      <c r="M714" s="41"/>
      <c r="N714" s="41"/>
      <c r="O714" s="41"/>
      <c r="P714" s="43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</row>
    <row r="715" spans="1:45">
      <c r="A715" s="38"/>
      <c r="B715" s="38"/>
      <c r="C715" s="38"/>
      <c r="D715" s="38"/>
      <c r="E715" s="49"/>
      <c r="F715" s="49"/>
      <c r="G715" s="38"/>
      <c r="H715" s="49"/>
      <c r="I715" s="49"/>
      <c r="J715" s="49"/>
      <c r="K715" s="49"/>
      <c r="L715" s="41"/>
      <c r="M715" s="41"/>
      <c r="N715" s="41"/>
      <c r="O715" s="41"/>
      <c r="P715" s="43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</row>
    <row r="716" spans="1:45">
      <c r="A716" s="38"/>
      <c r="B716" s="38"/>
      <c r="C716" s="38"/>
      <c r="D716" s="38"/>
      <c r="E716" s="49"/>
      <c r="F716" s="49"/>
      <c r="G716" s="38"/>
      <c r="H716" s="49"/>
      <c r="I716" s="49"/>
      <c r="J716" s="49"/>
      <c r="K716" s="49"/>
      <c r="L716" s="41"/>
      <c r="M716" s="41"/>
      <c r="N716" s="41"/>
      <c r="O716" s="41"/>
      <c r="P716" s="43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</row>
    <row r="717" spans="1:45">
      <c r="A717" s="38"/>
      <c r="B717" s="38"/>
      <c r="C717" s="38"/>
      <c r="D717" s="38"/>
      <c r="E717" s="49"/>
      <c r="F717" s="49"/>
      <c r="G717" s="38"/>
      <c r="H717" s="49"/>
      <c r="I717" s="49"/>
      <c r="J717" s="49"/>
      <c r="K717" s="49"/>
      <c r="L717" s="41"/>
      <c r="M717" s="41"/>
      <c r="N717" s="41"/>
      <c r="O717" s="41"/>
      <c r="P717" s="43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</row>
    <row r="718" spans="1:45">
      <c r="A718" s="38"/>
      <c r="B718" s="38"/>
      <c r="C718" s="38"/>
      <c r="D718" s="38"/>
      <c r="E718" s="49"/>
      <c r="F718" s="49"/>
      <c r="G718" s="38"/>
      <c r="H718" s="49"/>
      <c r="I718" s="49"/>
      <c r="J718" s="49"/>
      <c r="K718" s="49"/>
      <c r="L718" s="41"/>
      <c r="M718" s="41"/>
      <c r="N718" s="41"/>
      <c r="O718" s="41"/>
      <c r="P718" s="43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</row>
    <row r="719" spans="1:45">
      <c r="A719" s="38"/>
      <c r="B719" s="38"/>
      <c r="C719" s="38"/>
      <c r="D719" s="38"/>
      <c r="E719" s="49"/>
      <c r="F719" s="49"/>
      <c r="G719" s="38"/>
      <c r="H719" s="49"/>
      <c r="I719" s="49"/>
      <c r="J719" s="49"/>
      <c r="K719" s="49"/>
      <c r="L719" s="41"/>
      <c r="M719" s="41"/>
      <c r="N719" s="41"/>
      <c r="O719" s="41"/>
      <c r="P719" s="43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</row>
    <row r="720" spans="1:45">
      <c r="A720" s="38"/>
      <c r="B720" s="38"/>
      <c r="C720" s="38"/>
      <c r="D720" s="38"/>
      <c r="E720" s="49"/>
      <c r="F720" s="49"/>
      <c r="G720" s="38"/>
      <c r="H720" s="49"/>
      <c r="I720" s="49"/>
      <c r="J720" s="49"/>
      <c r="K720" s="49"/>
      <c r="L720" s="41"/>
      <c r="M720" s="41"/>
      <c r="N720" s="41"/>
      <c r="O720" s="41"/>
      <c r="P720" s="43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</row>
    <row r="721" spans="1:45">
      <c r="A721" s="38"/>
      <c r="B721" s="38"/>
      <c r="C721" s="38"/>
      <c r="D721" s="38"/>
      <c r="E721" s="49"/>
      <c r="F721" s="49"/>
      <c r="G721" s="38"/>
      <c r="H721" s="49"/>
      <c r="I721" s="49"/>
      <c r="J721" s="49"/>
      <c r="K721" s="49"/>
      <c r="L721" s="41"/>
      <c r="M721" s="41"/>
      <c r="N721" s="41"/>
      <c r="O721" s="41"/>
      <c r="P721" s="43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</row>
    <row r="722" spans="1:45">
      <c r="A722" s="38"/>
      <c r="B722" s="38"/>
      <c r="C722" s="38"/>
      <c r="D722" s="38"/>
      <c r="E722" s="49"/>
      <c r="F722" s="49"/>
      <c r="G722" s="38"/>
      <c r="H722" s="49"/>
      <c r="I722" s="49"/>
      <c r="J722" s="49"/>
      <c r="K722" s="49"/>
      <c r="L722" s="41"/>
      <c r="M722" s="41"/>
      <c r="N722" s="41"/>
      <c r="O722" s="41"/>
      <c r="P722" s="43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</row>
    <row r="723" spans="1:45">
      <c r="A723" s="38"/>
      <c r="B723" s="38"/>
      <c r="C723" s="38"/>
      <c r="D723" s="38"/>
      <c r="E723" s="49"/>
      <c r="F723" s="49"/>
      <c r="G723" s="38"/>
      <c r="H723" s="49"/>
      <c r="I723" s="49"/>
      <c r="J723" s="49"/>
      <c r="K723" s="49"/>
      <c r="L723" s="41"/>
      <c r="M723" s="41"/>
      <c r="N723" s="41"/>
      <c r="O723" s="41"/>
      <c r="P723" s="43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</row>
    <row r="724" spans="1:45">
      <c r="A724" s="38"/>
      <c r="B724" s="38"/>
      <c r="C724" s="38"/>
      <c r="D724" s="38"/>
      <c r="E724" s="49"/>
      <c r="F724" s="49"/>
      <c r="G724" s="38"/>
      <c r="H724" s="49"/>
      <c r="I724" s="49"/>
      <c r="J724" s="49"/>
      <c r="K724" s="49"/>
      <c r="L724" s="41"/>
      <c r="M724" s="41"/>
      <c r="N724" s="41"/>
      <c r="O724" s="41"/>
      <c r="P724" s="43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</row>
    <row r="725" spans="1:45">
      <c r="A725" s="38"/>
      <c r="B725" s="38"/>
      <c r="C725" s="38"/>
      <c r="D725" s="38"/>
      <c r="E725" s="49"/>
      <c r="F725" s="49"/>
      <c r="G725" s="38"/>
      <c r="H725" s="49"/>
      <c r="I725" s="49"/>
      <c r="J725" s="49"/>
      <c r="K725" s="49"/>
      <c r="L725" s="41"/>
      <c r="M725" s="41"/>
      <c r="N725" s="41"/>
      <c r="O725" s="41"/>
      <c r="P725" s="43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</row>
    <row r="726" spans="1:45">
      <c r="A726" s="38"/>
      <c r="B726" s="38"/>
      <c r="C726" s="38"/>
      <c r="D726" s="38"/>
      <c r="E726" s="49"/>
      <c r="F726" s="49"/>
      <c r="G726" s="38"/>
      <c r="H726" s="49"/>
      <c r="I726" s="49"/>
      <c r="J726" s="49"/>
      <c r="K726" s="49"/>
      <c r="L726" s="41"/>
      <c r="M726" s="41"/>
      <c r="N726" s="41"/>
      <c r="O726" s="41"/>
      <c r="P726" s="43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</row>
    <row r="727" spans="1:45">
      <c r="A727" s="38"/>
      <c r="B727" s="38"/>
      <c r="C727" s="38"/>
      <c r="D727" s="38"/>
      <c r="E727" s="49"/>
      <c r="F727" s="49"/>
      <c r="G727" s="38"/>
      <c r="H727" s="49"/>
      <c r="I727" s="49"/>
      <c r="J727" s="49"/>
      <c r="K727" s="49"/>
      <c r="L727" s="41"/>
      <c r="M727" s="41"/>
      <c r="N727" s="41"/>
      <c r="O727" s="41"/>
      <c r="P727" s="43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</row>
    <row r="728" spans="1:45">
      <c r="A728" s="38"/>
      <c r="B728" s="38"/>
      <c r="C728" s="38"/>
      <c r="D728" s="38"/>
      <c r="E728" s="49"/>
      <c r="F728" s="49"/>
      <c r="G728" s="38"/>
      <c r="H728" s="49"/>
      <c r="I728" s="49"/>
      <c r="J728" s="49"/>
      <c r="K728" s="49"/>
      <c r="L728" s="41"/>
      <c r="M728" s="41"/>
      <c r="N728" s="41"/>
      <c r="O728" s="41"/>
      <c r="P728" s="43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</row>
    <row r="729" spans="1:45">
      <c r="A729" s="38"/>
      <c r="B729" s="38"/>
      <c r="C729" s="38"/>
      <c r="D729" s="38"/>
      <c r="E729" s="49"/>
      <c r="F729" s="49"/>
      <c r="G729" s="38"/>
      <c r="H729" s="49"/>
      <c r="I729" s="49"/>
      <c r="J729" s="49"/>
      <c r="K729" s="49"/>
      <c r="L729" s="41"/>
      <c r="M729" s="41"/>
      <c r="N729" s="41"/>
      <c r="O729" s="41"/>
      <c r="P729" s="43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</row>
    <row r="730" spans="1:45">
      <c r="A730" s="38"/>
      <c r="B730" s="38"/>
      <c r="C730" s="38"/>
      <c r="D730" s="38"/>
      <c r="E730" s="49"/>
      <c r="F730" s="49"/>
      <c r="G730" s="38"/>
      <c r="H730" s="49"/>
      <c r="I730" s="49"/>
      <c r="J730" s="49"/>
      <c r="K730" s="49"/>
      <c r="L730" s="41"/>
      <c r="M730" s="41"/>
      <c r="N730" s="41"/>
      <c r="O730" s="41"/>
      <c r="P730" s="43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</row>
    <row r="731" spans="1:45">
      <c r="A731" s="38"/>
      <c r="B731" s="38"/>
      <c r="C731" s="38"/>
      <c r="D731" s="38"/>
      <c r="E731" s="49"/>
      <c r="F731" s="49"/>
      <c r="G731" s="38"/>
      <c r="H731" s="49"/>
      <c r="I731" s="49"/>
      <c r="J731" s="49"/>
      <c r="K731" s="49"/>
      <c r="L731" s="41"/>
      <c r="M731" s="41"/>
      <c r="N731" s="41"/>
      <c r="O731" s="41"/>
      <c r="P731" s="43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</row>
    <row r="732" spans="1:45">
      <c r="A732" s="38"/>
      <c r="B732" s="38"/>
      <c r="C732" s="38"/>
      <c r="D732" s="38"/>
      <c r="E732" s="49"/>
      <c r="F732" s="49"/>
      <c r="G732" s="38"/>
      <c r="H732" s="49"/>
      <c r="I732" s="49"/>
      <c r="J732" s="49"/>
      <c r="K732" s="49"/>
      <c r="L732" s="41"/>
      <c r="M732" s="41"/>
      <c r="N732" s="41"/>
      <c r="O732" s="41"/>
      <c r="P732" s="43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</row>
    <row r="733" spans="1:45">
      <c r="A733" s="38"/>
      <c r="B733" s="38"/>
      <c r="C733" s="38"/>
      <c r="D733" s="38"/>
      <c r="E733" s="49"/>
      <c r="F733" s="49"/>
      <c r="G733" s="38"/>
      <c r="H733" s="49"/>
      <c r="I733" s="49"/>
      <c r="J733" s="49"/>
      <c r="K733" s="49"/>
      <c r="L733" s="41"/>
      <c r="M733" s="41"/>
      <c r="N733" s="41"/>
      <c r="O733" s="41"/>
      <c r="P733" s="43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</row>
    <row r="734" spans="1:45">
      <c r="A734" s="38"/>
      <c r="B734" s="38"/>
      <c r="C734" s="38"/>
      <c r="D734" s="38"/>
      <c r="E734" s="49"/>
      <c r="F734" s="49"/>
      <c r="G734" s="38"/>
      <c r="H734" s="49"/>
      <c r="I734" s="49"/>
      <c r="J734" s="49"/>
      <c r="K734" s="49"/>
      <c r="L734" s="41"/>
      <c r="M734" s="41"/>
      <c r="N734" s="41"/>
      <c r="O734" s="41"/>
      <c r="P734" s="43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</row>
    <row r="735" spans="1:45">
      <c r="A735" s="38"/>
      <c r="B735" s="38"/>
      <c r="C735" s="38"/>
      <c r="D735" s="38"/>
      <c r="E735" s="49"/>
      <c r="F735" s="49"/>
      <c r="G735" s="38"/>
      <c r="H735" s="49"/>
      <c r="I735" s="49"/>
      <c r="J735" s="49"/>
      <c r="K735" s="49"/>
      <c r="L735" s="41"/>
      <c r="M735" s="41"/>
      <c r="N735" s="41"/>
      <c r="O735" s="41"/>
      <c r="P735" s="43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</row>
    <row r="736" spans="1:45">
      <c r="A736" s="38"/>
      <c r="B736" s="38"/>
      <c r="C736" s="38"/>
      <c r="D736" s="38"/>
      <c r="E736" s="49"/>
      <c r="F736" s="49"/>
      <c r="G736" s="38"/>
      <c r="H736" s="49"/>
      <c r="I736" s="49"/>
      <c r="J736" s="49"/>
      <c r="K736" s="49"/>
      <c r="L736" s="41"/>
      <c r="M736" s="41"/>
      <c r="N736" s="41"/>
      <c r="O736" s="41"/>
      <c r="P736" s="43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</row>
    <row r="737" spans="1:45">
      <c r="A737" s="38"/>
      <c r="B737" s="38"/>
      <c r="C737" s="38"/>
      <c r="D737" s="38"/>
      <c r="E737" s="49"/>
      <c r="F737" s="49"/>
      <c r="G737" s="38"/>
      <c r="H737" s="49"/>
      <c r="I737" s="49"/>
      <c r="J737" s="49"/>
      <c r="K737" s="49"/>
      <c r="L737" s="41"/>
      <c r="M737" s="41"/>
      <c r="N737" s="41"/>
      <c r="O737" s="41"/>
      <c r="P737" s="43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</row>
    <row r="738" spans="1:45">
      <c r="A738" s="38"/>
      <c r="B738" s="38"/>
      <c r="C738" s="38"/>
      <c r="D738" s="38"/>
      <c r="E738" s="49"/>
      <c r="F738" s="49"/>
      <c r="G738" s="38"/>
      <c r="H738" s="49"/>
      <c r="I738" s="49"/>
      <c r="J738" s="49"/>
      <c r="K738" s="49"/>
      <c r="L738" s="41"/>
      <c r="M738" s="41"/>
      <c r="N738" s="41"/>
      <c r="O738" s="41"/>
      <c r="P738" s="43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</row>
    <row r="739" spans="1:45">
      <c r="A739" s="38"/>
      <c r="B739" s="38"/>
      <c r="C739" s="38"/>
      <c r="D739" s="38"/>
      <c r="E739" s="49"/>
      <c r="F739" s="49"/>
      <c r="G739" s="38"/>
      <c r="H739" s="49"/>
      <c r="I739" s="49"/>
      <c r="J739" s="49"/>
      <c r="K739" s="49"/>
      <c r="L739" s="41"/>
      <c r="M739" s="41"/>
      <c r="N739" s="41"/>
      <c r="O739" s="41"/>
      <c r="P739" s="43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</row>
    <row r="740" spans="1:45">
      <c r="A740" s="38"/>
      <c r="B740" s="38"/>
      <c r="C740" s="38"/>
      <c r="D740" s="38"/>
      <c r="E740" s="49"/>
      <c r="F740" s="49"/>
      <c r="G740" s="38"/>
      <c r="H740" s="49"/>
      <c r="I740" s="49"/>
      <c r="J740" s="49"/>
      <c r="K740" s="49"/>
      <c r="L740" s="41"/>
      <c r="M740" s="41"/>
      <c r="N740" s="41"/>
      <c r="O740" s="41"/>
      <c r="P740" s="43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</row>
    <row r="741" spans="1:45">
      <c r="A741" s="38"/>
      <c r="B741" s="38"/>
      <c r="C741" s="38"/>
      <c r="D741" s="38"/>
      <c r="E741" s="49"/>
      <c r="F741" s="49"/>
      <c r="G741" s="38"/>
      <c r="H741" s="49"/>
      <c r="I741" s="49"/>
      <c r="J741" s="49"/>
      <c r="K741" s="49"/>
      <c r="L741" s="41"/>
      <c r="M741" s="41"/>
      <c r="N741" s="41"/>
      <c r="O741" s="41"/>
      <c r="P741" s="43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</row>
    <row r="742" spans="1:45">
      <c r="A742" s="38"/>
      <c r="B742" s="38"/>
      <c r="C742" s="38"/>
      <c r="D742" s="38"/>
      <c r="E742" s="49"/>
      <c r="F742" s="49"/>
      <c r="G742" s="38"/>
      <c r="H742" s="49"/>
      <c r="I742" s="49"/>
      <c r="J742" s="49"/>
      <c r="K742" s="49"/>
      <c r="L742" s="41"/>
      <c r="M742" s="41"/>
      <c r="N742" s="41"/>
      <c r="O742" s="41"/>
      <c r="P742" s="43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</row>
    <row r="743" spans="1:45">
      <c r="A743" s="38"/>
      <c r="B743" s="38"/>
      <c r="C743" s="38"/>
      <c r="D743" s="38"/>
      <c r="E743" s="49"/>
      <c r="F743" s="49"/>
      <c r="G743" s="38"/>
      <c r="H743" s="49"/>
      <c r="I743" s="49"/>
      <c r="J743" s="49"/>
      <c r="K743" s="49"/>
      <c r="L743" s="41"/>
      <c r="M743" s="41"/>
      <c r="N743" s="41"/>
      <c r="O743" s="41"/>
      <c r="P743" s="43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</row>
    <row r="744" spans="1:45">
      <c r="A744" s="38"/>
      <c r="B744" s="38"/>
      <c r="C744" s="38"/>
      <c r="D744" s="38"/>
      <c r="E744" s="49"/>
      <c r="F744" s="49"/>
      <c r="G744" s="38"/>
      <c r="H744" s="49"/>
      <c r="I744" s="49"/>
      <c r="J744" s="49"/>
      <c r="K744" s="49"/>
      <c r="L744" s="41"/>
      <c r="M744" s="41"/>
      <c r="N744" s="41"/>
      <c r="O744" s="41"/>
      <c r="P744" s="43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</row>
    <row r="745" spans="1:45">
      <c r="A745" s="38"/>
      <c r="B745" s="38"/>
      <c r="C745" s="38"/>
      <c r="D745" s="38"/>
      <c r="E745" s="49"/>
      <c r="F745" s="49"/>
      <c r="G745" s="38"/>
      <c r="H745" s="49"/>
      <c r="I745" s="49"/>
      <c r="J745" s="49"/>
      <c r="K745" s="49"/>
      <c r="L745" s="41"/>
      <c r="M745" s="41"/>
      <c r="N745" s="41"/>
      <c r="O745" s="41"/>
      <c r="P745" s="43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</row>
    <row r="746" spans="1:45">
      <c r="A746" s="38"/>
      <c r="B746" s="38"/>
      <c r="C746" s="38"/>
      <c r="D746" s="38"/>
      <c r="E746" s="49"/>
      <c r="F746" s="49"/>
      <c r="G746" s="38"/>
      <c r="H746" s="49"/>
      <c r="I746" s="49"/>
      <c r="J746" s="49"/>
      <c r="K746" s="49"/>
      <c r="L746" s="41"/>
      <c r="M746" s="41"/>
      <c r="N746" s="41"/>
      <c r="O746" s="41"/>
      <c r="P746" s="43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</row>
    <row r="747" spans="1:45">
      <c r="A747" s="38"/>
      <c r="B747" s="38"/>
      <c r="C747" s="38"/>
      <c r="D747" s="38"/>
      <c r="E747" s="49"/>
      <c r="F747" s="49"/>
      <c r="G747" s="38"/>
      <c r="H747" s="49"/>
      <c r="I747" s="49"/>
      <c r="J747" s="49"/>
      <c r="K747" s="49"/>
      <c r="L747" s="41"/>
      <c r="M747" s="41"/>
      <c r="N747" s="41"/>
      <c r="O747" s="41"/>
      <c r="P747" s="43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</row>
    <row r="748" spans="1:45">
      <c r="A748" s="38"/>
      <c r="B748" s="38"/>
      <c r="C748" s="38"/>
      <c r="D748" s="38"/>
      <c r="E748" s="49"/>
      <c r="F748" s="49"/>
      <c r="G748" s="38"/>
      <c r="H748" s="49"/>
      <c r="I748" s="49"/>
      <c r="J748" s="49"/>
      <c r="K748" s="49"/>
      <c r="L748" s="41"/>
      <c r="M748" s="41"/>
      <c r="N748" s="41"/>
      <c r="O748" s="41"/>
      <c r="P748" s="43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</row>
    <row r="749" spans="1:45">
      <c r="A749" s="38"/>
      <c r="B749" s="38"/>
      <c r="C749" s="38"/>
      <c r="D749" s="38"/>
      <c r="E749" s="49"/>
      <c r="F749" s="49"/>
      <c r="G749" s="38"/>
      <c r="H749" s="49"/>
      <c r="I749" s="49"/>
      <c r="J749" s="49"/>
      <c r="K749" s="49"/>
      <c r="L749" s="41"/>
      <c r="M749" s="41"/>
      <c r="N749" s="41"/>
      <c r="O749" s="41"/>
      <c r="P749" s="43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</row>
    <row r="750" spans="1:45">
      <c r="A750" s="38"/>
      <c r="B750" s="38"/>
      <c r="C750" s="38"/>
      <c r="D750" s="38"/>
      <c r="E750" s="49"/>
      <c r="F750" s="49"/>
      <c r="G750" s="38"/>
      <c r="H750" s="49"/>
      <c r="I750" s="49"/>
      <c r="J750" s="49"/>
      <c r="K750" s="49"/>
      <c r="L750" s="41"/>
      <c r="M750" s="41"/>
      <c r="N750" s="41"/>
      <c r="O750" s="41"/>
      <c r="P750" s="43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</row>
    <row r="751" spans="1:45">
      <c r="A751" s="38"/>
      <c r="B751" s="38"/>
      <c r="C751" s="38"/>
      <c r="D751" s="38"/>
      <c r="E751" s="49"/>
      <c r="F751" s="49"/>
      <c r="G751" s="38"/>
      <c r="H751" s="49"/>
      <c r="I751" s="49"/>
      <c r="J751" s="49"/>
      <c r="K751" s="49"/>
      <c r="L751" s="41"/>
      <c r="M751" s="41"/>
      <c r="N751" s="41"/>
      <c r="O751" s="41"/>
      <c r="P751" s="43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</row>
    <row r="752" spans="1:45">
      <c r="A752" s="38"/>
      <c r="B752" s="38"/>
      <c r="C752" s="38"/>
      <c r="D752" s="38"/>
      <c r="E752" s="49"/>
      <c r="F752" s="49"/>
      <c r="G752" s="38"/>
      <c r="H752" s="49"/>
      <c r="I752" s="49"/>
      <c r="J752" s="49"/>
      <c r="K752" s="49"/>
      <c r="L752" s="41"/>
      <c r="M752" s="41"/>
      <c r="N752" s="41"/>
      <c r="O752" s="41"/>
      <c r="P752" s="43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</row>
    <row r="753" spans="1:45">
      <c r="A753" s="38"/>
      <c r="B753" s="38"/>
      <c r="C753" s="38"/>
      <c r="D753" s="38"/>
      <c r="E753" s="49"/>
      <c r="F753" s="49"/>
      <c r="G753" s="38"/>
      <c r="H753" s="49"/>
      <c r="I753" s="49"/>
      <c r="J753" s="49"/>
      <c r="K753" s="49"/>
      <c r="L753" s="41"/>
      <c r="M753" s="41"/>
      <c r="N753" s="41"/>
      <c r="O753" s="41"/>
      <c r="P753" s="43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</row>
    <row r="754" spans="1:45">
      <c r="A754" s="38"/>
      <c r="B754" s="38"/>
      <c r="C754" s="38"/>
      <c r="D754" s="38"/>
      <c r="E754" s="49"/>
      <c r="F754" s="49"/>
      <c r="G754" s="38"/>
      <c r="H754" s="49"/>
      <c r="I754" s="49"/>
      <c r="J754" s="49"/>
      <c r="K754" s="49"/>
      <c r="L754" s="41"/>
      <c r="M754" s="41"/>
      <c r="N754" s="41"/>
      <c r="O754" s="41"/>
      <c r="P754" s="43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</row>
    <row r="755" spans="1:45">
      <c r="A755" s="38"/>
      <c r="B755" s="38"/>
      <c r="C755" s="38"/>
      <c r="D755" s="38"/>
      <c r="E755" s="49"/>
      <c r="F755" s="49"/>
      <c r="G755" s="38"/>
      <c r="H755" s="49"/>
      <c r="I755" s="49"/>
      <c r="J755" s="49"/>
      <c r="K755" s="49"/>
      <c r="L755" s="41"/>
      <c r="M755" s="41"/>
      <c r="N755" s="41"/>
      <c r="O755" s="41"/>
      <c r="P755" s="43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</row>
    <row r="756" spans="1:45">
      <c r="A756" s="38"/>
      <c r="B756" s="38"/>
      <c r="C756" s="38"/>
      <c r="D756" s="38"/>
      <c r="E756" s="49"/>
      <c r="F756" s="49"/>
      <c r="G756" s="38"/>
      <c r="H756" s="49"/>
      <c r="I756" s="49"/>
      <c r="J756" s="49"/>
      <c r="K756" s="49"/>
      <c r="L756" s="41"/>
      <c r="M756" s="41"/>
      <c r="N756" s="41"/>
      <c r="O756" s="41"/>
      <c r="P756" s="43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</row>
    <row r="757" spans="1:45">
      <c r="A757" s="38"/>
      <c r="B757" s="38"/>
      <c r="C757" s="38"/>
      <c r="D757" s="38"/>
      <c r="E757" s="49"/>
      <c r="F757" s="49"/>
      <c r="G757" s="38"/>
      <c r="H757" s="49"/>
      <c r="I757" s="49"/>
      <c r="J757" s="49"/>
      <c r="K757" s="49"/>
      <c r="L757" s="41"/>
      <c r="M757" s="41"/>
      <c r="N757" s="41"/>
      <c r="O757" s="41"/>
      <c r="P757" s="43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</row>
    <row r="758" spans="1:45">
      <c r="A758" s="38"/>
      <c r="B758" s="38"/>
      <c r="C758" s="38"/>
      <c r="D758" s="38"/>
      <c r="E758" s="49"/>
      <c r="F758" s="49"/>
      <c r="G758" s="38"/>
      <c r="H758" s="49"/>
      <c r="I758" s="49"/>
      <c r="J758" s="49"/>
      <c r="K758" s="49"/>
      <c r="L758" s="41"/>
      <c r="M758" s="41"/>
      <c r="N758" s="41"/>
      <c r="O758" s="41"/>
      <c r="P758" s="43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</row>
    <row r="759" spans="1:45">
      <c r="A759" s="38"/>
      <c r="B759" s="38"/>
      <c r="C759" s="38"/>
      <c r="D759" s="38"/>
      <c r="E759" s="49"/>
      <c r="F759" s="49"/>
      <c r="G759" s="38"/>
      <c r="H759" s="49"/>
      <c r="I759" s="49"/>
      <c r="J759" s="49"/>
      <c r="K759" s="49"/>
      <c r="L759" s="41"/>
      <c r="M759" s="41"/>
      <c r="N759" s="41"/>
      <c r="O759" s="41"/>
      <c r="P759" s="43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</row>
    <row r="760" spans="1:45">
      <c r="A760" s="38"/>
      <c r="B760" s="38"/>
      <c r="C760" s="38"/>
      <c r="D760" s="38"/>
      <c r="E760" s="49"/>
      <c r="F760" s="49"/>
      <c r="G760" s="38"/>
      <c r="H760" s="49"/>
      <c r="I760" s="49"/>
      <c r="J760" s="49"/>
      <c r="K760" s="49"/>
      <c r="L760" s="41"/>
      <c r="M760" s="41"/>
      <c r="N760" s="41"/>
      <c r="O760" s="41"/>
      <c r="P760" s="43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</row>
    <row r="761" spans="1:45">
      <c r="A761" s="38"/>
      <c r="B761" s="38"/>
      <c r="C761" s="38"/>
      <c r="D761" s="38"/>
      <c r="E761" s="49"/>
      <c r="F761" s="49"/>
      <c r="G761" s="38"/>
      <c r="H761" s="49"/>
      <c r="I761" s="49"/>
      <c r="J761" s="49"/>
      <c r="K761" s="49"/>
      <c r="L761" s="41"/>
      <c r="M761" s="41"/>
      <c r="N761" s="41"/>
      <c r="O761" s="41"/>
      <c r="P761" s="43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</row>
    <row r="762" spans="1:45">
      <c r="A762" s="38"/>
      <c r="B762" s="38"/>
      <c r="C762" s="38"/>
      <c r="D762" s="38"/>
      <c r="E762" s="49"/>
      <c r="F762" s="49"/>
      <c r="G762" s="38"/>
      <c r="H762" s="49"/>
      <c r="I762" s="49"/>
      <c r="J762" s="49"/>
      <c r="K762" s="49"/>
      <c r="L762" s="41"/>
      <c r="M762" s="41"/>
      <c r="N762" s="41"/>
      <c r="O762" s="41"/>
      <c r="P762" s="43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</row>
    <row r="763" spans="1:45">
      <c r="A763" s="38"/>
      <c r="B763" s="38"/>
      <c r="C763" s="38"/>
      <c r="D763" s="38"/>
      <c r="E763" s="49"/>
      <c r="F763" s="49"/>
      <c r="G763" s="38"/>
      <c r="H763" s="49"/>
      <c r="I763" s="49"/>
      <c r="J763" s="49"/>
      <c r="K763" s="49"/>
      <c r="L763" s="41"/>
      <c r="M763" s="41"/>
      <c r="N763" s="41"/>
      <c r="O763" s="41"/>
      <c r="P763" s="43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</row>
    <row r="764" spans="1:45">
      <c r="A764" s="38"/>
      <c r="B764" s="38"/>
      <c r="C764" s="38"/>
      <c r="D764" s="38"/>
      <c r="E764" s="49"/>
      <c r="F764" s="49"/>
      <c r="G764" s="38"/>
      <c r="H764" s="49"/>
      <c r="I764" s="49"/>
      <c r="J764" s="49"/>
      <c r="K764" s="49"/>
      <c r="L764" s="41"/>
      <c r="M764" s="41"/>
      <c r="N764" s="41"/>
      <c r="O764" s="41"/>
      <c r="P764" s="43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</row>
    <row r="765" spans="1:45">
      <c r="A765" s="38"/>
      <c r="B765" s="38"/>
      <c r="C765" s="38"/>
      <c r="D765" s="38"/>
      <c r="E765" s="49"/>
      <c r="F765" s="49"/>
      <c r="G765" s="38"/>
      <c r="H765" s="49"/>
      <c r="I765" s="49"/>
      <c r="J765" s="49"/>
      <c r="K765" s="49"/>
      <c r="L765" s="41"/>
      <c r="M765" s="41"/>
      <c r="N765" s="41"/>
      <c r="O765" s="41"/>
      <c r="P765" s="43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</row>
    <row r="766" spans="1:45">
      <c r="A766" s="38"/>
      <c r="B766" s="38"/>
      <c r="C766" s="38"/>
      <c r="D766" s="38"/>
      <c r="E766" s="49"/>
      <c r="F766" s="49"/>
      <c r="G766" s="38"/>
      <c r="H766" s="49"/>
      <c r="I766" s="49"/>
      <c r="J766" s="49"/>
      <c r="K766" s="49"/>
      <c r="L766" s="41"/>
      <c r="M766" s="41"/>
      <c r="N766" s="41"/>
      <c r="O766" s="41"/>
      <c r="P766" s="43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</row>
    <row r="767" spans="1:45">
      <c r="A767" s="38"/>
      <c r="B767" s="38"/>
      <c r="C767" s="38"/>
      <c r="D767" s="38"/>
      <c r="E767" s="49"/>
      <c r="F767" s="49"/>
      <c r="G767" s="38"/>
      <c r="H767" s="49"/>
      <c r="I767" s="49"/>
      <c r="J767" s="49"/>
      <c r="K767" s="49"/>
      <c r="L767" s="41"/>
      <c r="M767" s="41"/>
      <c r="N767" s="41"/>
      <c r="O767" s="41"/>
      <c r="P767" s="43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</row>
    <row r="768" spans="1:45">
      <c r="A768" s="38"/>
      <c r="B768" s="38"/>
      <c r="C768" s="38"/>
      <c r="D768" s="38"/>
      <c r="E768" s="49"/>
      <c r="F768" s="49"/>
      <c r="G768" s="38"/>
      <c r="H768" s="49"/>
      <c r="I768" s="49"/>
      <c r="J768" s="49"/>
      <c r="K768" s="49"/>
      <c r="L768" s="41"/>
      <c r="M768" s="41"/>
      <c r="N768" s="41"/>
      <c r="O768" s="41"/>
      <c r="P768" s="43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</row>
    <row r="769" spans="1:45">
      <c r="A769" s="38"/>
      <c r="B769" s="38"/>
      <c r="C769" s="38"/>
      <c r="D769" s="38"/>
      <c r="E769" s="49"/>
      <c r="F769" s="49"/>
      <c r="G769" s="38"/>
      <c r="H769" s="49"/>
      <c r="I769" s="49"/>
      <c r="J769" s="49"/>
      <c r="K769" s="49"/>
      <c r="L769" s="41"/>
      <c r="M769" s="41"/>
      <c r="N769" s="41"/>
      <c r="O769" s="41"/>
      <c r="P769" s="43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</row>
    <row r="770" spans="1:45">
      <c r="A770" s="38"/>
      <c r="B770" s="38"/>
      <c r="C770" s="38"/>
      <c r="D770" s="38"/>
      <c r="E770" s="49"/>
      <c r="F770" s="49"/>
      <c r="G770" s="38"/>
      <c r="H770" s="49"/>
      <c r="I770" s="49"/>
      <c r="J770" s="49"/>
      <c r="K770" s="49"/>
      <c r="L770" s="41"/>
      <c r="M770" s="41"/>
      <c r="N770" s="41"/>
      <c r="O770" s="41"/>
      <c r="P770" s="43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</row>
    <row r="771" spans="1:45">
      <c r="A771" s="38"/>
      <c r="B771" s="38"/>
      <c r="C771" s="38"/>
      <c r="D771" s="38"/>
      <c r="E771" s="49"/>
      <c r="F771" s="49"/>
      <c r="G771" s="38"/>
      <c r="H771" s="49"/>
      <c r="I771" s="49"/>
      <c r="J771" s="49"/>
      <c r="K771" s="49"/>
      <c r="L771" s="41"/>
      <c r="M771" s="41"/>
      <c r="N771" s="41"/>
      <c r="O771" s="41"/>
      <c r="P771" s="43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</row>
    <row r="772" spans="1:45">
      <c r="A772" s="38"/>
      <c r="B772" s="38"/>
      <c r="C772" s="38"/>
      <c r="D772" s="38"/>
      <c r="E772" s="49"/>
      <c r="F772" s="49"/>
      <c r="G772" s="38"/>
      <c r="H772" s="49"/>
      <c r="I772" s="49"/>
      <c r="J772" s="49"/>
      <c r="K772" s="49"/>
      <c r="L772" s="41"/>
      <c r="M772" s="41"/>
      <c r="N772" s="41"/>
      <c r="O772" s="41"/>
      <c r="P772" s="43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</row>
    <row r="773" spans="1:45">
      <c r="A773" s="38"/>
      <c r="B773" s="38"/>
      <c r="C773" s="38"/>
      <c r="D773" s="38"/>
      <c r="E773" s="49"/>
      <c r="F773" s="49"/>
      <c r="G773" s="38"/>
      <c r="H773" s="49"/>
      <c r="I773" s="49"/>
      <c r="J773" s="49"/>
      <c r="K773" s="49"/>
      <c r="L773" s="41"/>
      <c r="M773" s="41"/>
      <c r="N773" s="41"/>
      <c r="O773" s="41"/>
      <c r="P773" s="43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</row>
    <row r="774" spans="1:45">
      <c r="A774" s="38"/>
      <c r="B774" s="38"/>
      <c r="C774" s="38"/>
      <c r="D774" s="38"/>
      <c r="E774" s="49"/>
      <c r="F774" s="49"/>
      <c r="G774" s="38"/>
      <c r="H774" s="49"/>
      <c r="I774" s="49"/>
      <c r="J774" s="49"/>
      <c r="K774" s="49"/>
      <c r="L774" s="41"/>
      <c r="M774" s="41"/>
      <c r="N774" s="41"/>
      <c r="O774" s="41"/>
      <c r="P774" s="43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</row>
    <row r="775" spans="1:45">
      <c r="A775" s="38"/>
      <c r="B775" s="38"/>
      <c r="C775" s="38"/>
      <c r="D775" s="38"/>
      <c r="E775" s="49"/>
      <c r="F775" s="49"/>
      <c r="G775" s="38"/>
      <c r="H775" s="49"/>
      <c r="I775" s="49"/>
      <c r="J775" s="49"/>
      <c r="K775" s="49"/>
      <c r="L775" s="41"/>
      <c r="M775" s="41"/>
      <c r="N775" s="41"/>
      <c r="O775" s="41"/>
      <c r="P775" s="43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</row>
    <row r="776" spans="1:45">
      <c r="A776" s="38"/>
      <c r="B776" s="38"/>
      <c r="C776" s="38"/>
      <c r="D776" s="38"/>
      <c r="E776" s="49"/>
      <c r="F776" s="49"/>
      <c r="G776" s="38"/>
      <c r="H776" s="49"/>
      <c r="I776" s="49"/>
      <c r="J776" s="49"/>
      <c r="K776" s="49"/>
      <c r="L776" s="41"/>
      <c r="M776" s="41"/>
      <c r="N776" s="41"/>
      <c r="O776" s="41"/>
      <c r="P776" s="43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</row>
    <row r="777" spans="1:45">
      <c r="A777" s="38"/>
      <c r="B777" s="38"/>
      <c r="C777" s="38"/>
      <c r="D777" s="38"/>
      <c r="E777" s="49"/>
      <c r="F777" s="49"/>
      <c r="G777" s="38"/>
      <c r="H777" s="49"/>
      <c r="I777" s="49"/>
      <c r="J777" s="49"/>
      <c r="K777" s="49"/>
      <c r="L777" s="41"/>
      <c r="M777" s="41"/>
      <c r="N777" s="41"/>
      <c r="O777" s="41"/>
      <c r="P777" s="43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</row>
    <row r="778" spans="1:45">
      <c r="A778" s="38"/>
      <c r="B778" s="38"/>
      <c r="C778" s="38"/>
      <c r="D778" s="38"/>
      <c r="E778" s="49"/>
      <c r="F778" s="49"/>
      <c r="G778" s="38"/>
      <c r="H778" s="49"/>
      <c r="I778" s="49"/>
      <c r="J778" s="49"/>
      <c r="K778" s="49"/>
      <c r="L778" s="41"/>
      <c r="M778" s="41"/>
      <c r="N778" s="41"/>
      <c r="O778" s="41"/>
      <c r="P778" s="43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</row>
    <row r="779" spans="1:45">
      <c r="A779" s="38"/>
      <c r="B779" s="38"/>
      <c r="C779" s="38"/>
      <c r="D779" s="38"/>
      <c r="E779" s="49"/>
      <c r="F779" s="49"/>
      <c r="G779" s="38"/>
      <c r="H779" s="49"/>
      <c r="I779" s="49"/>
      <c r="J779" s="49"/>
      <c r="K779" s="49"/>
      <c r="L779" s="41"/>
      <c r="M779" s="41"/>
      <c r="N779" s="41"/>
      <c r="O779" s="41"/>
      <c r="P779" s="43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</row>
    <row r="780" spans="1:45">
      <c r="A780" s="38"/>
      <c r="B780" s="38"/>
      <c r="C780" s="38"/>
      <c r="D780" s="38"/>
      <c r="E780" s="49"/>
      <c r="F780" s="49"/>
      <c r="G780" s="38"/>
      <c r="H780" s="49"/>
      <c r="I780" s="49"/>
      <c r="J780" s="49"/>
      <c r="K780" s="49"/>
      <c r="L780" s="41"/>
      <c r="M780" s="41"/>
      <c r="N780" s="41"/>
      <c r="O780" s="41"/>
      <c r="P780" s="43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</row>
    <row r="781" spans="1:45">
      <c r="A781" s="38"/>
      <c r="B781" s="38"/>
      <c r="C781" s="38"/>
      <c r="D781" s="38"/>
      <c r="E781" s="49"/>
      <c r="F781" s="49"/>
      <c r="G781" s="38"/>
      <c r="H781" s="49"/>
      <c r="I781" s="49"/>
      <c r="J781" s="49"/>
      <c r="K781" s="49"/>
      <c r="L781" s="41"/>
      <c r="M781" s="41"/>
      <c r="N781" s="41"/>
      <c r="O781" s="41"/>
      <c r="P781" s="43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</row>
    <row r="782" spans="1:45">
      <c r="A782" s="38"/>
      <c r="B782" s="38"/>
      <c r="C782" s="38"/>
      <c r="D782" s="38"/>
      <c r="E782" s="49"/>
      <c r="F782" s="49"/>
      <c r="G782" s="38"/>
      <c r="H782" s="49"/>
      <c r="I782" s="49"/>
      <c r="J782" s="49"/>
      <c r="K782" s="49"/>
      <c r="L782" s="41"/>
      <c r="M782" s="41"/>
      <c r="N782" s="41"/>
      <c r="O782" s="41"/>
      <c r="P782" s="43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</row>
    <row r="783" spans="1:45">
      <c r="A783" s="38"/>
      <c r="B783" s="38"/>
      <c r="C783" s="38"/>
      <c r="D783" s="38"/>
      <c r="E783" s="49"/>
      <c r="F783" s="49"/>
      <c r="G783" s="38"/>
      <c r="H783" s="49"/>
      <c r="I783" s="49"/>
      <c r="J783" s="49"/>
      <c r="K783" s="49"/>
      <c r="L783" s="41"/>
      <c r="M783" s="41"/>
      <c r="N783" s="41"/>
      <c r="O783" s="41"/>
      <c r="P783" s="43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</row>
    <row r="784" spans="1:45">
      <c r="A784" s="38"/>
      <c r="B784" s="38"/>
      <c r="C784" s="38"/>
      <c r="D784" s="38"/>
      <c r="E784" s="49"/>
      <c r="F784" s="49"/>
      <c r="G784" s="38"/>
      <c r="H784" s="49"/>
      <c r="I784" s="49"/>
      <c r="J784" s="49"/>
      <c r="K784" s="49"/>
      <c r="L784" s="41"/>
      <c r="M784" s="41"/>
      <c r="N784" s="41"/>
      <c r="O784" s="41"/>
      <c r="P784" s="43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</row>
    <row r="785" spans="1:45">
      <c r="A785" s="38"/>
      <c r="B785" s="38"/>
      <c r="C785" s="38"/>
      <c r="D785" s="38"/>
      <c r="E785" s="49"/>
      <c r="F785" s="49"/>
      <c r="G785" s="38"/>
      <c r="H785" s="49"/>
      <c r="I785" s="49"/>
      <c r="J785" s="49"/>
      <c r="K785" s="49"/>
      <c r="L785" s="41"/>
      <c r="M785" s="41"/>
      <c r="N785" s="41"/>
      <c r="O785" s="41"/>
      <c r="P785" s="43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</row>
    <row r="786" spans="1:45">
      <c r="A786" s="38"/>
      <c r="B786" s="38"/>
      <c r="C786" s="38"/>
      <c r="D786" s="38"/>
      <c r="E786" s="49"/>
      <c r="F786" s="49"/>
      <c r="G786" s="38"/>
      <c r="H786" s="49"/>
      <c r="I786" s="49"/>
      <c r="J786" s="49"/>
      <c r="K786" s="49"/>
      <c r="L786" s="41"/>
      <c r="M786" s="41"/>
      <c r="N786" s="41"/>
      <c r="O786" s="41"/>
      <c r="P786" s="43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</row>
    <row r="787" spans="1:45">
      <c r="A787" s="38"/>
      <c r="B787" s="38"/>
      <c r="C787" s="38"/>
      <c r="D787" s="38"/>
      <c r="E787" s="49"/>
      <c r="F787" s="49"/>
      <c r="G787" s="38"/>
      <c r="H787" s="49"/>
      <c r="I787" s="49"/>
      <c r="J787" s="49"/>
      <c r="K787" s="49"/>
      <c r="L787" s="41"/>
      <c r="M787" s="41"/>
      <c r="N787" s="41"/>
      <c r="O787" s="41"/>
      <c r="P787" s="43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</row>
    <row r="788" spans="1:45">
      <c r="A788" s="38"/>
      <c r="B788" s="38"/>
      <c r="C788" s="38"/>
      <c r="D788" s="38"/>
      <c r="E788" s="49"/>
      <c r="F788" s="49"/>
      <c r="G788" s="38"/>
      <c r="H788" s="49"/>
      <c r="I788" s="49"/>
      <c r="J788" s="49"/>
      <c r="K788" s="49"/>
      <c r="L788" s="41"/>
      <c r="M788" s="41"/>
      <c r="N788" s="41"/>
      <c r="O788" s="41"/>
      <c r="P788" s="43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</row>
    <row r="789" spans="1:45">
      <c r="A789" s="38"/>
      <c r="B789" s="38"/>
      <c r="C789" s="38"/>
      <c r="D789" s="38"/>
      <c r="E789" s="49"/>
      <c r="F789" s="49"/>
      <c r="G789" s="38"/>
      <c r="H789" s="49"/>
      <c r="I789" s="49"/>
      <c r="J789" s="49"/>
      <c r="K789" s="49"/>
      <c r="L789" s="41"/>
      <c r="M789" s="41"/>
      <c r="N789" s="41"/>
      <c r="O789" s="41"/>
      <c r="P789" s="43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</row>
    <row r="790" spans="1:45">
      <c r="A790" s="38"/>
      <c r="B790" s="38"/>
      <c r="C790" s="38"/>
      <c r="D790" s="38"/>
      <c r="E790" s="49"/>
      <c r="F790" s="49"/>
      <c r="G790" s="38"/>
      <c r="H790" s="49"/>
      <c r="I790" s="49"/>
      <c r="J790" s="49"/>
      <c r="K790" s="49"/>
      <c r="L790" s="41"/>
      <c r="M790" s="41"/>
      <c r="N790" s="41"/>
      <c r="O790" s="41"/>
      <c r="P790" s="43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</row>
    <row r="791" spans="1:45">
      <c r="A791" s="38"/>
      <c r="B791" s="38"/>
      <c r="C791" s="38"/>
      <c r="D791" s="38"/>
      <c r="E791" s="49"/>
      <c r="F791" s="49"/>
      <c r="G791" s="38"/>
      <c r="H791" s="49"/>
      <c r="I791" s="49"/>
      <c r="J791" s="49"/>
      <c r="K791" s="49"/>
      <c r="L791" s="41"/>
      <c r="M791" s="41"/>
      <c r="N791" s="41"/>
      <c r="O791" s="41"/>
      <c r="P791" s="43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</row>
    <row r="792" spans="1:45">
      <c r="A792" s="38"/>
      <c r="B792" s="38"/>
      <c r="C792" s="38"/>
      <c r="D792" s="38"/>
      <c r="E792" s="49"/>
      <c r="F792" s="49"/>
      <c r="G792" s="38"/>
      <c r="H792" s="49"/>
      <c r="I792" s="49"/>
      <c r="J792" s="49"/>
      <c r="K792" s="49"/>
      <c r="L792" s="41"/>
      <c r="M792" s="41"/>
      <c r="N792" s="41"/>
      <c r="O792" s="41"/>
      <c r="P792" s="43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</row>
    <row r="793" spans="1:45">
      <c r="A793" s="38"/>
      <c r="B793" s="38"/>
      <c r="C793" s="38"/>
      <c r="D793" s="38"/>
      <c r="E793" s="49"/>
      <c r="F793" s="49"/>
      <c r="G793" s="38"/>
      <c r="H793" s="49"/>
      <c r="I793" s="49"/>
      <c r="J793" s="49"/>
      <c r="K793" s="49"/>
      <c r="L793" s="41"/>
      <c r="M793" s="41"/>
      <c r="N793" s="41"/>
      <c r="O793" s="41"/>
      <c r="P793" s="43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</row>
    <row r="794" spans="1:45">
      <c r="A794" s="38"/>
      <c r="B794" s="38"/>
      <c r="C794" s="38"/>
      <c r="D794" s="38"/>
      <c r="E794" s="49"/>
      <c r="F794" s="49"/>
      <c r="G794" s="38"/>
      <c r="H794" s="49"/>
      <c r="I794" s="49"/>
      <c r="J794" s="49"/>
      <c r="K794" s="49"/>
      <c r="L794" s="41"/>
      <c r="M794" s="41"/>
      <c r="N794" s="41"/>
      <c r="O794" s="41"/>
      <c r="P794" s="43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</row>
    <row r="795" spans="1:45">
      <c r="A795" s="38"/>
      <c r="B795" s="38"/>
      <c r="C795" s="38"/>
      <c r="D795" s="38"/>
      <c r="E795" s="49"/>
      <c r="F795" s="49"/>
      <c r="G795" s="38"/>
      <c r="H795" s="49"/>
      <c r="I795" s="49"/>
      <c r="J795" s="49"/>
      <c r="K795" s="49"/>
      <c r="L795" s="41"/>
      <c r="M795" s="41"/>
      <c r="N795" s="41"/>
      <c r="O795" s="41"/>
      <c r="P795" s="43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</row>
    <row r="796" spans="1:45">
      <c r="A796" s="38"/>
      <c r="B796" s="38"/>
      <c r="C796" s="38"/>
      <c r="D796" s="38"/>
      <c r="E796" s="49"/>
      <c r="F796" s="49"/>
      <c r="G796" s="38"/>
      <c r="H796" s="49"/>
      <c r="I796" s="49"/>
      <c r="J796" s="49"/>
      <c r="K796" s="49"/>
      <c r="L796" s="41"/>
      <c r="M796" s="41"/>
      <c r="N796" s="41"/>
      <c r="O796" s="41"/>
      <c r="P796" s="43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</row>
    <row r="797" spans="1:45">
      <c r="A797" s="38"/>
      <c r="B797" s="38"/>
      <c r="C797" s="38"/>
      <c r="D797" s="38"/>
      <c r="E797" s="49"/>
      <c r="F797" s="49"/>
      <c r="G797" s="38"/>
      <c r="H797" s="49"/>
      <c r="I797" s="49"/>
      <c r="J797" s="49"/>
      <c r="K797" s="49"/>
      <c r="L797" s="41"/>
      <c r="M797" s="41"/>
      <c r="N797" s="41"/>
      <c r="O797" s="41"/>
      <c r="P797" s="43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</row>
    <row r="798" spans="1:45">
      <c r="A798" s="38"/>
      <c r="B798" s="38"/>
      <c r="C798" s="38"/>
      <c r="D798" s="38"/>
      <c r="E798" s="49"/>
      <c r="F798" s="49"/>
      <c r="G798" s="38"/>
      <c r="H798" s="49"/>
      <c r="I798" s="49"/>
      <c r="J798" s="49"/>
      <c r="K798" s="49"/>
      <c r="L798" s="41"/>
      <c r="M798" s="41"/>
      <c r="N798" s="41"/>
      <c r="O798" s="41"/>
      <c r="P798" s="43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</row>
    <row r="799" spans="1:45">
      <c r="A799" s="38"/>
      <c r="B799" s="38"/>
      <c r="C799" s="38"/>
      <c r="D799" s="38"/>
      <c r="E799" s="49"/>
      <c r="F799" s="49"/>
      <c r="G799" s="38"/>
      <c r="H799" s="49"/>
      <c r="I799" s="49"/>
      <c r="J799" s="49"/>
      <c r="K799" s="49"/>
      <c r="L799" s="41"/>
      <c r="M799" s="41"/>
      <c r="N799" s="41"/>
      <c r="O799" s="41"/>
      <c r="P799" s="43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</row>
    <row r="800" spans="1:45">
      <c r="A800" s="38"/>
      <c r="B800" s="38"/>
      <c r="C800" s="38"/>
      <c r="D800" s="38"/>
      <c r="E800" s="49"/>
      <c r="F800" s="49"/>
      <c r="G800" s="38"/>
      <c r="H800" s="49"/>
      <c r="I800" s="49"/>
      <c r="J800" s="49"/>
      <c r="K800" s="49"/>
      <c r="L800" s="41"/>
      <c r="M800" s="41"/>
      <c r="N800" s="41"/>
      <c r="O800" s="41"/>
      <c r="P800" s="43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</row>
    <row r="801" spans="1:45">
      <c r="A801" s="38"/>
      <c r="B801" s="38"/>
      <c r="C801" s="38"/>
      <c r="D801" s="38"/>
      <c r="E801" s="49"/>
      <c r="F801" s="49"/>
      <c r="G801" s="38"/>
      <c r="H801" s="49"/>
      <c r="I801" s="49"/>
      <c r="J801" s="49"/>
      <c r="K801" s="49"/>
      <c r="L801" s="41"/>
      <c r="M801" s="41"/>
      <c r="N801" s="41"/>
      <c r="O801" s="41"/>
      <c r="P801" s="43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</row>
    <row r="802" spans="1:45">
      <c r="A802" s="38"/>
      <c r="B802" s="38"/>
      <c r="C802" s="38"/>
      <c r="D802" s="38"/>
      <c r="E802" s="49"/>
      <c r="F802" s="49"/>
      <c r="G802" s="38"/>
      <c r="H802" s="49"/>
      <c r="I802" s="49"/>
      <c r="J802" s="49"/>
      <c r="K802" s="49"/>
      <c r="L802" s="41"/>
      <c r="M802" s="41"/>
      <c r="N802" s="41"/>
      <c r="O802" s="41"/>
      <c r="P802" s="43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</row>
    <row r="803" spans="1:45">
      <c r="A803" s="38"/>
      <c r="B803" s="38"/>
      <c r="C803" s="38"/>
      <c r="D803" s="38"/>
      <c r="E803" s="49"/>
      <c r="F803" s="49"/>
      <c r="G803" s="38"/>
      <c r="H803" s="49"/>
      <c r="I803" s="49"/>
      <c r="J803" s="49"/>
      <c r="K803" s="49"/>
      <c r="L803" s="41"/>
      <c r="M803" s="41"/>
      <c r="N803" s="41"/>
      <c r="O803" s="41"/>
      <c r="P803" s="43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</row>
    <row r="804" spans="1:45">
      <c r="A804" s="38"/>
      <c r="B804" s="38"/>
      <c r="C804" s="38"/>
      <c r="D804" s="38"/>
      <c r="E804" s="49"/>
      <c r="F804" s="49"/>
      <c r="G804" s="38"/>
      <c r="H804" s="49"/>
      <c r="I804" s="49"/>
      <c r="J804" s="49"/>
      <c r="K804" s="49"/>
      <c r="L804" s="41"/>
      <c r="M804" s="41"/>
      <c r="N804" s="41"/>
      <c r="O804" s="41"/>
      <c r="P804" s="43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</row>
    <row r="805" spans="1:45">
      <c r="A805" s="38"/>
      <c r="B805" s="38"/>
      <c r="C805" s="38"/>
      <c r="D805" s="38"/>
      <c r="E805" s="49"/>
      <c r="F805" s="49"/>
      <c r="G805" s="38"/>
      <c r="H805" s="49"/>
      <c r="I805" s="49"/>
      <c r="J805" s="49"/>
      <c r="K805" s="49"/>
      <c r="L805" s="41"/>
      <c r="M805" s="41"/>
      <c r="N805" s="41"/>
      <c r="O805" s="41"/>
      <c r="P805" s="43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</row>
    <row r="806" spans="1:45">
      <c r="A806" s="38"/>
      <c r="B806" s="38"/>
      <c r="C806" s="38"/>
      <c r="D806" s="38"/>
      <c r="E806" s="49"/>
      <c r="F806" s="49"/>
      <c r="G806" s="38"/>
      <c r="H806" s="49"/>
      <c r="I806" s="49"/>
      <c r="J806" s="49"/>
      <c r="K806" s="49"/>
      <c r="L806" s="41"/>
      <c r="M806" s="41"/>
      <c r="N806" s="41"/>
      <c r="O806" s="41"/>
      <c r="P806" s="43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</row>
    <row r="807" spans="1:45">
      <c r="A807" s="38"/>
      <c r="B807" s="38"/>
      <c r="C807" s="38"/>
      <c r="D807" s="38"/>
      <c r="E807" s="49"/>
      <c r="F807" s="49"/>
      <c r="G807" s="38"/>
      <c r="H807" s="49"/>
      <c r="I807" s="49"/>
      <c r="J807" s="49"/>
      <c r="K807" s="49"/>
      <c r="L807" s="41"/>
      <c r="M807" s="41"/>
      <c r="N807" s="41"/>
      <c r="O807" s="41"/>
      <c r="P807" s="43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</row>
    <row r="808" spans="1:45">
      <c r="A808" s="38"/>
      <c r="B808" s="38"/>
      <c r="C808" s="38"/>
      <c r="D808" s="38"/>
      <c r="E808" s="49"/>
      <c r="F808" s="49"/>
      <c r="G808" s="38"/>
      <c r="H808" s="49"/>
      <c r="I808" s="49"/>
      <c r="J808" s="49"/>
      <c r="K808" s="49"/>
      <c r="L808" s="41"/>
      <c r="M808" s="41"/>
      <c r="N808" s="41"/>
      <c r="O808" s="41"/>
      <c r="P808" s="43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</row>
    <row r="809" spans="1:45">
      <c r="A809" s="38"/>
      <c r="B809" s="38"/>
      <c r="C809" s="38"/>
      <c r="D809" s="38"/>
      <c r="E809" s="49"/>
      <c r="F809" s="49"/>
      <c r="G809" s="38"/>
      <c r="H809" s="49"/>
      <c r="I809" s="49"/>
      <c r="J809" s="49"/>
      <c r="K809" s="49"/>
      <c r="L809" s="41"/>
      <c r="M809" s="41"/>
      <c r="N809" s="41"/>
      <c r="O809" s="41"/>
      <c r="P809" s="43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</row>
    <row r="810" spans="1:45">
      <c r="A810" s="38"/>
      <c r="B810" s="38"/>
      <c r="C810" s="38"/>
      <c r="D810" s="38"/>
      <c r="E810" s="49"/>
      <c r="F810" s="49"/>
      <c r="G810" s="38"/>
      <c r="H810" s="49"/>
      <c r="I810" s="49"/>
      <c r="J810" s="49"/>
      <c r="K810" s="49"/>
      <c r="L810" s="41"/>
      <c r="M810" s="41"/>
      <c r="N810" s="41"/>
      <c r="O810" s="41"/>
      <c r="P810" s="43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</row>
    <row r="811" spans="1:45">
      <c r="A811" s="38"/>
      <c r="B811" s="38"/>
      <c r="C811" s="38"/>
      <c r="D811" s="38"/>
      <c r="E811" s="49"/>
      <c r="F811" s="49"/>
      <c r="G811" s="38"/>
      <c r="H811" s="49"/>
      <c r="I811" s="49"/>
      <c r="J811" s="49"/>
      <c r="K811" s="49"/>
      <c r="L811" s="41"/>
      <c r="M811" s="41"/>
      <c r="N811" s="41"/>
      <c r="O811" s="41"/>
      <c r="P811" s="43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</row>
    <row r="812" spans="1:45">
      <c r="A812" s="38"/>
      <c r="B812" s="38"/>
      <c r="C812" s="38"/>
      <c r="D812" s="38"/>
      <c r="E812" s="49"/>
      <c r="F812" s="49"/>
      <c r="G812" s="38"/>
      <c r="H812" s="49"/>
      <c r="I812" s="49"/>
      <c r="J812" s="49"/>
      <c r="K812" s="49"/>
      <c r="L812" s="41"/>
      <c r="M812" s="41"/>
      <c r="N812" s="41"/>
      <c r="O812" s="41"/>
      <c r="P812" s="43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</row>
    <row r="813" spans="1:45">
      <c r="A813" s="38"/>
      <c r="B813" s="38"/>
      <c r="C813" s="38"/>
      <c r="D813" s="38"/>
      <c r="E813" s="49"/>
      <c r="F813" s="49"/>
      <c r="G813" s="38"/>
      <c r="H813" s="49"/>
      <c r="I813" s="49"/>
      <c r="J813" s="49"/>
      <c r="K813" s="49"/>
      <c r="L813" s="41"/>
      <c r="M813" s="41"/>
      <c r="N813" s="41"/>
      <c r="O813" s="41"/>
      <c r="P813" s="43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</row>
    <row r="814" spans="1:45">
      <c r="A814" s="38"/>
      <c r="B814" s="38"/>
      <c r="C814" s="38"/>
      <c r="D814" s="38"/>
      <c r="E814" s="49"/>
      <c r="F814" s="49"/>
      <c r="G814" s="38"/>
      <c r="H814" s="49"/>
      <c r="I814" s="49"/>
      <c r="J814" s="49"/>
      <c r="K814" s="49"/>
      <c r="L814" s="41"/>
      <c r="M814" s="41"/>
      <c r="N814" s="41"/>
      <c r="O814" s="41"/>
      <c r="P814" s="43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</row>
    <row r="815" spans="1:45">
      <c r="A815" s="38"/>
      <c r="B815" s="38"/>
      <c r="C815" s="38"/>
      <c r="D815" s="38"/>
      <c r="E815" s="49"/>
      <c r="F815" s="49"/>
      <c r="G815" s="38"/>
      <c r="H815" s="49"/>
      <c r="I815" s="49"/>
      <c r="J815" s="49"/>
      <c r="K815" s="49"/>
      <c r="L815" s="41"/>
      <c r="M815" s="41"/>
      <c r="N815" s="41"/>
      <c r="O815" s="41"/>
      <c r="P815" s="43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</row>
    <row r="816" spans="1:45">
      <c r="A816" s="38"/>
      <c r="B816" s="38"/>
      <c r="C816" s="38"/>
      <c r="D816" s="38"/>
      <c r="E816" s="49"/>
      <c r="F816" s="49"/>
      <c r="G816" s="38"/>
      <c r="H816" s="49"/>
      <c r="I816" s="49"/>
      <c r="J816" s="49"/>
      <c r="K816" s="49"/>
      <c r="L816" s="41"/>
      <c r="M816" s="41"/>
      <c r="N816" s="41"/>
      <c r="O816" s="41"/>
      <c r="P816" s="43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</row>
    <row r="817" spans="1:45">
      <c r="A817" s="38"/>
      <c r="B817" s="38"/>
      <c r="C817" s="38"/>
      <c r="D817" s="38"/>
      <c r="E817" s="49"/>
      <c r="F817" s="49"/>
      <c r="G817" s="38"/>
      <c r="H817" s="49"/>
      <c r="I817" s="49"/>
      <c r="J817" s="49"/>
      <c r="K817" s="49"/>
      <c r="L817" s="41"/>
      <c r="M817" s="41"/>
      <c r="N817" s="41"/>
      <c r="O817" s="41"/>
      <c r="P817" s="43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</row>
    <row r="818" spans="1:45">
      <c r="A818" s="38"/>
      <c r="B818" s="38"/>
      <c r="C818" s="38"/>
      <c r="D818" s="38"/>
      <c r="E818" s="49"/>
      <c r="F818" s="49"/>
      <c r="G818" s="38"/>
      <c r="H818" s="49"/>
      <c r="I818" s="49"/>
      <c r="J818" s="49"/>
      <c r="K818" s="49"/>
      <c r="L818" s="41"/>
      <c r="M818" s="41"/>
      <c r="N818" s="41"/>
      <c r="O818" s="41"/>
      <c r="P818" s="43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</row>
    <row r="819" spans="1:45">
      <c r="A819" s="38"/>
      <c r="B819" s="38"/>
      <c r="C819" s="38"/>
      <c r="D819" s="38"/>
      <c r="E819" s="49"/>
      <c r="F819" s="49"/>
      <c r="G819" s="38"/>
      <c r="H819" s="49"/>
      <c r="I819" s="49"/>
      <c r="J819" s="49"/>
      <c r="K819" s="49"/>
      <c r="L819" s="41"/>
      <c r="M819" s="41"/>
      <c r="N819" s="41"/>
      <c r="O819" s="41"/>
      <c r="P819" s="43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</row>
    <row r="820" spans="1:45">
      <c r="A820" s="38"/>
      <c r="B820" s="38"/>
      <c r="C820" s="38"/>
      <c r="D820" s="38"/>
      <c r="E820" s="49"/>
      <c r="F820" s="49"/>
      <c r="G820" s="38"/>
      <c r="H820" s="49"/>
      <c r="I820" s="49"/>
      <c r="J820" s="49"/>
      <c r="K820" s="49"/>
      <c r="L820" s="41"/>
      <c r="M820" s="41"/>
      <c r="N820" s="41"/>
      <c r="O820" s="41"/>
      <c r="P820" s="43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</row>
    <row r="821" spans="1:45">
      <c r="A821" s="38"/>
      <c r="B821" s="38"/>
      <c r="C821" s="38"/>
      <c r="D821" s="38"/>
      <c r="E821" s="49"/>
      <c r="F821" s="49"/>
      <c r="G821" s="38"/>
      <c r="H821" s="49"/>
      <c r="I821" s="49"/>
      <c r="J821" s="49"/>
      <c r="K821" s="49"/>
      <c r="L821" s="41"/>
      <c r="M821" s="41"/>
      <c r="N821" s="41"/>
      <c r="O821" s="41"/>
      <c r="P821" s="43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</row>
    <row r="822" spans="1:45">
      <c r="A822" s="38"/>
      <c r="B822" s="38"/>
      <c r="C822" s="38"/>
      <c r="D822" s="38"/>
      <c r="E822" s="49"/>
      <c r="F822" s="49"/>
      <c r="G822" s="38"/>
      <c r="H822" s="49"/>
      <c r="I822" s="49"/>
      <c r="J822" s="49"/>
      <c r="K822" s="49"/>
      <c r="L822" s="41"/>
      <c r="M822" s="41"/>
      <c r="N822" s="41"/>
      <c r="O822" s="41"/>
      <c r="P822" s="43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</row>
    <row r="823" spans="1:45">
      <c r="A823" s="38"/>
      <c r="B823" s="38"/>
      <c r="C823" s="38"/>
      <c r="D823" s="38"/>
      <c r="E823" s="49"/>
      <c r="F823" s="49"/>
      <c r="G823" s="38"/>
      <c r="H823" s="49"/>
      <c r="I823" s="49"/>
      <c r="J823" s="49"/>
      <c r="K823" s="49"/>
      <c r="L823" s="41"/>
      <c r="M823" s="41"/>
      <c r="N823" s="41"/>
      <c r="O823" s="41"/>
      <c r="P823" s="43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</row>
    <row r="824" spans="1:45">
      <c r="A824" s="38"/>
      <c r="B824" s="38"/>
      <c r="C824" s="38"/>
      <c r="D824" s="38"/>
      <c r="E824" s="49"/>
      <c r="F824" s="49"/>
      <c r="G824" s="38"/>
      <c r="H824" s="49"/>
      <c r="I824" s="49"/>
      <c r="J824" s="49"/>
      <c r="K824" s="49"/>
      <c r="L824" s="41"/>
      <c r="M824" s="41"/>
      <c r="N824" s="41"/>
      <c r="O824" s="41"/>
      <c r="P824" s="43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</row>
    <row r="825" spans="1:45">
      <c r="A825" s="38"/>
      <c r="B825" s="38"/>
      <c r="C825" s="38"/>
      <c r="D825" s="38"/>
      <c r="E825" s="49"/>
      <c r="F825" s="49"/>
      <c r="G825" s="38"/>
      <c r="H825" s="49"/>
      <c r="I825" s="49"/>
      <c r="J825" s="49"/>
      <c r="K825" s="49"/>
      <c r="L825" s="41"/>
      <c r="M825" s="41"/>
      <c r="N825" s="41"/>
      <c r="O825" s="41"/>
      <c r="P825" s="43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</row>
    <row r="826" spans="1:45">
      <c r="A826" s="38"/>
      <c r="B826" s="38"/>
      <c r="C826" s="38"/>
      <c r="D826" s="38"/>
      <c r="E826" s="49"/>
      <c r="F826" s="49"/>
      <c r="G826" s="38"/>
      <c r="H826" s="49"/>
      <c r="I826" s="49"/>
      <c r="J826" s="49"/>
      <c r="K826" s="49"/>
      <c r="L826" s="41"/>
      <c r="M826" s="41"/>
      <c r="N826" s="41"/>
      <c r="O826" s="41"/>
      <c r="P826" s="43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</row>
    <row r="827" spans="1:45">
      <c r="A827" s="38"/>
      <c r="B827" s="38"/>
      <c r="C827" s="38"/>
      <c r="D827" s="38"/>
      <c r="E827" s="49"/>
      <c r="F827" s="49"/>
      <c r="G827" s="38"/>
      <c r="H827" s="49"/>
      <c r="I827" s="49"/>
      <c r="J827" s="49"/>
      <c r="K827" s="49"/>
      <c r="L827" s="41"/>
      <c r="M827" s="41"/>
      <c r="N827" s="41"/>
      <c r="O827" s="41"/>
      <c r="P827" s="43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</row>
    <row r="828" spans="1:45">
      <c r="A828" s="38"/>
      <c r="B828" s="38"/>
      <c r="C828" s="38"/>
      <c r="D828" s="38"/>
      <c r="E828" s="49"/>
      <c r="F828" s="49"/>
      <c r="G828" s="38"/>
      <c r="H828" s="49"/>
      <c r="I828" s="49"/>
      <c r="J828" s="49"/>
      <c r="K828" s="49"/>
      <c r="L828" s="41"/>
      <c r="M828" s="41"/>
      <c r="N828" s="41"/>
      <c r="O828" s="41"/>
      <c r="P828" s="43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</row>
    <row r="829" spans="1:45">
      <c r="A829" s="38"/>
      <c r="B829" s="38"/>
      <c r="C829" s="38"/>
      <c r="D829" s="38"/>
      <c r="E829" s="49"/>
      <c r="F829" s="49"/>
      <c r="G829" s="38"/>
      <c r="H829" s="49"/>
      <c r="I829" s="49"/>
      <c r="J829" s="49"/>
      <c r="K829" s="49"/>
      <c r="L829" s="41"/>
      <c r="M829" s="41"/>
      <c r="N829" s="41"/>
      <c r="O829" s="41"/>
      <c r="P829" s="43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</row>
    <row r="830" spans="1:45">
      <c r="A830" s="38"/>
      <c r="B830" s="38"/>
      <c r="C830" s="38"/>
      <c r="D830" s="38"/>
      <c r="E830" s="49"/>
      <c r="F830" s="49"/>
      <c r="G830" s="38"/>
      <c r="H830" s="49"/>
      <c r="I830" s="49"/>
      <c r="J830" s="49"/>
      <c r="K830" s="49"/>
      <c r="L830" s="41"/>
      <c r="M830" s="41"/>
      <c r="N830" s="41"/>
      <c r="O830" s="41"/>
      <c r="P830" s="43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</row>
    <row r="831" spans="1:45">
      <c r="A831" s="38"/>
      <c r="B831" s="38"/>
      <c r="C831" s="38"/>
      <c r="D831" s="38"/>
      <c r="E831" s="49"/>
      <c r="F831" s="49"/>
      <c r="G831" s="38"/>
      <c r="H831" s="49"/>
      <c r="I831" s="49"/>
      <c r="J831" s="49"/>
      <c r="K831" s="49"/>
      <c r="L831" s="41"/>
      <c r="M831" s="41"/>
      <c r="N831" s="41"/>
      <c r="O831" s="41"/>
      <c r="P831" s="43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</row>
    <row r="832" spans="1:45">
      <c r="A832" s="38"/>
      <c r="B832" s="38"/>
      <c r="C832" s="38"/>
      <c r="D832" s="38"/>
      <c r="E832" s="49"/>
      <c r="F832" s="49"/>
      <c r="G832" s="38"/>
      <c r="H832" s="49"/>
      <c r="I832" s="49"/>
      <c r="J832" s="49"/>
      <c r="K832" s="49"/>
      <c r="L832" s="41"/>
      <c r="M832" s="41"/>
      <c r="N832" s="41"/>
      <c r="O832" s="41"/>
      <c r="P832" s="43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</row>
    <row r="833" spans="1:45">
      <c r="A833" s="38"/>
      <c r="B833" s="38"/>
      <c r="C833" s="38"/>
      <c r="D833" s="38"/>
      <c r="E833" s="49"/>
      <c r="F833" s="49"/>
      <c r="G833" s="38"/>
      <c r="H833" s="49"/>
      <c r="I833" s="49"/>
      <c r="J833" s="49"/>
      <c r="K833" s="49"/>
      <c r="L833" s="41"/>
      <c r="M833" s="41"/>
      <c r="N833" s="41"/>
      <c r="O833" s="41"/>
      <c r="P833" s="43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</row>
    <row r="834" spans="1:45">
      <c r="A834" s="38"/>
      <c r="B834" s="38"/>
      <c r="C834" s="38"/>
      <c r="D834" s="38"/>
      <c r="E834" s="49"/>
      <c r="F834" s="49"/>
      <c r="G834" s="38"/>
      <c r="H834" s="49"/>
      <c r="I834" s="49"/>
      <c r="J834" s="49"/>
      <c r="K834" s="49"/>
      <c r="L834" s="41"/>
      <c r="M834" s="41"/>
      <c r="N834" s="41"/>
      <c r="O834" s="41"/>
      <c r="P834" s="43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</row>
    <row r="835" spans="1:45">
      <c r="A835" s="38"/>
      <c r="B835" s="38"/>
      <c r="C835" s="38"/>
      <c r="D835" s="38"/>
      <c r="E835" s="49"/>
      <c r="F835" s="49"/>
      <c r="G835" s="38"/>
      <c r="H835" s="49"/>
      <c r="I835" s="49"/>
      <c r="J835" s="49"/>
      <c r="K835" s="49"/>
      <c r="L835" s="41"/>
      <c r="M835" s="41"/>
      <c r="N835" s="41"/>
      <c r="O835" s="41"/>
      <c r="P835" s="43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</row>
    <row r="836" spans="1:45">
      <c r="A836" s="38"/>
      <c r="B836" s="38"/>
      <c r="C836" s="38"/>
      <c r="D836" s="38"/>
      <c r="E836" s="49"/>
      <c r="F836" s="49"/>
      <c r="G836" s="38"/>
      <c r="H836" s="49"/>
      <c r="I836" s="49"/>
      <c r="J836" s="49"/>
      <c r="K836" s="49"/>
      <c r="L836" s="41"/>
      <c r="M836" s="41"/>
      <c r="N836" s="41"/>
      <c r="O836" s="41"/>
      <c r="P836" s="43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</row>
    <row r="837" spans="1:45">
      <c r="A837" s="38"/>
      <c r="B837" s="38"/>
      <c r="C837" s="38"/>
      <c r="D837" s="38"/>
      <c r="E837" s="49"/>
      <c r="F837" s="49"/>
      <c r="G837" s="38"/>
      <c r="H837" s="49"/>
      <c r="I837" s="49"/>
      <c r="J837" s="49"/>
      <c r="K837" s="49"/>
      <c r="L837" s="41"/>
      <c r="M837" s="41"/>
      <c r="N837" s="41"/>
      <c r="O837" s="41"/>
      <c r="P837" s="43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</row>
    <row r="838" spans="1:45">
      <c r="A838" s="38"/>
      <c r="B838" s="38"/>
      <c r="C838" s="38"/>
      <c r="D838" s="38"/>
      <c r="E838" s="49"/>
      <c r="F838" s="49"/>
      <c r="G838" s="38"/>
      <c r="H838" s="49"/>
      <c r="I838" s="49"/>
      <c r="J838" s="49"/>
      <c r="K838" s="49"/>
      <c r="L838" s="41"/>
      <c r="M838" s="41"/>
      <c r="N838" s="41"/>
      <c r="O838" s="41"/>
      <c r="P838" s="43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</row>
    <row r="839" spans="1:45">
      <c r="A839" s="38"/>
      <c r="B839" s="38"/>
      <c r="C839" s="38"/>
      <c r="D839" s="38"/>
      <c r="E839" s="49"/>
      <c r="F839" s="49"/>
      <c r="G839" s="38"/>
      <c r="H839" s="49"/>
      <c r="I839" s="49"/>
      <c r="J839" s="49"/>
      <c r="K839" s="49"/>
      <c r="L839" s="41"/>
      <c r="M839" s="41"/>
      <c r="N839" s="41"/>
      <c r="O839" s="41"/>
      <c r="P839" s="43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</row>
    <row r="840" spans="1:45">
      <c r="A840" s="38"/>
      <c r="B840" s="38"/>
      <c r="C840" s="38"/>
      <c r="D840" s="38"/>
      <c r="E840" s="49"/>
      <c r="F840" s="49"/>
      <c r="G840" s="38"/>
      <c r="H840" s="49"/>
      <c r="I840" s="49"/>
      <c r="J840" s="49"/>
      <c r="K840" s="49"/>
      <c r="L840" s="41"/>
      <c r="M840" s="41"/>
      <c r="N840" s="41"/>
      <c r="O840" s="41"/>
      <c r="P840" s="43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</row>
    <row r="841" spans="1:45">
      <c r="A841" s="38"/>
      <c r="B841" s="38"/>
      <c r="C841" s="38"/>
      <c r="D841" s="38"/>
      <c r="E841" s="49"/>
      <c r="F841" s="49"/>
      <c r="G841" s="38"/>
      <c r="H841" s="49"/>
      <c r="I841" s="49"/>
      <c r="J841" s="49"/>
      <c r="K841" s="49"/>
      <c r="L841" s="41"/>
      <c r="M841" s="41"/>
      <c r="N841" s="41"/>
      <c r="O841" s="41"/>
      <c r="P841" s="43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</row>
    <row r="842" spans="1:45">
      <c r="A842" s="38"/>
      <c r="B842" s="38"/>
      <c r="C842" s="38"/>
      <c r="D842" s="38"/>
      <c r="E842" s="49"/>
      <c r="F842" s="49"/>
      <c r="G842" s="38"/>
      <c r="H842" s="49"/>
      <c r="I842" s="49"/>
      <c r="J842" s="49"/>
      <c r="K842" s="49"/>
      <c r="L842" s="41"/>
      <c r="M842" s="41"/>
      <c r="N842" s="41"/>
      <c r="O842" s="41"/>
      <c r="P842" s="43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</row>
    <row r="843" spans="1:45">
      <c r="A843" s="38"/>
      <c r="B843" s="38"/>
      <c r="C843" s="38"/>
      <c r="D843" s="38"/>
      <c r="E843" s="49"/>
      <c r="F843" s="49"/>
      <c r="G843" s="38"/>
      <c r="H843" s="49"/>
      <c r="I843" s="49"/>
      <c r="J843" s="49"/>
      <c r="K843" s="49"/>
      <c r="L843" s="41"/>
      <c r="M843" s="41"/>
      <c r="N843" s="41"/>
      <c r="O843" s="41"/>
      <c r="P843" s="43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</row>
    <row r="844" spans="1:45">
      <c r="A844" s="38"/>
      <c r="B844" s="38"/>
      <c r="C844" s="38"/>
      <c r="D844" s="38"/>
      <c r="E844" s="49"/>
      <c r="F844" s="49"/>
      <c r="G844" s="38"/>
      <c r="H844" s="49"/>
      <c r="I844" s="49"/>
      <c r="J844" s="49"/>
      <c r="K844" s="49"/>
      <c r="L844" s="41"/>
      <c r="M844" s="41"/>
      <c r="N844" s="41"/>
      <c r="O844" s="41"/>
      <c r="P844" s="43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</row>
    <row r="845" spans="1:45">
      <c r="A845" s="38"/>
      <c r="B845" s="38"/>
      <c r="C845" s="38"/>
      <c r="D845" s="38"/>
      <c r="E845" s="49"/>
      <c r="F845" s="49"/>
      <c r="G845" s="38"/>
      <c r="H845" s="49"/>
      <c r="I845" s="49"/>
      <c r="J845" s="49"/>
      <c r="K845" s="49"/>
      <c r="L845" s="41"/>
      <c r="M845" s="41"/>
      <c r="N845" s="41"/>
      <c r="O845" s="41"/>
      <c r="P845" s="43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</row>
    <row r="846" spans="1:45">
      <c r="A846" s="38"/>
      <c r="B846" s="38"/>
      <c r="C846" s="38"/>
      <c r="D846" s="38"/>
      <c r="E846" s="49"/>
      <c r="F846" s="49"/>
      <c r="G846" s="38"/>
      <c r="H846" s="49"/>
      <c r="I846" s="49"/>
      <c r="J846" s="49"/>
      <c r="K846" s="49"/>
      <c r="L846" s="41"/>
      <c r="M846" s="41"/>
      <c r="N846" s="41"/>
      <c r="O846" s="41"/>
      <c r="P846" s="43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</row>
    <row r="847" spans="1:45">
      <c r="A847" s="38"/>
      <c r="B847" s="38"/>
      <c r="C847" s="38"/>
      <c r="D847" s="38"/>
      <c r="E847" s="49"/>
      <c r="F847" s="49"/>
      <c r="G847" s="38"/>
      <c r="H847" s="49"/>
      <c r="I847" s="49"/>
      <c r="J847" s="49"/>
      <c r="K847" s="49"/>
      <c r="L847" s="41"/>
      <c r="M847" s="41"/>
      <c r="N847" s="41"/>
      <c r="O847" s="41"/>
      <c r="P847" s="43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</row>
    <row r="848" spans="1:45">
      <c r="A848" s="38"/>
      <c r="B848" s="38"/>
      <c r="C848" s="38"/>
      <c r="D848" s="38"/>
      <c r="E848" s="49"/>
      <c r="F848" s="49"/>
      <c r="G848" s="38"/>
      <c r="H848" s="49"/>
      <c r="I848" s="49"/>
      <c r="J848" s="49"/>
      <c r="K848" s="49"/>
      <c r="L848" s="41"/>
      <c r="M848" s="41"/>
      <c r="N848" s="41"/>
      <c r="O848" s="41"/>
      <c r="P848" s="43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</row>
    <row r="849" spans="1:45">
      <c r="A849" s="38"/>
      <c r="B849" s="38"/>
      <c r="C849" s="38"/>
      <c r="D849" s="38"/>
      <c r="E849" s="49"/>
      <c r="F849" s="49"/>
      <c r="G849" s="38"/>
      <c r="H849" s="49"/>
      <c r="I849" s="49"/>
      <c r="J849" s="49"/>
      <c r="K849" s="49"/>
      <c r="L849" s="41"/>
      <c r="M849" s="41"/>
      <c r="N849" s="41"/>
      <c r="O849" s="41"/>
      <c r="P849" s="43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</row>
    <row r="850" spans="1:45">
      <c r="A850" s="38"/>
      <c r="B850" s="38"/>
      <c r="C850" s="38"/>
      <c r="D850" s="38"/>
      <c r="E850" s="49"/>
      <c r="F850" s="49"/>
      <c r="G850" s="38"/>
      <c r="H850" s="49"/>
      <c r="I850" s="49"/>
      <c r="J850" s="49"/>
      <c r="K850" s="49"/>
      <c r="L850" s="41"/>
      <c r="M850" s="41"/>
      <c r="N850" s="41"/>
      <c r="O850" s="41"/>
      <c r="P850" s="43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</row>
    <row r="851" spans="1:45">
      <c r="A851" s="38"/>
      <c r="B851" s="38"/>
      <c r="C851" s="38"/>
      <c r="D851" s="38"/>
      <c r="E851" s="49"/>
      <c r="F851" s="49"/>
      <c r="G851" s="38"/>
      <c r="H851" s="49"/>
      <c r="I851" s="49"/>
      <c r="J851" s="49"/>
      <c r="K851" s="49"/>
      <c r="L851" s="41"/>
      <c r="M851" s="41"/>
      <c r="N851" s="41"/>
      <c r="O851" s="41"/>
      <c r="P851" s="43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</row>
    <row r="852" spans="1:45">
      <c r="A852" s="38"/>
      <c r="B852" s="38"/>
      <c r="C852" s="38"/>
      <c r="D852" s="38"/>
      <c r="E852" s="49"/>
      <c r="F852" s="49"/>
      <c r="G852" s="38"/>
      <c r="H852" s="49"/>
      <c r="I852" s="49"/>
      <c r="J852" s="49"/>
      <c r="K852" s="49"/>
      <c r="L852" s="41"/>
      <c r="M852" s="41"/>
      <c r="N852" s="41"/>
      <c r="O852" s="41"/>
      <c r="P852" s="43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</row>
    <row r="853" spans="1:45">
      <c r="A853" s="38"/>
      <c r="B853" s="38"/>
      <c r="C853" s="38"/>
      <c r="D853" s="38"/>
      <c r="E853" s="49"/>
      <c r="F853" s="49"/>
      <c r="G853" s="38"/>
      <c r="H853" s="49"/>
      <c r="I853" s="49"/>
      <c r="J853" s="49"/>
      <c r="K853" s="49"/>
      <c r="L853" s="41"/>
      <c r="M853" s="41"/>
      <c r="N853" s="41"/>
      <c r="O853" s="41"/>
      <c r="P853" s="43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</row>
    <row r="854" spans="1:45">
      <c r="A854" s="38"/>
      <c r="B854" s="38"/>
      <c r="C854" s="38"/>
      <c r="D854" s="38"/>
      <c r="E854" s="49"/>
      <c r="F854" s="49"/>
      <c r="G854" s="38"/>
      <c r="H854" s="49"/>
      <c r="I854" s="49"/>
      <c r="J854" s="49"/>
      <c r="K854" s="49"/>
      <c r="L854" s="41"/>
      <c r="M854" s="41"/>
      <c r="N854" s="41"/>
      <c r="O854" s="41"/>
      <c r="P854" s="43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</row>
    <row r="855" spans="1:45">
      <c r="A855" s="38"/>
      <c r="B855" s="38"/>
      <c r="C855" s="38"/>
      <c r="D855" s="38"/>
      <c r="E855" s="49"/>
      <c r="F855" s="49"/>
      <c r="G855" s="38"/>
      <c r="H855" s="49"/>
      <c r="I855" s="49"/>
      <c r="J855" s="49"/>
      <c r="K855" s="49"/>
      <c r="L855" s="41"/>
      <c r="M855" s="41"/>
      <c r="N855" s="41"/>
      <c r="O855" s="41"/>
      <c r="P855" s="43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</row>
    <row r="856" spans="1:45">
      <c r="A856" s="38"/>
      <c r="B856" s="38"/>
      <c r="C856" s="38"/>
      <c r="D856" s="38"/>
      <c r="E856" s="49"/>
      <c r="F856" s="49"/>
      <c r="G856" s="38"/>
      <c r="H856" s="49"/>
      <c r="I856" s="49"/>
      <c r="J856" s="49"/>
      <c r="K856" s="49"/>
      <c r="L856" s="41"/>
      <c r="M856" s="41"/>
      <c r="N856" s="41"/>
      <c r="O856" s="41"/>
      <c r="P856" s="43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</row>
    <row r="857" spans="1:45">
      <c r="A857" s="38"/>
      <c r="B857" s="38"/>
      <c r="C857" s="38"/>
      <c r="D857" s="38"/>
      <c r="E857" s="49"/>
      <c r="F857" s="49"/>
      <c r="G857" s="38"/>
      <c r="H857" s="49"/>
      <c r="I857" s="49"/>
      <c r="J857" s="49"/>
      <c r="K857" s="49"/>
      <c r="L857" s="41"/>
      <c r="M857" s="41"/>
      <c r="N857" s="41"/>
      <c r="O857" s="41"/>
      <c r="P857" s="43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</row>
    <row r="858" spans="1:45">
      <c r="A858" s="38"/>
      <c r="B858" s="38"/>
      <c r="C858" s="38"/>
      <c r="D858" s="38"/>
      <c r="E858" s="49"/>
      <c r="F858" s="49"/>
      <c r="G858" s="38"/>
      <c r="H858" s="49"/>
      <c r="I858" s="49"/>
      <c r="J858" s="49"/>
      <c r="K858" s="49"/>
      <c r="L858" s="41"/>
      <c r="M858" s="41"/>
      <c r="N858" s="41"/>
      <c r="O858" s="41"/>
      <c r="P858" s="43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</row>
    <row r="859" spans="1:45">
      <c r="A859" s="38"/>
      <c r="B859" s="38"/>
      <c r="C859" s="38"/>
      <c r="D859" s="38"/>
      <c r="E859" s="49"/>
      <c r="F859" s="49"/>
      <c r="G859" s="38"/>
      <c r="H859" s="49"/>
      <c r="I859" s="49"/>
      <c r="J859" s="49"/>
      <c r="K859" s="49"/>
      <c r="L859" s="41"/>
      <c r="M859" s="41"/>
      <c r="N859" s="41"/>
      <c r="O859" s="41"/>
      <c r="P859" s="43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</row>
    <row r="860" spans="1:45">
      <c r="A860" s="38"/>
      <c r="B860" s="38"/>
      <c r="C860" s="38"/>
      <c r="D860" s="38"/>
      <c r="E860" s="49"/>
      <c r="F860" s="49"/>
      <c r="G860" s="38"/>
      <c r="H860" s="49"/>
      <c r="I860" s="49"/>
      <c r="J860" s="49"/>
      <c r="K860" s="49"/>
      <c r="L860" s="41"/>
      <c r="M860" s="41"/>
      <c r="N860" s="41"/>
      <c r="O860" s="41"/>
      <c r="P860" s="43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</row>
    <row r="861" spans="1:45">
      <c r="A861" s="38"/>
      <c r="B861" s="38"/>
      <c r="C861" s="38"/>
      <c r="D861" s="38"/>
      <c r="E861" s="49"/>
      <c r="F861" s="49"/>
      <c r="G861" s="38"/>
      <c r="H861" s="49"/>
      <c r="I861" s="49"/>
      <c r="J861" s="49"/>
      <c r="K861" s="49"/>
      <c r="L861" s="41"/>
      <c r="M861" s="41"/>
      <c r="N861" s="41"/>
      <c r="O861" s="41"/>
      <c r="P861" s="43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</row>
    <row r="862" spans="1:45">
      <c r="A862" s="38"/>
      <c r="B862" s="38"/>
      <c r="C862" s="38"/>
      <c r="D862" s="38"/>
      <c r="E862" s="49"/>
      <c r="F862" s="49"/>
      <c r="G862" s="38"/>
      <c r="H862" s="49"/>
      <c r="I862" s="49"/>
      <c r="J862" s="49"/>
      <c r="K862" s="49"/>
      <c r="L862" s="41"/>
      <c r="M862" s="41"/>
      <c r="N862" s="41"/>
      <c r="O862" s="41"/>
      <c r="P862" s="43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</row>
    <row r="863" spans="1:45">
      <c r="A863" s="38"/>
      <c r="B863" s="38"/>
      <c r="C863" s="38"/>
      <c r="D863" s="38"/>
      <c r="E863" s="49"/>
      <c r="F863" s="49"/>
      <c r="G863" s="38"/>
      <c r="H863" s="49"/>
      <c r="I863" s="49"/>
      <c r="J863" s="49"/>
      <c r="K863" s="49"/>
      <c r="L863" s="41"/>
      <c r="M863" s="41"/>
      <c r="N863" s="41"/>
      <c r="O863" s="41"/>
      <c r="P863" s="43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</row>
    <row r="864" spans="1:45">
      <c r="A864" s="38"/>
      <c r="B864" s="38"/>
      <c r="C864" s="38"/>
      <c r="D864" s="38"/>
      <c r="E864" s="49"/>
      <c r="F864" s="49"/>
      <c r="G864" s="38"/>
      <c r="H864" s="49"/>
      <c r="I864" s="49"/>
      <c r="J864" s="49"/>
      <c r="K864" s="49"/>
      <c r="L864" s="41"/>
      <c r="M864" s="41"/>
      <c r="N864" s="41"/>
      <c r="O864" s="41"/>
      <c r="P864" s="43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</row>
    <row r="865" spans="1:45">
      <c r="A865" s="38"/>
      <c r="B865" s="38"/>
      <c r="C865" s="38"/>
      <c r="D865" s="38"/>
      <c r="E865" s="49"/>
      <c r="F865" s="49"/>
      <c r="G865" s="38"/>
      <c r="H865" s="49"/>
      <c r="I865" s="49"/>
      <c r="J865" s="49"/>
      <c r="K865" s="49"/>
      <c r="L865" s="41"/>
      <c r="M865" s="41"/>
      <c r="N865" s="41"/>
      <c r="O865" s="41"/>
      <c r="P865" s="43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</row>
    <row r="866" spans="1:45">
      <c r="A866" s="38"/>
      <c r="B866" s="38"/>
      <c r="C866" s="38"/>
      <c r="D866" s="38"/>
      <c r="E866" s="49"/>
      <c r="F866" s="49"/>
      <c r="G866" s="38"/>
      <c r="H866" s="49"/>
      <c r="I866" s="49"/>
      <c r="J866" s="49"/>
      <c r="K866" s="49"/>
      <c r="L866" s="41"/>
      <c r="M866" s="41"/>
      <c r="N866" s="41"/>
      <c r="O866" s="41"/>
      <c r="P866" s="43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</row>
    <row r="867" spans="1:45">
      <c r="A867" s="38"/>
      <c r="B867" s="38"/>
      <c r="C867" s="38"/>
      <c r="D867" s="38"/>
      <c r="E867" s="49"/>
      <c r="F867" s="49"/>
      <c r="G867" s="38"/>
      <c r="H867" s="49"/>
      <c r="I867" s="49"/>
      <c r="J867" s="49"/>
      <c r="K867" s="49"/>
      <c r="L867" s="41"/>
      <c r="M867" s="41"/>
      <c r="N867" s="41"/>
      <c r="O867" s="41"/>
      <c r="P867" s="43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</row>
    <row r="868" spans="1:45">
      <c r="A868" s="38"/>
      <c r="B868" s="38"/>
      <c r="C868" s="38"/>
      <c r="D868" s="38"/>
      <c r="E868" s="49"/>
      <c r="F868" s="49"/>
      <c r="G868" s="38"/>
      <c r="H868" s="49"/>
      <c r="I868" s="49"/>
      <c r="J868" s="49"/>
      <c r="K868" s="49"/>
      <c r="L868" s="41"/>
      <c r="M868" s="41"/>
      <c r="N868" s="41"/>
      <c r="O868" s="41"/>
      <c r="P868" s="43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</row>
    <row r="869" spans="1:45">
      <c r="A869" s="38"/>
      <c r="B869" s="38"/>
      <c r="C869" s="38"/>
      <c r="D869" s="38"/>
      <c r="E869" s="49"/>
      <c r="F869" s="49"/>
      <c r="G869" s="38"/>
      <c r="H869" s="49"/>
      <c r="I869" s="49"/>
      <c r="J869" s="49"/>
      <c r="K869" s="49"/>
      <c r="L869" s="41"/>
      <c r="M869" s="41"/>
      <c r="N869" s="41"/>
      <c r="O869" s="41"/>
      <c r="P869" s="43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</row>
    <row r="870" spans="1:45">
      <c r="A870" s="38"/>
      <c r="B870" s="38"/>
      <c r="C870" s="38"/>
      <c r="D870" s="38"/>
      <c r="E870" s="49"/>
      <c r="F870" s="49"/>
      <c r="G870" s="38"/>
      <c r="H870" s="49"/>
      <c r="I870" s="49"/>
      <c r="J870" s="49"/>
      <c r="K870" s="49"/>
      <c r="L870" s="41"/>
      <c r="M870" s="41"/>
      <c r="N870" s="41"/>
      <c r="O870" s="41"/>
      <c r="P870" s="43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</row>
    <row r="871" spans="1:45">
      <c r="A871" s="38"/>
      <c r="B871" s="38"/>
      <c r="C871" s="38"/>
      <c r="D871" s="38"/>
      <c r="E871" s="49"/>
      <c r="F871" s="49"/>
      <c r="G871" s="38"/>
      <c r="H871" s="49"/>
      <c r="I871" s="49"/>
      <c r="J871" s="49"/>
      <c r="K871" s="49"/>
      <c r="L871" s="41"/>
      <c r="M871" s="41"/>
      <c r="N871" s="41"/>
      <c r="O871" s="41"/>
      <c r="P871" s="43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</row>
    <row r="872" spans="1:45">
      <c r="A872" s="38"/>
      <c r="B872" s="38"/>
      <c r="C872" s="38"/>
      <c r="D872" s="38"/>
      <c r="E872" s="49"/>
      <c r="F872" s="49"/>
      <c r="G872" s="38"/>
      <c r="H872" s="49"/>
      <c r="I872" s="49"/>
      <c r="J872" s="49"/>
      <c r="K872" s="49"/>
      <c r="L872" s="41"/>
      <c r="M872" s="41"/>
      <c r="N872" s="41"/>
      <c r="O872" s="41"/>
      <c r="P872" s="43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</row>
    <row r="873" spans="1:45">
      <c r="A873" s="38"/>
      <c r="B873" s="38"/>
      <c r="C873" s="38"/>
      <c r="D873" s="38"/>
      <c r="E873" s="49"/>
      <c r="F873" s="49"/>
      <c r="G873" s="38"/>
      <c r="H873" s="49"/>
      <c r="I873" s="49"/>
      <c r="J873" s="49"/>
      <c r="K873" s="49"/>
      <c r="L873" s="41"/>
      <c r="M873" s="41"/>
      <c r="N873" s="41"/>
      <c r="O873" s="41"/>
      <c r="P873" s="43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</row>
    <row r="874" spans="1:45">
      <c r="A874" s="38"/>
      <c r="B874" s="38"/>
      <c r="C874" s="38"/>
      <c r="D874" s="38"/>
      <c r="E874" s="49"/>
      <c r="F874" s="49"/>
      <c r="G874" s="38"/>
      <c r="H874" s="49"/>
      <c r="I874" s="49"/>
      <c r="J874" s="49"/>
      <c r="K874" s="49"/>
      <c r="L874" s="41"/>
      <c r="M874" s="41"/>
      <c r="N874" s="41"/>
      <c r="O874" s="41"/>
      <c r="P874" s="43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</row>
    <row r="875" spans="1:45">
      <c r="A875" s="38"/>
      <c r="B875" s="38"/>
      <c r="C875" s="38"/>
      <c r="D875" s="38"/>
      <c r="E875" s="49"/>
      <c r="F875" s="49"/>
      <c r="G875" s="38"/>
      <c r="H875" s="49"/>
      <c r="I875" s="49"/>
      <c r="J875" s="49"/>
      <c r="K875" s="49"/>
      <c r="L875" s="41"/>
      <c r="M875" s="41"/>
      <c r="N875" s="41"/>
      <c r="O875" s="41"/>
      <c r="P875" s="43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</row>
    <row r="876" spans="1:45">
      <c r="A876" s="38"/>
      <c r="B876" s="38"/>
      <c r="C876" s="38"/>
      <c r="D876" s="38"/>
      <c r="E876" s="49"/>
      <c r="F876" s="49"/>
      <c r="G876" s="38"/>
      <c r="H876" s="49"/>
      <c r="I876" s="49"/>
      <c r="J876" s="49"/>
      <c r="K876" s="49"/>
      <c r="L876" s="41"/>
      <c r="M876" s="41"/>
      <c r="N876" s="41"/>
      <c r="O876" s="41"/>
      <c r="P876" s="43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</row>
    <row r="877" spans="1:45">
      <c r="A877" s="38"/>
      <c r="B877" s="38"/>
      <c r="C877" s="38"/>
      <c r="D877" s="38"/>
      <c r="E877" s="49"/>
      <c r="F877" s="49"/>
      <c r="G877" s="38"/>
      <c r="H877" s="49"/>
      <c r="I877" s="49"/>
      <c r="J877" s="49"/>
      <c r="K877" s="49"/>
      <c r="L877" s="41"/>
      <c r="M877" s="41"/>
      <c r="N877" s="41"/>
      <c r="O877" s="41"/>
      <c r="P877" s="43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</row>
    <row r="878" spans="1:45">
      <c r="A878" s="38"/>
      <c r="B878" s="38"/>
      <c r="C878" s="38"/>
      <c r="D878" s="38"/>
      <c r="E878" s="49"/>
      <c r="F878" s="49"/>
      <c r="G878" s="38"/>
      <c r="H878" s="49"/>
      <c r="I878" s="49"/>
      <c r="J878" s="49"/>
      <c r="K878" s="49"/>
      <c r="L878" s="41"/>
      <c r="M878" s="41"/>
      <c r="N878" s="41"/>
      <c r="O878" s="41"/>
      <c r="P878" s="43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</row>
    <row r="879" spans="1:45">
      <c r="A879" s="38"/>
      <c r="B879" s="38"/>
      <c r="C879" s="38"/>
      <c r="D879" s="38"/>
      <c r="E879" s="49"/>
      <c r="F879" s="49"/>
      <c r="G879" s="38"/>
      <c r="H879" s="49"/>
      <c r="I879" s="49"/>
      <c r="J879" s="49"/>
      <c r="K879" s="49"/>
      <c r="L879" s="41"/>
      <c r="M879" s="41"/>
      <c r="N879" s="41"/>
      <c r="O879" s="41"/>
      <c r="P879" s="43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</row>
    <row r="880" spans="1:45">
      <c r="A880" s="38"/>
      <c r="B880" s="38"/>
      <c r="C880" s="38"/>
      <c r="D880" s="38"/>
      <c r="E880" s="49"/>
      <c r="F880" s="49"/>
      <c r="G880" s="38"/>
      <c r="H880" s="49"/>
      <c r="I880" s="49"/>
      <c r="J880" s="49"/>
      <c r="K880" s="49"/>
      <c r="L880" s="41"/>
      <c r="M880" s="41"/>
      <c r="N880" s="41"/>
      <c r="O880" s="41"/>
      <c r="P880" s="43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</row>
    <row r="881" spans="1:45">
      <c r="A881" s="38"/>
      <c r="B881" s="38"/>
      <c r="C881" s="38"/>
      <c r="D881" s="38"/>
      <c r="E881" s="49"/>
      <c r="F881" s="49"/>
      <c r="G881" s="38"/>
      <c r="H881" s="49"/>
      <c r="I881" s="49"/>
      <c r="J881" s="49"/>
      <c r="K881" s="49"/>
      <c r="L881" s="41"/>
      <c r="M881" s="41"/>
      <c r="N881" s="41"/>
      <c r="O881" s="41"/>
      <c r="P881" s="43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</row>
    <row r="882" spans="1:45">
      <c r="A882" s="38"/>
      <c r="B882" s="38"/>
      <c r="C882" s="38"/>
      <c r="D882" s="38"/>
      <c r="E882" s="49"/>
      <c r="F882" s="49"/>
      <c r="G882" s="38"/>
      <c r="H882" s="49"/>
      <c r="I882" s="49"/>
      <c r="J882" s="49"/>
      <c r="K882" s="49"/>
      <c r="L882" s="41"/>
      <c r="M882" s="41"/>
      <c r="N882" s="41"/>
      <c r="O882" s="41"/>
      <c r="P882" s="43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</row>
    <row r="883" spans="1:45">
      <c r="A883" s="38"/>
      <c r="B883" s="38"/>
      <c r="C883" s="38"/>
      <c r="D883" s="38"/>
      <c r="E883" s="49"/>
      <c r="F883" s="49"/>
      <c r="G883" s="38"/>
      <c r="H883" s="49"/>
      <c r="I883" s="49"/>
      <c r="J883" s="49"/>
      <c r="K883" s="49"/>
      <c r="L883" s="41"/>
      <c r="M883" s="41"/>
      <c r="N883" s="41"/>
      <c r="O883" s="41"/>
      <c r="P883" s="43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</row>
    <row r="884" spans="1:45">
      <c r="A884" s="38"/>
      <c r="B884" s="38"/>
      <c r="C884" s="38"/>
      <c r="D884" s="38"/>
      <c r="E884" s="49"/>
      <c r="F884" s="49"/>
      <c r="G884" s="38"/>
      <c r="H884" s="49"/>
      <c r="I884" s="49"/>
      <c r="J884" s="49"/>
      <c r="K884" s="49"/>
      <c r="L884" s="41"/>
      <c r="M884" s="41"/>
      <c r="N884" s="41"/>
      <c r="O884" s="41"/>
      <c r="P884" s="43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</row>
    <row r="885" spans="1:45">
      <c r="A885" s="38"/>
      <c r="B885" s="38"/>
      <c r="C885" s="38"/>
      <c r="D885" s="38"/>
      <c r="E885" s="49"/>
      <c r="F885" s="49"/>
      <c r="G885" s="38"/>
      <c r="H885" s="49"/>
      <c r="I885" s="49"/>
      <c r="J885" s="49"/>
      <c r="K885" s="49"/>
      <c r="L885" s="41"/>
      <c r="M885" s="41"/>
      <c r="N885" s="41"/>
      <c r="O885" s="41"/>
      <c r="P885" s="43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</row>
    <row r="886" spans="1:45">
      <c r="A886" s="38"/>
      <c r="B886" s="38"/>
      <c r="C886" s="38"/>
      <c r="D886" s="38"/>
      <c r="E886" s="49"/>
      <c r="F886" s="49"/>
      <c r="G886" s="38"/>
      <c r="H886" s="49"/>
      <c r="I886" s="49"/>
      <c r="J886" s="49"/>
      <c r="K886" s="49"/>
      <c r="L886" s="41"/>
      <c r="M886" s="41"/>
      <c r="N886" s="41"/>
      <c r="O886" s="41"/>
      <c r="P886" s="43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</row>
    <row r="887" spans="1:45">
      <c r="A887" s="38"/>
      <c r="B887" s="38"/>
      <c r="C887" s="38"/>
      <c r="D887" s="38"/>
      <c r="E887" s="49"/>
      <c r="F887" s="49"/>
      <c r="G887" s="38"/>
      <c r="H887" s="49"/>
      <c r="I887" s="49"/>
      <c r="J887" s="49"/>
      <c r="K887" s="49"/>
      <c r="L887" s="41"/>
      <c r="M887" s="41"/>
      <c r="N887" s="41"/>
      <c r="O887" s="41"/>
      <c r="P887" s="43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</row>
    <row r="888" spans="1:45">
      <c r="A888" s="38"/>
      <c r="B888" s="38"/>
      <c r="C888" s="38"/>
      <c r="D888" s="38"/>
      <c r="E888" s="49"/>
      <c r="F888" s="49"/>
      <c r="G888" s="38"/>
      <c r="H888" s="49"/>
      <c r="I888" s="49"/>
      <c r="J888" s="49"/>
      <c r="K888" s="49"/>
      <c r="L888" s="41"/>
      <c r="M888" s="41"/>
      <c r="N888" s="41"/>
      <c r="O888" s="41"/>
      <c r="P888" s="43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</row>
    <row r="889" spans="1:45">
      <c r="A889" s="38"/>
      <c r="B889" s="38"/>
      <c r="C889" s="38"/>
      <c r="D889" s="38"/>
      <c r="E889" s="49"/>
      <c r="F889" s="49"/>
      <c r="G889" s="38"/>
      <c r="H889" s="49"/>
      <c r="I889" s="49"/>
      <c r="J889" s="49"/>
      <c r="K889" s="49"/>
      <c r="L889" s="41"/>
      <c r="M889" s="41"/>
      <c r="N889" s="41"/>
      <c r="O889" s="41"/>
      <c r="P889" s="43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</row>
    <row r="890" spans="1:45">
      <c r="A890" s="38"/>
      <c r="B890" s="38"/>
      <c r="C890" s="38"/>
      <c r="D890" s="38"/>
      <c r="E890" s="49"/>
      <c r="F890" s="49"/>
      <c r="G890" s="38"/>
      <c r="H890" s="49"/>
      <c r="I890" s="49"/>
      <c r="J890" s="49"/>
      <c r="K890" s="49"/>
      <c r="L890" s="41"/>
      <c r="M890" s="41"/>
      <c r="N890" s="41"/>
      <c r="O890" s="41"/>
      <c r="P890" s="43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</row>
    <row r="891" spans="1:45">
      <c r="A891" s="38"/>
      <c r="B891" s="38"/>
      <c r="C891" s="38"/>
      <c r="D891" s="38"/>
      <c r="E891" s="49"/>
      <c r="F891" s="49"/>
      <c r="G891" s="38"/>
      <c r="H891" s="49"/>
      <c r="I891" s="49"/>
      <c r="J891" s="49"/>
      <c r="K891" s="49"/>
      <c r="L891" s="41"/>
      <c r="M891" s="41"/>
      <c r="N891" s="41"/>
      <c r="O891" s="41"/>
      <c r="P891" s="43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</row>
    <row r="892" spans="1:45">
      <c r="A892" s="38"/>
      <c r="B892" s="38"/>
      <c r="C892" s="38"/>
      <c r="D892" s="38"/>
      <c r="E892" s="49"/>
      <c r="F892" s="49"/>
      <c r="G892" s="38"/>
      <c r="H892" s="49"/>
      <c r="I892" s="49"/>
      <c r="J892" s="49"/>
      <c r="K892" s="49"/>
      <c r="L892" s="41"/>
      <c r="M892" s="41"/>
      <c r="N892" s="41"/>
      <c r="O892" s="41"/>
      <c r="P892" s="43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</row>
    <row r="893" spans="1:45">
      <c r="A893" s="38"/>
      <c r="B893" s="38"/>
      <c r="C893" s="38"/>
      <c r="D893" s="38"/>
      <c r="E893" s="49"/>
      <c r="F893" s="49"/>
      <c r="G893" s="38"/>
      <c r="H893" s="49"/>
      <c r="I893" s="49"/>
      <c r="J893" s="49"/>
      <c r="K893" s="49"/>
      <c r="L893" s="41"/>
      <c r="M893" s="41"/>
      <c r="N893" s="41"/>
      <c r="O893" s="41"/>
      <c r="P893" s="43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</row>
    <row r="894" spans="1:45">
      <c r="A894" s="38"/>
      <c r="B894" s="38"/>
      <c r="C894" s="38"/>
      <c r="D894" s="38"/>
      <c r="E894" s="49"/>
      <c r="F894" s="49"/>
      <c r="G894" s="38"/>
      <c r="H894" s="49"/>
      <c r="I894" s="49"/>
      <c r="J894" s="49"/>
      <c r="K894" s="49"/>
      <c r="L894" s="41"/>
      <c r="M894" s="41"/>
      <c r="N894" s="41"/>
      <c r="O894" s="41"/>
      <c r="P894" s="43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</row>
    <row r="895" spans="1:45">
      <c r="A895" s="38"/>
      <c r="B895" s="38"/>
      <c r="C895" s="38"/>
      <c r="D895" s="38"/>
      <c r="E895" s="49"/>
      <c r="F895" s="49"/>
      <c r="G895" s="38"/>
      <c r="H895" s="49"/>
      <c r="I895" s="49"/>
      <c r="J895" s="49"/>
      <c r="K895" s="49"/>
      <c r="L895" s="41"/>
      <c r="M895" s="41"/>
      <c r="N895" s="41"/>
      <c r="O895" s="41"/>
      <c r="P895" s="43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</row>
    <row r="896" spans="1:45">
      <c r="A896" s="38"/>
      <c r="B896" s="38"/>
      <c r="C896" s="38"/>
      <c r="D896" s="38"/>
      <c r="E896" s="49"/>
      <c r="F896" s="49"/>
      <c r="G896" s="38"/>
      <c r="H896" s="49"/>
      <c r="I896" s="49"/>
      <c r="J896" s="49"/>
      <c r="K896" s="49"/>
      <c r="L896" s="41"/>
      <c r="M896" s="41"/>
      <c r="N896" s="41"/>
      <c r="O896" s="41"/>
      <c r="P896" s="43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</row>
    <row r="897" spans="1:45">
      <c r="A897" s="38"/>
      <c r="B897" s="38"/>
      <c r="C897" s="38"/>
      <c r="D897" s="38"/>
      <c r="E897" s="49"/>
      <c r="F897" s="49"/>
      <c r="G897" s="38"/>
      <c r="H897" s="49"/>
      <c r="I897" s="49"/>
      <c r="J897" s="49"/>
      <c r="K897" s="49"/>
      <c r="L897" s="41"/>
      <c r="M897" s="41"/>
      <c r="N897" s="41"/>
      <c r="O897" s="41"/>
      <c r="P897" s="43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</row>
    <row r="898" spans="1:45">
      <c r="A898" s="38"/>
      <c r="B898" s="38"/>
      <c r="C898" s="38"/>
      <c r="D898" s="38"/>
      <c r="E898" s="49"/>
      <c r="F898" s="49"/>
      <c r="G898" s="38"/>
      <c r="H898" s="49"/>
      <c r="I898" s="49"/>
      <c r="J898" s="49"/>
      <c r="K898" s="49"/>
      <c r="L898" s="41"/>
      <c r="M898" s="41"/>
      <c r="N898" s="41"/>
      <c r="O898" s="41"/>
      <c r="P898" s="43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</row>
    <row r="899" spans="1:45">
      <c r="A899" s="38"/>
      <c r="B899" s="38"/>
      <c r="C899" s="38"/>
      <c r="D899" s="38"/>
      <c r="E899" s="49"/>
      <c r="F899" s="49"/>
      <c r="G899" s="38"/>
      <c r="H899" s="49"/>
      <c r="I899" s="49"/>
      <c r="J899" s="49"/>
      <c r="K899" s="49"/>
      <c r="L899" s="41"/>
      <c r="M899" s="41"/>
      <c r="N899" s="41"/>
      <c r="O899" s="41"/>
      <c r="P899" s="43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</row>
    <row r="900" spans="1:45">
      <c r="A900" s="38"/>
      <c r="B900" s="38"/>
      <c r="C900" s="38"/>
      <c r="D900" s="38"/>
      <c r="E900" s="49"/>
      <c r="F900" s="49"/>
      <c r="G900" s="38"/>
      <c r="H900" s="49"/>
      <c r="I900" s="49"/>
      <c r="J900" s="49"/>
      <c r="K900" s="49"/>
      <c r="L900" s="41"/>
      <c r="M900" s="41"/>
      <c r="N900" s="41"/>
      <c r="O900" s="41"/>
      <c r="P900" s="43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</row>
    <row r="901" spans="1:45">
      <c r="A901" s="38"/>
      <c r="B901" s="38"/>
      <c r="C901" s="38"/>
      <c r="D901" s="38"/>
      <c r="E901" s="49"/>
      <c r="F901" s="49"/>
      <c r="G901" s="38"/>
      <c r="H901" s="49"/>
      <c r="I901" s="49"/>
      <c r="J901" s="49"/>
      <c r="K901" s="49"/>
      <c r="L901" s="41"/>
      <c r="M901" s="41"/>
      <c r="N901" s="41"/>
      <c r="O901" s="41"/>
      <c r="P901" s="43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</row>
    <row r="902" spans="1:45">
      <c r="A902" s="38"/>
      <c r="B902" s="38"/>
      <c r="C902" s="38"/>
      <c r="D902" s="38"/>
      <c r="E902" s="49"/>
      <c r="F902" s="49"/>
      <c r="G902" s="38"/>
      <c r="H902" s="49"/>
      <c r="I902" s="49"/>
      <c r="J902" s="49"/>
      <c r="K902" s="49"/>
      <c r="L902" s="41"/>
      <c r="M902" s="41"/>
      <c r="N902" s="41"/>
      <c r="O902" s="41"/>
      <c r="P902" s="43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</row>
    <row r="903" spans="1:45">
      <c r="A903" s="38"/>
      <c r="B903" s="38"/>
      <c r="C903" s="38"/>
      <c r="D903" s="38"/>
      <c r="E903" s="49"/>
      <c r="F903" s="49"/>
      <c r="G903" s="38"/>
      <c r="H903" s="49"/>
      <c r="I903" s="49"/>
      <c r="J903" s="49"/>
      <c r="K903" s="49"/>
      <c r="L903" s="41"/>
      <c r="M903" s="41"/>
      <c r="N903" s="41"/>
      <c r="O903" s="41"/>
      <c r="P903" s="43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</row>
    <row r="904" spans="1:45">
      <c r="A904" s="38"/>
      <c r="B904" s="38"/>
      <c r="C904" s="38"/>
      <c r="D904" s="38"/>
      <c r="E904" s="49"/>
      <c r="F904" s="49"/>
      <c r="G904" s="38"/>
      <c r="H904" s="49"/>
      <c r="I904" s="49"/>
      <c r="J904" s="49"/>
      <c r="K904" s="49"/>
      <c r="L904" s="41"/>
      <c r="M904" s="41"/>
      <c r="N904" s="41"/>
      <c r="O904" s="41"/>
      <c r="P904" s="43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</row>
    <row r="905" spans="1:45">
      <c r="A905" s="38"/>
      <c r="B905" s="38"/>
      <c r="C905" s="38"/>
      <c r="D905" s="38"/>
      <c r="E905" s="49"/>
      <c r="F905" s="49"/>
      <c r="G905" s="38"/>
      <c r="H905" s="49"/>
      <c r="I905" s="49"/>
      <c r="J905" s="49"/>
      <c r="K905" s="49"/>
      <c r="L905" s="41"/>
      <c r="M905" s="41"/>
      <c r="N905" s="41"/>
      <c r="O905" s="41"/>
      <c r="P905" s="43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</row>
    <row r="906" spans="1:45">
      <c r="A906" s="38"/>
      <c r="B906" s="38"/>
      <c r="C906" s="38"/>
      <c r="D906" s="38"/>
      <c r="E906" s="49"/>
      <c r="F906" s="49"/>
      <c r="G906" s="38"/>
      <c r="H906" s="49"/>
      <c r="I906" s="49"/>
      <c r="J906" s="49"/>
      <c r="K906" s="49"/>
      <c r="L906" s="41"/>
      <c r="M906" s="41"/>
      <c r="N906" s="41"/>
      <c r="O906" s="41"/>
      <c r="P906" s="43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</row>
    <row r="907" spans="1:45">
      <c r="A907" s="38"/>
      <c r="B907" s="38"/>
      <c r="C907" s="38"/>
      <c r="D907" s="38"/>
      <c r="E907" s="49"/>
      <c r="F907" s="49"/>
      <c r="G907" s="38"/>
      <c r="H907" s="49"/>
      <c r="I907" s="49"/>
      <c r="J907" s="49"/>
      <c r="K907" s="49"/>
      <c r="L907" s="41"/>
      <c r="M907" s="41"/>
      <c r="N907" s="41"/>
      <c r="O907" s="41"/>
      <c r="P907" s="43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</row>
    <row r="908" spans="1:45">
      <c r="A908" s="38"/>
      <c r="B908" s="38"/>
      <c r="C908" s="38"/>
      <c r="D908" s="38"/>
      <c r="E908" s="49"/>
      <c r="F908" s="49"/>
      <c r="G908" s="38"/>
      <c r="H908" s="49"/>
      <c r="I908" s="49"/>
      <c r="J908" s="49"/>
      <c r="K908" s="49"/>
      <c r="L908" s="41"/>
      <c r="M908" s="41"/>
      <c r="N908" s="41"/>
      <c r="O908" s="41"/>
      <c r="P908" s="43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</row>
    <row r="909" spans="1:45">
      <c r="A909" s="38"/>
      <c r="B909" s="38"/>
      <c r="C909" s="38"/>
      <c r="D909" s="38"/>
      <c r="E909" s="49"/>
      <c r="F909" s="49"/>
      <c r="G909" s="38"/>
      <c r="H909" s="49"/>
      <c r="I909" s="49"/>
      <c r="J909" s="49"/>
      <c r="K909" s="49"/>
      <c r="L909" s="41"/>
      <c r="M909" s="41"/>
      <c r="N909" s="41"/>
      <c r="O909" s="41"/>
      <c r="P909" s="43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</row>
    <row r="910" spans="1:45">
      <c r="A910" s="38"/>
      <c r="B910" s="38"/>
      <c r="C910" s="38"/>
      <c r="D910" s="38"/>
      <c r="E910" s="49"/>
      <c r="F910" s="49"/>
      <c r="G910" s="38"/>
      <c r="H910" s="49"/>
      <c r="I910" s="49"/>
      <c r="J910" s="49"/>
      <c r="K910" s="49"/>
      <c r="L910" s="41"/>
      <c r="M910" s="41"/>
      <c r="N910" s="41"/>
      <c r="O910" s="41"/>
      <c r="P910" s="43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</row>
    <row r="911" spans="1:45">
      <c r="A911" s="38"/>
      <c r="B911" s="38"/>
      <c r="C911" s="38"/>
      <c r="D911" s="38"/>
      <c r="E911" s="49"/>
      <c r="F911" s="49"/>
      <c r="G911" s="38"/>
      <c r="H911" s="49"/>
      <c r="I911" s="49"/>
      <c r="J911" s="49"/>
      <c r="K911" s="49"/>
      <c r="L911" s="41"/>
      <c r="M911" s="41"/>
      <c r="N911" s="41"/>
      <c r="O911" s="41"/>
      <c r="P911" s="43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</row>
    <row r="912" spans="1:45">
      <c r="A912" s="38"/>
      <c r="B912" s="38"/>
      <c r="C912" s="38"/>
      <c r="D912" s="38"/>
      <c r="E912" s="49"/>
      <c r="F912" s="49"/>
      <c r="G912" s="38"/>
      <c r="H912" s="49"/>
      <c r="I912" s="49"/>
      <c r="J912" s="49"/>
      <c r="K912" s="49"/>
      <c r="L912" s="41"/>
      <c r="M912" s="41"/>
      <c r="N912" s="41"/>
      <c r="O912" s="41"/>
      <c r="P912" s="43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</row>
    <row r="913" spans="1:45">
      <c r="A913" s="38"/>
      <c r="B913" s="38"/>
      <c r="C913" s="38"/>
      <c r="D913" s="38"/>
      <c r="E913" s="49"/>
      <c r="F913" s="49"/>
      <c r="G913" s="38"/>
      <c r="H913" s="49"/>
      <c r="I913" s="49"/>
      <c r="J913" s="49"/>
      <c r="K913" s="49"/>
      <c r="L913" s="41"/>
      <c r="M913" s="41"/>
      <c r="N913" s="41"/>
      <c r="O913" s="41"/>
      <c r="P913" s="43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</row>
    <row r="914" spans="1:45">
      <c r="A914" s="38"/>
      <c r="B914" s="38"/>
      <c r="C914" s="38"/>
      <c r="D914" s="38"/>
      <c r="E914" s="49"/>
      <c r="F914" s="49"/>
      <c r="G914" s="38"/>
      <c r="H914" s="49"/>
      <c r="I914" s="49"/>
      <c r="J914" s="49"/>
      <c r="K914" s="49"/>
      <c r="L914" s="41"/>
      <c r="M914" s="41"/>
      <c r="N914" s="41"/>
      <c r="O914" s="41"/>
      <c r="P914" s="43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</row>
    <row r="915" spans="1:45">
      <c r="A915" s="38"/>
      <c r="B915" s="38"/>
      <c r="C915" s="38"/>
      <c r="D915" s="38"/>
      <c r="E915" s="49"/>
      <c r="F915" s="49"/>
      <c r="G915" s="38"/>
      <c r="H915" s="49"/>
      <c r="I915" s="49"/>
      <c r="J915" s="49"/>
      <c r="K915" s="49"/>
      <c r="L915" s="41"/>
      <c r="M915" s="41"/>
      <c r="N915" s="41"/>
      <c r="O915" s="41"/>
      <c r="P915" s="43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</row>
    <row r="916" spans="1:45">
      <c r="A916" s="38"/>
      <c r="B916" s="38"/>
      <c r="C916" s="38"/>
      <c r="D916" s="38"/>
      <c r="E916" s="49"/>
      <c r="F916" s="49"/>
      <c r="G916" s="38"/>
      <c r="H916" s="49"/>
      <c r="I916" s="49"/>
      <c r="J916" s="49"/>
      <c r="K916" s="49"/>
      <c r="L916" s="41"/>
      <c r="M916" s="41"/>
      <c r="N916" s="41"/>
      <c r="O916" s="41"/>
      <c r="P916" s="43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</row>
    <row r="917" spans="1:45">
      <c r="A917" s="38"/>
      <c r="B917" s="38"/>
      <c r="C917" s="38"/>
      <c r="D917" s="38"/>
      <c r="E917" s="49"/>
      <c r="F917" s="49"/>
      <c r="G917" s="38"/>
      <c r="H917" s="49"/>
      <c r="I917" s="49"/>
      <c r="J917" s="49"/>
      <c r="K917" s="49"/>
      <c r="L917" s="41"/>
      <c r="M917" s="41"/>
      <c r="N917" s="41"/>
      <c r="O917" s="41"/>
      <c r="P917" s="43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</row>
    <row r="918" spans="1:45">
      <c r="A918" s="38"/>
      <c r="B918" s="38"/>
      <c r="C918" s="38"/>
      <c r="D918" s="38"/>
      <c r="E918" s="49"/>
      <c r="F918" s="49"/>
      <c r="G918" s="38"/>
      <c r="H918" s="49"/>
      <c r="I918" s="49"/>
      <c r="J918" s="49"/>
      <c r="K918" s="49"/>
      <c r="L918" s="41"/>
      <c r="M918" s="41"/>
      <c r="N918" s="41"/>
      <c r="O918" s="41"/>
      <c r="P918" s="43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</row>
    <row r="919" spans="1:45">
      <c r="A919" s="38"/>
      <c r="B919" s="38"/>
      <c r="C919" s="38"/>
      <c r="D919" s="38"/>
      <c r="E919" s="49"/>
      <c r="F919" s="49"/>
      <c r="G919" s="38"/>
      <c r="H919" s="49"/>
      <c r="I919" s="49"/>
      <c r="J919" s="49"/>
      <c r="K919" s="49"/>
      <c r="L919" s="41"/>
      <c r="M919" s="41"/>
      <c r="N919" s="41"/>
      <c r="O919" s="41"/>
      <c r="P919" s="43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</row>
    <row r="920" spans="1:45">
      <c r="A920" s="38"/>
      <c r="B920" s="38"/>
      <c r="C920" s="38"/>
      <c r="D920" s="38"/>
      <c r="E920" s="49"/>
      <c r="F920" s="49"/>
      <c r="G920" s="38"/>
      <c r="H920" s="49"/>
      <c r="I920" s="49"/>
      <c r="J920" s="49"/>
      <c r="K920" s="49"/>
      <c r="L920" s="41"/>
      <c r="M920" s="41"/>
      <c r="N920" s="41"/>
      <c r="O920" s="41"/>
      <c r="P920" s="43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</row>
    <row r="921" spans="1:45">
      <c r="A921" s="38"/>
      <c r="B921" s="38"/>
      <c r="C921" s="38"/>
      <c r="D921" s="38"/>
      <c r="E921" s="49"/>
      <c r="F921" s="49"/>
      <c r="G921" s="38"/>
      <c r="H921" s="49"/>
      <c r="I921" s="49"/>
      <c r="J921" s="49"/>
      <c r="K921" s="49"/>
      <c r="L921" s="41"/>
      <c r="M921" s="41"/>
      <c r="N921" s="41"/>
      <c r="O921" s="41"/>
      <c r="P921" s="43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</row>
    <row r="922" spans="1:45">
      <c r="A922" s="38"/>
      <c r="B922" s="38"/>
      <c r="C922" s="38"/>
      <c r="D922" s="38"/>
      <c r="E922" s="49"/>
      <c r="F922" s="49"/>
      <c r="G922" s="38"/>
      <c r="H922" s="49"/>
      <c r="I922" s="49"/>
      <c r="J922" s="49"/>
      <c r="K922" s="49"/>
      <c r="L922" s="41"/>
      <c r="M922" s="41"/>
      <c r="N922" s="41"/>
      <c r="O922" s="41"/>
      <c r="P922" s="43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</row>
    <row r="923" spans="1:45">
      <c r="A923" s="38"/>
      <c r="B923" s="38"/>
      <c r="C923" s="38"/>
      <c r="D923" s="38"/>
      <c r="E923" s="49"/>
      <c r="F923" s="49"/>
      <c r="G923" s="38"/>
      <c r="H923" s="49"/>
      <c r="I923" s="49"/>
      <c r="J923" s="49"/>
      <c r="K923" s="49"/>
      <c r="L923" s="41"/>
      <c r="M923" s="41"/>
      <c r="N923" s="41"/>
      <c r="O923" s="41"/>
      <c r="P923" s="43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</row>
    <row r="924" spans="1:45">
      <c r="A924" s="38"/>
      <c r="B924" s="38"/>
      <c r="C924" s="38"/>
      <c r="D924" s="38"/>
      <c r="E924" s="49"/>
      <c r="F924" s="49"/>
      <c r="G924" s="38"/>
      <c r="H924" s="49"/>
      <c r="I924" s="49"/>
      <c r="J924" s="49"/>
      <c r="K924" s="49"/>
      <c r="L924" s="41"/>
      <c r="M924" s="41"/>
      <c r="N924" s="41"/>
      <c r="O924" s="41"/>
      <c r="P924" s="43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</row>
    <row r="925" spans="1:45">
      <c r="A925" s="38"/>
      <c r="B925" s="38"/>
      <c r="C925" s="38"/>
      <c r="D925" s="38"/>
      <c r="E925" s="49"/>
      <c r="F925" s="49"/>
      <c r="G925" s="38"/>
      <c r="H925" s="49"/>
      <c r="I925" s="49"/>
      <c r="J925" s="49"/>
      <c r="K925" s="49"/>
      <c r="L925" s="41"/>
      <c r="M925" s="41"/>
      <c r="N925" s="41"/>
      <c r="O925" s="41"/>
      <c r="P925" s="43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</row>
    <row r="926" spans="1:45">
      <c r="A926" s="38"/>
      <c r="B926" s="38"/>
      <c r="C926" s="38"/>
      <c r="D926" s="38"/>
      <c r="E926" s="49"/>
      <c r="F926" s="49"/>
      <c r="G926" s="38"/>
      <c r="H926" s="49"/>
      <c r="I926" s="49"/>
      <c r="J926" s="49"/>
      <c r="K926" s="49"/>
      <c r="L926" s="41"/>
      <c r="M926" s="41"/>
      <c r="N926" s="41"/>
      <c r="O926" s="41"/>
      <c r="P926" s="43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</row>
    <row r="927" spans="1:45">
      <c r="A927" s="38"/>
      <c r="B927" s="38"/>
      <c r="C927" s="38"/>
      <c r="D927" s="38"/>
      <c r="E927" s="49"/>
      <c r="F927" s="49"/>
      <c r="G927" s="38"/>
      <c r="H927" s="49"/>
      <c r="I927" s="49"/>
      <c r="J927" s="49"/>
      <c r="K927" s="49"/>
      <c r="L927" s="41"/>
      <c r="M927" s="41"/>
      <c r="N927" s="41"/>
      <c r="O927" s="41"/>
      <c r="P927" s="43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</row>
    <row r="928" spans="1:45">
      <c r="A928" s="38"/>
      <c r="B928" s="38"/>
      <c r="C928" s="38"/>
      <c r="D928" s="38"/>
      <c r="E928" s="49"/>
      <c r="F928" s="49"/>
      <c r="G928" s="38"/>
      <c r="H928" s="49"/>
      <c r="I928" s="49"/>
      <c r="J928" s="49"/>
      <c r="K928" s="49"/>
      <c r="L928" s="41"/>
      <c r="M928" s="41"/>
      <c r="N928" s="41"/>
      <c r="O928" s="41"/>
      <c r="P928" s="43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</row>
    <row r="929" spans="1:45">
      <c r="A929" s="38"/>
      <c r="B929" s="38"/>
      <c r="C929" s="38"/>
      <c r="D929" s="38"/>
      <c r="E929" s="49"/>
      <c r="F929" s="49"/>
      <c r="G929" s="38"/>
      <c r="H929" s="49"/>
      <c r="I929" s="49"/>
      <c r="J929" s="49"/>
      <c r="K929" s="49"/>
      <c r="L929" s="41"/>
      <c r="M929" s="41"/>
      <c r="N929" s="41"/>
      <c r="O929" s="41"/>
      <c r="P929" s="43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</row>
    <row r="930" spans="1:45">
      <c r="A930" s="38"/>
      <c r="B930" s="38"/>
      <c r="C930" s="38"/>
      <c r="D930" s="38"/>
      <c r="E930" s="49"/>
      <c r="F930" s="49"/>
      <c r="G930" s="38"/>
      <c r="H930" s="49"/>
      <c r="I930" s="49"/>
      <c r="J930" s="49"/>
      <c r="K930" s="49"/>
      <c r="L930" s="41"/>
      <c r="M930" s="41"/>
      <c r="N930" s="41"/>
      <c r="O930" s="41"/>
      <c r="P930" s="43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</row>
    <row r="931" spans="1:45">
      <c r="A931" s="38"/>
      <c r="B931" s="38"/>
      <c r="C931" s="38"/>
      <c r="D931" s="38"/>
      <c r="E931" s="49"/>
      <c r="F931" s="49"/>
      <c r="G931" s="38"/>
      <c r="H931" s="49"/>
      <c r="I931" s="49"/>
      <c r="J931" s="49"/>
      <c r="K931" s="49"/>
      <c r="L931" s="41"/>
      <c r="M931" s="41"/>
      <c r="N931" s="41"/>
      <c r="O931" s="41"/>
      <c r="P931" s="43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</row>
    <row r="932" spans="1:45">
      <c r="A932" s="38"/>
      <c r="B932" s="38"/>
      <c r="C932" s="38"/>
      <c r="D932" s="38"/>
      <c r="E932" s="49"/>
      <c r="F932" s="49"/>
      <c r="G932" s="38"/>
      <c r="H932" s="49"/>
      <c r="I932" s="49"/>
      <c r="J932" s="49"/>
      <c r="K932" s="49"/>
      <c r="L932" s="41"/>
      <c r="M932" s="41"/>
      <c r="N932" s="41"/>
      <c r="O932" s="41"/>
      <c r="P932" s="43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</row>
    <row r="933" spans="1:45">
      <c r="A933" s="38"/>
      <c r="B933" s="38"/>
      <c r="C933" s="38"/>
      <c r="D933" s="38"/>
      <c r="E933" s="49"/>
      <c r="F933" s="49"/>
      <c r="G933" s="38"/>
      <c r="H933" s="49"/>
      <c r="I933" s="49"/>
      <c r="J933" s="49"/>
      <c r="K933" s="49"/>
      <c r="L933" s="41"/>
      <c r="M933" s="41"/>
      <c r="N933" s="41"/>
      <c r="O933" s="41"/>
      <c r="P933" s="43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</row>
    <row r="934" spans="1:45">
      <c r="A934" s="38"/>
      <c r="B934" s="38"/>
      <c r="C934" s="38"/>
      <c r="D934" s="38"/>
      <c r="E934" s="49"/>
      <c r="F934" s="49"/>
      <c r="G934" s="38"/>
      <c r="H934" s="49"/>
      <c r="I934" s="49"/>
      <c r="J934" s="49"/>
      <c r="K934" s="49"/>
      <c r="L934" s="41"/>
      <c r="M934" s="41"/>
      <c r="N934" s="41"/>
      <c r="O934" s="41"/>
      <c r="P934" s="43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</row>
    <row r="935" spans="1:45">
      <c r="A935" s="38"/>
      <c r="B935" s="38"/>
      <c r="C935" s="38"/>
      <c r="D935" s="38"/>
      <c r="E935" s="49"/>
      <c r="F935" s="49"/>
      <c r="G935" s="38"/>
      <c r="H935" s="49"/>
      <c r="I935" s="49"/>
      <c r="J935" s="49"/>
      <c r="K935" s="49"/>
      <c r="L935" s="41"/>
      <c r="M935" s="41"/>
      <c r="N935" s="41"/>
      <c r="O935" s="41"/>
      <c r="P935" s="43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</row>
    <row r="936" spans="1:45">
      <c r="A936" s="38"/>
      <c r="B936" s="38"/>
      <c r="C936" s="38"/>
      <c r="D936" s="38"/>
      <c r="E936" s="49"/>
      <c r="F936" s="49"/>
      <c r="G936" s="38"/>
      <c r="H936" s="49"/>
      <c r="I936" s="49"/>
      <c r="J936" s="49"/>
      <c r="K936" s="49"/>
      <c r="L936" s="41"/>
      <c r="M936" s="41"/>
      <c r="N936" s="41"/>
      <c r="O936" s="41"/>
      <c r="P936" s="43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</row>
    <row r="937" spans="1:45">
      <c r="A937" s="38"/>
      <c r="B937" s="38"/>
      <c r="C937" s="38"/>
      <c r="D937" s="38"/>
      <c r="E937" s="49"/>
      <c r="F937" s="49"/>
      <c r="G937" s="38"/>
      <c r="H937" s="49"/>
      <c r="I937" s="49"/>
      <c r="J937" s="49"/>
      <c r="K937" s="49"/>
      <c r="L937" s="41"/>
      <c r="M937" s="41"/>
      <c r="N937" s="41"/>
      <c r="O937" s="41"/>
      <c r="P937" s="43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</row>
    <row r="938" spans="1:45">
      <c r="A938" s="38"/>
      <c r="B938" s="38"/>
      <c r="C938" s="38"/>
      <c r="D938" s="38"/>
      <c r="E938" s="49"/>
      <c r="F938" s="49"/>
      <c r="G938" s="38"/>
      <c r="H938" s="49"/>
      <c r="I938" s="49"/>
      <c r="J938" s="49"/>
      <c r="K938" s="49"/>
      <c r="L938" s="41"/>
      <c r="M938" s="41"/>
      <c r="N938" s="41"/>
      <c r="O938" s="41"/>
      <c r="P938" s="43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</row>
    <row r="939" spans="1:45">
      <c r="A939" s="38"/>
      <c r="B939" s="38"/>
      <c r="C939" s="38"/>
      <c r="D939" s="38"/>
      <c r="E939" s="49"/>
      <c r="F939" s="49"/>
      <c r="G939" s="38"/>
      <c r="H939" s="49"/>
      <c r="I939" s="49"/>
      <c r="J939" s="49"/>
      <c r="K939" s="49"/>
      <c r="L939" s="41"/>
      <c r="M939" s="41"/>
      <c r="N939" s="41"/>
      <c r="O939" s="41"/>
      <c r="P939" s="43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</row>
    <row r="940" spans="1:45">
      <c r="A940" s="38"/>
      <c r="B940" s="38"/>
      <c r="C940" s="38"/>
      <c r="D940" s="38"/>
      <c r="E940" s="49"/>
      <c r="F940" s="49"/>
      <c r="G940" s="38"/>
      <c r="H940" s="49"/>
      <c r="I940" s="49"/>
      <c r="J940" s="49"/>
      <c r="K940" s="49"/>
      <c r="L940" s="41"/>
      <c r="M940" s="41"/>
      <c r="N940" s="41"/>
      <c r="O940" s="41"/>
      <c r="P940" s="43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</row>
    <row r="941" spans="1:45">
      <c r="A941" s="38"/>
      <c r="B941" s="38"/>
      <c r="C941" s="38"/>
      <c r="D941" s="38"/>
      <c r="E941" s="49"/>
      <c r="F941" s="49"/>
      <c r="G941" s="38"/>
      <c r="H941" s="49"/>
      <c r="I941" s="49"/>
      <c r="J941" s="49"/>
      <c r="K941" s="49"/>
      <c r="L941" s="41"/>
      <c r="M941" s="41"/>
      <c r="N941" s="41"/>
      <c r="O941" s="41"/>
      <c r="P941" s="43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</row>
    <row r="942" spans="1:45">
      <c r="A942" s="38"/>
      <c r="B942" s="38"/>
      <c r="C942" s="38"/>
      <c r="D942" s="38"/>
      <c r="E942" s="49"/>
      <c r="F942" s="49"/>
      <c r="G942" s="38"/>
      <c r="H942" s="49"/>
      <c r="I942" s="49"/>
      <c r="J942" s="49"/>
      <c r="K942" s="49"/>
      <c r="L942" s="41"/>
      <c r="M942" s="41"/>
      <c r="N942" s="41"/>
      <c r="O942" s="41"/>
      <c r="P942" s="43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</row>
    <row r="943" spans="1:45">
      <c r="A943" s="38"/>
      <c r="B943" s="38"/>
      <c r="C943" s="38"/>
      <c r="D943" s="38"/>
      <c r="E943" s="49"/>
      <c r="F943" s="49"/>
      <c r="G943" s="38"/>
      <c r="H943" s="49"/>
      <c r="I943" s="49"/>
      <c r="J943" s="49"/>
      <c r="K943" s="49"/>
      <c r="L943" s="41"/>
      <c r="M943" s="41"/>
      <c r="N943" s="41"/>
      <c r="O943" s="41"/>
      <c r="P943" s="43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</row>
    <row r="944" spans="1:45">
      <c r="A944" s="38"/>
      <c r="B944" s="38"/>
      <c r="C944" s="38"/>
      <c r="D944" s="38"/>
      <c r="E944" s="49"/>
      <c r="F944" s="49"/>
      <c r="G944" s="38"/>
      <c r="H944" s="49"/>
      <c r="I944" s="49"/>
      <c r="J944" s="49"/>
      <c r="K944" s="49"/>
      <c r="L944" s="41"/>
      <c r="M944" s="41"/>
      <c r="N944" s="41"/>
      <c r="O944" s="41"/>
      <c r="P944" s="43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</row>
    <row r="945" spans="1:45">
      <c r="A945" s="38"/>
      <c r="B945" s="38"/>
      <c r="C945" s="38"/>
      <c r="D945" s="38"/>
      <c r="E945" s="49"/>
      <c r="F945" s="49"/>
      <c r="G945" s="38"/>
      <c r="H945" s="49"/>
      <c r="I945" s="49"/>
      <c r="J945" s="49"/>
      <c r="K945" s="49"/>
      <c r="L945" s="41"/>
      <c r="M945" s="41"/>
      <c r="N945" s="41"/>
      <c r="O945" s="41"/>
      <c r="P945" s="43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</row>
    <row r="946" spans="1:45">
      <c r="A946" s="38"/>
      <c r="B946" s="38"/>
      <c r="C946" s="38"/>
      <c r="D946" s="38"/>
      <c r="E946" s="49"/>
      <c r="F946" s="49"/>
      <c r="G946" s="38"/>
      <c r="H946" s="49"/>
      <c r="I946" s="49"/>
      <c r="J946" s="49"/>
      <c r="K946" s="49"/>
      <c r="L946" s="41"/>
      <c r="M946" s="41"/>
      <c r="N946" s="41"/>
      <c r="O946" s="41"/>
      <c r="P946" s="43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</row>
    <row r="947" spans="1:45">
      <c r="A947" s="38"/>
      <c r="B947" s="38"/>
      <c r="C947" s="38"/>
      <c r="D947" s="38"/>
      <c r="E947" s="49"/>
      <c r="F947" s="49"/>
      <c r="G947" s="38"/>
      <c r="H947" s="49"/>
      <c r="I947" s="49"/>
      <c r="J947" s="49"/>
      <c r="K947" s="49"/>
      <c r="L947" s="41"/>
      <c r="M947" s="41"/>
      <c r="N947" s="41"/>
      <c r="O947" s="41"/>
      <c r="P947" s="43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</row>
    <row r="948" spans="1:45">
      <c r="A948" s="38"/>
      <c r="B948" s="38"/>
      <c r="C948" s="38"/>
      <c r="D948" s="38"/>
      <c r="E948" s="49"/>
      <c r="F948" s="49"/>
      <c r="G948" s="38"/>
      <c r="H948" s="49"/>
      <c r="I948" s="49"/>
      <c r="J948" s="49"/>
      <c r="K948" s="49"/>
      <c r="L948" s="41"/>
      <c r="M948" s="41"/>
      <c r="N948" s="41"/>
      <c r="O948" s="41"/>
      <c r="P948" s="43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</row>
    <row r="949" spans="1:45">
      <c r="A949" s="38"/>
      <c r="B949" s="38"/>
      <c r="C949" s="38"/>
      <c r="D949" s="38"/>
      <c r="E949" s="49"/>
      <c r="F949" s="49"/>
      <c r="G949" s="38"/>
      <c r="H949" s="49"/>
      <c r="I949" s="49"/>
      <c r="J949" s="49"/>
      <c r="K949" s="49"/>
      <c r="L949" s="41"/>
      <c r="M949" s="41"/>
      <c r="N949" s="41"/>
      <c r="O949" s="41"/>
      <c r="P949" s="43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</row>
    <row r="950" spans="1:45">
      <c r="A950" s="38"/>
      <c r="B950" s="38"/>
      <c r="C950" s="38"/>
      <c r="D950" s="38"/>
      <c r="E950" s="49"/>
      <c r="F950" s="49"/>
      <c r="G950" s="38"/>
      <c r="H950" s="49"/>
      <c r="I950" s="49"/>
      <c r="J950" s="49"/>
      <c r="K950" s="49"/>
      <c r="L950" s="41"/>
      <c r="M950" s="41"/>
      <c r="N950" s="41"/>
      <c r="O950" s="41"/>
      <c r="P950" s="43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</row>
    <row r="951" spans="1:45">
      <c r="A951" s="38"/>
      <c r="B951" s="38"/>
      <c r="C951" s="38"/>
      <c r="D951" s="38"/>
      <c r="E951" s="49"/>
      <c r="F951" s="49"/>
      <c r="G951" s="38"/>
      <c r="H951" s="49"/>
      <c r="I951" s="49"/>
      <c r="J951" s="49"/>
      <c r="K951" s="49"/>
      <c r="L951" s="41"/>
      <c r="M951" s="41"/>
      <c r="N951" s="41"/>
      <c r="O951" s="41"/>
      <c r="P951" s="43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</row>
    <row r="952" spans="1:45">
      <c r="A952" s="38"/>
      <c r="B952" s="38"/>
      <c r="C952" s="38"/>
      <c r="D952" s="38"/>
      <c r="E952" s="49"/>
      <c r="F952" s="49"/>
      <c r="G952" s="38"/>
      <c r="H952" s="49"/>
      <c r="I952" s="49"/>
      <c r="J952" s="49"/>
      <c r="K952" s="49"/>
      <c r="L952" s="41"/>
      <c r="M952" s="41"/>
      <c r="N952" s="41"/>
      <c r="O952" s="41"/>
      <c r="P952" s="43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</row>
    <row r="953" spans="1:45">
      <c r="A953" s="38"/>
      <c r="B953" s="38"/>
      <c r="C953" s="38"/>
      <c r="D953" s="38"/>
      <c r="E953" s="49"/>
      <c r="F953" s="49"/>
      <c r="G953" s="38"/>
      <c r="H953" s="49"/>
      <c r="I953" s="49"/>
      <c r="J953" s="49"/>
      <c r="K953" s="49"/>
      <c r="L953" s="41"/>
      <c r="M953" s="41"/>
      <c r="N953" s="41"/>
      <c r="O953" s="41"/>
      <c r="P953" s="43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</row>
    <row r="954" spans="1:45">
      <c r="A954" s="38"/>
      <c r="B954" s="38"/>
      <c r="C954" s="38"/>
      <c r="D954" s="38"/>
      <c r="E954" s="49"/>
      <c r="F954" s="49"/>
      <c r="G954" s="38"/>
      <c r="H954" s="49"/>
      <c r="I954" s="49"/>
      <c r="J954" s="49"/>
      <c r="K954" s="49"/>
      <c r="L954" s="41"/>
      <c r="M954" s="41"/>
      <c r="N954" s="41"/>
      <c r="O954" s="41"/>
      <c r="P954" s="43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</row>
    <row r="955" spans="1:45">
      <c r="A955" s="38"/>
      <c r="B955" s="38"/>
      <c r="C955" s="38"/>
      <c r="D955" s="38"/>
      <c r="E955" s="49"/>
      <c r="F955" s="49"/>
      <c r="G955" s="38"/>
      <c r="H955" s="49"/>
      <c r="I955" s="49"/>
      <c r="J955" s="49"/>
      <c r="K955" s="49"/>
      <c r="L955" s="41"/>
      <c r="M955" s="41"/>
      <c r="N955" s="41"/>
      <c r="O955" s="41"/>
      <c r="P955" s="43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</row>
    <row r="956" spans="1:45">
      <c r="A956" s="38"/>
      <c r="B956" s="38"/>
      <c r="C956" s="38"/>
      <c r="D956" s="38"/>
      <c r="E956" s="49"/>
      <c r="F956" s="49"/>
      <c r="G956" s="38"/>
      <c r="H956" s="49"/>
      <c r="I956" s="49"/>
      <c r="J956" s="49"/>
      <c r="K956" s="49"/>
      <c r="L956" s="41"/>
      <c r="M956" s="41"/>
      <c r="N956" s="41"/>
      <c r="O956" s="41"/>
      <c r="P956" s="43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</row>
    <row r="957" spans="1:45">
      <c r="A957" s="38"/>
      <c r="B957" s="38"/>
      <c r="C957" s="38"/>
      <c r="D957" s="38"/>
      <c r="E957" s="49"/>
      <c r="F957" s="49"/>
      <c r="G957" s="38"/>
      <c r="H957" s="49"/>
      <c r="I957" s="49"/>
      <c r="J957" s="49"/>
      <c r="K957" s="49"/>
      <c r="L957" s="41"/>
      <c r="M957" s="41"/>
      <c r="N957" s="41"/>
      <c r="O957" s="41"/>
      <c r="P957" s="43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</row>
    <row r="958" spans="1:45">
      <c r="A958" s="38"/>
      <c r="B958" s="38"/>
      <c r="C958" s="38"/>
      <c r="D958" s="38"/>
      <c r="E958" s="49"/>
      <c r="F958" s="49"/>
      <c r="G958" s="38"/>
      <c r="H958" s="49"/>
      <c r="I958" s="49"/>
      <c r="J958" s="49"/>
      <c r="K958" s="49"/>
      <c r="L958" s="41"/>
      <c r="M958" s="41"/>
      <c r="N958" s="41"/>
      <c r="O958" s="41"/>
      <c r="P958" s="43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</row>
    <row r="959" spans="1:45">
      <c r="A959" s="38"/>
      <c r="B959" s="38"/>
      <c r="C959" s="38"/>
      <c r="D959" s="38"/>
      <c r="E959" s="49"/>
      <c r="F959" s="49"/>
      <c r="G959" s="38"/>
      <c r="H959" s="49"/>
      <c r="I959" s="49"/>
      <c r="J959" s="49"/>
      <c r="K959" s="49"/>
      <c r="L959" s="41"/>
      <c r="M959" s="41"/>
      <c r="N959" s="41"/>
      <c r="O959" s="41"/>
      <c r="P959" s="43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</row>
    <row r="960" spans="1:45">
      <c r="A960" s="38"/>
      <c r="B960" s="38"/>
      <c r="C960" s="38"/>
      <c r="D960" s="38"/>
      <c r="E960" s="49"/>
      <c r="F960" s="49"/>
      <c r="G960" s="38"/>
      <c r="H960" s="49"/>
      <c r="I960" s="49"/>
      <c r="J960" s="49"/>
      <c r="K960" s="49"/>
      <c r="L960" s="41"/>
      <c r="M960" s="41"/>
      <c r="N960" s="41"/>
      <c r="O960" s="41"/>
      <c r="P960" s="43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</row>
    <row r="961" spans="1:45">
      <c r="A961" s="38"/>
      <c r="B961" s="38"/>
      <c r="C961" s="38"/>
      <c r="D961" s="38"/>
      <c r="E961" s="49"/>
      <c r="F961" s="49"/>
      <c r="G961" s="38"/>
      <c r="H961" s="49"/>
      <c r="I961" s="49"/>
      <c r="J961" s="49"/>
      <c r="K961" s="49"/>
      <c r="L961" s="41"/>
      <c r="M961" s="41"/>
      <c r="N961" s="41"/>
      <c r="O961" s="41"/>
      <c r="P961" s="43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</row>
    <row r="962" spans="1:45">
      <c r="A962" s="38"/>
      <c r="B962" s="38"/>
      <c r="C962" s="38"/>
      <c r="D962" s="38"/>
      <c r="E962" s="49"/>
      <c r="F962" s="49"/>
      <c r="G962" s="38"/>
      <c r="H962" s="49"/>
      <c r="I962" s="49"/>
      <c r="J962" s="49"/>
      <c r="K962" s="49"/>
      <c r="L962" s="41"/>
      <c r="M962" s="41"/>
      <c r="N962" s="41"/>
      <c r="O962" s="41"/>
      <c r="P962" s="43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</row>
    <row r="963" spans="1:45">
      <c r="A963" s="38"/>
      <c r="B963" s="38"/>
      <c r="C963" s="38"/>
      <c r="D963" s="38"/>
      <c r="E963" s="49"/>
      <c r="F963" s="49"/>
      <c r="G963" s="38"/>
      <c r="H963" s="49"/>
      <c r="I963" s="49"/>
      <c r="J963" s="49"/>
      <c r="K963" s="49"/>
      <c r="L963" s="41"/>
      <c r="M963" s="41"/>
      <c r="N963" s="41"/>
      <c r="O963" s="41"/>
      <c r="P963" s="43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</row>
    <row r="964" spans="1:45">
      <c r="A964" s="38"/>
      <c r="B964" s="38"/>
      <c r="C964" s="38"/>
      <c r="D964" s="38"/>
      <c r="E964" s="49"/>
      <c r="F964" s="49"/>
      <c r="G964" s="38"/>
      <c r="H964" s="49"/>
      <c r="I964" s="49"/>
      <c r="J964" s="49"/>
      <c r="K964" s="49"/>
      <c r="L964" s="41"/>
      <c r="M964" s="41"/>
      <c r="N964" s="41"/>
      <c r="O964" s="41"/>
      <c r="P964" s="43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</row>
    <row r="965" spans="1:45">
      <c r="A965" s="38"/>
      <c r="B965" s="38"/>
      <c r="C965" s="38"/>
      <c r="D965" s="38"/>
      <c r="E965" s="49"/>
      <c r="F965" s="49"/>
      <c r="G965" s="38"/>
      <c r="H965" s="49"/>
      <c r="I965" s="49"/>
      <c r="J965" s="49"/>
      <c r="K965" s="49"/>
      <c r="L965" s="41"/>
      <c r="M965" s="41"/>
      <c r="N965" s="41"/>
      <c r="O965" s="41"/>
      <c r="P965" s="43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</row>
    <row r="966" spans="1:45">
      <c r="A966" s="38"/>
      <c r="B966" s="38"/>
      <c r="C966" s="38"/>
      <c r="D966" s="38"/>
      <c r="E966" s="49"/>
      <c r="F966" s="49"/>
      <c r="G966" s="38"/>
      <c r="H966" s="49"/>
      <c r="I966" s="49"/>
      <c r="J966" s="49"/>
      <c r="K966" s="49"/>
      <c r="L966" s="41"/>
      <c r="M966" s="41"/>
      <c r="N966" s="41"/>
      <c r="O966" s="41"/>
      <c r="P966" s="43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</row>
    <row r="967" spans="1:45">
      <c r="A967" s="38"/>
      <c r="B967" s="38"/>
      <c r="C967" s="38"/>
      <c r="D967" s="38"/>
      <c r="E967" s="49"/>
      <c r="F967" s="49"/>
      <c r="G967" s="38"/>
      <c r="H967" s="49"/>
      <c r="I967" s="49"/>
      <c r="J967" s="49"/>
      <c r="K967" s="49"/>
      <c r="L967" s="41"/>
      <c r="M967" s="41"/>
      <c r="N967" s="41"/>
      <c r="O967" s="41"/>
      <c r="P967" s="43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</row>
    <row r="968" spans="1:45">
      <c r="A968" s="38"/>
      <c r="B968" s="38"/>
      <c r="C968" s="38"/>
      <c r="D968" s="38"/>
      <c r="E968" s="49"/>
      <c r="F968" s="49"/>
      <c r="G968" s="38"/>
      <c r="H968" s="49"/>
      <c r="I968" s="49"/>
      <c r="J968" s="49"/>
      <c r="K968" s="49"/>
      <c r="L968" s="41"/>
      <c r="M968" s="41"/>
      <c r="N968" s="41"/>
      <c r="O968" s="41"/>
      <c r="P968" s="43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</row>
    <row r="969" spans="1:45">
      <c r="A969" s="38"/>
      <c r="B969" s="38"/>
      <c r="C969" s="38"/>
      <c r="D969" s="38"/>
      <c r="E969" s="49"/>
      <c r="F969" s="49"/>
      <c r="G969" s="38"/>
      <c r="H969" s="49"/>
      <c r="I969" s="49"/>
      <c r="J969" s="49"/>
      <c r="K969" s="49"/>
      <c r="L969" s="41"/>
      <c r="M969" s="41"/>
      <c r="N969" s="41"/>
      <c r="O969" s="41"/>
      <c r="P969" s="43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</row>
    <row r="970" spans="1:45">
      <c r="A970" s="38"/>
      <c r="B970" s="38"/>
      <c r="C970" s="38"/>
      <c r="D970" s="38"/>
      <c r="E970" s="49"/>
      <c r="F970" s="49"/>
      <c r="G970" s="38"/>
      <c r="H970" s="49"/>
      <c r="I970" s="49"/>
      <c r="J970" s="49"/>
      <c r="K970" s="49"/>
      <c r="L970" s="41"/>
      <c r="M970" s="41"/>
      <c r="N970" s="41"/>
      <c r="O970" s="41"/>
      <c r="P970" s="43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</row>
    <row r="971" spans="1:45">
      <c r="A971" s="38"/>
      <c r="B971" s="38"/>
      <c r="C971" s="38"/>
      <c r="D971" s="38"/>
      <c r="E971" s="49"/>
      <c r="F971" s="49"/>
      <c r="G971" s="38"/>
      <c r="H971" s="49"/>
      <c r="I971" s="49"/>
      <c r="J971" s="49"/>
      <c r="K971" s="49"/>
      <c r="L971" s="41"/>
      <c r="M971" s="41"/>
      <c r="N971" s="41"/>
      <c r="O971" s="41"/>
      <c r="P971" s="43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</row>
    <row r="972" spans="1:45">
      <c r="A972" s="38"/>
      <c r="B972" s="38"/>
      <c r="C972" s="38"/>
      <c r="D972" s="38"/>
      <c r="E972" s="49"/>
      <c r="F972" s="49"/>
      <c r="G972" s="38"/>
      <c r="H972" s="49"/>
      <c r="I972" s="49"/>
      <c r="J972" s="49"/>
      <c r="K972" s="49"/>
      <c r="L972" s="41"/>
      <c r="M972" s="41"/>
      <c r="N972" s="41"/>
      <c r="O972" s="41"/>
      <c r="P972" s="43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</row>
    <row r="973" spans="1:45">
      <c r="A973" s="38"/>
      <c r="B973" s="38"/>
      <c r="C973" s="38"/>
      <c r="D973" s="38"/>
      <c r="E973" s="49"/>
      <c r="F973" s="49"/>
      <c r="G973" s="38"/>
      <c r="H973" s="49"/>
      <c r="I973" s="49"/>
      <c r="J973" s="49"/>
      <c r="K973" s="49"/>
      <c r="L973" s="41"/>
      <c r="M973" s="41"/>
      <c r="N973" s="41"/>
      <c r="O973" s="41"/>
      <c r="P973" s="43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</row>
    <row r="974" spans="1:45">
      <c r="A974" s="38"/>
      <c r="B974" s="38"/>
      <c r="C974" s="38"/>
      <c r="D974" s="38"/>
      <c r="E974" s="49"/>
      <c r="F974" s="49"/>
      <c r="G974" s="38"/>
      <c r="H974" s="49"/>
      <c r="I974" s="49"/>
      <c r="J974" s="49"/>
      <c r="K974" s="49"/>
      <c r="L974" s="41"/>
      <c r="M974" s="41"/>
      <c r="N974" s="41"/>
      <c r="O974" s="41"/>
      <c r="P974" s="43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</row>
    <row r="975" spans="1:45">
      <c r="A975" s="38"/>
      <c r="B975" s="38"/>
      <c r="C975" s="38"/>
      <c r="D975" s="38"/>
      <c r="E975" s="49"/>
      <c r="F975" s="49"/>
      <c r="G975" s="38"/>
      <c r="H975" s="49"/>
      <c r="I975" s="49"/>
      <c r="J975" s="49"/>
      <c r="K975" s="49"/>
      <c r="L975" s="41"/>
      <c r="M975" s="41"/>
      <c r="N975" s="41"/>
      <c r="O975" s="41"/>
      <c r="P975" s="43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</row>
    <row r="976" spans="1:45">
      <c r="A976" s="38"/>
      <c r="B976" s="38"/>
      <c r="C976" s="38"/>
      <c r="D976" s="38"/>
      <c r="E976" s="49"/>
      <c r="F976" s="49"/>
      <c r="G976" s="38"/>
      <c r="H976" s="49"/>
      <c r="I976" s="49"/>
      <c r="J976" s="49"/>
      <c r="K976" s="49"/>
      <c r="L976" s="41"/>
      <c r="M976" s="41"/>
      <c r="N976" s="41"/>
      <c r="O976" s="41"/>
      <c r="P976" s="43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</row>
    <row r="977" spans="1:45">
      <c r="A977" s="38"/>
      <c r="B977" s="38"/>
      <c r="C977" s="38"/>
      <c r="D977" s="38"/>
      <c r="E977" s="49"/>
      <c r="F977" s="49"/>
      <c r="G977" s="38"/>
      <c r="H977" s="49"/>
      <c r="I977" s="49"/>
      <c r="J977" s="49"/>
      <c r="K977" s="49"/>
      <c r="L977" s="41"/>
      <c r="M977" s="41"/>
      <c r="N977" s="41"/>
      <c r="O977" s="41"/>
      <c r="P977" s="43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</row>
    <row r="978" spans="1:45">
      <c r="A978" s="38"/>
      <c r="B978" s="38"/>
      <c r="C978" s="38"/>
      <c r="D978" s="38"/>
      <c r="E978" s="49"/>
      <c r="F978" s="49"/>
      <c r="G978" s="38"/>
      <c r="H978" s="49"/>
      <c r="I978" s="49"/>
      <c r="J978" s="49"/>
      <c r="K978" s="49"/>
      <c r="L978" s="41"/>
      <c r="M978" s="41"/>
      <c r="N978" s="41"/>
      <c r="O978" s="41"/>
      <c r="P978" s="43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</row>
    <row r="979" spans="1:45">
      <c r="A979" s="38"/>
      <c r="B979" s="38"/>
      <c r="C979" s="38"/>
      <c r="D979" s="38"/>
      <c r="E979" s="49"/>
      <c r="F979" s="49"/>
      <c r="G979" s="38"/>
      <c r="H979" s="49"/>
      <c r="I979" s="49"/>
      <c r="J979" s="49"/>
      <c r="K979" s="49"/>
      <c r="L979" s="41"/>
      <c r="M979" s="41"/>
      <c r="N979" s="41"/>
      <c r="O979" s="41"/>
      <c r="P979" s="43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</row>
    <row r="980" spans="1:45">
      <c r="A980" s="38"/>
      <c r="B980" s="38"/>
      <c r="C980" s="38"/>
      <c r="D980" s="38"/>
      <c r="E980" s="49"/>
      <c r="F980" s="49"/>
      <c r="G980" s="38"/>
      <c r="H980" s="49"/>
      <c r="I980" s="49"/>
      <c r="J980" s="49"/>
      <c r="K980" s="49"/>
      <c r="L980" s="41"/>
      <c r="M980" s="41"/>
      <c r="N980" s="41"/>
      <c r="O980" s="41"/>
      <c r="P980" s="43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</row>
    <row r="981" spans="1:45">
      <c r="A981" s="38"/>
      <c r="B981" s="38"/>
      <c r="C981" s="38"/>
      <c r="D981" s="38"/>
      <c r="E981" s="49"/>
      <c r="F981" s="49"/>
      <c r="G981" s="38"/>
      <c r="H981" s="49"/>
      <c r="I981" s="49"/>
      <c r="J981" s="49"/>
      <c r="K981" s="49"/>
      <c r="L981" s="41"/>
      <c r="M981" s="41"/>
      <c r="N981" s="41"/>
      <c r="O981" s="41"/>
      <c r="P981" s="43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</row>
    <row r="982" spans="1:45">
      <c r="A982" s="38"/>
      <c r="B982" s="38"/>
      <c r="C982" s="38"/>
      <c r="D982" s="38"/>
      <c r="E982" s="49"/>
      <c r="F982" s="49"/>
      <c r="G982" s="38"/>
      <c r="H982" s="49"/>
      <c r="I982" s="49"/>
      <c r="J982" s="49"/>
      <c r="K982" s="49"/>
      <c r="L982" s="41"/>
      <c r="M982" s="41"/>
      <c r="N982" s="41"/>
      <c r="O982" s="41"/>
      <c r="P982" s="43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</row>
    <row r="983" spans="1:45">
      <c r="A983" s="38"/>
      <c r="B983" s="38"/>
      <c r="C983" s="38"/>
      <c r="D983" s="38"/>
      <c r="E983" s="49"/>
      <c r="F983" s="49"/>
      <c r="G983" s="38"/>
      <c r="H983" s="49"/>
      <c r="I983" s="49"/>
      <c r="J983" s="49"/>
      <c r="K983" s="49"/>
      <c r="L983" s="41"/>
      <c r="M983" s="41"/>
      <c r="N983" s="41"/>
      <c r="O983" s="41"/>
      <c r="P983" s="43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</row>
    <row r="984" spans="1:45">
      <c r="A984" s="38"/>
      <c r="B984" s="38"/>
      <c r="C984" s="38"/>
      <c r="D984" s="38"/>
      <c r="E984" s="49"/>
      <c r="F984" s="49"/>
      <c r="G984" s="38"/>
      <c r="H984" s="49"/>
      <c r="I984" s="49"/>
      <c r="J984" s="49"/>
      <c r="K984" s="49"/>
      <c r="L984" s="41"/>
      <c r="M984" s="41"/>
      <c r="N984" s="41"/>
      <c r="O984" s="41"/>
      <c r="P984" s="43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</row>
    <row r="985" spans="1:45">
      <c r="A985" s="38"/>
      <c r="B985" s="38"/>
      <c r="C985" s="38"/>
      <c r="D985" s="38"/>
      <c r="E985" s="49"/>
      <c r="F985" s="49"/>
      <c r="G985" s="38"/>
      <c r="H985" s="49"/>
      <c r="I985" s="49"/>
      <c r="J985" s="49"/>
      <c r="K985" s="49"/>
      <c r="L985" s="41"/>
      <c r="M985" s="41"/>
      <c r="N985" s="41"/>
      <c r="O985" s="41"/>
      <c r="P985" s="43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</row>
    <row r="986" spans="1:45">
      <c r="A986" s="38"/>
      <c r="B986" s="38"/>
      <c r="C986" s="38"/>
      <c r="D986" s="38"/>
      <c r="E986" s="49"/>
      <c r="F986" s="49"/>
      <c r="G986" s="38"/>
      <c r="H986" s="49"/>
      <c r="I986" s="49"/>
      <c r="J986" s="49"/>
      <c r="K986" s="49"/>
      <c r="L986" s="41"/>
      <c r="M986" s="41"/>
      <c r="N986" s="41"/>
      <c r="O986" s="41"/>
      <c r="P986" s="43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</row>
    <row r="987" spans="1:45">
      <c r="A987" s="38"/>
      <c r="B987" s="38"/>
      <c r="C987" s="38"/>
      <c r="D987" s="38"/>
      <c r="E987" s="49"/>
      <c r="F987" s="49"/>
      <c r="G987" s="38"/>
      <c r="H987" s="49"/>
      <c r="I987" s="49"/>
      <c r="J987" s="49"/>
      <c r="K987" s="49"/>
      <c r="L987" s="41"/>
      <c r="M987" s="41"/>
      <c r="N987" s="41"/>
      <c r="O987" s="41"/>
      <c r="P987" s="43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</row>
    <row r="988" spans="1:45">
      <c r="A988" s="38"/>
      <c r="B988" s="38"/>
      <c r="C988" s="38"/>
      <c r="D988" s="38"/>
      <c r="E988" s="49"/>
      <c r="F988" s="49"/>
      <c r="G988" s="38"/>
      <c r="H988" s="49"/>
      <c r="I988" s="49"/>
      <c r="J988" s="49"/>
      <c r="K988" s="49"/>
      <c r="L988" s="41"/>
      <c r="M988" s="41"/>
      <c r="N988" s="41"/>
      <c r="O988" s="41"/>
      <c r="P988" s="43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</row>
    <row r="989" spans="1:45">
      <c r="A989" s="38"/>
      <c r="B989" s="38"/>
      <c r="C989" s="38"/>
      <c r="D989" s="38"/>
      <c r="E989" s="49"/>
      <c r="F989" s="49"/>
      <c r="G989" s="38"/>
      <c r="H989" s="49"/>
      <c r="I989" s="49"/>
      <c r="J989" s="49"/>
      <c r="K989" s="49"/>
      <c r="L989" s="41"/>
      <c r="M989" s="41"/>
      <c r="N989" s="41"/>
      <c r="O989" s="41"/>
      <c r="P989" s="43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</row>
    <row r="990" spans="1:45">
      <c r="A990" s="38"/>
      <c r="B990" s="38"/>
      <c r="C990" s="38"/>
      <c r="D990" s="38"/>
      <c r="E990" s="49"/>
      <c r="F990" s="49"/>
      <c r="G990" s="38"/>
      <c r="H990" s="49"/>
      <c r="I990" s="49"/>
      <c r="J990" s="49"/>
      <c r="K990" s="49"/>
      <c r="L990" s="41"/>
      <c r="M990" s="41"/>
      <c r="N990" s="41"/>
      <c r="O990" s="41"/>
      <c r="P990" s="43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</row>
    <row r="991" spans="1:45">
      <c r="A991" s="38"/>
      <c r="B991" s="38"/>
      <c r="C991" s="38"/>
      <c r="D991" s="38"/>
      <c r="E991" s="49"/>
      <c r="F991" s="49"/>
      <c r="G991" s="38"/>
      <c r="H991" s="49"/>
      <c r="I991" s="49"/>
      <c r="J991" s="49"/>
      <c r="K991" s="49"/>
      <c r="L991" s="41"/>
      <c r="M991" s="41"/>
      <c r="N991" s="41"/>
      <c r="O991" s="41"/>
      <c r="P991" s="43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</row>
    <row r="992" spans="1:45">
      <c r="A992" s="38"/>
      <c r="B992" s="38"/>
      <c r="C992" s="38"/>
      <c r="D992" s="38"/>
      <c r="E992" s="49"/>
      <c r="F992" s="49"/>
      <c r="G992" s="38"/>
      <c r="H992" s="49"/>
      <c r="I992" s="49"/>
      <c r="J992" s="49"/>
      <c r="K992" s="49"/>
      <c r="L992" s="41"/>
      <c r="M992" s="41"/>
      <c r="N992" s="41"/>
      <c r="O992" s="41"/>
      <c r="P992" s="43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</row>
    <row r="993" spans="1:45">
      <c r="A993" s="38"/>
      <c r="B993" s="38"/>
      <c r="C993" s="38"/>
      <c r="D993" s="38"/>
      <c r="E993" s="49"/>
      <c r="F993" s="49"/>
      <c r="G993" s="38"/>
      <c r="H993" s="49"/>
      <c r="I993" s="49"/>
      <c r="J993" s="49"/>
      <c r="K993" s="49"/>
      <c r="L993" s="41"/>
      <c r="M993" s="41"/>
      <c r="N993" s="41"/>
      <c r="O993" s="41"/>
      <c r="P993" s="43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</row>
    <row r="994" spans="1:45">
      <c r="A994" s="38"/>
      <c r="B994" s="38"/>
      <c r="C994" s="38"/>
      <c r="D994" s="38"/>
      <c r="E994" s="49"/>
      <c r="F994" s="49"/>
      <c r="G994" s="38"/>
      <c r="H994" s="49"/>
      <c r="I994" s="49"/>
      <c r="J994" s="49"/>
      <c r="K994" s="49"/>
      <c r="L994" s="41"/>
      <c r="M994" s="41"/>
      <c r="N994" s="41"/>
      <c r="O994" s="41"/>
      <c r="P994" s="43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</row>
    <row r="995" spans="1:45">
      <c r="A995" s="38"/>
      <c r="B995" s="38"/>
      <c r="C995" s="38"/>
      <c r="D995" s="38"/>
      <c r="E995" s="49"/>
      <c r="F995" s="49"/>
      <c r="G995" s="38"/>
      <c r="H995" s="49"/>
      <c r="I995" s="49"/>
      <c r="J995" s="49"/>
      <c r="K995" s="49"/>
      <c r="L995" s="41"/>
      <c r="M995" s="41"/>
      <c r="N995" s="41"/>
      <c r="O995" s="41"/>
      <c r="P995" s="43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</row>
    <row r="996" spans="1:45">
      <c r="A996" s="38"/>
      <c r="B996" s="38"/>
      <c r="C996" s="38"/>
      <c r="D996" s="38"/>
      <c r="E996" s="49"/>
      <c r="F996" s="49"/>
      <c r="G996" s="38"/>
      <c r="H996" s="49"/>
      <c r="I996" s="49"/>
      <c r="J996" s="49"/>
      <c r="K996" s="49"/>
      <c r="L996" s="41"/>
      <c r="M996" s="41"/>
      <c r="N996" s="41"/>
      <c r="O996" s="41"/>
      <c r="P996" s="43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</row>
    <row r="997" spans="1:45">
      <c r="A997" s="38"/>
      <c r="B997" s="38"/>
      <c r="C997" s="38"/>
      <c r="D997" s="38"/>
      <c r="E997" s="49"/>
      <c r="F997" s="49"/>
      <c r="G997" s="38"/>
      <c r="H997" s="49"/>
      <c r="I997" s="49"/>
      <c r="J997" s="49"/>
      <c r="K997" s="49"/>
      <c r="L997" s="41"/>
      <c r="M997" s="41"/>
      <c r="N997" s="41"/>
      <c r="O997" s="41"/>
      <c r="P997" s="43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</row>
    <row r="998" spans="1:45">
      <c r="A998" s="38"/>
      <c r="B998" s="38"/>
      <c r="C998" s="38"/>
      <c r="D998" s="38"/>
      <c r="E998" s="49"/>
      <c r="F998" s="49"/>
      <c r="G998" s="38"/>
      <c r="H998" s="49"/>
      <c r="I998" s="49"/>
      <c r="J998" s="49"/>
      <c r="K998" s="49"/>
      <c r="L998" s="41"/>
      <c r="M998" s="41"/>
      <c r="N998" s="41"/>
      <c r="O998" s="41"/>
      <c r="P998" s="43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</row>
    <row r="999" spans="1:45">
      <c r="A999" s="38"/>
      <c r="B999" s="38"/>
      <c r="C999" s="38"/>
      <c r="D999" s="38"/>
      <c r="E999" s="49"/>
      <c r="F999" s="49"/>
      <c r="G999" s="38"/>
      <c r="H999" s="49"/>
      <c r="I999" s="49"/>
      <c r="J999" s="49"/>
      <c r="K999" s="49"/>
      <c r="L999" s="41"/>
      <c r="M999" s="41"/>
      <c r="N999" s="41"/>
      <c r="O999" s="41"/>
      <c r="P999" s="43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</row>
    <row r="1000" spans="1:45">
      <c r="A1000" s="38"/>
      <c r="B1000" s="38"/>
      <c r="C1000" s="38"/>
      <c r="D1000" s="38"/>
      <c r="E1000" s="49"/>
      <c r="F1000" s="49"/>
      <c r="G1000" s="38"/>
      <c r="H1000" s="49"/>
      <c r="I1000" s="49"/>
      <c r="J1000" s="49"/>
      <c r="K1000" s="49"/>
      <c r="L1000" s="41"/>
      <c r="M1000" s="41"/>
      <c r="N1000" s="41"/>
      <c r="O1000" s="41"/>
      <c r="P1000" s="43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</row>
    <row r="1001" spans="1:45">
      <c r="A1001" s="38"/>
      <c r="B1001" s="38"/>
      <c r="C1001" s="38"/>
      <c r="D1001" s="38"/>
      <c r="E1001" s="49"/>
      <c r="F1001" s="49"/>
      <c r="G1001" s="38"/>
      <c r="H1001" s="49"/>
      <c r="I1001" s="49"/>
      <c r="J1001" s="49"/>
      <c r="K1001" s="49"/>
      <c r="L1001" s="41"/>
      <c r="M1001" s="41"/>
      <c r="N1001" s="41"/>
      <c r="O1001" s="41"/>
      <c r="P1001" s="43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</row>
    <row r="1002" spans="1:45">
      <c r="A1002" s="38"/>
      <c r="B1002" s="38"/>
      <c r="C1002" s="38"/>
      <c r="D1002" s="38"/>
      <c r="E1002" s="49"/>
      <c r="F1002" s="49"/>
      <c r="G1002" s="38"/>
      <c r="H1002" s="49"/>
      <c r="I1002" s="49"/>
      <c r="J1002" s="49"/>
      <c r="K1002" s="49"/>
      <c r="L1002" s="41"/>
      <c r="M1002" s="41"/>
      <c r="N1002" s="41"/>
      <c r="O1002" s="41"/>
      <c r="P1002" s="43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</row>
    <row r="1003" spans="1:45">
      <c r="A1003" s="38"/>
      <c r="B1003" s="38"/>
      <c r="C1003" s="38"/>
      <c r="D1003" s="38"/>
      <c r="E1003" s="49"/>
      <c r="F1003" s="49"/>
      <c r="G1003" s="38"/>
      <c r="H1003" s="49"/>
      <c r="I1003" s="49"/>
      <c r="J1003" s="49"/>
      <c r="K1003" s="49"/>
      <c r="L1003" s="41"/>
      <c r="M1003" s="41"/>
      <c r="N1003" s="41"/>
      <c r="O1003" s="41"/>
      <c r="P1003" s="43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</row>
    <row r="1004" spans="1:45">
      <c r="A1004" s="38"/>
      <c r="B1004" s="38"/>
      <c r="C1004" s="38"/>
      <c r="D1004" s="38"/>
      <c r="E1004" s="49"/>
      <c r="F1004" s="49"/>
      <c r="G1004" s="38"/>
      <c r="H1004" s="49"/>
      <c r="I1004" s="49"/>
      <c r="J1004" s="49"/>
      <c r="K1004" s="49"/>
      <c r="L1004" s="41"/>
      <c r="M1004" s="41"/>
      <c r="N1004" s="41"/>
      <c r="O1004" s="41"/>
      <c r="P1004" s="43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</row>
    <row r="1005" spans="1:45">
      <c r="A1005" s="38"/>
      <c r="B1005" s="38"/>
      <c r="C1005" s="38"/>
      <c r="D1005" s="38"/>
      <c r="E1005" s="49"/>
      <c r="F1005" s="49"/>
      <c r="G1005" s="38"/>
      <c r="H1005" s="49"/>
      <c r="I1005" s="49"/>
      <c r="J1005" s="49"/>
      <c r="K1005" s="49"/>
      <c r="L1005" s="41"/>
      <c r="M1005" s="41"/>
      <c r="N1005" s="41"/>
      <c r="O1005" s="41"/>
      <c r="P1005" s="43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</row>
    <row r="1006" spans="1:45">
      <c r="A1006" s="38"/>
      <c r="B1006" s="38"/>
      <c r="C1006" s="38"/>
      <c r="D1006" s="38"/>
      <c r="E1006" s="49"/>
      <c r="F1006" s="49"/>
      <c r="G1006" s="38"/>
      <c r="H1006" s="49"/>
      <c r="I1006" s="49"/>
      <c r="J1006" s="49"/>
      <c r="K1006" s="49"/>
      <c r="L1006" s="41"/>
      <c r="M1006" s="41"/>
      <c r="N1006" s="41"/>
      <c r="O1006" s="41"/>
      <c r="P1006" s="43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</row>
    <row r="1007" spans="1:45">
      <c r="A1007" s="38"/>
      <c r="B1007" s="38"/>
      <c r="C1007" s="38"/>
      <c r="D1007" s="38"/>
      <c r="E1007" s="49"/>
      <c r="F1007" s="49"/>
      <c r="G1007" s="38"/>
      <c r="H1007" s="49"/>
      <c r="I1007" s="49"/>
      <c r="J1007" s="49"/>
      <c r="K1007" s="49"/>
      <c r="L1007" s="41"/>
      <c r="M1007" s="41"/>
      <c r="N1007" s="41"/>
      <c r="O1007" s="41"/>
      <c r="P1007" s="43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</row>
    <row r="1008" spans="1:45">
      <c r="A1008" s="38"/>
      <c r="B1008" s="38"/>
      <c r="C1008" s="38"/>
      <c r="D1008" s="38"/>
      <c r="E1008" s="49"/>
      <c r="F1008" s="49"/>
      <c r="G1008" s="38"/>
      <c r="H1008" s="49"/>
      <c r="I1008" s="49"/>
      <c r="J1008" s="49"/>
      <c r="K1008" s="49"/>
      <c r="L1008" s="41"/>
      <c r="M1008" s="41"/>
      <c r="N1008" s="41"/>
      <c r="O1008" s="41"/>
      <c r="P1008" s="43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</row>
    <row r="1009" spans="1:45">
      <c r="A1009" s="38"/>
      <c r="B1009" s="38"/>
      <c r="C1009" s="38"/>
      <c r="D1009" s="38"/>
      <c r="E1009" s="49"/>
      <c r="F1009" s="49"/>
      <c r="G1009" s="38"/>
      <c r="H1009" s="49"/>
      <c r="I1009" s="49"/>
      <c r="J1009" s="49"/>
      <c r="K1009" s="49"/>
      <c r="L1009" s="41"/>
      <c r="M1009" s="41"/>
      <c r="N1009" s="41"/>
      <c r="O1009" s="41"/>
      <c r="P1009" s="43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</row>
    <row r="1010" spans="1:45">
      <c r="A1010" s="38"/>
      <c r="B1010" s="38"/>
      <c r="C1010" s="38"/>
      <c r="D1010" s="38"/>
      <c r="E1010" s="49"/>
      <c r="F1010" s="49"/>
      <c r="G1010" s="38"/>
      <c r="H1010" s="49"/>
      <c r="I1010" s="49"/>
      <c r="J1010" s="49"/>
      <c r="K1010" s="49"/>
      <c r="L1010" s="41"/>
      <c r="M1010" s="41"/>
      <c r="N1010" s="41"/>
      <c r="O1010" s="41"/>
      <c r="P1010" s="43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</row>
    <row r="1011" spans="1:45">
      <c r="A1011" s="38"/>
      <c r="B1011" s="38"/>
      <c r="C1011" s="38"/>
      <c r="D1011" s="38"/>
      <c r="E1011" s="49"/>
      <c r="F1011" s="49"/>
      <c r="G1011" s="38"/>
      <c r="H1011" s="49"/>
      <c r="I1011" s="49"/>
      <c r="J1011" s="49"/>
      <c r="K1011" s="49"/>
      <c r="L1011" s="41"/>
      <c r="M1011" s="41"/>
      <c r="N1011" s="41"/>
      <c r="O1011" s="41"/>
      <c r="P1011" s="43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</row>
    <row r="1012" spans="1:45">
      <c r="A1012" s="38"/>
      <c r="B1012" s="38"/>
      <c r="C1012" s="38"/>
      <c r="D1012" s="38"/>
      <c r="E1012" s="49"/>
      <c r="F1012" s="49"/>
      <c r="G1012" s="38"/>
      <c r="H1012" s="49"/>
      <c r="I1012" s="49"/>
      <c r="J1012" s="49"/>
      <c r="K1012" s="49"/>
      <c r="L1012" s="41"/>
      <c r="M1012" s="41"/>
      <c r="N1012" s="41"/>
      <c r="O1012" s="41"/>
      <c r="P1012" s="43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</row>
    <row r="1013" spans="1:45">
      <c r="A1013" s="38"/>
      <c r="B1013" s="38"/>
      <c r="C1013" s="38"/>
      <c r="D1013" s="38"/>
      <c r="E1013" s="49"/>
      <c r="F1013" s="49"/>
      <c r="G1013" s="38"/>
      <c r="H1013" s="49"/>
      <c r="I1013" s="49"/>
      <c r="J1013" s="49"/>
      <c r="K1013" s="49"/>
      <c r="L1013" s="41"/>
      <c r="M1013" s="41"/>
      <c r="N1013" s="41"/>
      <c r="O1013" s="41"/>
      <c r="P1013" s="43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</row>
    <row r="1014" spans="1:45">
      <c r="A1014" s="38"/>
      <c r="B1014" s="38"/>
      <c r="C1014" s="38"/>
      <c r="D1014" s="38"/>
      <c r="E1014" s="49"/>
      <c r="F1014" s="49"/>
      <c r="G1014" s="38"/>
      <c r="H1014" s="49"/>
      <c r="I1014" s="49"/>
      <c r="J1014" s="49"/>
      <c r="K1014" s="49"/>
      <c r="L1014" s="41"/>
      <c r="M1014" s="41"/>
      <c r="N1014" s="41"/>
      <c r="O1014" s="41"/>
      <c r="P1014" s="43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</row>
    <row r="1015" spans="1:45">
      <c r="A1015" s="38"/>
      <c r="B1015" s="38"/>
      <c r="C1015" s="38"/>
      <c r="D1015" s="38"/>
      <c r="E1015" s="49"/>
      <c r="F1015" s="49"/>
      <c r="G1015" s="38"/>
      <c r="H1015" s="49"/>
      <c r="I1015" s="49"/>
      <c r="J1015" s="49"/>
      <c r="K1015" s="49"/>
      <c r="L1015" s="41"/>
      <c r="M1015" s="41"/>
      <c r="N1015" s="41"/>
      <c r="O1015" s="41"/>
      <c r="P1015" s="43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</row>
    <row r="1016" spans="1:45">
      <c r="A1016" s="38"/>
      <c r="B1016" s="38"/>
      <c r="C1016" s="38"/>
      <c r="D1016" s="38"/>
      <c r="E1016" s="49"/>
      <c r="F1016" s="49"/>
      <c r="G1016" s="38"/>
      <c r="H1016" s="49"/>
      <c r="I1016" s="49"/>
      <c r="J1016" s="49"/>
      <c r="K1016" s="49"/>
      <c r="L1016" s="41"/>
      <c r="M1016" s="41"/>
      <c r="N1016" s="41"/>
      <c r="O1016" s="41"/>
      <c r="P1016" s="43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</row>
    <row r="1017" spans="1:45">
      <c r="A1017" s="38"/>
      <c r="B1017" s="38"/>
      <c r="C1017" s="38"/>
      <c r="D1017" s="38"/>
      <c r="E1017" s="49"/>
      <c r="F1017" s="49"/>
      <c r="G1017" s="38"/>
      <c r="H1017" s="49"/>
      <c r="I1017" s="49"/>
      <c r="J1017" s="49"/>
      <c r="K1017" s="49"/>
      <c r="L1017" s="41"/>
      <c r="M1017" s="41"/>
      <c r="N1017" s="41"/>
      <c r="O1017" s="41"/>
      <c r="P1017" s="43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</row>
    <row r="1018" spans="1:45">
      <c r="A1018" s="38"/>
      <c r="B1018" s="38"/>
      <c r="C1018" s="38"/>
      <c r="D1018" s="38"/>
      <c r="E1018" s="49"/>
      <c r="F1018" s="49"/>
      <c r="G1018" s="38"/>
      <c r="H1018" s="49"/>
      <c r="I1018" s="49"/>
      <c r="J1018" s="49"/>
      <c r="K1018" s="49"/>
      <c r="L1018" s="41"/>
      <c r="M1018" s="41"/>
      <c r="N1018" s="41"/>
      <c r="O1018" s="41"/>
      <c r="P1018" s="43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</row>
    <row r="1019" spans="1:45">
      <c r="A1019" s="38"/>
      <c r="B1019" s="38"/>
      <c r="C1019" s="38"/>
      <c r="D1019" s="38"/>
      <c r="E1019" s="49"/>
      <c r="F1019" s="49"/>
      <c r="G1019" s="38"/>
      <c r="H1019" s="49"/>
      <c r="I1019" s="49"/>
      <c r="J1019" s="49"/>
      <c r="K1019" s="49"/>
      <c r="L1019" s="41"/>
      <c r="M1019" s="41"/>
      <c r="N1019" s="41"/>
      <c r="O1019" s="41"/>
      <c r="P1019" s="43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</row>
    <row r="1020" spans="1:45">
      <c r="A1020" s="38"/>
      <c r="B1020" s="38"/>
      <c r="C1020" s="38"/>
      <c r="D1020" s="38"/>
      <c r="E1020" s="49"/>
      <c r="F1020" s="49"/>
      <c r="G1020" s="38"/>
      <c r="H1020" s="49"/>
      <c r="I1020" s="49"/>
      <c r="J1020" s="49"/>
      <c r="K1020" s="49"/>
      <c r="L1020" s="41"/>
      <c r="M1020" s="41"/>
      <c r="N1020" s="41"/>
      <c r="O1020" s="41"/>
      <c r="P1020" s="43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</row>
    <row r="1021" spans="1:45">
      <c r="A1021" s="38"/>
      <c r="B1021" s="38"/>
      <c r="C1021" s="38"/>
      <c r="D1021" s="38"/>
      <c r="E1021" s="49"/>
      <c r="F1021" s="49"/>
      <c r="G1021" s="38"/>
      <c r="H1021" s="49"/>
      <c r="I1021" s="49"/>
      <c r="J1021" s="49"/>
      <c r="K1021" s="49"/>
      <c r="L1021" s="41"/>
      <c r="M1021" s="41"/>
      <c r="N1021" s="41"/>
      <c r="O1021" s="41"/>
      <c r="P1021" s="43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</row>
    <row r="1022" spans="1:45">
      <c r="A1022" s="38"/>
      <c r="B1022" s="38"/>
      <c r="C1022" s="38"/>
      <c r="D1022" s="38"/>
      <c r="E1022" s="49"/>
      <c r="F1022" s="49"/>
      <c r="G1022" s="38"/>
      <c r="H1022" s="49"/>
      <c r="I1022" s="49"/>
      <c r="J1022" s="49"/>
      <c r="K1022" s="49"/>
      <c r="L1022" s="41"/>
      <c r="M1022" s="41"/>
      <c r="N1022" s="41"/>
      <c r="O1022" s="41"/>
      <c r="P1022" s="43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</row>
    <row r="1023" spans="1:45">
      <c r="A1023" s="38"/>
      <c r="B1023" s="38"/>
      <c r="C1023" s="38"/>
      <c r="D1023" s="38"/>
      <c r="E1023" s="49"/>
      <c r="F1023" s="49"/>
      <c r="G1023" s="38"/>
      <c r="H1023" s="49"/>
      <c r="I1023" s="49"/>
      <c r="J1023" s="49"/>
      <c r="K1023" s="49"/>
      <c r="L1023" s="41"/>
      <c r="M1023" s="41"/>
      <c r="N1023" s="41"/>
      <c r="O1023" s="41"/>
      <c r="P1023" s="43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</row>
    <row r="1024" spans="1:45">
      <c r="A1024" s="38"/>
      <c r="B1024" s="38"/>
      <c r="C1024" s="38"/>
      <c r="D1024" s="38"/>
      <c r="E1024" s="49"/>
      <c r="F1024" s="49"/>
      <c r="G1024" s="38"/>
      <c r="H1024" s="49"/>
      <c r="I1024" s="49"/>
      <c r="J1024" s="49"/>
      <c r="K1024" s="49"/>
      <c r="L1024" s="41"/>
      <c r="M1024" s="41"/>
      <c r="N1024" s="41"/>
      <c r="O1024" s="41"/>
      <c r="P1024" s="43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</row>
    <row r="1025" spans="1:45">
      <c r="A1025" s="38"/>
      <c r="B1025" s="38"/>
      <c r="C1025" s="38"/>
      <c r="D1025" s="38"/>
      <c r="E1025" s="49"/>
      <c r="F1025" s="49"/>
      <c r="G1025" s="38"/>
      <c r="H1025" s="49"/>
      <c r="I1025" s="49"/>
      <c r="J1025" s="49"/>
      <c r="K1025" s="49"/>
      <c r="L1025" s="41"/>
      <c r="M1025" s="41"/>
      <c r="N1025" s="41"/>
      <c r="O1025" s="41"/>
      <c r="P1025" s="43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</row>
    <row r="1026" spans="1:45">
      <c r="A1026" s="38"/>
      <c r="B1026" s="38"/>
      <c r="C1026" s="38"/>
      <c r="D1026" s="38"/>
      <c r="E1026" s="49"/>
      <c r="F1026" s="49"/>
      <c r="G1026" s="38"/>
      <c r="H1026" s="49"/>
      <c r="I1026" s="49"/>
      <c r="J1026" s="49"/>
      <c r="K1026" s="49"/>
      <c r="L1026" s="41"/>
      <c r="M1026" s="41"/>
      <c r="N1026" s="41"/>
      <c r="O1026" s="41"/>
      <c r="P1026" s="43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</row>
    <row r="1027" spans="1:45">
      <c r="A1027" s="38"/>
      <c r="B1027" s="38"/>
      <c r="C1027" s="38"/>
      <c r="D1027" s="38"/>
      <c r="E1027" s="49"/>
      <c r="F1027" s="49"/>
      <c r="G1027" s="38"/>
      <c r="H1027" s="49"/>
      <c r="I1027" s="49"/>
      <c r="J1027" s="49"/>
      <c r="K1027" s="49"/>
      <c r="L1027" s="41"/>
      <c r="M1027" s="41"/>
      <c r="N1027" s="41"/>
      <c r="O1027" s="41"/>
      <c r="P1027" s="43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</row>
    <row r="1028" spans="1:45">
      <c r="A1028" s="38"/>
      <c r="B1028" s="38"/>
      <c r="C1028" s="38"/>
      <c r="D1028" s="38"/>
      <c r="E1028" s="49"/>
      <c r="F1028" s="49"/>
      <c r="G1028" s="38"/>
      <c r="H1028" s="49"/>
      <c r="I1028" s="49"/>
      <c r="J1028" s="49"/>
      <c r="K1028" s="49"/>
      <c r="L1028" s="41"/>
      <c r="M1028" s="41"/>
      <c r="N1028" s="41"/>
      <c r="O1028" s="41"/>
      <c r="P1028" s="43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</row>
    <row r="1029" spans="1:45">
      <c r="A1029" s="38"/>
      <c r="B1029" s="38"/>
      <c r="C1029" s="38"/>
      <c r="D1029" s="38"/>
      <c r="E1029" s="49"/>
      <c r="F1029" s="49"/>
      <c r="G1029" s="38"/>
      <c r="H1029" s="49"/>
      <c r="I1029" s="49"/>
      <c r="J1029" s="49"/>
      <c r="K1029" s="49"/>
      <c r="L1029" s="41"/>
      <c r="M1029" s="41"/>
      <c r="N1029" s="41"/>
      <c r="O1029" s="41"/>
      <c r="P1029" s="43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</row>
    <row r="1030" spans="1:45">
      <c r="A1030" s="38"/>
      <c r="B1030" s="38"/>
      <c r="C1030" s="38"/>
      <c r="D1030" s="38"/>
      <c r="E1030" s="49"/>
      <c r="F1030" s="49"/>
      <c r="G1030" s="38"/>
      <c r="H1030" s="49"/>
      <c r="I1030" s="49"/>
      <c r="J1030" s="49"/>
      <c r="K1030" s="49"/>
      <c r="L1030" s="41"/>
      <c r="M1030" s="41"/>
      <c r="N1030" s="41"/>
      <c r="O1030" s="41"/>
      <c r="P1030" s="43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</row>
    <row r="1031" spans="1:45">
      <c r="A1031" s="38"/>
      <c r="B1031" s="38"/>
      <c r="C1031" s="38"/>
      <c r="D1031" s="38"/>
      <c r="E1031" s="49"/>
      <c r="F1031" s="49"/>
      <c r="G1031" s="38"/>
      <c r="H1031" s="49"/>
      <c r="I1031" s="49"/>
      <c r="J1031" s="49"/>
      <c r="K1031" s="49"/>
      <c r="L1031" s="41"/>
      <c r="M1031" s="41"/>
      <c r="N1031" s="41"/>
      <c r="O1031" s="41"/>
      <c r="P1031" s="43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</row>
    <row r="1032" spans="1:45">
      <c r="A1032" s="38"/>
      <c r="B1032" s="38"/>
      <c r="C1032" s="38"/>
      <c r="D1032" s="38"/>
      <c r="E1032" s="49"/>
      <c r="F1032" s="49"/>
      <c r="G1032" s="38"/>
      <c r="H1032" s="49"/>
      <c r="I1032" s="49"/>
      <c r="J1032" s="49"/>
      <c r="K1032" s="49"/>
      <c r="L1032" s="41"/>
      <c r="M1032" s="41"/>
      <c r="N1032" s="41"/>
      <c r="O1032" s="41"/>
      <c r="P1032" s="43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</row>
    <row r="1033" spans="1:45">
      <c r="A1033" s="38"/>
      <c r="B1033" s="38"/>
      <c r="C1033" s="38"/>
      <c r="D1033" s="38"/>
      <c r="E1033" s="49"/>
      <c r="F1033" s="49"/>
      <c r="G1033" s="38"/>
      <c r="H1033" s="49"/>
      <c r="I1033" s="49"/>
      <c r="J1033" s="49"/>
      <c r="K1033" s="49"/>
      <c r="L1033" s="41"/>
      <c r="M1033" s="41"/>
      <c r="N1033" s="41"/>
      <c r="O1033" s="41"/>
      <c r="P1033" s="43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</row>
    <row r="1034" spans="1:45">
      <c r="A1034" s="38"/>
      <c r="B1034" s="38"/>
      <c r="C1034" s="38"/>
      <c r="D1034" s="38"/>
      <c r="E1034" s="49"/>
      <c r="F1034" s="49"/>
      <c r="G1034" s="38"/>
      <c r="H1034" s="49"/>
      <c r="I1034" s="49"/>
      <c r="J1034" s="49"/>
      <c r="K1034" s="49"/>
      <c r="L1034" s="41"/>
      <c r="M1034" s="41"/>
      <c r="N1034" s="41"/>
      <c r="O1034" s="41"/>
      <c r="P1034" s="43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</row>
    <row r="1035" spans="1:45">
      <c r="A1035" s="38"/>
      <c r="B1035" s="38"/>
      <c r="C1035" s="38"/>
      <c r="D1035" s="38"/>
      <c r="E1035" s="49"/>
      <c r="F1035" s="49"/>
      <c r="G1035" s="38"/>
      <c r="H1035" s="49"/>
      <c r="I1035" s="49"/>
      <c r="J1035" s="49"/>
      <c r="K1035" s="49"/>
      <c r="L1035" s="41"/>
      <c r="M1035" s="41"/>
      <c r="N1035" s="41"/>
      <c r="O1035" s="41"/>
      <c r="P1035" s="43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</row>
    <row r="1036" spans="1:45">
      <c r="A1036" s="38"/>
      <c r="B1036" s="38"/>
      <c r="C1036" s="38"/>
      <c r="D1036" s="38"/>
      <c r="E1036" s="49"/>
      <c r="F1036" s="49"/>
      <c r="G1036" s="38"/>
      <c r="H1036" s="49"/>
      <c r="I1036" s="49"/>
      <c r="J1036" s="49"/>
      <c r="K1036" s="49"/>
      <c r="L1036" s="41"/>
      <c r="M1036" s="41"/>
      <c r="N1036" s="41"/>
      <c r="O1036" s="41"/>
      <c r="P1036" s="43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</row>
    <row r="1037" spans="1:45">
      <c r="A1037" s="38"/>
      <c r="B1037" s="38"/>
      <c r="C1037" s="38"/>
      <c r="D1037" s="38"/>
      <c r="E1037" s="49"/>
      <c r="F1037" s="49"/>
      <c r="G1037" s="38"/>
      <c r="H1037" s="49"/>
      <c r="I1037" s="49"/>
      <c r="J1037" s="49"/>
      <c r="K1037" s="49"/>
      <c r="L1037" s="41"/>
      <c r="M1037" s="41"/>
      <c r="N1037" s="41"/>
      <c r="O1037" s="41"/>
      <c r="P1037" s="43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</row>
    <row r="1038" spans="1:45">
      <c r="A1038" s="38"/>
      <c r="B1038" s="38"/>
      <c r="C1038" s="38"/>
      <c r="D1038" s="38"/>
      <c r="E1038" s="49"/>
      <c r="F1038" s="49"/>
      <c r="G1038" s="38"/>
      <c r="H1038" s="49"/>
      <c r="I1038" s="49"/>
      <c r="J1038" s="49"/>
      <c r="K1038" s="49"/>
      <c r="L1038" s="41"/>
      <c r="M1038" s="41"/>
      <c r="N1038" s="41"/>
      <c r="O1038" s="41"/>
      <c r="P1038" s="43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</row>
    <row r="1039" spans="1:45">
      <c r="A1039" s="38"/>
      <c r="B1039" s="38"/>
      <c r="C1039" s="38"/>
      <c r="D1039" s="38"/>
      <c r="E1039" s="49"/>
      <c r="F1039" s="49"/>
      <c r="G1039" s="38"/>
      <c r="H1039" s="49"/>
      <c r="I1039" s="49"/>
      <c r="J1039" s="49"/>
      <c r="K1039" s="49"/>
      <c r="L1039" s="41"/>
      <c r="M1039" s="41"/>
      <c r="N1039" s="41"/>
      <c r="O1039" s="41"/>
      <c r="P1039" s="43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</row>
    <row r="1040" spans="1:45">
      <c r="A1040" s="38"/>
      <c r="B1040" s="38"/>
      <c r="C1040" s="38"/>
      <c r="D1040" s="38"/>
      <c r="E1040" s="49"/>
      <c r="F1040" s="49"/>
      <c r="G1040" s="38"/>
      <c r="H1040" s="49"/>
      <c r="I1040" s="49"/>
      <c r="J1040" s="49"/>
      <c r="K1040" s="49"/>
      <c r="L1040" s="41"/>
      <c r="M1040" s="41"/>
      <c r="N1040" s="41"/>
      <c r="O1040" s="41"/>
      <c r="P1040" s="43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</row>
    <row r="1041" spans="1:45">
      <c r="A1041" s="38"/>
      <c r="B1041" s="38"/>
      <c r="C1041" s="38"/>
      <c r="D1041" s="38"/>
      <c r="E1041" s="49"/>
      <c r="F1041" s="49"/>
      <c r="G1041" s="38"/>
      <c r="H1041" s="49"/>
      <c r="I1041" s="49"/>
      <c r="J1041" s="49"/>
      <c r="K1041" s="49"/>
      <c r="L1041" s="41"/>
      <c r="M1041" s="41"/>
      <c r="N1041" s="41"/>
      <c r="O1041" s="41"/>
      <c r="P1041" s="43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</row>
    <row r="1042" spans="1:45">
      <c r="A1042" s="38"/>
      <c r="B1042" s="38"/>
      <c r="C1042" s="38"/>
      <c r="D1042" s="38"/>
      <c r="E1042" s="49"/>
      <c r="F1042" s="49"/>
      <c r="G1042" s="38"/>
      <c r="H1042" s="49"/>
      <c r="I1042" s="49"/>
      <c r="J1042" s="49"/>
      <c r="K1042" s="49"/>
      <c r="L1042" s="41"/>
      <c r="M1042" s="41"/>
      <c r="N1042" s="41"/>
      <c r="O1042" s="41"/>
      <c r="P1042" s="43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</row>
    <row r="1043" spans="1:45">
      <c r="A1043" s="38"/>
      <c r="B1043" s="38"/>
      <c r="C1043" s="38"/>
      <c r="D1043" s="38"/>
      <c r="E1043" s="49"/>
      <c r="F1043" s="49"/>
      <c r="G1043" s="38"/>
      <c r="H1043" s="49"/>
      <c r="I1043" s="49"/>
      <c r="J1043" s="49"/>
      <c r="K1043" s="49"/>
      <c r="L1043" s="41"/>
      <c r="M1043" s="41"/>
      <c r="N1043" s="41"/>
      <c r="O1043" s="41"/>
      <c r="P1043" s="43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</row>
    <row r="1044" spans="1:45">
      <c r="A1044" s="38"/>
      <c r="B1044" s="38"/>
      <c r="C1044" s="38"/>
      <c r="D1044" s="38"/>
      <c r="E1044" s="49"/>
      <c r="F1044" s="49"/>
      <c r="G1044" s="38"/>
      <c r="H1044" s="49"/>
      <c r="I1044" s="49"/>
      <c r="J1044" s="49"/>
      <c r="K1044" s="49"/>
      <c r="L1044" s="41"/>
      <c r="M1044" s="41"/>
      <c r="N1044" s="41"/>
      <c r="O1044" s="41"/>
      <c r="P1044" s="43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</row>
    <row r="1045" spans="1:45">
      <c r="A1045" s="38"/>
      <c r="B1045" s="38"/>
      <c r="C1045" s="38"/>
      <c r="D1045" s="38"/>
      <c r="E1045" s="49"/>
      <c r="F1045" s="49"/>
      <c r="G1045" s="38"/>
      <c r="H1045" s="49"/>
      <c r="I1045" s="49"/>
      <c r="J1045" s="49"/>
      <c r="K1045" s="49"/>
      <c r="L1045" s="41"/>
      <c r="M1045" s="41"/>
      <c r="N1045" s="41"/>
      <c r="O1045" s="41"/>
      <c r="P1045" s="43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</row>
    <row r="1046" spans="1:45">
      <c r="A1046" s="38"/>
      <c r="B1046" s="38"/>
      <c r="C1046" s="38"/>
      <c r="D1046" s="38"/>
      <c r="E1046" s="49"/>
      <c r="F1046" s="49"/>
      <c r="G1046" s="38"/>
      <c r="H1046" s="49"/>
      <c r="I1046" s="49"/>
      <c r="J1046" s="49"/>
      <c r="K1046" s="49"/>
      <c r="L1046" s="41"/>
      <c r="M1046" s="41"/>
      <c r="N1046" s="41"/>
      <c r="O1046" s="41"/>
      <c r="P1046" s="43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</row>
    <row r="1047" spans="1:45">
      <c r="A1047" s="38"/>
      <c r="B1047" s="38"/>
      <c r="C1047" s="38"/>
      <c r="D1047" s="38"/>
      <c r="E1047" s="49"/>
      <c r="F1047" s="49"/>
      <c r="G1047" s="38"/>
      <c r="H1047" s="49"/>
      <c r="I1047" s="49"/>
      <c r="J1047" s="49"/>
      <c r="K1047" s="49"/>
      <c r="L1047" s="41"/>
      <c r="M1047" s="41"/>
      <c r="N1047" s="41"/>
      <c r="O1047" s="41"/>
      <c r="P1047" s="43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</row>
    <row r="1048" spans="1:45">
      <c r="A1048" s="38"/>
      <c r="B1048" s="38"/>
      <c r="C1048" s="38"/>
      <c r="D1048" s="38"/>
      <c r="E1048" s="49"/>
      <c r="F1048" s="49"/>
      <c r="G1048" s="38"/>
      <c r="H1048" s="49"/>
      <c r="I1048" s="49"/>
      <c r="J1048" s="49"/>
      <c r="K1048" s="49"/>
      <c r="L1048" s="41"/>
      <c r="M1048" s="41"/>
      <c r="N1048" s="41"/>
      <c r="O1048" s="41"/>
      <c r="P1048" s="43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</row>
    <row r="1049" spans="1:45">
      <c r="A1049" s="38"/>
      <c r="B1049" s="38"/>
      <c r="C1049" s="38"/>
      <c r="D1049" s="38"/>
      <c r="E1049" s="49"/>
      <c r="F1049" s="49"/>
      <c r="G1049" s="38"/>
      <c r="H1049" s="49"/>
      <c r="I1049" s="49"/>
      <c r="J1049" s="49"/>
      <c r="K1049" s="49"/>
      <c r="L1049" s="41"/>
      <c r="M1049" s="41"/>
      <c r="N1049" s="41"/>
      <c r="O1049" s="41"/>
      <c r="P1049" s="43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</row>
    <row r="1050" spans="1:45">
      <c r="A1050" s="38"/>
      <c r="B1050" s="38"/>
      <c r="C1050" s="38"/>
      <c r="D1050" s="38"/>
      <c r="E1050" s="49"/>
      <c r="F1050" s="49"/>
      <c r="G1050" s="38"/>
      <c r="H1050" s="49"/>
      <c r="I1050" s="49"/>
      <c r="J1050" s="49"/>
      <c r="K1050" s="49"/>
      <c r="L1050" s="41"/>
      <c r="M1050" s="41"/>
      <c r="N1050" s="41"/>
      <c r="O1050" s="41"/>
      <c r="P1050" s="43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</row>
    <row r="1051" spans="1:45">
      <c r="A1051" s="38"/>
      <c r="B1051" s="38"/>
      <c r="C1051" s="38"/>
      <c r="D1051" s="38"/>
      <c r="E1051" s="49"/>
      <c r="F1051" s="49"/>
      <c r="G1051" s="38"/>
      <c r="H1051" s="49"/>
      <c r="I1051" s="49"/>
      <c r="J1051" s="49"/>
      <c r="K1051" s="49"/>
      <c r="L1051" s="41"/>
      <c r="M1051" s="41"/>
      <c r="N1051" s="41"/>
      <c r="O1051" s="41"/>
      <c r="P1051" s="43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</row>
    <row r="1052" spans="1:45">
      <c r="A1052" s="38"/>
      <c r="B1052" s="38"/>
      <c r="C1052" s="38"/>
      <c r="D1052" s="38"/>
      <c r="E1052" s="49"/>
      <c r="F1052" s="49"/>
      <c r="G1052" s="38"/>
      <c r="H1052" s="49"/>
      <c r="I1052" s="49"/>
      <c r="J1052" s="49"/>
      <c r="K1052" s="49"/>
      <c r="L1052" s="41"/>
      <c r="M1052" s="41"/>
      <c r="N1052" s="41"/>
      <c r="O1052" s="41"/>
      <c r="P1052" s="43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</row>
    <row r="1053" spans="1:45">
      <c r="A1053" s="38"/>
      <c r="B1053" s="38"/>
      <c r="C1053" s="38"/>
      <c r="D1053" s="38"/>
      <c r="E1053" s="49"/>
      <c r="F1053" s="49"/>
      <c r="G1053" s="38"/>
      <c r="H1053" s="49"/>
      <c r="I1053" s="49"/>
      <c r="J1053" s="49"/>
      <c r="K1053" s="49"/>
      <c r="L1053" s="41"/>
      <c r="M1053" s="41"/>
      <c r="N1053" s="41"/>
      <c r="O1053" s="41"/>
      <c r="P1053" s="43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</row>
    <row r="1054" spans="1:45">
      <c r="A1054" s="38"/>
      <c r="B1054" s="38"/>
      <c r="C1054" s="38"/>
      <c r="D1054" s="38"/>
      <c r="E1054" s="49"/>
      <c r="F1054" s="49"/>
      <c r="G1054" s="38"/>
      <c r="H1054" s="49"/>
      <c r="I1054" s="49"/>
      <c r="J1054" s="49"/>
      <c r="K1054" s="49"/>
      <c r="L1054" s="41"/>
      <c r="M1054" s="41"/>
      <c r="N1054" s="41"/>
      <c r="O1054" s="41"/>
      <c r="P1054" s="43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</row>
    <row r="1055" spans="1:45">
      <c r="A1055" s="38"/>
      <c r="B1055" s="38"/>
      <c r="C1055" s="38"/>
      <c r="D1055" s="38"/>
      <c r="E1055" s="49"/>
      <c r="F1055" s="49"/>
      <c r="G1055" s="38"/>
      <c r="H1055" s="49"/>
      <c r="I1055" s="49"/>
      <c r="J1055" s="49"/>
      <c r="K1055" s="49"/>
      <c r="L1055" s="41"/>
      <c r="M1055" s="41"/>
      <c r="N1055" s="41"/>
      <c r="O1055" s="41"/>
      <c r="P1055" s="43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</row>
    <row r="1056" spans="1:45">
      <c r="A1056" s="38"/>
      <c r="B1056" s="38"/>
      <c r="C1056" s="38"/>
      <c r="D1056" s="38"/>
      <c r="E1056" s="49"/>
      <c r="F1056" s="49"/>
      <c r="G1056" s="38"/>
      <c r="H1056" s="49"/>
      <c r="I1056" s="49"/>
      <c r="J1056" s="49"/>
      <c r="K1056" s="49"/>
      <c r="L1056" s="41"/>
      <c r="M1056" s="41"/>
      <c r="N1056" s="41"/>
      <c r="O1056" s="41"/>
      <c r="P1056" s="43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</row>
    <row r="1057" spans="1:45">
      <c r="A1057" s="38"/>
      <c r="B1057" s="38"/>
      <c r="C1057" s="38"/>
      <c r="D1057" s="38"/>
      <c r="E1057" s="49"/>
      <c r="F1057" s="49"/>
      <c r="G1057" s="38"/>
      <c r="H1057" s="49"/>
      <c r="I1057" s="49"/>
      <c r="J1057" s="49"/>
      <c r="K1057" s="49"/>
      <c r="L1057" s="41"/>
      <c r="M1057" s="41"/>
      <c r="N1057" s="41"/>
      <c r="O1057" s="41"/>
      <c r="P1057" s="43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</row>
    <row r="1058" spans="1:45">
      <c r="A1058" s="38"/>
      <c r="B1058" s="38"/>
      <c r="C1058" s="38"/>
      <c r="D1058" s="38"/>
      <c r="E1058" s="49"/>
      <c r="F1058" s="49"/>
      <c r="G1058" s="38"/>
      <c r="H1058" s="49"/>
      <c r="I1058" s="49"/>
      <c r="J1058" s="49"/>
      <c r="K1058" s="49"/>
      <c r="L1058" s="41"/>
      <c r="M1058" s="41"/>
      <c r="N1058" s="41"/>
      <c r="O1058" s="41"/>
      <c r="P1058" s="43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</row>
    <row r="1059" spans="1:45">
      <c r="A1059" s="38"/>
      <c r="B1059" s="38"/>
      <c r="C1059" s="38"/>
      <c r="D1059" s="38"/>
      <c r="E1059" s="49"/>
      <c r="F1059" s="49"/>
      <c r="G1059" s="38"/>
      <c r="H1059" s="49"/>
      <c r="I1059" s="49"/>
      <c r="J1059" s="49"/>
      <c r="K1059" s="49"/>
      <c r="L1059" s="41"/>
      <c r="M1059" s="41"/>
      <c r="N1059" s="41"/>
      <c r="O1059" s="41"/>
      <c r="P1059" s="43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</row>
    <row r="1060" spans="1:45">
      <c r="A1060" s="38"/>
      <c r="B1060" s="38"/>
      <c r="C1060" s="38"/>
      <c r="D1060" s="38"/>
      <c r="E1060" s="49"/>
      <c r="F1060" s="49"/>
      <c r="G1060" s="38"/>
      <c r="H1060" s="49"/>
      <c r="I1060" s="49"/>
      <c r="J1060" s="49"/>
      <c r="K1060" s="49"/>
      <c r="L1060" s="41"/>
      <c r="M1060" s="41"/>
      <c r="N1060" s="41"/>
      <c r="O1060" s="41"/>
      <c r="P1060" s="43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</row>
    <row r="1061" spans="1:45">
      <c r="A1061" s="38"/>
      <c r="B1061" s="38"/>
      <c r="C1061" s="38"/>
      <c r="D1061" s="38"/>
      <c r="E1061" s="49"/>
      <c r="F1061" s="49"/>
      <c r="G1061" s="38"/>
      <c r="H1061" s="49"/>
      <c r="I1061" s="49"/>
      <c r="J1061" s="49"/>
      <c r="K1061" s="49"/>
      <c r="L1061" s="41"/>
      <c r="M1061" s="41"/>
      <c r="N1061" s="41"/>
      <c r="O1061" s="41"/>
      <c r="P1061" s="43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</row>
    <row r="1062" spans="1:45">
      <c r="A1062" s="38"/>
      <c r="B1062" s="38"/>
      <c r="C1062" s="38"/>
      <c r="D1062" s="38"/>
      <c r="E1062" s="49"/>
      <c r="F1062" s="49"/>
      <c r="G1062" s="38"/>
      <c r="H1062" s="49"/>
      <c r="I1062" s="49"/>
      <c r="J1062" s="49"/>
      <c r="K1062" s="49"/>
      <c r="L1062" s="41"/>
      <c r="M1062" s="41"/>
      <c r="N1062" s="41"/>
      <c r="O1062" s="41"/>
      <c r="P1062" s="43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</row>
    <row r="1063" spans="1:45">
      <c r="A1063" s="38"/>
      <c r="B1063" s="38"/>
      <c r="C1063" s="38"/>
      <c r="D1063" s="38"/>
      <c r="E1063" s="49"/>
      <c r="F1063" s="49"/>
      <c r="G1063" s="38"/>
      <c r="H1063" s="49"/>
      <c r="I1063" s="49"/>
      <c r="J1063" s="49"/>
      <c r="K1063" s="49"/>
      <c r="L1063" s="41"/>
      <c r="M1063" s="41"/>
      <c r="N1063" s="41"/>
      <c r="O1063" s="41"/>
      <c r="P1063" s="43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</row>
    <row r="1064" spans="1:45">
      <c r="A1064" s="38"/>
      <c r="B1064" s="38"/>
      <c r="C1064" s="38"/>
      <c r="D1064" s="38"/>
      <c r="E1064" s="49"/>
      <c r="F1064" s="49"/>
      <c r="G1064" s="38"/>
      <c r="H1064" s="49"/>
      <c r="I1064" s="49"/>
      <c r="J1064" s="49"/>
      <c r="K1064" s="49"/>
      <c r="L1064" s="41"/>
      <c r="M1064" s="41"/>
      <c r="N1064" s="41"/>
      <c r="O1064" s="41"/>
      <c r="P1064" s="43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</row>
    <row r="1065" spans="1:45">
      <c r="A1065" s="38"/>
      <c r="B1065" s="38"/>
      <c r="C1065" s="38"/>
      <c r="D1065" s="38"/>
      <c r="E1065" s="49"/>
      <c r="F1065" s="49"/>
      <c r="G1065" s="38"/>
      <c r="H1065" s="49"/>
      <c r="I1065" s="49"/>
      <c r="J1065" s="49"/>
      <c r="K1065" s="49"/>
      <c r="L1065" s="41"/>
      <c r="M1065" s="41"/>
      <c r="N1065" s="41"/>
      <c r="O1065" s="41"/>
      <c r="P1065" s="43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</row>
    <row r="1066" spans="1:45">
      <c r="A1066" s="38"/>
      <c r="B1066" s="38"/>
      <c r="C1066" s="38"/>
      <c r="D1066" s="38"/>
      <c r="E1066" s="49"/>
      <c r="F1066" s="49"/>
      <c r="G1066" s="38"/>
      <c r="H1066" s="49"/>
      <c r="I1066" s="49"/>
      <c r="J1066" s="49"/>
      <c r="K1066" s="49"/>
      <c r="L1066" s="41"/>
      <c r="M1066" s="41"/>
      <c r="N1066" s="41"/>
      <c r="O1066" s="41"/>
      <c r="P1066" s="43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</row>
    <row r="1067" spans="1:45">
      <c r="A1067" s="38"/>
      <c r="B1067" s="38"/>
      <c r="C1067" s="38"/>
      <c r="D1067" s="38"/>
      <c r="E1067" s="49"/>
      <c r="F1067" s="49"/>
      <c r="G1067" s="38"/>
      <c r="H1067" s="49"/>
      <c r="I1067" s="49"/>
      <c r="J1067" s="49"/>
      <c r="K1067" s="49"/>
      <c r="L1067" s="41"/>
      <c r="M1067" s="41"/>
      <c r="N1067" s="41"/>
      <c r="O1067" s="41"/>
      <c r="P1067" s="43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</row>
    <row r="1068" spans="1:45">
      <c r="A1068" s="38"/>
      <c r="B1068" s="38"/>
      <c r="C1068" s="38"/>
      <c r="D1068" s="38"/>
      <c r="E1068" s="49"/>
      <c r="F1068" s="49"/>
      <c r="G1068" s="38"/>
      <c r="H1068" s="49"/>
      <c r="I1068" s="49"/>
      <c r="J1068" s="49"/>
      <c r="K1068" s="49"/>
      <c r="L1068" s="41"/>
      <c r="M1068" s="41"/>
      <c r="N1068" s="41"/>
      <c r="O1068" s="41"/>
      <c r="P1068" s="43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</row>
    <row r="1069" spans="1:45">
      <c r="A1069" s="38"/>
      <c r="B1069" s="38"/>
      <c r="C1069" s="38"/>
      <c r="D1069" s="38"/>
      <c r="E1069" s="49"/>
      <c r="F1069" s="49"/>
      <c r="G1069" s="38"/>
      <c r="H1069" s="49"/>
      <c r="I1069" s="49"/>
      <c r="J1069" s="49"/>
      <c r="K1069" s="49"/>
      <c r="L1069" s="41"/>
      <c r="M1069" s="41"/>
      <c r="N1069" s="41"/>
      <c r="O1069" s="41"/>
      <c r="P1069" s="43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</row>
    <row r="1070" spans="1:45">
      <c r="A1070" s="38"/>
      <c r="B1070" s="38"/>
      <c r="C1070" s="38"/>
      <c r="D1070" s="38"/>
      <c r="E1070" s="49"/>
      <c r="F1070" s="49"/>
      <c r="G1070" s="38"/>
      <c r="H1070" s="49"/>
      <c r="I1070" s="49"/>
      <c r="J1070" s="49"/>
      <c r="K1070" s="49"/>
      <c r="L1070" s="41"/>
      <c r="M1070" s="41"/>
      <c r="N1070" s="41"/>
      <c r="O1070" s="41"/>
      <c r="P1070" s="43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</row>
    <row r="1071" spans="1:45">
      <c r="A1071" s="38"/>
      <c r="B1071" s="38"/>
      <c r="C1071" s="38"/>
      <c r="D1071" s="38"/>
      <c r="E1071" s="49"/>
      <c r="F1071" s="49"/>
      <c r="G1071" s="38"/>
      <c r="H1071" s="49"/>
      <c r="I1071" s="49"/>
      <c r="J1071" s="49"/>
      <c r="K1071" s="49"/>
      <c r="L1071" s="41"/>
      <c r="M1071" s="41"/>
      <c r="N1071" s="41"/>
      <c r="O1071" s="41"/>
      <c r="P1071" s="43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</row>
    <row r="1072" spans="1:45">
      <c r="A1072" s="38"/>
      <c r="B1072" s="38"/>
      <c r="C1072" s="38"/>
      <c r="D1072" s="38"/>
      <c r="E1072" s="49"/>
      <c r="F1072" s="49"/>
      <c r="G1072" s="38"/>
      <c r="H1072" s="49"/>
      <c r="I1072" s="49"/>
      <c r="J1072" s="49"/>
      <c r="K1072" s="49"/>
      <c r="L1072" s="41"/>
      <c r="M1072" s="41"/>
      <c r="N1072" s="41"/>
      <c r="O1072" s="41"/>
      <c r="P1072" s="43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</row>
    <row r="1073" spans="1:45">
      <c r="A1073" s="38"/>
      <c r="B1073" s="38"/>
      <c r="C1073" s="38"/>
      <c r="D1073" s="38"/>
      <c r="E1073" s="49"/>
      <c r="F1073" s="49"/>
      <c r="G1073" s="38"/>
      <c r="H1073" s="49"/>
      <c r="I1073" s="49"/>
      <c r="J1073" s="49"/>
      <c r="K1073" s="49"/>
      <c r="L1073" s="41"/>
      <c r="M1073" s="41"/>
      <c r="N1073" s="41"/>
      <c r="O1073" s="41"/>
      <c r="P1073" s="43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</row>
    <row r="1074" spans="1:45">
      <c r="A1074" s="38"/>
      <c r="B1074" s="38"/>
      <c r="C1074" s="38"/>
      <c r="D1074" s="38"/>
      <c r="E1074" s="49"/>
      <c r="F1074" s="49"/>
      <c r="G1074" s="38"/>
      <c r="H1074" s="49"/>
      <c r="I1074" s="49"/>
      <c r="J1074" s="49"/>
      <c r="K1074" s="49"/>
      <c r="L1074" s="41"/>
      <c r="M1074" s="41"/>
      <c r="N1074" s="41"/>
      <c r="O1074" s="41"/>
      <c r="P1074" s="43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</row>
    <row r="1075" spans="1:45">
      <c r="A1075" s="38"/>
      <c r="B1075" s="38"/>
      <c r="C1075" s="38"/>
      <c r="D1075" s="38"/>
      <c r="E1075" s="49"/>
      <c r="F1075" s="49"/>
      <c r="G1075" s="38"/>
      <c r="H1075" s="49"/>
      <c r="I1075" s="49"/>
      <c r="J1075" s="49"/>
      <c r="K1075" s="49"/>
      <c r="L1075" s="41"/>
      <c r="M1075" s="41"/>
      <c r="N1075" s="41"/>
      <c r="O1075" s="41"/>
      <c r="P1075" s="43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</row>
    <row r="1076" spans="1:45">
      <c r="A1076" s="38"/>
      <c r="B1076" s="38"/>
      <c r="C1076" s="38"/>
      <c r="D1076" s="38"/>
      <c r="E1076" s="49"/>
      <c r="F1076" s="49"/>
      <c r="G1076" s="38"/>
      <c r="H1076" s="49"/>
      <c r="I1076" s="49"/>
      <c r="J1076" s="49"/>
      <c r="K1076" s="49"/>
      <c r="L1076" s="41"/>
      <c r="M1076" s="41"/>
      <c r="N1076" s="41"/>
      <c r="O1076" s="41"/>
      <c r="P1076" s="43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</row>
    <row r="1077" spans="1:45">
      <c r="A1077" s="38"/>
      <c r="B1077" s="38"/>
      <c r="C1077" s="38"/>
      <c r="D1077" s="38"/>
      <c r="E1077" s="49"/>
      <c r="F1077" s="49"/>
      <c r="G1077" s="38"/>
      <c r="H1077" s="49"/>
      <c r="I1077" s="49"/>
      <c r="J1077" s="49"/>
      <c r="K1077" s="49"/>
      <c r="L1077" s="41"/>
      <c r="M1077" s="41"/>
      <c r="N1077" s="41"/>
      <c r="O1077" s="41"/>
      <c r="P1077" s="43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</row>
    <row r="1078" spans="1:45">
      <c r="A1078" s="38"/>
      <c r="B1078" s="38"/>
      <c r="C1078" s="38"/>
      <c r="D1078" s="38"/>
      <c r="E1078" s="49"/>
      <c r="F1078" s="49"/>
      <c r="G1078" s="38"/>
      <c r="H1078" s="49"/>
      <c r="I1078" s="49"/>
      <c r="J1078" s="49"/>
      <c r="K1078" s="49"/>
      <c r="L1078" s="41"/>
      <c r="M1078" s="41"/>
      <c r="N1078" s="41"/>
      <c r="O1078" s="41"/>
      <c r="P1078" s="43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</row>
    <row r="1079" spans="1:45">
      <c r="A1079" s="38"/>
      <c r="B1079" s="38"/>
      <c r="C1079" s="38"/>
      <c r="D1079" s="38"/>
      <c r="E1079" s="49"/>
      <c r="F1079" s="49"/>
      <c r="G1079" s="38"/>
      <c r="H1079" s="49"/>
      <c r="I1079" s="49"/>
      <c r="J1079" s="49"/>
      <c r="K1079" s="49"/>
      <c r="L1079" s="41"/>
      <c r="M1079" s="41"/>
      <c r="N1079" s="41"/>
      <c r="O1079" s="41"/>
      <c r="P1079" s="43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</row>
    <row r="1080" spans="1:45">
      <c r="A1080" s="38"/>
      <c r="B1080" s="38"/>
      <c r="C1080" s="38"/>
      <c r="D1080" s="38"/>
      <c r="E1080" s="49"/>
      <c r="F1080" s="49"/>
      <c r="G1080" s="38"/>
      <c r="H1080" s="49"/>
      <c r="I1080" s="49"/>
      <c r="J1080" s="49"/>
      <c r="K1080" s="49"/>
      <c r="L1080" s="41"/>
      <c r="M1080" s="41"/>
      <c r="N1080" s="41"/>
      <c r="O1080" s="41"/>
      <c r="P1080" s="43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</row>
    <row r="1081" spans="1:45">
      <c r="A1081" s="38"/>
      <c r="B1081" s="38"/>
      <c r="C1081" s="38"/>
      <c r="D1081" s="38"/>
      <c r="E1081" s="49"/>
      <c r="F1081" s="49"/>
      <c r="G1081" s="38"/>
      <c r="H1081" s="49"/>
      <c r="I1081" s="49"/>
      <c r="J1081" s="49"/>
      <c r="K1081" s="49"/>
      <c r="L1081" s="41"/>
      <c r="M1081" s="41"/>
      <c r="N1081" s="41"/>
      <c r="O1081" s="41"/>
      <c r="P1081" s="43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</row>
    <row r="1082" spans="1:45">
      <c r="A1082" s="38"/>
      <c r="B1082" s="38"/>
      <c r="C1082" s="38"/>
      <c r="D1082" s="38"/>
      <c r="E1082" s="49"/>
      <c r="F1082" s="49"/>
      <c r="G1082" s="38"/>
      <c r="H1082" s="49"/>
      <c r="I1082" s="49"/>
      <c r="J1082" s="49"/>
      <c r="K1082" s="49"/>
      <c r="L1082" s="41"/>
      <c r="M1082" s="41"/>
      <c r="N1082" s="41"/>
      <c r="O1082" s="41"/>
      <c r="P1082" s="43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</row>
    <row r="1083" spans="1:45">
      <c r="A1083" s="38"/>
      <c r="B1083" s="38"/>
      <c r="C1083" s="38"/>
      <c r="D1083" s="38"/>
      <c r="E1083" s="49"/>
      <c r="F1083" s="49"/>
      <c r="G1083" s="38"/>
      <c r="H1083" s="49"/>
      <c r="I1083" s="49"/>
      <c r="J1083" s="49"/>
      <c r="K1083" s="49"/>
      <c r="L1083" s="41"/>
      <c r="M1083" s="41"/>
      <c r="N1083" s="41"/>
      <c r="O1083" s="41"/>
      <c r="P1083" s="43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</row>
    <row r="1084" spans="1:45">
      <c r="A1084" s="38"/>
      <c r="B1084" s="38"/>
      <c r="C1084" s="38"/>
      <c r="D1084" s="38"/>
      <c r="E1084" s="49"/>
      <c r="F1084" s="49"/>
      <c r="G1084" s="38"/>
      <c r="H1084" s="49"/>
      <c r="I1084" s="49"/>
      <c r="J1084" s="49"/>
      <c r="K1084" s="49"/>
      <c r="L1084" s="41"/>
      <c r="M1084" s="41"/>
      <c r="N1084" s="41"/>
      <c r="O1084" s="41"/>
      <c r="P1084" s="43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</row>
    <row r="1085" spans="1:45">
      <c r="A1085" s="38"/>
      <c r="B1085" s="38"/>
      <c r="C1085" s="38"/>
      <c r="D1085" s="38"/>
      <c r="E1085" s="49"/>
      <c r="F1085" s="49"/>
      <c r="G1085" s="38"/>
      <c r="H1085" s="49"/>
      <c r="I1085" s="49"/>
      <c r="J1085" s="49"/>
      <c r="K1085" s="49"/>
      <c r="L1085" s="41"/>
      <c r="M1085" s="41"/>
      <c r="N1085" s="41"/>
      <c r="O1085" s="41"/>
      <c r="P1085" s="43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</row>
    <row r="1086" spans="1:45">
      <c r="A1086" s="38"/>
      <c r="B1086" s="38"/>
      <c r="C1086" s="38"/>
      <c r="D1086" s="38"/>
      <c r="E1086" s="49"/>
      <c r="F1086" s="49"/>
      <c r="G1086" s="38"/>
      <c r="H1086" s="49"/>
      <c r="I1086" s="49"/>
      <c r="J1086" s="49"/>
      <c r="K1086" s="49"/>
      <c r="L1086" s="41"/>
      <c r="M1086" s="41"/>
      <c r="N1086" s="41"/>
      <c r="O1086" s="41"/>
      <c r="P1086" s="43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</row>
    <row r="1087" spans="1:45">
      <c r="A1087" s="38"/>
      <c r="B1087" s="38"/>
      <c r="C1087" s="38"/>
      <c r="D1087" s="38"/>
      <c r="E1087" s="49"/>
      <c r="F1087" s="49"/>
      <c r="G1087" s="38"/>
      <c r="H1087" s="49"/>
      <c r="I1087" s="49"/>
      <c r="J1087" s="49"/>
      <c r="K1087" s="49"/>
      <c r="L1087" s="41"/>
      <c r="M1087" s="41"/>
      <c r="N1087" s="41"/>
      <c r="O1087" s="41"/>
      <c r="P1087" s="43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</row>
    <row r="1088" spans="1:45">
      <c r="A1088" s="38"/>
      <c r="B1088" s="38"/>
      <c r="C1088" s="38"/>
      <c r="D1088" s="38"/>
      <c r="E1088" s="49"/>
      <c r="F1088" s="49"/>
      <c r="G1088" s="38"/>
      <c r="H1088" s="49"/>
      <c r="I1088" s="49"/>
      <c r="J1088" s="49"/>
      <c r="K1088" s="49"/>
      <c r="L1088" s="41"/>
      <c r="M1088" s="41"/>
      <c r="N1088" s="41"/>
      <c r="O1088" s="41"/>
      <c r="P1088" s="43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</row>
    <row r="1089" spans="1:45">
      <c r="A1089" s="38"/>
      <c r="B1089" s="38"/>
      <c r="C1089" s="38"/>
      <c r="D1089" s="38"/>
      <c r="E1089" s="49"/>
      <c r="F1089" s="49"/>
      <c r="G1089" s="38"/>
      <c r="H1089" s="49"/>
      <c r="I1089" s="49"/>
      <c r="J1089" s="49"/>
      <c r="K1089" s="49"/>
      <c r="L1089" s="41"/>
      <c r="M1089" s="41"/>
      <c r="N1089" s="41"/>
      <c r="O1089" s="41"/>
      <c r="P1089" s="43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</row>
    <row r="1090" spans="1:45">
      <c r="A1090" s="38"/>
      <c r="B1090" s="38"/>
      <c r="C1090" s="38"/>
      <c r="D1090" s="38"/>
      <c r="E1090" s="49"/>
      <c r="F1090" s="49"/>
      <c r="G1090" s="38"/>
      <c r="H1090" s="49"/>
      <c r="I1090" s="49"/>
      <c r="J1090" s="49"/>
      <c r="K1090" s="49"/>
      <c r="L1090" s="41"/>
      <c r="M1090" s="41"/>
      <c r="N1090" s="41"/>
      <c r="O1090" s="41"/>
      <c r="P1090" s="43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</row>
    <row r="1091" spans="1:45">
      <c r="A1091" s="38"/>
      <c r="B1091" s="38"/>
      <c r="C1091" s="38"/>
      <c r="D1091" s="38"/>
      <c r="E1091" s="49"/>
      <c r="F1091" s="49"/>
      <c r="G1091" s="38"/>
      <c r="H1091" s="49"/>
      <c r="I1091" s="49"/>
      <c r="J1091" s="49"/>
      <c r="K1091" s="49"/>
      <c r="L1091" s="41"/>
      <c r="M1091" s="41"/>
      <c r="N1091" s="41"/>
      <c r="O1091" s="41"/>
      <c r="P1091" s="43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</row>
    <row r="1092" spans="1:45">
      <c r="A1092" s="38"/>
      <c r="B1092" s="38"/>
      <c r="C1092" s="38"/>
      <c r="D1092" s="38"/>
      <c r="E1092" s="49"/>
      <c r="F1092" s="49"/>
      <c r="G1092" s="38"/>
      <c r="H1092" s="49"/>
      <c r="I1092" s="49"/>
      <c r="J1092" s="49"/>
      <c r="K1092" s="49"/>
      <c r="L1092" s="41"/>
      <c r="M1092" s="41"/>
      <c r="N1092" s="41"/>
      <c r="O1092" s="41"/>
      <c r="P1092" s="43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</row>
    <row r="1093" spans="1:45">
      <c r="A1093" s="38"/>
      <c r="B1093" s="38"/>
      <c r="C1093" s="38"/>
      <c r="D1093" s="38"/>
      <c r="E1093" s="49"/>
      <c r="F1093" s="49"/>
      <c r="G1093" s="38"/>
      <c r="H1093" s="49"/>
      <c r="I1093" s="49"/>
      <c r="J1093" s="49"/>
      <c r="K1093" s="49"/>
      <c r="L1093" s="41"/>
      <c r="M1093" s="41"/>
      <c r="N1093" s="41"/>
      <c r="O1093" s="41"/>
      <c r="P1093" s="43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</row>
    <row r="1094" spans="1:45">
      <c r="A1094" s="38"/>
      <c r="B1094" s="38"/>
      <c r="C1094" s="38"/>
      <c r="D1094" s="38"/>
      <c r="E1094" s="49"/>
      <c r="F1094" s="49"/>
      <c r="G1094" s="38"/>
      <c r="H1094" s="49"/>
      <c r="I1094" s="49"/>
      <c r="J1094" s="49"/>
      <c r="K1094" s="49"/>
      <c r="L1094" s="41"/>
      <c r="M1094" s="41"/>
      <c r="N1094" s="41"/>
      <c r="O1094" s="41"/>
      <c r="P1094" s="43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</row>
    <row r="1095" spans="1:45">
      <c r="A1095" s="38"/>
      <c r="B1095" s="38"/>
      <c r="C1095" s="38"/>
      <c r="D1095" s="38"/>
      <c r="E1095" s="49"/>
      <c r="F1095" s="49"/>
      <c r="G1095" s="38"/>
      <c r="H1095" s="49"/>
      <c r="I1095" s="49"/>
      <c r="J1095" s="49"/>
      <c r="K1095" s="49"/>
      <c r="L1095" s="41"/>
      <c r="M1095" s="41"/>
      <c r="N1095" s="41"/>
      <c r="O1095" s="41"/>
      <c r="P1095" s="43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</row>
    <row r="1096" spans="1:45">
      <c r="A1096" s="38"/>
      <c r="B1096" s="38"/>
      <c r="C1096" s="38"/>
      <c r="D1096" s="38"/>
      <c r="E1096" s="49"/>
      <c r="F1096" s="49"/>
      <c r="G1096" s="38"/>
      <c r="H1096" s="49"/>
      <c r="I1096" s="49"/>
      <c r="J1096" s="49"/>
      <c r="K1096" s="49"/>
      <c r="L1096" s="41"/>
      <c r="M1096" s="41"/>
      <c r="N1096" s="41"/>
      <c r="O1096" s="41"/>
      <c r="P1096" s="43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</row>
    <row r="1097" spans="1:45">
      <c r="A1097" s="38"/>
      <c r="B1097" s="38"/>
      <c r="C1097" s="38"/>
      <c r="D1097" s="38"/>
      <c r="E1097" s="49"/>
      <c r="F1097" s="49"/>
      <c r="G1097" s="38"/>
      <c r="H1097" s="49"/>
      <c r="I1097" s="49"/>
      <c r="J1097" s="49"/>
      <c r="K1097" s="49"/>
      <c r="L1097" s="41"/>
      <c r="M1097" s="41"/>
      <c r="N1097" s="41"/>
      <c r="O1097" s="41"/>
      <c r="P1097" s="43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</row>
    <row r="1098" spans="1:45">
      <c r="A1098" s="38"/>
      <c r="B1098" s="38"/>
      <c r="C1098" s="38"/>
      <c r="D1098" s="38"/>
      <c r="E1098" s="49"/>
      <c r="F1098" s="49"/>
      <c r="G1098" s="38"/>
      <c r="H1098" s="49"/>
      <c r="I1098" s="49"/>
      <c r="J1098" s="49"/>
      <c r="K1098" s="49"/>
      <c r="L1098" s="41"/>
      <c r="M1098" s="41"/>
      <c r="N1098" s="41"/>
      <c r="O1098" s="41"/>
      <c r="P1098" s="43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</row>
    <row r="1099" spans="1:45">
      <c r="A1099" s="38"/>
      <c r="B1099" s="38"/>
      <c r="C1099" s="38"/>
      <c r="D1099" s="38"/>
      <c r="E1099" s="49"/>
      <c r="F1099" s="49"/>
      <c r="G1099" s="38"/>
      <c r="H1099" s="49"/>
      <c r="I1099" s="49"/>
      <c r="J1099" s="49"/>
      <c r="K1099" s="49"/>
      <c r="L1099" s="41"/>
      <c r="M1099" s="41"/>
      <c r="N1099" s="41"/>
      <c r="O1099" s="41"/>
      <c r="P1099" s="43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</row>
    <row r="1100" spans="1:45">
      <c r="A1100" s="38"/>
      <c r="B1100" s="38"/>
      <c r="C1100" s="38"/>
      <c r="D1100" s="38"/>
      <c r="E1100" s="49"/>
      <c r="F1100" s="49"/>
      <c r="G1100" s="38"/>
      <c r="H1100" s="49"/>
      <c r="I1100" s="49"/>
      <c r="J1100" s="49"/>
      <c r="K1100" s="49"/>
      <c r="L1100" s="41"/>
      <c r="M1100" s="41"/>
      <c r="N1100" s="41"/>
      <c r="O1100" s="41"/>
      <c r="P1100" s="43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</row>
    <row r="1101" spans="1:45">
      <c r="A1101" s="38"/>
      <c r="B1101" s="38"/>
      <c r="C1101" s="38"/>
      <c r="D1101" s="38"/>
      <c r="E1101" s="49"/>
      <c r="F1101" s="49"/>
      <c r="G1101" s="38"/>
      <c r="H1101" s="49"/>
      <c r="I1101" s="49"/>
      <c r="J1101" s="49"/>
      <c r="K1101" s="49"/>
      <c r="L1101" s="41"/>
      <c r="M1101" s="41"/>
      <c r="N1101" s="41"/>
      <c r="O1101" s="41"/>
      <c r="P1101" s="43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  <c r="AK1101" s="41"/>
      <c r="AL1101" s="41"/>
      <c r="AM1101" s="41"/>
      <c r="AN1101" s="41"/>
      <c r="AO1101" s="41"/>
      <c r="AP1101" s="41"/>
      <c r="AQ1101" s="41"/>
      <c r="AR1101" s="41"/>
      <c r="AS1101" s="41"/>
    </row>
    <row r="1102" spans="1:45">
      <c r="A1102" s="38"/>
      <c r="B1102" s="38"/>
      <c r="C1102" s="38"/>
      <c r="D1102" s="38"/>
      <c r="E1102" s="49"/>
      <c r="F1102" s="49"/>
      <c r="G1102" s="38"/>
      <c r="H1102" s="49"/>
      <c r="I1102" s="49"/>
      <c r="J1102" s="49"/>
      <c r="K1102" s="49"/>
      <c r="L1102" s="41"/>
      <c r="M1102" s="41"/>
      <c r="N1102" s="41"/>
      <c r="O1102" s="41"/>
      <c r="P1102" s="43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  <c r="AK1102" s="41"/>
      <c r="AL1102" s="41"/>
      <c r="AM1102" s="41"/>
      <c r="AN1102" s="41"/>
      <c r="AO1102" s="41"/>
      <c r="AP1102" s="41"/>
      <c r="AQ1102" s="41"/>
      <c r="AR1102" s="41"/>
      <c r="AS1102" s="41"/>
    </row>
    <row r="1103" spans="1:45">
      <c r="A1103" s="38"/>
      <c r="B1103" s="38"/>
      <c r="C1103" s="38"/>
      <c r="D1103" s="38"/>
      <c r="E1103" s="49"/>
      <c r="F1103" s="49"/>
      <c r="G1103" s="38"/>
      <c r="H1103" s="49"/>
      <c r="I1103" s="49"/>
      <c r="J1103" s="49"/>
      <c r="K1103" s="49"/>
      <c r="L1103" s="41"/>
      <c r="M1103" s="41"/>
      <c r="N1103" s="41"/>
      <c r="O1103" s="41"/>
      <c r="P1103" s="43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  <c r="AK1103" s="41"/>
      <c r="AL1103" s="41"/>
      <c r="AM1103" s="41"/>
      <c r="AN1103" s="41"/>
      <c r="AO1103" s="41"/>
      <c r="AP1103" s="41"/>
      <c r="AQ1103" s="41"/>
      <c r="AR1103" s="41"/>
      <c r="AS1103" s="41"/>
    </row>
    <row r="1104" spans="1:45">
      <c r="A1104" s="38"/>
      <c r="B1104" s="38"/>
      <c r="C1104" s="38"/>
      <c r="D1104" s="38"/>
      <c r="E1104" s="49"/>
      <c r="F1104" s="49"/>
      <c r="G1104" s="38"/>
      <c r="H1104" s="49"/>
      <c r="I1104" s="49"/>
      <c r="J1104" s="49"/>
      <c r="K1104" s="49"/>
      <c r="L1104" s="41"/>
      <c r="M1104" s="41"/>
      <c r="N1104" s="41"/>
      <c r="O1104" s="41"/>
      <c r="P1104" s="43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  <c r="AK1104" s="41"/>
      <c r="AL1104" s="41"/>
      <c r="AM1104" s="41"/>
      <c r="AN1104" s="41"/>
      <c r="AO1104" s="41"/>
      <c r="AP1104" s="41"/>
      <c r="AQ1104" s="41"/>
      <c r="AR1104" s="41"/>
      <c r="AS1104" s="41"/>
    </row>
    <row r="1105" spans="1:45">
      <c r="A1105" s="38"/>
      <c r="B1105" s="38"/>
      <c r="C1105" s="38"/>
      <c r="D1105" s="38"/>
      <c r="E1105" s="49"/>
      <c r="F1105" s="49"/>
      <c r="G1105" s="38"/>
      <c r="H1105" s="49"/>
      <c r="I1105" s="49"/>
      <c r="J1105" s="49"/>
      <c r="K1105" s="49"/>
      <c r="L1105" s="41"/>
      <c r="M1105" s="41"/>
      <c r="N1105" s="41"/>
      <c r="O1105" s="41"/>
      <c r="P1105" s="43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  <c r="AD1105" s="41"/>
      <c r="AE1105" s="41"/>
      <c r="AF1105" s="41"/>
      <c r="AG1105" s="41"/>
      <c r="AH1105" s="41"/>
      <c r="AI1105" s="41"/>
      <c r="AJ1105" s="41"/>
      <c r="AK1105" s="41"/>
      <c r="AL1105" s="41"/>
      <c r="AM1105" s="41"/>
      <c r="AN1105" s="41"/>
      <c r="AO1105" s="41"/>
      <c r="AP1105" s="41"/>
      <c r="AQ1105" s="41"/>
      <c r="AR1105" s="41"/>
      <c r="AS1105" s="41"/>
    </row>
    <row r="1106" spans="1:45">
      <c r="A1106" s="38"/>
      <c r="B1106" s="38"/>
      <c r="C1106" s="38"/>
      <c r="D1106" s="38"/>
      <c r="E1106" s="49"/>
      <c r="F1106" s="49"/>
      <c r="G1106" s="38"/>
      <c r="H1106" s="49"/>
      <c r="I1106" s="49"/>
      <c r="J1106" s="49"/>
      <c r="K1106" s="49"/>
      <c r="L1106" s="41"/>
      <c r="M1106" s="41"/>
      <c r="N1106" s="41"/>
      <c r="O1106" s="41"/>
      <c r="P1106" s="43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  <c r="AD1106" s="41"/>
      <c r="AE1106" s="41"/>
      <c r="AF1106" s="41"/>
      <c r="AG1106" s="41"/>
      <c r="AH1106" s="41"/>
      <c r="AI1106" s="41"/>
      <c r="AJ1106" s="41"/>
      <c r="AK1106" s="41"/>
      <c r="AL1106" s="41"/>
      <c r="AM1106" s="41"/>
      <c r="AN1106" s="41"/>
      <c r="AO1106" s="41"/>
      <c r="AP1106" s="41"/>
      <c r="AQ1106" s="41"/>
      <c r="AR1106" s="41"/>
      <c r="AS1106" s="41"/>
    </row>
    <row r="1107" spans="1:45">
      <c r="A1107" s="38"/>
      <c r="B1107" s="38"/>
      <c r="C1107" s="38"/>
      <c r="D1107" s="38"/>
      <c r="E1107" s="49"/>
      <c r="F1107" s="49"/>
      <c r="G1107" s="38"/>
      <c r="H1107" s="49"/>
      <c r="I1107" s="49"/>
      <c r="J1107" s="49"/>
      <c r="K1107" s="49"/>
      <c r="L1107" s="41"/>
      <c r="M1107" s="41"/>
      <c r="N1107" s="41"/>
      <c r="O1107" s="41"/>
      <c r="P1107" s="43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  <c r="AD1107" s="41"/>
      <c r="AE1107" s="41"/>
      <c r="AF1107" s="41"/>
      <c r="AG1107" s="41"/>
      <c r="AH1107" s="41"/>
      <c r="AI1107" s="41"/>
      <c r="AJ1107" s="41"/>
      <c r="AK1107" s="41"/>
      <c r="AL1107" s="41"/>
      <c r="AM1107" s="41"/>
      <c r="AN1107" s="41"/>
      <c r="AO1107" s="41"/>
      <c r="AP1107" s="41"/>
      <c r="AQ1107" s="41"/>
      <c r="AR1107" s="41"/>
      <c r="AS1107" s="41"/>
    </row>
    <row r="1108" spans="1:45">
      <c r="A1108" s="38"/>
      <c r="B1108" s="38"/>
      <c r="C1108" s="38"/>
      <c r="D1108" s="38"/>
      <c r="E1108" s="49"/>
      <c r="F1108" s="49"/>
      <c r="G1108" s="38"/>
      <c r="H1108" s="49"/>
      <c r="I1108" s="49"/>
      <c r="J1108" s="49"/>
      <c r="K1108" s="49"/>
      <c r="L1108" s="41"/>
      <c r="M1108" s="41"/>
      <c r="N1108" s="41"/>
      <c r="O1108" s="41"/>
      <c r="P1108" s="43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  <c r="AD1108" s="41"/>
      <c r="AE1108" s="41"/>
      <c r="AF1108" s="41"/>
      <c r="AG1108" s="41"/>
      <c r="AH1108" s="41"/>
      <c r="AI1108" s="41"/>
      <c r="AJ1108" s="41"/>
      <c r="AK1108" s="41"/>
      <c r="AL1108" s="41"/>
      <c r="AM1108" s="41"/>
      <c r="AN1108" s="41"/>
      <c r="AO1108" s="41"/>
      <c r="AP1108" s="41"/>
      <c r="AQ1108" s="41"/>
      <c r="AR1108" s="41"/>
      <c r="AS1108" s="41"/>
    </row>
    <row r="1109" spans="1:45">
      <c r="A1109" s="38"/>
      <c r="B1109" s="38"/>
      <c r="C1109" s="38"/>
      <c r="D1109" s="38"/>
      <c r="E1109" s="49"/>
      <c r="F1109" s="49"/>
      <c r="G1109" s="38"/>
      <c r="H1109" s="49"/>
      <c r="I1109" s="49"/>
      <c r="J1109" s="49"/>
      <c r="K1109" s="49"/>
      <c r="L1109" s="41"/>
      <c r="M1109" s="41"/>
      <c r="N1109" s="41"/>
      <c r="O1109" s="41"/>
      <c r="P1109" s="43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41"/>
      <c r="AD1109" s="41"/>
      <c r="AE1109" s="41"/>
      <c r="AF1109" s="41"/>
      <c r="AG1109" s="41"/>
      <c r="AH1109" s="41"/>
      <c r="AI1109" s="41"/>
      <c r="AJ1109" s="41"/>
      <c r="AK1109" s="41"/>
      <c r="AL1109" s="41"/>
      <c r="AM1109" s="41"/>
      <c r="AN1109" s="41"/>
      <c r="AO1109" s="41"/>
      <c r="AP1109" s="41"/>
      <c r="AQ1109" s="41"/>
      <c r="AR1109" s="41"/>
      <c r="AS1109" s="41"/>
    </row>
    <row r="1110" spans="1:45">
      <c r="A1110" s="38"/>
      <c r="B1110" s="38"/>
      <c r="C1110" s="38"/>
      <c r="D1110" s="38"/>
      <c r="E1110" s="49"/>
      <c r="F1110" s="49"/>
      <c r="G1110" s="38"/>
      <c r="H1110" s="49"/>
      <c r="I1110" s="49"/>
      <c r="J1110" s="49"/>
      <c r="K1110" s="49"/>
      <c r="L1110" s="41"/>
      <c r="M1110" s="41"/>
      <c r="N1110" s="41"/>
      <c r="O1110" s="41"/>
      <c r="P1110" s="43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41"/>
      <c r="AD1110" s="41"/>
      <c r="AE1110" s="41"/>
      <c r="AF1110" s="41"/>
      <c r="AG1110" s="41"/>
      <c r="AH1110" s="41"/>
      <c r="AI1110" s="41"/>
      <c r="AJ1110" s="41"/>
      <c r="AK1110" s="41"/>
      <c r="AL1110" s="41"/>
      <c r="AM1110" s="41"/>
      <c r="AN1110" s="41"/>
      <c r="AO1110" s="41"/>
      <c r="AP1110" s="41"/>
      <c r="AQ1110" s="41"/>
      <c r="AR1110" s="41"/>
      <c r="AS1110" s="41"/>
    </row>
    <row r="1111" spans="1:45">
      <c r="A1111" s="38"/>
      <c r="B1111" s="38"/>
      <c r="C1111" s="38"/>
      <c r="D1111" s="38"/>
      <c r="E1111" s="49"/>
      <c r="F1111" s="49"/>
      <c r="G1111" s="38"/>
      <c r="H1111" s="49"/>
      <c r="I1111" s="49"/>
      <c r="J1111" s="49"/>
      <c r="K1111" s="49"/>
      <c r="L1111" s="41"/>
      <c r="M1111" s="41"/>
      <c r="N1111" s="41"/>
      <c r="O1111" s="41"/>
      <c r="P1111" s="43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41"/>
      <c r="AD1111" s="41"/>
      <c r="AE1111" s="41"/>
      <c r="AF1111" s="41"/>
      <c r="AG1111" s="41"/>
      <c r="AH1111" s="41"/>
      <c r="AI1111" s="41"/>
      <c r="AJ1111" s="41"/>
      <c r="AK1111" s="41"/>
      <c r="AL1111" s="41"/>
      <c r="AM1111" s="41"/>
      <c r="AN1111" s="41"/>
      <c r="AO1111" s="41"/>
      <c r="AP1111" s="41"/>
      <c r="AQ1111" s="41"/>
      <c r="AR1111" s="41"/>
      <c r="AS1111" s="41"/>
    </row>
    <row r="1112" spans="1:45">
      <c r="A1112" s="38"/>
      <c r="B1112" s="38"/>
      <c r="C1112" s="38"/>
      <c r="D1112" s="38"/>
      <c r="E1112" s="49"/>
      <c r="F1112" s="49"/>
      <c r="G1112" s="38"/>
      <c r="H1112" s="49"/>
      <c r="I1112" s="49"/>
      <c r="J1112" s="49"/>
      <c r="K1112" s="49"/>
      <c r="L1112" s="41"/>
      <c r="M1112" s="41"/>
      <c r="N1112" s="41"/>
      <c r="O1112" s="41"/>
      <c r="P1112" s="43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41"/>
      <c r="AD1112" s="41"/>
      <c r="AE1112" s="41"/>
      <c r="AF1112" s="41"/>
      <c r="AG1112" s="41"/>
      <c r="AH1112" s="41"/>
      <c r="AI1112" s="41"/>
      <c r="AJ1112" s="41"/>
      <c r="AK1112" s="41"/>
      <c r="AL1112" s="41"/>
      <c r="AM1112" s="41"/>
      <c r="AN1112" s="41"/>
      <c r="AO1112" s="41"/>
      <c r="AP1112" s="41"/>
      <c r="AQ1112" s="41"/>
      <c r="AR1112" s="41"/>
      <c r="AS1112" s="41"/>
    </row>
    <row r="1113" spans="1:45">
      <c r="A1113" s="38"/>
      <c r="B1113" s="38"/>
      <c r="C1113" s="38"/>
      <c r="D1113" s="38"/>
      <c r="E1113" s="49"/>
      <c r="F1113" s="49"/>
      <c r="G1113" s="38"/>
      <c r="H1113" s="49"/>
      <c r="I1113" s="49"/>
      <c r="J1113" s="49"/>
      <c r="K1113" s="49"/>
      <c r="L1113" s="41"/>
      <c r="M1113" s="41"/>
      <c r="N1113" s="41"/>
      <c r="O1113" s="41"/>
      <c r="P1113" s="43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41"/>
      <c r="AM1113" s="41"/>
      <c r="AN1113" s="41"/>
      <c r="AO1113" s="41"/>
      <c r="AP1113" s="41"/>
      <c r="AQ1113" s="41"/>
      <c r="AR1113" s="41"/>
      <c r="AS1113" s="41"/>
    </row>
    <row r="1114" spans="1:45">
      <c r="A1114" s="38"/>
      <c r="B1114" s="38"/>
      <c r="C1114" s="38"/>
      <c r="D1114" s="38"/>
      <c r="E1114" s="49"/>
      <c r="F1114" s="49"/>
      <c r="G1114" s="38"/>
      <c r="H1114" s="49"/>
      <c r="I1114" s="49"/>
      <c r="J1114" s="49"/>
      <c r="K1114" s="49"/>
      <c r="L1114" s="41"/>
      <c r="M1114" s="41"/>
      <c r="N1114" s="41"/>
      <c r="O1114" s="41"/>
      <c r="P1114" s="43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41"/>
      <c r="AM1114" s="41"/>
      <c r="AN1114" s="41"/>
      <c r="AO1114" s="41"/>
      <c r="AP1114" s="41"/>
      <c r="AQ1114" s="41"/>
      <c r="AR1114" s="41"/>
      <c r="AS1114" s="41"/>
    </row>
    <row r="1115" spans="1:45">
      <c r="A1115" s="38"/>
      <c r="B1115" s="38"/>
      <c r="C1115" s="38"/>
      <c r="D1115" s="38"/>
      <c r="E1115" s="49"/>
      <c r="F1115" s="49"/>
      <c r="G1115" s="38"/>
      <c r="H1115" s="49"/>
      <c r="I1115" s="49"/>
      <c r="J1115" s="49"/>
      <c r="K1115" s="49"/>
      <c r="L1115" s="41"/>
      <c r="M1115" s="41"/>
      <c r="N1115" s="41"/>
      <c r="O1115" s="41"/>
      <c r="P1115" s="43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41"/>
      <c r="AM1115" s="41"/>
      <c r="AN1115" s="41"/>
      <c r="AO1115" s="41"/>
      <c r="AP1115" s="41"/>
      <c r="AQ1115" s="41"/>
      <c r="AR1115" s="41"/>
      <c r="AS1115" s="41"/>
    </row>
    <row r="1116" spans="1:45">
      <c r="A1116" s="38"/>
      <c r="B1116" s="38"/>
      <c r="C1116" s="38"/>
      <c r="D1116" s="38"/>
      <c r="E1116" s="49"/>
      <c r="F1116" s="49"/>
      <c r="G1116" s="38"/>
      <c r="H1116" s="49"/>
      <c r="I1116" s="49"/>
      <c r="J1116" s="49"/>
      <c r="K1116" s="49"/>
      <c r="L1116" s="41"/>
      <c r="M1116" s="41"/>
      <c r="N1116" s="41"/>
      <c r="O1116" s="41"/>
      <c r="P1116" s="43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41"/>
      <c r="AM1116" s="41"/>
      <c r="AN1116" s="41"/>
      <c r="AO1116" s="41"/>
      <c r="AP1116" s="41"/>
      <c r="AQ1116" s="41"/>
      <c r="AR1116" s="41"/>
      <c r="AS1116" s="41"/>
    </row>
    <row r="1117" spans="1:45">
      <c r="A1117" s="38"/>
      <c r="B1117" s="38"/>
      <c r="C1117" s="38"/>
      <c r="D1117" s="38"/>
      <c r="E1117" s="49"/>
      <c r="F1117" s="49"/>
      <c r="G1117" s="38"/>
      <c r="H1117" s="49"/>
      <c r="I1117" s="49"/>
      <c r="J1117" s="49"/>
      <c r="K1117" s="49"/>
      <c r="L1117" s="41"/>
      <c r="M1117" s="41"/>
      <c r="N1117" s="41"/>
      <c r="O1117" s="41"/>
      <c r="P1117" s="43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41"/>
      <c r="AM1117" s="41"/>
      <c r="AN1117" s="41"/>
      <c r="AO1117" s="41"/>
      <c r="AP1117" s="41"/>
      <c r="AQ1117" s="41"/>
      <c r="AR1117" s="41"/>
      <c r="AS1117" s="41"/>
    </row>
    <row r="1118" spans="1:45">
      <c r="A1118" s="38"/>
      <c r="B1118" s="38"/>
      <c r="C1118" s="38"/>
      <c r="D1118" s="38"/>
      <c r="E1118" s="49"/>
      <c r="F1118" s="49"/>
      <c r="G1118" s="38"/>
      <c r="H1118" s="49"/>
      <c r="I1118" s="49"/>
      <c r="J1118" s="49"/>
      <c r="K1118" s="49"/>
      <c r="L1118" s="41"/>
      <c r="M1118" s="41"/>
      <c r="N1118" s="41"/>
      <c r="O1118" s="41"/>
      <c r="P1118" s="43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41"/>
      <c r="AM1118" s="41"/>
      <c r="AN1118" s="41"/>
      <c r="AO1118" s="41"/>
      <c r="AP1118" s="41"/>
      <c r="AQ1118" s="41"/>
      <c r="AR1118" s="41"/>
      <c r="AS1118" s="41"/>
    </row>
    <row r="1119" spans="1:45">
      <c r="A1119" s="38"/>
      <c r="B1119" s="38"/>
      <c r="C1119" s="38"/>
      <c r="D1119" s="38"/>
      <c r="E1119" s="49"/>
      <c r="F1119" s="49"/>
      <c r="G1119" s="38"/>
      <c r="H1119" s="49"/>
      <c r="I1119" s="49"/>
      <c r="J1119" s="49"/>
      <c r="K1119" s="49"/>
      <c r="L1119" s="41"/>
      <c r="M1119" s="41"/>
      <c r="N1119" s="41"/>
      <c r="O1119" s="41"/>
      <c r="P1119" s="43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41"/>
      <c r="AD1119" s="41"/>
      <c r="AE1119" s="41"/>
      <c r="AF1119" s="41"/>
      <c r="AG1119" s="41"/>
      <c r="AH1119" s="41"/>
      <c r="AI1119" s="41"/>
      <c r="AJ1119" s="41"/>
      <c r="AK1119" s="41"/>
      <c r="AL1119" s="41"/>
      <c r="AM1119" s="41"/>
      <c r="AN1119" s="41"/>
      <c r="AO1119" s="41"/>
      <c r="AP1119" s="41"/>
      <c r="AQ1119" s="41"/>
      <c r="AR1119" s="41"/>
      <c r="AS1119" s="41"/>
    </row>
    <row r="1120" spans="1:45">
      <c r="A1120" s="38"/>
      <c r="B1120" s="38"/>
      <c r="C1120" s="38"/>
      <c r="D1120" s="38"/>
      <c r="E1120" s="49"/>
      <c r="F1120" s="49"/>
      <c r="G1120" s="38"/>
      <c r="H1120" s="49"/>
      <c r="I1120" s="49"/>
      <c r="J1120" s="49"/>
      <c r="K1120" s="49"/>
      <c r="L1120" s="41"/>
      <c r="M1120" s="41"/>
      <c r="N1120" s="41"/>
      <c r="O1120" s="41"/>
      <c r="P1120" s="43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41"/>
      <c r="AD1120" s="41"/>
      <c r="AE1120" s="41"/>
      <c r="AF1120" s="41"/>
      <c r="AG1120" s="41"/>
      <c r="AH1120" s="41"/>
      <c r="AI1120" s="41"/>
      <c r="AJ1120" s="41"/>
      <c r="AK1120" s="41"/>
      <c r="AL1120" s="41"/>
      <c r="AM1120" s="41"/>
      <c r="AN1120" s="41"/>
      <c r="AO1120" s="41"/>
      <c r="AP1120" s="41"/>
      <c r="AQ1120" s="41"/>
      <c r="AR1120" s="41"/>
      <c r="AS1120" s="41"/>
    </row>
    <row r="1121" spans="1:45">
      <c r="A1121" s="38"/>
      <c r="B1121" s="38"/>
      <c r="C1121" s="38"/>
      <c r="D1121" s="38"/>
      <c r="E1121" s="49"/>
      <c r="F1121" s="49"/>
      <c r="G1121" s="38"/>
      <c r="H1121" s="49"/>
      <c r="I1121" s="49"/>
      <c r="J1121" s="49"/>
      <c r="K1121" s="49"/>
      <c r="L1121" s="41"/>
      <c r="M1121" s="41"/>
      <c r="N1121" s="41"/>
      <c r="O1121" s="41"/>
      <c r="P1121" s="43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41"/>
      <c r="AD1121" s="41"/>
      <c r="AE1121" s="41"/>
      <c r="AF1121" s="41"/>
      <c r="AG1121" s="41"/>
      <c r="AH1121" s="41"/>
      <c r="AI1121" s="41"/>
      <c r="AJ1121" s="41"/>
      <c r="AK1121" s="41"/>
      <c r="AL1121" s="41"/>
      <c r="AM1121" s="41"/>
      <c r="AN1121" s="41"/>
      <c r="AO1121" s="41"/>
      <c r="AP1121" s="41"/>
      <c r="AQ1121" s="41"/>
      <c r="AR1121" s="41"/>
      <c r="AS1121" s="41"/>
    </row>
    <row r="1122" spans="1:45">
      <c r="A1122" s="38"/>
      <c r="B1122" s="38"/>
      <c r="C1122" s="38"/>
      <c r="D1122" s="38"/>
      <c r="E1122" s="49"/>
      <c r="F1122" s="49"/>
      <c r="G1122" s="38"/>
      <c r="H1122" s="49"/>
      <c r="I1122" s="49"/>
      <c r="J1122" s="49"/>
      <c r="K1122" s="49"/>
      <c r="L1122" s="41"/>
      <c r="M1122" s="41"/>
      <c r="N1122" s="41"/>
      <c r="O1122" s="41"/>
      <c r="P1122" s="43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41"/>
      <c r="AD1122" s="41"/>
      <c r="AE1122" s="41"/>
      <c r="AF1122" s="41"/>
      <c r="AG1122" s="41"/>
      <c r="AH1122" s="41"/>
      <c r="AI1122" s="41"/>
      <c r="AJ1122" s="41"/>
      <c r="AK1122" s="41"/>
      <c r="AL1122" s="41"/>
      <c r="AM1122" s="41"/>
      <c r="AN1122" s="41"/>
      <c r="AO1122" s="41"/>
      <c r="AP1122" s="41"/>
      <c r="AQ1122" s="41"/>
      <c r="AR1122" s="41"/>
      <c r="AS1122" s="41"/>
    </row>
    <row r="1123" spans="1:45">
      <c r="A1123" s="38"/>
      <c r="B1123" s="38"/>
      <c r="C1123" s="38"/>
      <c r="D1123" s="38"/>
      <c r="E1123" s="49"/>
      <c r="F1123" s="49"/>
      <c r="G1123" s="38"/>
      <c r="H1123" s="49"/>
      <c r="I1123" s="49"/>
      <c r="J1123" s="49"/>
      <c r="K1123" s="49"/>
      <c r="L1123" s="41"/>
      <c r="M1123" s="41"/>
      <c r="N1123" s="41"/>
      <c r="O1123" s="41"/>
      <c r="P1123" s="43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41"/>
      <c r="AD1123" s="41"/>
      <c r="AE1123" s="41"/>
      <c r="AF1123" s="41"/>
      <c r="AG1123" s="41"/>
      <c r="AH1123" s="41"/>
      <c r="AI1123" s="41"/>
      <c r="AJ1123" s="41"/>
      <c r="AK1123" s="41"/>
      <c r="AL1123" s="41"/>
      <c r="AM1123" s="41"/>
      <c r="AN1123" s="41"/>
      <c r="AO1123" s="41"/>
      <c r="AP1123" s="41"/>
      <c r="AQ1123" s="41"/>
      <c r="AR1123" s="41"/>
      <c r="AS1123" s="41"/>
    </row>
    <row r="1124" spans="1:45">
      <c r="A1124" s="38"/>
      <c r="B1124" s="38"/>
      <c r="C1124" s="38"/>
      <c r="D1124" s="38"/>
      <c r="E1124" s="49"/>
      <c r="F1124" s="49"/>
      <c r="G1124" s="38"/>
      <c r="H1124" s="49"/>
      <c r="I1124" s="49"/>
      <c r="J1124" s="49"/>
      <c r="K1124" s="49"/>
      <c r="L1124" s="41"/>
      <c r="M1124" s="41"/>
      <c r="N1124" s="41"/>
      <c r="O1124" s="41"/>
      <c r="P1124" s="43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41"/>
      <c r="AD1124" s="41"/>
      <c r="AE1124" s="41"/>
      <c r="AF1124" s="41"/>
      <c r="AG1124" s="41"/>
      <c r="AH1124" s="41"/>
      <c r="AI1124" s="41"/>
      <c r="AJ1124" s="41"/>
      <c r="AK1124" s="41"/>
      <c r="AL1124" s="41"/>
      <c r="AM1124" s="41"/>
      <c r="AN1124" s="41"/>
      <c r="AO1124" s="41"/>
      <c r="AP1124" s="41"/>
      <c r="AQ1124" s="41"/>
      <c r="AR1124" s="41"/>
      <c r="AS1124" s="41"/>
    </row>
    <row r="1125" spans="1:45">
      <c r="A1125" s="38"/>
      <c r="B1125" s="38"/>
      <c r="C1125" s="38"/>
      <c r="D1125" s="38"/>
      <c r="E1125" s="49"/>
      <c r="F1125" s="49"/>
      <c r="G1125" s="38"/>
      <c r="H1125" s="49"/>
      <c r="I1125" s="49"/>
      <c r="J1125" s="49"/>
      <c r="K1125" s="49"/>
      <c r="L1125" s="41"/>
      <c r="M1125" s="41"/>
      <c r="N1125" s="41"/>
      <c r="O1125" s="41"/>
      <c r="P1125" s="43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41"/>
      <c r="AD1125" s="41"/>
      <c r="AE1125" s="41"/>
      <c r="AF1125" s="41"/>
      <c r="AG1125" s="41"/>
      <c r="AH1125" s="41"/>
      <c r="AI1125" s="41"/>
      <c r="AJ1125" s="41"/>
      <c r="AK1125" s="41"/>
      <c r="AL1125" s="41"/>
      <c r="AM1125" s="41"/>
      <c r="AN1125" s="41"/>
      <c r="AO1125" s="41"/>
      <c r="AP1125" s="41"/>
      <c r="AQ1125" s="41"/>
      <c r="AR1125" s="41"/>
      <c r="AS1125" s="41"/>
    </row>
    <row r="1126" spans="1:45">
      <c r="A1126" s="38"/>
      <c r="B1126" s="38"/>
      <c r="C1126" s="38"/>
      <c r="D1126" s="38"/>
      <c r="E1126" s="49"/>
      <c r="F1126" s="49"/>
      <c r="G1126" s="38"/>
      <c r="H1126" s="49"/>
      <c r="I1126" s="49"/>
      <c r="J1126" s="49"/>
      <c r="K1126" s="49"/>
      <c r="L1126" s="41"/>
      <c r="M1126" s="41"/>
      <c r="N1126" s="41"/>
      <c r="O1126" s="41"/>
      <c r="P1126" s="43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41"/>
      <c r="AD1126" s="41"/>
      <c r="AE1126" s="41"/>
      <c r="AF1126" s="41"/>
      <c r="AG1126" s="41"/>
      <c r="AH1126" s="41"/>
      <c r="AI1126" s="41"/>
      <c r="AJ1126" s="41"/>
      <c r="AK1126" s="41"/>
      <c r="AL1126" s="41"/>
      <c r="AM1126" s="41"/>
      <c r="AN1126" s="41"/>
      <c r="AO1126" s="41"/>
      <c r="AP1126" s="41"/>
      <c r="AQ1126" s="41"/>
      <c r="AR1126" s="41"/>
      <c r="AS1126" s="41"/>
    </row>
    <row r="1127" spans="1:45">
      <c r="A1127" s="38"/>
      <c r="B1127" s="38"/>
      <c r="C1127" s="38"/>
      <c r="D1127" s="38"/>
      <c r="E1127" s="49"/>
      <c r="F1127" s="49"/>
      <c r="G1127" s="38"/>
      <c r="H1127" s="49"/>
      <c r="I1127" s="49"/>
      <c r="J1127" s="49"/>
      <c r="K1127" s="49"/>
      <c r="L1127" s="41"/>
      <c r="M1127" s="41"/>
      <c r="N1127" s="41"/>
      <c r="O1127" s="41"/>
      <c r="P1127" s="43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41"/>
      <c r="AD1127" s="41"/>
      <c r="AE1127" s="41"/>
      <c r="AF1127" s="41"/>
      <c r="AG1127" s="41"/>
      <c r="AH1127" s="41"/>
      <c r="AI1127" s="41"/>
      <c r="AJ1127" s="41"/>
      <c r="AK1127" s="41"/>
      <c r="AL1127" s="41"/>
      <c r="AM1127" s="41"/>
      <c r="AN1127" s="41"/>
      <c r="AO1127" s="41"/>
      <c r="AP1127" s="41"/>
      <c r="AQ1127" s="41"/>
      <c r="AR1127" s="41"/>
      <c r="AS1127" s="41"/>
    </row>
    <row r="1128" spans="1:45">
      <c r="A1128" s="38"/>
      <c r="B1128" s="38"/>
      <c r="C1128" s="38"/>
      <c r="D1128" s="38"/>
      <c r="E1128" s="49"/>
      <c r="F1128" s="49"/>
      <c r="G1128" s="38"/>
      <c r="H1128" s="49"/>
      <c r="I1128" s="49"/>
      <c r="J1128" s="49"/>
      <c r="K1128" s="49"/>
      <c r="L1128" s="41"/>
      <c r="M1128" s="41"/>
      <c r="N1128" s="41"/>
      <c r="O1128" s="41"/>
      <c r="P1128" s="43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41"/>
      <c r="AD1128" s="41"/>
      <c r="AE1128" s="41"/>
      <c r="AF1128" s="41"/>
      <c r="AG1128" s="41"/>
      <c r="AH1128" s="41"/>
      <c r="AI1128" s="41"/>
      <c r="AJ1128" s="41"/>
      <c r="AK1128" s="41"/>
      <c r="AL1128" s="41"/>
      <c r="AM1128" s="41"/>
      <c r="AN1128" s="41"/>
      <c r="AO1128" s="41"/>
      <c r="AP1128" s="41"/>
      <c r="AQ1128" s="41"/>
      <c r="AR1128" s="41"/>
      <c r="AS1128" s="41"/>
    </row>
    <row r="1129" spans="1:45">
      <c r="A1129" s="38"/>
      <c r="B1129" s="38"/>
      <c r="C1129" s="38"/>
      <c r="D1129" s="38"/>
      <c r="E1129" s="49"/>
      <c r="F1129" s="49"/>
      <c r="G1129" s="38"/>
      <c r="H1129" s="49"/>
      <c r="I1129" s="49"/>
      <c r="J1129" s="49"/>
      <c r="K1129" s="49"/>
      <c r="L1129" s="41"/>
      <c r="M1129" s="41"/>
      <c r="N1129" s="41"/>
      <c r="O1129" s="41"/>
      <c r="P1129" s="43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41"/>
      <c r="AD1129" s="41"/>
      <c r="AE1129" s="41"/>
      <c r="AF1129" s="41"/>
      <c r="AG1129" s="41"/>
      <c r="AH1129" s="41"/>
      <c r="AI1129" s="41"/>
      <c r="AJ1129" s="41"/>
      <c r="AK1129" s="41"/>
      <c r="AL1129" s="41"/>
      <c r="AM1129" s="41"/>
      <c r="AN1129" s="41"/>
      <c r="AO1129" s="41"/>
      <c r="AP1129" s="41"/>
      <c r="AQ1129" s="41"/>
      <c r="AR1129" s="41"/>
      <c r="AS1129" s="41"/>
    </row>
    <row r="1130" spans="1:45">
      <c r="A1130" s="38"/>
      <c r="B1130" s="38"/>
      <c r="C1130" s="38"/>
      <c r="D1130" s="38"/>
      <c r="E1130" s="49"/>
      <c r="F1130" s="49"/>
      <c r="G1130" s="38"/>
      <c r="H1130" s="49"/>
      <c r="I1130" s="49"/>
      <c r="J1130" s="49"/>
      <c r="K1130" s="49"/>
      <c r="L1130" s="41"/>
      <c r="M1130" s="41"/>
      <c r="N1130" s="41"/>
      <c r="O1130" s="41"/>
      <c r="P1130" s="43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41"/>
      <c r="AD1130" s="41"/>
      <c r="AE1130" s="41"/>
      <c r="AF1130" s="41"/>
      <c r="AG1130" s="41"/>
      <c r="AH1130" s="41"/>
      <c r="AI1130" s="41"/>
      <c r="AJ1130" s="41"/>
      <c r="AK1130" s="41"/>
      <c r="AL1130" s="41"/>
      <c r="AM1130" s="41"/>
      <c r="AN1130" s="41"/>
      <c r="AO1130" s="41"/>
      <c r="AP1130" s="41"/>
      <c r="AQ1130" s="41"/>
      <c r="AR1130" s="41"/>
      <c r="AS1130" s="41"/>
    </row>
    <row r="1131" spans="1:45">
      <c r="A1131" s="38"/>
      <c r="B1131" s="38"/>
      <c r="C1131" s="38"/>
      <c r="D1131" s="38"/>
      <c r="E1131" s="49"/>
      <c r="F1131" s="49"/>
      <c r="G1131" s="38"/>
      <c r="H1131" s="49"/>
      <c r="I1131" s="49"/>
      <c r="J1131" s="49"/>
      <c r="K1131" s="49"/>
      <c r="L1131" s="41"/>
      <c r="M1131" s="41"/>
      <c r="N1131" s="41"/>
      <c r="O1131" s="41"/>
      <c r="P1131" s="43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41"/>
      <c r="AD1131" s="41"/>
      <c r="AE1131" s="41"/>
      <c r="AF1131" s="41"/>
      <c r="AG1131" s="41"/>
      <c r="AH1131" s="41"/>
      <c r="AI1131" s="41"/>
      <c r="AJ1131" s="41"/>
      <c r="AK1131" s="41"/>
      <c r="AL1131" s="41"/>
      <c r="AM1131" s="41"/>
      <c r="AN1131" s="41"/>
      <c r="AO1131" s="41"/>
      <c r="AP1131" s="41"/>
      <c r="AQ1131" s="41"/>
      <c r="AR1131" s="41"/>
      <c r="AS1131" s="41"/>
    </row>
    <row r="1132" spans="1:45">
      <c r="A1132" s="38"/>
      <c r="B1132" s="38"/>
      <c r="C1132" s="38"/>
      <c r="D1132" s="38"/>
      <c r="E1132" s="49"/>
      <c r="F1132" s="49"/>
      <c r="G1132" s="38"/>
      <c r="H1132" s="49"/>
      <c r="I1132" s="49"/>
      <c r="J1132" s="49"/>
      <c r="K1132" s="49"/>
      <c r="L1132" s="41"/>
      <c r="M1132" s="41"/>
      <c r="N1132" s="41"/>
      <c r="O1132" s="41"/>
      <c r="P1132" s="43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41"/>
      <c r="AD1132" s="41"/>
      <c r="AE1132" s="41"/>
      <c r="AF1132" s="41"/>
      <c r="AG1132" s="41"/>
      <c r="AH1132" s="41"/>
      <c r="AI1132" s="41"/>
      <c r="AJ1132" s="41"/>
      <c r="AK1132" s="41"/>
      <c r="AL1132" s="41"/>
      <c r="AM1132" s="41"/>
      <c r="AN1132" s="41"/>
      <c r="AO1132" s="41"/>
      <c r="AP1132" s="41"/>
      <c r="AQ1132" s="41"/>
      <c r="AR1132" s="41"/>
      <c r="AS1132" s="41"/>
    </row>
    <row r="1133" spans="1:45">
      <c r="A1133" s="38"/>
      <c r="B1133" s="38"/>
      <c r="C1133" s="38"/>
      <c r="D1133" s="38"/>
      <c r="E1133" s="49"/>
      <c r="F1133" s="49"/>
      <c r="G1133" s="38"/>
      <c r="H1133" s="49"/>
      <c r="I1133" s="49"/>
      <c r="J1133" s="49"/>
      <c r="K1133" s="49"/>
      <c r="L1133" s="41"/>
      <c r="M1133" s="41"/>
      <c r="N1133" s="41"/>
      <c r="O1133" s="41"/>
      <c r="P1133" s="43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41"/>
      <c r="AD1133" s="41"/>
      <c r="AE1133" s="41"/>
      <c r="AF1133" s="41"/>
      <c r="AG1133" s="41"/>
      <c r="AH1133" s="41"/>
      <c r="AI1133" s="41"/>
      <c r="AJ1133" s="41"/>
      <c r="AK1133" s="41"/>
      <c r="AL1133" s="41"/>
      <c r="AM1133" s="41"/>
      <c r="AN1133" s="41"/>
      <c r="AO1133" s="41"/>
      <c r="AP1133" s="41"/>
      <c r="AQ1133" s="41"/>
      <c r="AR1133" s="41"/>
      <c r="AS1133" s="41"/>
    </row>
    <row r="1134" spans="1:45">
      <c r="A1134" s="38"/>
      <c r="B1134" s="38"/>
      <c r="C1134" s="38"/>
      <c r="D1134" s="38"/>
      <c r="E1134" s="49"/>
      <c r="F1134" s="49"/>
      <c r="G1134" s="38"/>
      <c r="H1134" s="49"/>
      <c r="I1134" s="49"/>
      <c r="J1134" s="49"/>
      <c r="K1134" s="49"/>
      <c r="L1134" s="41"/>
      <c r="M1134" s="41"/>
      <c r="N1134" s="41"/>
      <c r="O1134" s="41"/>
      <c r="P1134" s="43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41"/>
      <c r="AD1134" s="41"/>
      <c r="AE1134" s="41"/>
      <c r="AF1134" s="41"/>
      <c r="AG1134" s="41"/>
      <c r="AH1134" s="41"/>
      <c r="AI1134" s="41"/>
      <c r="AJ1134" s="41"/>
      <c r="AK1134" s="41"/>
      <c r="AL1134" s="41"/>
      <c r="AM1134" s="41"/>
      <c r="AN1134" s="41"/>
      <c r="AO1134" s="41"/>
      <c r="AP1134" s="41"/>
      <c r="AQ1134" s="41"/>
      <c r="AR1134" s="41"/>
      <c r="AS1134" s="41"/>
    </row>
    <row r="1135" spans="1:45">
      <c r="A1135" s="38"/>
      <c r="B1135" s="38"/>
      <c r="C1135" s="38"/>
      <c r="D1135" s="38"/>
      <c r="E1135" s="49"/>
      <c r="F1135" s="49"/>
      <c r="G1135" s="38"/>
      <c r="H1135" s="49"/>
      <c r="I1135" s="49"/>
      <c r="J1135" s="49"/>
      <c r="K1135" s="49"/>
      <c r="L1135" s="41"/>
      <c r="M1135" s="41"/>
      <c r="N1135" s="41"/>
      <c r="O1135" s="41"/>
      <c r="P1135" s="43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41"/>
      <c r="AD1135" s="41"/>
      <c r="AE1135" s="41"/>
      <c r="AF1135" s="41"/>
      <c r="AG1135" s="41"/>
      <c r="AH1135" s="41"/>
      <c r="AI1135" s="41"/>
      <c r="AJ1135" s="41"/>
      <c r="AK1135" s="41"/>
      <c r="AL1135" s="41"/>
      <c r="AM1135" s="41"/>
      <c r="AN1135" s="41"/>
      <c r="AO1135" s="41"/>
      <c r="AP1135" s="41"/>
      <c r="AQ1135" s="41"/>
      <c r="AR1135" s="41"/>
      <c r="AS1135" s="41"/>
    </row>
    <row r="1136" spans="1:45">
      <c r="A1136" s="38"/>
      <c r="B1136" s="38"/>
      <c r="C1136" s="38"/>
      <c r="D1136" s="38"/>
      <c r="E1136" s="49"/>
      <c r="F1136" s="49"/>
      <c r="G1136" s="38"/>
      <c r="H1136" s="49"/>
      <c r="I1136" s="49"/>
      <c r="J1136" s="49"/>
      <c r="K1136" s="49"/>
      <c r="L1136" s="41"/>
      <c r="M1136" s="41"/>
      <c r="N1136" s="41"/>
      <c r="O1136" s="41"/>
      <c r="P1136" s="43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/>
      <c r="AC1136" s="41"/>
      <c r="AD1136" s="41"/>
      <c r="AE1136" s="41"/>
      <c r="AF1136" s="41"/>
      <c r="AG1136" s="41"/>
      <c r="AH1136" s="41"/>
      <c r="AI1136" s="41"/>
      <c r="AJ1136" s="41"/>
      <c r="AK1136" s="41"/>
      <c r="AL1136" s="41"/>
      <c r="AM1136" s="41"/>
      <c r="AN1136" s="41"/>
      <c r="AO1136" s="41"/>
      <c r="AP1136" s="41"/>
      <c r="AQ1136" s="41"/>
      <c r="AR1136" s="41"/>
      <c r="AS1136" s="41"/>
    </row>
    <row r="1137" spans="1:45">
      <c r="A1137" s="38"/>
      <c r="B1137" s="38"/>
      <c r="C1137" s="38"/>
      <c r="D1137" s="38"/>
      <c r="E1137" s="49"/>
      <c r="F1137" s="49"/>
      <c r="G1137" s="38"/>
      <c r="H1137" s="49"/>
      <c r="I1137" s="49"/>
      <c r="J1137" s="49"/>
      <c r="K1137" s="49"/>
      <c r="L1137" s="41"/>
      <c r="M1137" s="41"/>
      <c r="N1137" s="41"/>
      <c r="O1137" s="41"/>
      <c r="P1137" s="43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/>
      <c r="AC1137" s="41"/>
      <c r="AD1137" s="41"/>
      <c r="AE1137" s="41"/>
      <c r="AF1137" s="41"/>
      <c r="AG1137" s="41"/>
      <c r="AH1137" s="41"/>
      <c r="AI1137" s="41"/>
      <c r="AJ1137" s="41"/>
      <c r="AK1137" s="41"/>
      <c r="AL1137" s="41"/>
      <c r="AM1137" s="41"/>
      <c r="AN1137" s="41"/>
      <c r="AO1137" s="41"/>
      <c r="AP1137" s="41"/>
      <c r="AQ1137" s="41"/>
      <c r="AR1137" s="41"/>
      <c r="AS1137" s="41"/>
    </row>
    <row r="1138" spans="1:45">
      <c r="A1138" s="38"/>
      <c r="B1138" s="38"/>
      <c r="C1138" s="38"/>
      <c r="D1138" s="38"/>
      <c r="E1138" s="49"/>
      <c r="F1138" s="49"/>
      <c r="G1138" s="38"/>
      <c r="H1138" s="49"/>
      <c r="I1138" s="49"/>
      <c r="J1138" s="49"/>
      <c r="K1138" s="49"/>
      <c r="L1138" s="41"/>
      <c r="M1138" s="41"/>
      <c r="N1138" s="41"/>
      <c r="O1138" s="41"/>
      <c r="P1138" s="43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/>
      <c r="AC1138" s="41"/>
      <c r="AD1138" s="41"/>
      <c r="AE1138" s="41"/>
      <c r="AF1138" s="41"/>
      <c r="AG1138" s="41"/>
      <c r="AH1138" s="41"/>
      <c r="AI1138" s="41"/>
      <c r="AJ1138" s="41"/>
      <c r="AK1138" s="41"/>
      <c r="AL1138" s="41"/>
      <c r="AM1138" s="41"/>
      <c r="AN1138" s="41"/>
      <c r="AO1138" s="41"/>
      <c r="AP1138" s="41"/>
      <c r="AQ1138" s="41"/>
      <c r="AR1138" s="41"/>
      <c r="AS1138" s="41"/>
    </row>
    <row r="1139" spans="1:45">
      <c r="A1139" s="38"/>
      <c r="B1139" s="38"/>
      <c r="C1139" s="38"/>
      <c r="D1139" s="38"/>
      <c r="E1139" s="49"/>
      <c r="F1139" s="49"/>
      <c r="G1139" s="38"/>
      <c r="H1139" s="49"/>
      <c r="I1139" s="49"/>
      <c r="J1139" s="49"/>
      <c r="K1139" s="49"/>
      <c r="L1139" s="41"/>
      <c r="M1139" s="41"/>
      <c r="N1139" s="41"/>
      <c r="O1139" s="41"/>
      <c r="P1139" s="43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/>
      <c r="AC1139" s="41"/>
      <c r="AD1139" s="41"/>
      <c r="AE1139" s="41"/>
      <c r="AF1139" s="41"/>
      <c r="AG1139" s="41"/>
      <c r="AH1139" s="41"/>
      <c r="AI1139" s="41"/>
      <c r="AJ1139" s="41"/>
      <c r="AK1139" s="41"/>
      <c r="AL1139" s="41"/>
      <c r="AM1139" s="41"/>
      <c r="AN1139" s="41"/>
      <c r="AO1139" s="41"/>
      <c r="AP1139" s="41"/>
      <c r="AQ1139" s="41"/>
      <c r="AR1139" s="41"/>
      <c r="AS1139" s="41"/>
    </row>
    <row r="1140" spans="1:45">
      <c r="A1140" s="38"/>
      <c r="B1140" s="38"/>
      <c r="C1140" s="38"/>
      <c r="D1140" s="38"/>
      <c r="E1140" s="49"/>
      <c r="F1140" s="49"/>
      <c r="G1140" s="38"/>
      <c r="H1140" s="49"/>
      <c r="I1140" s="49"/>
      <c r="J1140" s="49"/>
      <c r="K1140" s="49"/>
      <c r="L1140" s="41"/>
      <c r="M1140" s="41"/>
      <c r="N1140" s="41"/>
      <c r="O1140" s="41"/>
      <c r="P1140" s="43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/>
      <c r="AC1140" s="41"/>
      <c r="AD1140" s="41"/>
      <c r="AE1140" s="41"/>
      <c r="AF1140" s="41"/>
      <c r="AG1140" s="41"/>
      <c r="AH1140" s="41"/>
      <c r="AI1140" s="41"/>
      <c r="AJ1140" s="41"/>
      <c r="AK1140" s="41"/>
      <c r="AL1140" s="41"/>
      <c r="AM1140" s="41"/>
      <c r="AN1140" s="41"/>
      <c r="AO1140" s="41"/>
      <c r="AP1140" s="41"/>
      <c r="AQ1140" s="41"/>
      <c r="AR1140" s="41"/>
      <c r="AS1140" s="41"/>
    </row>
    <row r="1141" spans="1:45">
      <c r="A1141" s="38"/>
      <c r="B1141" s="38"/>
      <c r="C1141" s="38"/>
      <c r="D1141" s="38"/>
      <c r="E1141" s="49"/>
      <c r="F1141" s="49"/>
      <c r="G1141" s="38"/>
      <c r="H1141" s="49"/>
      <c r="I1141" s="49"/>
      <c r="J1141" s="49"/>
      <c r="K1141" s="49"/>
      <c r="L1141" s="41"/>
      <c r="M1141" s="41"/>
      <c r="N1141" s="41"/>
      <c r="O1141" s="41"/>
      <c r="P1141" s="43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/>
      <c r="AC1141" s="41"/>
      <c r="AD1141" s="41"/>
      <c r="AE1141" s="41"/>
      <c r="AF1141" s="41"/>
      <c r="AG1141" s="41"/>
      <c r="AH1141" s="41"/>
      <c r="AI1141" s="41"/>
      <c r="AJ1141" s="41"/>
      <c r="AK1141" s="41"/>
      <c r="AL1141" s="41"/>
      <c r="AM1141" s="41"/>
      <c r="AN1141" s="41"/>
      <c r="AO1141" s="41"/>
      <c r="AP1141" s="41"/>
      <c r="AQ1141" s="41"/>
      <c r="AR1141" s="41"/>
      <c r="AS1141" s="41"/>
    </row>
    <row r="1142" spans="1:45">
      <c r="A1142" s="38"/>
      <c r="B1142" s="38"/>
      <c r="C1142" s="38"/>
      <c r="D1142" s="38"/>
      <c r="E1142" s="49"/>
      <c r="F1142" s="49"/>
      <c r="G1142" s="38"/>
      <c r="H1142" s="49"/>
      <c r="I1142" s="49"/>
      <c r="J1142" s="49"/>
      <c r="K1142" s="49"/>
      <c r="L1142" s="41"/>
      <c r="M1142" s="41"/>
      <c r="N1142" s="41"/>
      <c r="O1142" s="41"/>
      <c r="P1142" s="43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/>
      <c r="AC1142" s="41"/>
      <c r="AD1142" s="41"/>
      <c r="AE1142" s="41"/>
      <c r="AF1142" s="41"/>
      <c r="AG1142" s="41"/>
      <c r="AH1142" s="41"/>
      <c r="AI1142" s="41"/>
      <c r="AJ1142" s="41"/>
      <c r="AK1142" s="41"/>
      <c r="AL1142" s="41"/>
      <c r="AM1142" s="41"/>
      <c r="AN1142" s="41"/>
      <c r="AO1142" s="41"/>
      <c r="AP1142" s="41"/>
      <c r="AQ1142" s="41"/>
      <c r="AR1142" s="41"/>
      <c r="AS1142" s="41"/>
    </row>
    <row r="1143" spans="1:45">
      <c r="A1143" s="38"/>
      <c r="B1143" s="38"/>
      <c r="C1143" s="38"/>
      <c r="D1143" s="38"/>
      <c r="E1143" s="49"/>
      <c r="F1143" s="49"/>
      <c r="G1143" s="38"/>
      <c r="H1143" s="49"/>
      <c r="I1143" s="49"/>
      <c r="J1143" s="49"/>
      <c r="K1143" s="49"/>
      <c r="L1143" s="41"/>
      <c r="M1143" s="41"/>
      <c r="N1143" s="41"/>
      <c r="O1143" s="41"/>
      <c r="P1143" s="43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/>
      <c r="AC1143" s="41"/>
      <c r="AD1143" s="41"/>
      <c r="AE1143" s="41"/>
      <c r="AF1143" s="41"/>
      <c r="AG1143" s="41"/>
      <c r="AH1143" s="41"/>
      <c r="AI1143" s="41"/>
      <c r="AJ1143" s="41"/>
      <c r="AK1143" s="41"/>
      <c r="AL1143" s="41"/>
      <c r="AM1143" s="41"/>
      <c r="AN1143" s="41"/>
      <c r="AO1143" s="41"/>
      <c r="AP1143" s="41"/>
      <c r="AQ1143" s="41"/>
      <c r="AR1143" s="41"/>
      <c r="AS1143" s="41"/>
    </row>
    <row r="1144" spans="1:45">
      <c r="A1144" s="38"/>
      <c r="B1144" s="38"/>
      <c r="C1144" s="38"/>
      <c r="D1144" s="38"/>
      <c r="E1144" s="49"/>
      <c r="F1144" s="49"/>
      <c r="G1144" s="38"/>
      <c r="H1144" s="49"/>
      <c r="I1144" s="49"/>
      <c r="J1144" s="49"/>
      <c r="K1144" s="49"/>
      <c r="L1144" s="41"/>
      <c r="M1144" s="41"/>
      <c r="N1144" s="41"/>
      <c r="O1144" s="41"/>
      <c r="P1144" s="43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/>
      <c r="AC1144" s="41"/>
      <c r="AD1144" s="41"/>
      <c r="AE1144" s="41"/>
      <c r="AF1144" s="41"/>
      <c r="AG1144" s="41"/>
      <c r="AH1144" s="41"/>
      <c r="AI1144" s="41"/>
      <c r="AJ1144" s="41"/>
      <c r="AK1144" s="41"/>
      <c r="AL1144" s="41"/>
      <c r="AM1144" s="41"/>
      <c r="AN1144" s="41"/>
      <c r="AO1144" s="41"/>
      <c r="AP1144" s="41"/>
      <c r="AQ1144" s="41"/>
      <c r="AR1144" s="41"/>
      <c r="AS1144" s="41"/>
    </row>
    <row r="1145" spans="1:45">
      <c r="A1145" s="38"/>
      <c r="B1145" s="38"/>
      <c r="C1145" s="38"/>
      <c r="D1145" s="38"/>
      <c r="E1145" s="49"/>
      <c r="F1145" s="49"/>
      <c r="G1145" s="38"/>
      <c r="H1145" s="49"/>
      <c r="I1145" s="49"/>
      <c r="J1145" s="49"/>
      <c r="K1145" s="49"/>
      <c r="L1145" s="41"/>
      <c r="M1145" s="41"/>
      <c r="N1145" s="41"/>
      <c r="O1145" s="41"/>
      <c r="P1145" s="43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/>
      <c r="AC1145" s="41"/>
      <c r="AD1145" s="41"/>
      <c r="AE1145" s="41"/>
      <c r="AF1145" s="41"/>
      <c r="AG1145" s="41"/>
      <c r="AH1145" s="41"/>
      <c r="AI1145" s="41"/>
      <c r="AJ1145" s="41"/>
      <c r="AK1145" s="41"/>
      <c r="AL1145" s="41"/>
      <c r="AM1145" s="41"/>
      <c r="AN1145" s="41"/>
      <c r="AO1145" s="41"/>
      <c r="AP1145" s="41"/>
      <c r="AQ1145" s="41"/>
      <c r="AR1145" s="41"/>
      <c r="AS1145" s="41"/>
    </row>
    <row r="1146" spans="1:45">
      <c r="A1146" s="38"/>
      <c r="B1146" s="38"/>
      <c r="C1146" s="38"/>
      <c r="D1146" s="38"/>
      <c r="E1146" s="49"/>
      <c r="F1146" s="49"/>
      <c r="G1146" s="38"/>
      <c r="H1146" s="49"/>
      <c r="I1146" s="49"/>
      <c r="J1146" s="49"/>
      <c r="K1146" s="49"/>
      <c r="L1146" s="41"/>
      <c r="M1146" s="41"/>
      <c r="N1146" s="41"/>
      <c r="O1146" s="41"/>
      <c r="P1146" s="43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/>
      <c r="AC1146" s="41"/>
      <c r="AD1146" s="41"/>
      <c r="AE1146" s="41"/>
      <c r="AF1146" s="41"/>
      <c r="AG1146" s="41"/>
      <c r="AH1146" s="41"/>
      <c r="AI1146" s="41"/>
      <c r="AJ1146" s="41"/>
      <c r="AK1146" s="41"/>
      <c r="AL1146" s="41"/>
      <c r="AM1146" s="41"/>
      <c r="AN1146" s="41"/>
      <c r="AO1146" s="41"/>
      <c r="AP1146" s="41"/>
      <c r="AQ1146" s="41"/>
      <c r="AR1146" s="41"/>
      <c r="AS1146" s="41"/>
    </row>
    <row r="1147" spans="1:45">
      <c r="A1147" s="38"/>
      <c r="B1147" s="38"/>
      <c r="C1147" s="38"/>
      <c r="D1147" s="38"/>
      <c r="E1147" s="49"/>
      <c r="F1147" s="49"/>
      <c r="G1147" s="38"/>
      <c r="H1147" s="49"/>
      <c r="I1147" s="49"/>
      <c r="J1147" s="49"/>
      <c r="K1147" s="49"/>
      <c r="L1147" s="41"/>
      <c r="M1147" s="41"/>
      <c r="N1147" s="41"/>
      <c r="O1147" s="41"/>
      <c r="P1147" s="43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/>
      <c r="AC1147" s="41"/>
      <c r="AD1147" s="41"/>
      <c r="AE1147" s="41"/>
      <c r="AF1147" s="41"/>
      <c r="AG1147" s="41"/>
      <c r="AH1147" s="41"/>
      <c r="AI1147" s="41"/>
      <c r="AJ1147" s="41"/>
      <c r="AK1147" s="41"/>
      <c r="AL1147" s="41"/>
      <c r="AM1147" s="41"/>
      <c r="AN1147" s="41"/>
      <c r="AO1147" s="41"/>
      <c r="AP1147" s="41"/>
      <c r="AQ1147" s="41"/>
      <c r="AR1147" s="41"/>
      <c r="AS1147" s="41"/>
    </row>
    <row r="1148" spans="1:45">
      <c r="A1148" s="38"/>
      <c r="B1148" s="38"/>
      <c r="C1148" s="38"/>
      <c r="D1148" s="38"/>
      <c r="E1148" s="49"/>
      <c r="F1148" s="49"/>
      <c r="G1148" s="38"/>
      <c r="H1148" s="49"/>
      <c r="I1148" s="49"/>
      <c r="J1148" s="49"/>
      <c r="K1148" s="49"/>
      <c r="L1148" s="41"/>
      <c r="M1148" s="41"/>
      <c r="N1148" s="41"/>
      <c r="O1148" s="41"/>
      <c r="P1148" s="43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/>
      <c r="AC1148" s="41"/>
      <c r="AD1148" s="41"/>
      <c r="AE1148" s="41"/>
      <c r="AF1148" s="41"/>
      <c r="AG1148" s="41"/>
      <c r="AH1148" s="41"/>
      <c r="AI1148" s="41"/>
      <c r="AJ1148" s="41"/>
      <c r="AK1148" s="41"/>
      <c r="AL1148" s="41"/>
      <c r="AM1148" s="41"/>
      <c r="AN1148" s="41"/>
      <c r="AO1148" s="41"/>
      <c r="AP1148" s="41"/>
      <c r="AQ1148" s="41"/>
      <c r="AR1148" s="41"/>
      <c r="AS1148" s="41"/>
    </row>
    <row r="1149" spans="1:45">
      <c r="A1149" s="38"/>
      <c r="B1149" s="38"/>
      <c r="C1149" s="38"/>
      <c r="D1149" s="38"/>
      <c r="E1149" s="49"/>
      <c r="F1149" s="49"/>
      <c r="G1149" s="38"/>
      <c r="H1149" s="49"/>
      <c r="I1149" s="49"/>
      <c r="J1149" s="49"/>
      <c r="K1149" s="49"/>
      <c r="L1149" s="41"/>
      <c r="M1149" s="41"/>
      <c r="N1149" s="41"/>
      <c r="O1149" s="41"/>
      <c r="P1149" s="43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/>
      <c r="AC1149" s="41"/>
      <c r="AD1149" s="41"/>
      <c r="AE1149" s="41"/>
      <c r="AF1149" s="41"/>
      <c r="AG1149" s="41"/>
      <c r="AH1149" s="41"/>
      <c r="AI1149" s="41"/>
      <c r="AJ1149" s="41"/>
      <c r="AK1149" s="41"/>
      <c r="AL1149" s="41"/>
      <c r="AM1149" s="41"/>
      <c r="AN1149" s="41"/>
      <c r="AO1149" s="41"/>
      <c r="AP1149" s="41"/>
      <c r="AQ1149" s="41"/>
      <c r="AR1149" s="41"/>
      <c r="AS1149" s="41"/>
    </row>
    <row r="1150" spans="1:45">
      <c r="A1150" s="38"/>
      <c r="B1150" s="38"/>
      <c r="C1150" s="38"/>
      <c r="D1150" s="38"/>
      <c r="E1150" s="49"/>
      <c r="F1150" s="49"/>
      <c r="G1150" s="38"/>
      <c r="H1150" s="49"/>
      <c r="I1150" s="49"/>
      <c r="J1150" s="49"/>
      <c r="K1150" s="49"/>
      <c r="L1150" s="41"/>
      <c r="M1150" s="41"/>
      <c r="N1150" s="41"/>
      <c r="O1150" s="41"/>
      <c r="P1150" s="43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/>
      <c r="AC1150" s="41"/>
      <c r="AD1150" s="41"/>
      <c r="AE1150" s="41"/>
      <c r="AF1150" s="41"/>
      <c r="AG1150" s="41"/>
      <c r="AH1150" s="41"/>
      <c r="AI1150" s="41"/>
      <c r="AJ1150" s="41"/>
      <c r="AK1150" s="41"/>
      <c r="AL1150" s="41"/>
      <c r="AM1150" s="41"/>
      <c r="AN1150" s="41"/>
      <c r="AO1150" s="41"/>
      <c r="AP1150" s="41"/>
      <c r="AQ1150" s="41"/>
      <c r="AR1150" s="41"/>
      <c r="AS1150" s="41"/>
    </row>
    <row r="1151" spans="1:45">
      <c r="A1151" s="38"/>
      <c r="B1151" s="38"/>
      <c r="C1151" s="38"/>
      <c r="D1151" s="38"/>
      <c r="E1151" s="49"/>
      <c r="F1151" s="49"/>
      <c r="G1151" s="38"/>
      <c r="H1151" s="49"/>
      <c r="I1151" s="49"/>
      <c r="J1151" s="49"/>
      <c r="K1151" s="49"/>
      <c r="L1151" s="41"/>
      <c r="M1151" s="41"/>
      <c r="N1151" s="41"/>
      <c r="O1151" s="41"/>
      <c r="P1151" s="43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/>
      <c r="AC1151" s="41"/>
      <c r="AD1151" s="41"/>
      <c r="AE1151" s="41"/>
      <c r="AF1151" s="41"/>
      <c r="AG1151" s="41"/>
      <c r="AH1151" s="41"/>
      <c r="AI1151" s="41"/>
      <c r="AJ1151" s="41"/>
      <c r="AK1151" s="41"/>
      <c r="AL1151" s="41"/>
      <c r="AM1151" s="41"/>
      <c r="AN1151" s="41"/>
      <c r="AO1151" s="41"/>
      <c r="AP1151" s="41"/>
      <c r="AQ1151" s="41"/>
      <c r="AR1151" s="41"/>
      <c r="AS1151" s="41"/>
    </row>
    <row r="1152" spans="1:45">
      <c r="A1152" s="38"/>
      <c r="B1152" s="38"/>
      <c r="C1152" s="38"/>
      <c r="D1152" s="38"/>
      <c r="E1152" s="49"/>
      <c r="F1152" s="49"/>
      <c r="G1152" s="38"/>
      <c r="H1152" s="49"/>
      <c r="I1152" s="49"/>
      <c r="J1152" s="49"/>
      <c r="K1152" s="49"/>
      <c r="L1152" s="41"/>
      <c r="M1152" s="41"/>
      <c r="N1152" s="41"/>
      <c r="O1152" s="41"/>
      <c r="P1152" s="43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/>
      <c r="AC1152" s="41"/>
      <c r="AD1152" s="41"/>
      <c r="AE1152" s="41"/>
      <c r="AF1152" s="41"/>
      <c r="AG1152" s="41"/>
      <c r="AH1152" s="41"/>
      <c r="AI1152" s="41"/>
      <c r="AJ1152" s="41"/>
      <c r="AK1152" s="41"/>
      <c r="AL1152" s="41"/>
      <c r="AM1152" s="41"/>
      <c r="AN1152" s="41"/>
      <c r="AO1152" s="41"/>
      <c r="AP1152" s="41"/>
      <c r="AQ1152" s="41"/>
      <c r="AR1152" s="41"/>
      <c r="AS1152" s="41"/>
    </row>
    <row r="1153" spans="1:45">
      <c r="A1153" s="38"/>
      <c r="B1153" s="38"/>
      <c r="C1153" s="38"/>
      <c r="D1153" s="38"/>
      <c r="E1153" s="49"/>
      <c r="F1153" s="49"/>
      <c r="G1153" s="38"/>
      <c r="H1153" s="49"/>
      <c r="I1153" s="49"/>
      <c r="J1153" s="49"/>
      <c r="K1153" s="49"/>
      <c r="L1153" s="41"/>
      <c r="M1153" s="41"/>
      <c r="N1153" s="41"/>
      <c r="O1153" s="41"/>
      <c r="P1153" s="43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  <c r="AD1153" s="41"/>
      <c r="AE1153" s="41"/>
      <c r="AF1153" s="41"/>
      <c r="AG1153" s="41"/>
      <c r="AH1153" s="41"/>
      <c r="AI1153" s="41"/>
      <c r="AJ1153" s="41"/>
      <c r="AK1153" s="41"/>
      <c r="AL1153" s="41"/>
      <c r="AM1153" s="41"/>
      <c r="AN1153" s="41"/>
      <c r="AO1153" s="41"/>
      <c r="AP1153" s="41"/>
      <c r="AQ1153" s="41"/>
      <c r="AR1153" s="41"/>
      <c r="AS1153" s="41"/>
    </row>
    <row r="1154" spans="1:45">
      <c r="A1154" s="38"/>
      <c r="B1154" s="38"/>
      <c r="C1154" s="38"/>
      <c r="D1154" s="38"/>
      <c r="E1154" s="49"/>
      <c r="F1154" s="49"/>
      <c r="G1154" s="38"/>
      <c r="H1154" s="49"/>
      <c r="I1154" s="49"/>
      <c r="J1154" s="49"/>
      <c r="K1154" s="49"/>
      <c r="L1154" s="41"/>
      <c r="M1154" s="41"/>
      <c r="N1154" s="41"/>
      <c r="O1154" s="41"/>
      <c r="P1154" s="43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  <c r="AD1154" s="41"/>
      <c r="AE1154" s="41"/>
      <c r="AF1154" s="41"/>
      <c r="AG1154" s="41"/>
      <c r="AH1154" s="41"/>
      <c r="AI1154" s="41"/>
      <c r="AJ1154" s="41"/>
      <c r="AK1154" s="41"/>
      <c r="AL1154" s="41"/>
      <c r="AM1154" s="41"/>
      <c r="AN1154" s="41"/>
      <c r="AO1154" s="41"/>
      <c r="AP1154" s="41"/>
      <c r="AQ1154" s="41"/>
      <c r="AR1154" s="41"/>
      <c r="AS1154" s="41"/>
    </row>
    <row r="1155" spans="1:45">
      <c r="A1155" s="38"/>
      <c r="B1155" s="38"/>
      <c r="C1155" s="38"/>
      <c r="D1155" s="38"/>
      <c r="E1155" s="49"/>
      <c r="F1155" s="49"/>
      <c r="G1155" s="38"/>
      <c r="H1155" s="49"/>
      <c r="I1155" s="49"/>
      <c r="J1155" s="49"/>
      <c r="K1155" s="49"/>
      <c r="L1155" s="41"/>
      <c r="M1155" s="41"/>
      <c r="N1155" s="41"/>
      <c r="O1155" s="41"/>
      <c r="P1155" s="43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  <c r="AD1155" s="41"/>
      <c r="AE1155" s="41"/>
      <c r="AF1155" s="41"/>
      <c r="AG1155" s="41"/>
      <c r="AH1155" s="41"/>
      <c r="AI1155" s="41"/>
      <c r="AJ1155" s="41"/>
      <c r="AK1155" s="41"/>
      <c r="AL1155" s="41"/>
      <c r="AM1155" s="41"/>
      <c r="AN1155" s="41"/>
      <c r="AO1155" s="41"/>
      <c r="AP1155" s="41"/>
      <c r="AQ1155" s="41"/>
      <c r="AR1155" s="41"/>
      <c r="AS1155" s="41"/>
    </row>
    <row r="1156" spans="1:45">
      <c r="A1156" s="38"/>
      <c r="B1156" s="38"/>
      <c r="C1156" s="38"/>
      <c r="D1156" s="38"/>
      <c r="E1156" s="49"/>
      <c r="F1156" s="49"/>
      <c r="G1156" s="38"/>
      <c r="H1156" s="49"/>
      <c r="I1156" s="49"/>
      <c r="J1156" s="49"/>
      <c r="K1156" s="49"/>
      <c r="L1156" s="41"/>
      <c r="M1156" s="41"/>
      <c r="N1156" s="41"/>
      <c r="O1156" s="41"/>
      <c r="P1156" s="43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  <c r="AD1156" s="41"/>
      <c r="AE1156" s="41"/>
      <c r="AF1156" s="41"/>
      <c r="AG1156" s="41"/>
      <c r="AH1156" s="41"/>
      <c r="AI1156" s="41"/>
      <c r="AJ1156" s="41"/>
      <c r="AK1156" s="41"/>
      <c r="AL1156" s="41"/>
      <c r="AM1156" s="41"/>
      <c r="AN1156" s="41"/>
      <c r="AO1156" s="41"/>
      <c r="AP1156" s="41"/>
      <c r="AQ1156" s="41"/>
      <c r="AR1156" s="41"/>
      <c r="AS1156" s="41"/>
    </row>
    <row r="1157" spans="1:45">
      <c r="A1157" s="38"/>
      <c r="B1157" s="38"/>
      <c r="C1157" s="38"/>
      <c r="D1157" s="38"/>
      <c r="E1157" s="49"/>
      <c r="F1157" s="49"/>
      <c r="G1157" s="38"/>
      <c r="H1157" s="49"/>
      <c r="I1157" s="49"/>
      <c r="J1157" s="49"/>
      <c r="K1157" s="49"/>
      <c r="L1157" s="41"/>
      <c r="M1157" s="41"/>
      <c r="N1157" s="41"/>
      <c r="O1157" s="41"/>
      <c r="P1157" s="43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  <c r="AI1157" s="41"/>
      <c r="AJ1157" s="41"/>
      <c r="AK1157" s="41"/>
      <c r="AL1157" s="41"/>
      <c r="AM1157" s="41"/>
      <c r="AN1157" s="41"/>
      <c r="AO1157" s="41"/>
      <c r="AP1157" s="41"/>
      <c r="AQ1157" s="41"/>
      <c r="AR1157" s="41"/>
      <c r="AS1157" s="41"/>
    </row>
    <row r="1158" spans="1:45">
      <c r="A1158" s="38"/>
      <c r="B1158" s="38"/>
      <c r="C1158" s="38"/>
      <c r="D1158" s="38"/>
      <c r="E1158" s="49"/>
      <c r="F1158" s="49"/>
      <c r="G1158" s="38"/>
      <c r="H1158" s="49"/>
      <c r="I1158" s="49"/>
      <c r="J1158" s="49"/>
      <c r="K1158" s="49"/>
      <c r="L1158" s="41"/>
      <c r="M1158" s="41"/>
      <c r="N1158" s="41"/>
      <c r="O1158" s="41"/>
      <c r="P1158" s="43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  <c r="AD1158" s="41"/>
      <c r="AE1158" s="41"/>
      <c r="AF1158" s="41"/>
      <c r="AG1158" s="41"/>
      <c r="AH1158" s="41"/>
      <c r="AI1158" s="41"/>
      <c r="AJ1158" s="41"/>
      <c r="AK1158" s="41"/>
      <c r="AL1158" s="41"/>
      <c r="AM1158" s="41"/>
      <c r="AN1158" s="41"/>
      <c r="AO1158" s="41"/>
      <c r="AP1158" s="41"/>
      <c r="AQ1158" s="41"/>
      <c r="AR1158" s="41"/>
      <c r="AS1158" s="41"/>
    </row>
    <row r="1159" spans="1:45">
      <c r="A1159" s="38"/>
      <c r="B1159" s="38"/>
      <c r="C1159" s="38"/>
      <c r="D1159" s="38"/>
      <c r="E1159" s="49"/>
      <c r="F1159" s="49"/>
      <c r="G1159" s="38"/>
      <c r="H1159" s="49"/>
      <c r="I1159" s="49"/>
      <c r="J1159" s="49"/>
      <c r="K1159" s="49"/>
      <c r="L1159" s="41"/>
      <c r="M1159" s="41"/>
      <c r="N1159" s="41"/>
      <c r="O1159" s="41"/>
      <c r="P1159" s="43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  <c r="AD1159" s="41"/>
      <c r="AE1159" s="41"/>
      <c r="AF1159" s="41"/>
      <c r="AG1159" s="41"/>
      <c r="AH1159" s="41"/>
      <c r="AI1159" s="41"/>
      <c r="AJ1159" s="41"/>
      <c r="AK1159" s="41"/>
      <c r="AL1159" s="41"/>
      <c r="AM1159" s="41"/>
      <c r="AN1159" s="41"/>
      <c r="AO1159" s="41"/>
      <c r="AP1159" s="41"/>
      <c r="AQ1159" s="41"/>
      <c r="AR1159" s="41"/>
      <c r="AS1159" s="41"/>
    </row>
    <row r="1160" spans="1:45">
      <c r="A1160" s="38"/>
      <c r="B1160" s="38"/>
      <c r="C1160" s="38"/>
      <c r="D1160" s="38"/>
      <c r="E1160" s="49"/>
      <c r="F1160" s="49"/>
      <c r="G1160" s="38"/>
      <c r="H1160" s="49"/>
      <c r="I1160" s="49"/>
      <c r="J1160" s="49"/>
      <c r="K1160" s="49"/>
      <c r="L1160" s="41"/>
      <c r="M1160" s="41"/>
      <c r="N1160" s="41"/>
      <c r="O1160" s="41"/>
      <c r="P1160" s="43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  <c r="AD1160" s="41"/>
      <c r="AE1160" s="41"/>
      <c r="AF1160" s="41"/>
      <c r="AG1160" s="41"/>
      <c r="AH1160" s="41"/>
      <c r="AI1160" s="41"/>
      <c r="AJ1160" s="41"/>
      <c r="AK1160" s="41"/>
      <c r="AL1160" s="41"/>
      <c r="AM1160" s="41"/>
      <c r="AN1160" s="41"/>
      <c r="AO1160" s="41"/>
      <c r="AP1160" s="41"/>
      <c r="AQ1160" s="41"/>
      <c r="AR1160" s="41"/>
      <c r="AS1160" s="41"/>
    </row>
    <row r="1161" spans="1:45">
      <c r="A1161" s="38"/>
      <c r="B1161" s="38"/>
      <c r="C1161" s="38"/>
      <c r="D1161" s="38"/>
      <c r="E1161" s="49"/>
      <c r="F1161" s="49"/>
      <c r="G1161" s="38"/>
      <c r="H1161" s="49"/>
      <c r="I1161" s="49"/>
      <c r="J1161" s="49"/>
      <c r="K1161" s="49"/>
      <c r="L1161" s="41"/>
      <c r="M1161" s="41"/>
      <c r="N1161" s="41"/>
      <c r="O1161" s="41"/>
      <c r="P1161" s="43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  <c r="AD1161" s="41"/>
      <c r="AE1161" s="41"/>
      <c r="AF1161" s="41"/>
      <c r="AG1161" s="41"/>
      <c r="AH1161" s="41"/>
      <c r="AI1161" s="41"/>
      <c r="AJ1161" s="41"/>
      <c r="AK1161" s="41"/>
      <c r="AL1161" s="41"/>
      <c r="AM1161" s="41"/>
      <c r="AN1161" s="41"/>
      <c r="AO1161" s="41"/>
      <c r="AP1161" s="41"/>
      <c r="AQ1161" s="41"/>
      <c r="AR1161" s="41"/>
      <c r="AS1161" s="41"/>
    </row>
    <row r="1162" spans="1:45">
      <c r="A1162" s="38"/>
      <c r="B1162" s="38"/>
      <c r="C1162" s="38"/>
      <c r="D1162" s="38"/>
      <c r="E1162" s="49"/>
      <c r="F1162" s="49"/>
      <c r="G1162" s="38"/>
      <c r="H1162" s="49"/>
      <c r="I1162" s="49"/>
      <c r="J1162" s="49"/>
      <c r="K1162" s="49"/>
      <c r="L1162" s="41"/>
      <c r="M1162" s="41"/>
      <c r="N1162" s="41"/>
      <c r="O1162" s="41"/>
      <c r="P1162" s="43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/>
      <c r="AC1162" s="41"/>
      <c r="AD1162" s="41"/>
      <c r="AE1162" s="41"/>
      <c r="AF1162" s="41"/>
      <c r="AG1162" s="41"/>
      <c r="AH1162" s="41"/>
      <c r="AI1162" s="41"/>
      <c r="AJ1162" s="41"/>
      <c r="AK1162" s="41"/>
      <c r="AL1162" s="41"/>
      <c r="AM1162" s="41"/>
      <c r="AN1162" s="41"/>
      <c r="AO1162" s="41"/>
      <c r="AP1162" s="41"/>
      <c r="AQ1162" s="41"/>
      <c r="AR1162" s="41"/>
      <c r="AS1162" s="41"/>
    </row>
    <row r="1163" spans="1:45">
      <c r="A1163" s="38"/>
      <c r="B1163" s="38"/>
      <c r="C1163" s="38"/>
      <c r="D1163" s="38"/>
      <c r="E1163" s="49"/>
      <c r="F1163" s="49"/>
      <c r="G1163" s="38"/>
      <c r="H1163" s="49"/>
      <c r="I1163" s="49"/>
      <c r="J1163" s="49"/>
      <c r="K1163" s="49"/>
      <c r="L1163" s="41"/>
      <c r="M1163" s="41"/>
      <c r="N1163" s="41"/>
      <c r="O1163" s="41"/>
      <c r="P1163" s="43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/>
      <c r="AC1163" s="41"/>
      <c r="AD1163" s="41"/>
      <c r="AE1163" s="41"/>
      <c r="AF1163" s="41"/>
      <c r="AG1163" s="41"/>
      <c r="AH1163" s="41"/>
      <c r="AI1163" s="41"/>
      <c r="AJ1163" s="41"/>
      <c r="AK1163" s="41"/>
      <c r="AL1163" s="41"/>
      <c r="AM1163" s="41"/>
      <c r="AN1163" s="41"/>
      <c r="AO1163" s="41"/>
      <c r="AP1163" s="41"/>
      <c r="AQ1163" s="41"/>
      <c r="AR1163" s="41"/>
      <c r="AS1163" s="41"/>
    </row>
    <row r="1164" spans="1:45">
      <c r="A1164" s="38"/>
      <c r="B1164" s="38"/>
      <c r="C1164" s="38"/>
      <c r="D1164" s="38"/>
      <c r="E1164" s="49"/>
      <c r="F1164" s="49"/>
      <c r="G1164" s="38"/>
      <c r="H1164" s="49"/>
      <c r="I1164" s="49"/>
      <c r="J1164" s="49"/>
      <c r="K1164" s="49"/>
      <c r="L1164" s="41"/>
      <c r="M1164" s="41"/>
      <c r="N1164" s="41"/>
      <c r="O1164" s="41"/>
      <c r="P1164" s="43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  <c r="AD1164" s="41"/>
      <c r="AE1164" s="41"/>
      <c r="AF1164" s="41"/>
      <c r="AG1164" s="41"/>
      <c r="AH1164" s="41"/>
      <c r="AI1164" s="41"/>
      <c r="AJ1164" s="41"/>
      <c r="AK1164" s="41"/>
      <c r="AL1164" s="41"/>
      <c r="AM1164" s="41"/>
      <c r="AN1164" s="41"/>
      <c r="AO1164" s="41"/>
      <c r="AP1164" s="41"/>
      <c r="AQ1164" s="41"/>
      <c r="AR1164" s="41"/>
      <c r="AS1164" s="41"/>
    </row>
    <row r="1165" spans="1:45">
      <c r="A1165" s="38"/>
      <c r="B1165" s="38"/>
      <c r="C1165" s="38"/>
      <c r="D1165" s="38"/>
      <c r="E1165" s="49"/>
      <c r="F1165" s="49"/>
      <c r="G1165" s="38"/>
      <c r="H1165" s="49"/>
      <c r="I1165" s="49"/>
      <c r="J1165" s="49"/>
      <c r="K1165" s="49"/>
      <c r="L1165" s="41"/>
      <c r="M1165" s="41"/>
      <c r="N1165" s="41"/>
      <c r="O1165" s="41"/>
      <c r="P1165" s="43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  <c r="AD1165" s="41"/>
      <c r="AE1165" s="41"/>
      <c r="AF1165" s="41"/>
      <c r="AG1165" s="41"/>
      <c r="AH1165" s="41"/>
      <c r="AI1165" s="41"/>
      <c r="AJ1165" s="41"/>
      <c r="AK1165" s="41"/>
      <c r="AL1165" s="41"/>
      <c r="AM1165" s="41"/>
      <c r="AN1165" s="41"/>
      <c r="AO1165" s="41"/>
      <c r="AP1165" s="41"/>
      <c r="AQ1165" s="41"/>
      <c r="AR1165" s="41"/>
      <c r="AS1165" s="41"/>
    </row>
    <row r="1166" spans="1:45">
      <c r="A1166" s="38"/>
      <c r="B1166" s="38"/>
      <c r="C1166" s="38"/>
      <c r="D1166" s="38"/>
      <c r="E1166" s="49"/>
      <c r="F1166" s="49"/>
      <c r="G1166" s="38"/>
      <c r="H1166" s="49"/>
      <c r="I1166" s="49"/>
      <c r="J1166" s="49"/>
      <c r="K1166" s="49"/>
      <c r="L1166" s="41"/>
      <c r="M1166" s="41"/>
      <c r="N1166" s="41"/>
      <c r="O1166" s="41"/>
      <c r="P1166" s="43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41"/>
      <c r="AE1166" s="41"/>
      <c r="AF1166" s="41"/>
      <c r="AG1166" s="41"/>
      <c r="AH1166" s="41"/>
      <c r="AI1166" s="41"/>
      <c r="AJ1166" s="41"/>
      <c r="AK1166" s="41"/>
      <c r="AL1166" s="41"/>
      <c r="AM1166" s="41"/>
      <c r="AN1166" s="41"/>
      <c r="AO1166" s="41"/>
      <c r="AP1166" s="41"/>
      <c r="AQ1166" s="41"/>
      <c r="AR1166" s="41"/>
      <c r="AS1166" s="41"/>
    </row>
    <row r="1167" spans="1:45">
      <c r="A1167" s="38"/>
      <c r="B1167" s="38"/>
      <c r="C1167" s="38"/>
      <c r="D1167" s="38"/>
      <c r="E1167" s="49"/>
      <c r="F1167" s="49"/>
      <c r="G1167" s="38"/>
      <c r="H1167" s="49"/>
      <c r="I1167" s="49"/>
      <c r="J1167" s="49"/>
      <c r="K1167" s="49"/>
      <c r="L1167" s="41"/>
      <c r="M1167" s="41"/>
      <c r="N1167" s="41"/>
      <c r="O1167" s="41"/>
      <c r="P1167" s="43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  <c r="AD1167" s="41"/>
      <c r="AE1167" s="41"/>
      <c r="AF1167" s="41"/>
      <c r="AG1167" s="41"/>
      <c r="AH1167" s="41"/>
      <c r="AI1167" s="41"/>
      <c r="AJ1167" s="41"/>
      <c r="AK1167" s="41"/>
      <c r="AL1167" s="41"/>
      <c r="AM1167" s="41"/>
      <c r="AN1167" s="41"/>
      <c r="AO1167" s="41"/>
      <c r="AP1167" s="41"/>
      <c r="AQ1167" s="41"/>
      <c r="AR1167" s="41"/>
      <c r="AS1167" s="41"/>
    </row>
    <row r="1168" spans="1:45">
      <c r="A1168" s="38"/>
      <c r="B1168" s="38"/>
      <c r="C1168" s="38"/>
      <c r="D1168" s="38"/>
      <c r="E1168" s="49"/>
      <c r="F1168" s="49"/>
      <c r="G1168" s="38"/>
      <c r="H1168" s="49"/>
      <c r="I1168" s="49"/>
      <c r="J1168" s="49"/>
      <c r="K1168" s="49"/>
      <c r="L1168" s="41"/>
      <c r="M1168" s="41"/>
      <c r="N1168" s="41"/>
      <c r="O1168" s="41"/>
      <c r="P1168" s="43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  <c r="AD1168" s="41"/>
      <c r="AE1168" s="41"/>
      <c r="AF1168" s="41"/>
      <c r="AG1168" s="41"/>
      <c r="AH1168" s="41"/>
      <c r="AI1168" s="41"/>
      <c r="AJ1168" s="41"/>
      <c r="AK1168" s="41"/>
      <c r="AL1168" s="41"/>
      <c r="AM1168" s="41"/>
      <c r="AN1168" s="41"/>
      <c r="AO1168" s="41"/>
      <c r="AP1168" s="41"/>
      <c r="AQ1168" s="41"/>
      <c r="AR1168" s="41"/>
      <c r="AS1168" s="41"/>
    </row>
    <row r="1169" spans="1:45">
      <c r="A1169" s="38"/>
      <c r="B1169" s="38"/>
      <c r="C1169" s="38"/>
      <c r="D1169" s="38"/>
      <c r="E1169" s="49"/>
      <c r="F1169" s="49"/>
      <c r="G1169" s="38"/>
      <c r="H1169" s="49"/>
      <c r="I1169" s="49"/>
      <c r="J1169" s="49"/>
      <c r="K1169" s="49"/>
      <c r="L1169" s="41"/>
      <c r="M1169" s="41"/>
      <c r="N1169" s="41"/>
      <c r="O1169" s="41"/>
      <c r="P1169" s="43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  <c r="AD1169" s="41"/>
      <c r="AE1169" s="41"/>
      <c r="AF1169" s="41"/>
      <c r="AG1169" s="41"/>
      <c r="AH1169" s="41"/>
      <c r="AI1169" s="41"/>
      <c r="AJ1169" s="41"/>
      <c r="AK1169" s="41"/>
      <c r="AL1169" s="41"/>
      <c r="AM1169" s="41"/>
      <c r="AN1169" s="41"/>
      <c r="AO1169" s="41"/>
      <c r="AP1169" s="41"/>
      <c r="AQ1169" s="41"/>
      <c r="AR1169" s="41"/>
      <c r="AS1169" s="41"/>
    </row>
    <row r="1170" spans="1:45">
      <c r="A1170" s="38"/>
      <c r="B1170" s="38"/>
      <c r="C1170" s="38"/>
      <c r="D1170" s="38"/>
      <c r="E1170" s="49"/>
      <c r="F1170" s="49"/>
      <c r="G1170" s="38"/>
      <c r="H1170" s="49"/>
      <c r="I1170" s="49"/>
      <c r="J1170" s="49"/>
      <c r="K1170" s="49"/>
      <c r="L1170" s="41"/>
      <c r="M1170" s="41"/>
      <c r="N1170" s="41"/>
      <c r="O1170" s="41"/>
      <c r="P1170" s="43"/>
      <c r="Q1170" s="41"/>
      <c r="R1170" s="41"/>
      <c r="S1170" s="41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  <c r="AD1170" s="41"/>
      <c r="AE1170" s="41"/>
      <c r="AF1170" s="41"/>
      <c r="AG1170" s="41"/>
      <c r="AH1170" s="41"/>
      <c r="AI1170" s="41"/>
      <c r="AJ1170" s="41"/>
      <c r="AK1170" s="41"/>
      <c r="AL1170" s="41"/>
      <c r="AM1170" s="41"/>
      <c r="AN1170" s="41"/>
      <c r="AO1170" s="41"/>
      <c r="AP1170" s="41"/>
      <c r="AQ1170" s="41"/>
      <c r="AR1170" s="41"/>
      <c r="AS1170" s="41"/>
    </row>
    <row r="1171" spans="1:45">
      <c r="A1171" s="38"/>
      <c r="B1171" s="38"/>
      <c r="C1171" s="38"/>
      <c r="D1171" s="38"/>
      <c r="E1171" s="49"/>
      <c r="F1171" s="49"/>
      <c r="G1171" s="38"/>
      <c r="H1171" s="49"/>
      <c r="I1171" s="49"/>
      <c r="J1171" s="49"/>
      <c r="K1171" s="49"/>
      <c r="L1171" s="41"/>
      <c r="M1171" s="41"/>
      <c r="N1171" s="41"/>
      <c r="O1171" s="41"/>
      <c r="P1171" s="43"/>
      <c r="Q1171" s="41"/>
      <c r="R1171" s="41"/>
      <c r="S1171" s="41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  <c r="AD1171" s="41"/>
      <c r="AE1171" s="41"/>
      <c r="AF1171" s="41"/>
      <c r="AG1171" s="41"/>
      <c r="AH1171" s="41"/>
      <c r="AI1171" s="41"/>
      <c r="AJ1171" s="41"/>
      <c r="AK1171" s="41"/>
      <c r="AL1171" s="41"/>
      <c r="AM1171" s="41"/>
      <c r="AN1171" s="41"/>
      <c r="AO1171" s="41"/>
      <c r="AP1171" s="41"/>
      <c r="AQ1171" s="41"/>
      <c r="AR1171" s="41"/>
      <c r="AS1171" s="41"/>
    </row>
    <row r="1172" spans="1:45">
      <c r="A1172" s="38"/>
      <c r="B1172" s="38"/>
      <c r="C1172" s="38"/>
      <c r="D1172" s="38"/>
      <c r="E1172" s="49"/>
      <c r="F1172" s="49"/>
      <c r="G1172" s="38"/>
      <c r="H1172" s="49"/>
      <c r="I1172" s="49"/>
      <c r="J1172" s="49"/>
      <c r="K1172" s="49"/>
      <c r="L1172" s="41"/>
      <c r="M1172" s="41"/>
      <c r="N1172" s="41"/>
      <c r="O1172" s="41"/>
      <c r="P1172" s="43"/>
      <c r="Q1172" s="41"/>
      <c r="R1172" s="41"/>
      <c r="S1172" s="41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  <c r="AD1172" s="41"/>
      <c r="AE1172" s="41"/>
      <c r="AF1172" s="41"/>
      <c r="AG1172" s="41"/>
      <c r="AH1172" s="41"/>
      <c r="AI1172" s="41"/>
      <c r="AJ1172" s="41"/>
      <c r="AK1172" s="41"/>
      <c r="AL1172" s="41"/>
      <c r="AM1172" s="41"/>
      <c r="AN1172" s="41"/>
      <c r="AO1172" s="41"/>
      <c r="AP1172" s="41"/>
      <c r="AQ1172" s="41"/>
      <c r="AR1172" s="41"/>
      <c r="AS1172" s="41"/>
    </row>
    <row r="1173" spans="1:45">
      <c r="A1173" s="38"/>
      <c r="B1173" s="38"/>
      <c r="C1173" s="38"/>
      <c r="D1173" s="38"/>
      <c r="E1173" s="49"/>
      <c r="F1173" s="49"/>
      <c r="G1173" s="38"/>
      <c r="H1173" s="49"/>
      <c r="I1173" s="49"/>
      <c r="J1173" s="49"/>
      <c r="K1173" s="49"/>
      <c r="L1173" s="41"/>
      <c r="M1173" s="41"/>
      <c r="N1173" s="41"/>
      <c r="O1173" s="41"/>
      <c r="P1173" s="43"/>
      <c r="Q1173" s="41"/>
      <c r="R1173" s="41"/>
      <c r="S1173" s="41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  <c r="AD1173" s="41"/>
      <c r="AE1173" s="41"/>
      <c r="AF1173" s="41"/>
      <c r="AG1173" s="41"/>
      <c r="AH1173" s="41"/>
      <c r="AI1173" s="41"/>
      <c r="AJ1173" s="41"/>
      <c r="AK1173" s="41"/>
      <c r="AL1173" s="41"/>
      <c r="AM1173" s="41"/>
      <c r="AN1173" s="41"/>
      <c r="AO1173" s="41"/>
      <c r="AP1173" s="41"/>
      <c r="AQ1173" s="41"/>
      <c r="AR1173" s="41"/>
      <c r="AS1173" s="41"/>
    </row>
    <row r="1174" spans="1:45">
      <c r="A1174" s="38"/>
      <c r="B1174" s="38"/>
      <c r="C1174" s="38"/>
      <c r="D1174" s="38"/>
      <c r="E1174" s="49"/>
      <c r="F1174" s="49"/>
      <c r="G1174" s="38"/>
      <c r="H1174" s="49"/>
      <c r="I1174" s="49"/>
      <c r="J1174" s="49"/>
      <c r="K1174" s="49"/>
      <c r="L1174" s="41"/>
      <c r="M1174" s="41"/>
      <c r="N1174" s="41"/>
      <c r="O1174" s="41"/>
      <c r="P1174" s="43"/>
      <c r="Q1174" s="41"/>
      <c r="R1174" s="41"/>
      <c r="S1174" s="41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  <c r="AD1174" s="41"/>
      <c r="AE1174" s="41"/>
      <c r="AF1174" s="41"/>
      <c r="AG1174" s="41"/>
      <c r="AH1174" s="41"/>
      <c r="AI1174" s="41"/>
      <c r="AJ1174" s="41"/>
      <c r="AK1174" s="41"/>
      <c r="AL1174" s="41"/>
      <c r="AM1174" s="41"/>
      <c r="AN1174" s="41"/>
      <c r="AO1174" s="41"/>
      <c r="AP1174" s="41"/>
      <c r="AQ1174" s="41"/>
      <c r="AR1174" s="41"/>
      <c r="AS1174" s="41"/>
    </row>
    <row r="1175" spans="1:45">
      <c r="A1175" s="38"/>
      <c r="B1175" s="38"/>
      <c r="C1175" s="38"/>
      <c r="D1175" s="38"/>
      <c r="E1175" s="49"/>
      <c r="F1175" s="49"/>
      <c r="G1175" s="38"/>
      <c r="H1175" s="49"/>
      <c r="I1175" s="49"/>
      <c r="J1175" s="49"/>
      <c r="K1175" s="49"/>
      <c r="L1175" s="41"/>
      <c r="M1175" s="41"/>
      <c r="N1175" s="41"/>
      <c r="O1175" s="41"/>
      <c r="P1175" s="43"/>
      <c r="Q1175" s="41"/>
      <c r="R1175" s="41"/>
      <c r="S1175" s="41"/>
      <c r="T1175" s="41"/>
      <c r="U1175" s="41"/>
      <c r="V1175" s="41"/>
      <c r="W1175" s="41"/>
      <c r="X1175" s="41"/>
      <c r="Y1175" s="41"/>
      <c r="Z1175" s="41"/>
      <c r="AA1175" s="41"/>
      <c r="AB1175" s="41"/>
      <c r="AC1175" s="41"/>
      <c r="AD1175" s="41"/>
      <c r="AE1175" s="41"/>
      <c r="AF1175" s="41"/>
      <c r="AG1175" s="41"/>
      <c r="AH1175" s="41"/>
      <c r="AI1175" s="41"/>
      <c r="AJ1175" s="41"/>
      <c r="AK1175" s="41"/>
      <c r="AL1175" s="41"/>
      <c r="AM1175" s="41"/>
      <c r="AN1175" s="41"/>
      <c r="AO1175" s="41"/>
      <c r="AP1175" s="41"/>
      <c r="AQ1175" s="41"/>
      <c r="AR1175" s="41"/>
      <c r="AS1175" s="41"/>
    </row>
    <row r="1176" spans="1:45">
      <c r="A1176" s="38"/>
      <c r="B1176" s="38"/>
      <c r="C1176" s="38"/>
      <c r="D1176" s="38"/>
      <c r="E1176" s="49"/>
      <c r="F1176" s="49"/>
      <c r="G1176" s="38"/>
      <c r="H1176" s="49"/>
      <c r="I1176" s="49"/>
      <c r="J1176" s="49"/>
      <c r="K1176" s="49"/>
      <c r="L1176" s="41"/>
      <c r="M1176" s="41"/>
      <c r="N1176" s="41"/>
      <c r="O1176" s="41"/>
      <c r="P1176" s="43"/>
      <c r="Q1176" s="41"/>
      <c r="R1176" s="41"/>
      <c r="S1176" s="41"/>
      <c r="T1176" s="41"/>
      <c r="U1176" s="41"/>
      <c r="V1176" s="41"/>
      <c r="W1176" s="41"/>
      <c r="X1176" s="41"/>
      <c r="Y1176" s="41"/>
      <c r="Z1176" s="41"/>
      <c r="AA1176" s="41"/>
      <c r="AB1176" s="41"/>
      <c r="AC1176" s="41"/>
      <c r="AD1176" s="41"/>
      <c r="AE1176" s="41"/>
      <c r="AF1176" s="41"/>
      <c r="AG1176" s="41"/>
      <c r="AH1176" s="41"/>
      <c r="AI1176" s="41"/>
      <c r="AJ1176" s="41"/>
      <c r="AK1176" s="41"/>
      <c r="AL1176" s="41"/>
      <c r="AM1176" s="41"/>
      <c r="AN1176" s="41"/>
      <c r="AO1176" s="41"/>
      <c r="AP1176" s="41"/>
      <c r="AQ1176" s="41"/>
      <c r="AR1176" s="41"/>
      <c r="AS1176" s="41"/>
    </row>
    <row r="1177" spans="1:45">
      <c r="A1177" s="38"/>
      <c r="B1177" s="38"/>
      <c r="C1177" s="38"/>
      <c r="D1177" s="38"/>
      <c r="E1177" s="49"/>
      <c r="F1177" s="49"/>
      <c r="G1177" s="38"/>
      <c r="H1177" s="49"/>
      <c r="I1177" s="49"/>
      <c r="J1177" s="49"/>
      <c r="K1177" s="49"/>
      <c r="L1177" s="41"/>
      <c r="M1177" s="41"/>
      <c r="N1177" s="41"/>
      <c r="O1177" s="41"/>
      <c r="P1177" s="43"/>
      <c r="Q1177" s="41"/>
      <c r="R1177" s="41"/>
      <c r="S1177" s="41"/>
      <c r="T1177" s="41"/>
      <c r="U1177" s="41"/>
      <c r="V1177" s="41"/>
      <c r="W1177" s="41"/>
      <c r="X1177" s="41"/>
      <c r="Y1177" s="41"/>
      <c r="Z1177" s="41"/>
      <c r="AA1177" s="41"/>
      <c r="AB1177" s="41"/>
      <c r="AC1177" s="41"/>
      <c r="AD1177" s="41"/>
      <c r="AE1177" s="41"/>
      <c r="AF1177" s="41"/>
      <c r="AG1177" s="41"/>
      <c r="AH1177" s="41"/>
      <c r="AI1177" s="41"/>
      <c r="AJ1177" s="41"/>
      <c r="AK1177" s="41"/>
      <c r="AL1177" s="41"/>
      <c r="AM1177" s="41"/>
      <c r="AN1177" s="41"/>
      <c r="AO1177" s="41"/>
      <c r="AP1177" s="41"/>
      <c r="AQ1177" s="41"/>
      <c r="AR1177" s="41"/>
      <c r="AS1177" s="41"/>
    </row>
    <row r="1178" spans="1:45">
      <c r="A1178" s="38"/>
      <c r="B1178" s="38"/>
      <c r="C1178" s="38"/>
      <c r="D1178" s="38"/>
      <c r="E1178" s="49"/>
      <c r="F1178" s="49"/>
      <c r="G1178" s="38"/>
      <c r="H1178" s="49"/>
      <c r="I1178" s="49"/>
      <c r="J1178" s="49"/>
      <c r="K1178" s="49"/>
      <c r="L1178" s="41"/>
      <c r="M1178" s="41"/>
      <c r="N1178" s="41"/>
      <c r="O1178" s="41"/>
      <c r="P1178" s="43"/>
      <c r="Q1178" s="41"/>
      <c r="R1178" s="41"/>
      <c r="S1178" s="41"/>
      <c r="T1178" s="41"/>
      <c r="U1178" s="41"/>
      <c r="V1178" s="41"/>
      <c r="W1178" s="41"/>
      <c r="X1178" s="41"/>
      <c r="Y1178" s="41"/>
      <c r="Z1178" s="41"/>
      <c r="AA1178" s="41"/>
      <c r="AB1178" s="41"/>
      <c r="AC1178" s="41"/>
      <c r="AD1178" s="41"/>
      <c r="AE1178" s="41"/>
      <c r="AF1178" s="41"/>
      <c r="AG1178" s="41"/>
      <c r="AH1178" s="41"/>
      <c r="AI1178" s="41"/>
      <c r="AJ1178" s="41"/>
      <c r="AK1178" s="41"/>
      <c r="AL1178" s="41"/>
      <c r="AM1178" s="41"/>
      <c r="AN1178" s="41"/>
      <c r="AO1178" s="41"/>
      <c r="AP1178" s="41"/>
      <c r="AQ1178" s="41"/>
      <c r="AR1178" s="41"/>
      <c r="AS1178" s="41"/>
    </row>
    <row r="1179" spans="1:45">
      <c r="A1179" s="38"/>
      <c r="B1179" s="38"/>
      <c r="C1179" s="38"/>
      <c r="D1179" s="38"/>
      <c r="E1179" s="49"/>
      <c r="F1179" s="49"/>
      <c r="G1179" s="38"/>
      <c r="H1179" s="49"/>
      <c r="I1179" s="49"/>
      <c r="J1179" s="49"/>
      <c r="K1179" s="49"/>
      <c r="L1179" s="41"/>
      <c r="M1179" s="41"/>
      <c r="N1179" s="41"/>
      <c r="O1179" s="41"/>
      <c r="P1179" s="43"/>
      <c r="Q1179" s="41"/>
      <c r="R1179" s="41"/>
      <c r="S1179" s="41"/>
      <c r="T1179" s="41"/>
      <c r="U1179" s="41"/>
      <c r="V1179" s="41"/>
      <c r="W1179" s="41"/>
      <c r="X1179" s="41"/>
      <c r="Y1179" s="41"/>
      <c r="Z1179" s="41"/>
      <c r="AA1179" s="41"/>
      <c r="AB1179" s="41"/>
      <c r="AC1179" s="41"/>
      <c r="AD1179" s="41"/>
      <c r="AE1179" s="41"/>
      <c r="AF1179" s="41"/>
      <c r="AG1179" s="41"/>
      <c r="AH1179" s="41"/>
      <c r="AI1179" s="41"/>
      <c r="AJ1179" s="41"/>
      <c r="AK1179" s="41"/>
      <c r="AL1179" s="41"/>
      <c r="AM1179" s="41"/>
      <c r="AN1179" s="41"/>
      <c r="AO1179" s="41"/>
      <c r="AP1179" s="41"/>
      <c r="AQ1179" s="41"/>
      <c r="AR1179" s="41"/>
      <c r="AS1179" s="41"/>
    </row>
    <row r="1180" spans="1:45">
      <c r="A1180" s="38"/>
      <c r="B1180" s="38"/>
      <c r="C1180" s="38"/>
      <c r="D1180" s="38"/>
      <c r="E1180" s="49"/>
      <c r="F1180" s="49"/>
      <c r="G1180" s="38"/>
      <c r="H1180" s="49"/>
      <c r="I1180" s="49"/>
      <c r="J1180" s="49"/>
      <c r="K1180" s="49"/>
      <c r="L1180" s="41"/>
      <c r="M1180" s="41"/>
      <c r="N1180" s="41"/>
      <c r="O1180" s="41"/>
      <c r="P1180" s="43"/>
      <c r="Q1180" s="41"/>
      <c r="R1180" s="41"/>
      <c r="S1180" s="41"/>
      <c r="T1180" s="41"/>
      <c r="U1180" s="41"/>
      <c r="V1180" s="41"/>
      <c r="W1180" s="41"/>
      <c r="X1180" s="41"/>
      <c r="Y1180" s="41"/>
      <c r="Z1180" s="41"/>
      <c r="AA1180" s="41"/>
      <c r="AB1180" s="41"/>
      <c r="AC1180" s="41"/>
      <c r="AD1180" s="41"/>
      <c r="AE1180" s="41"/>
      <c r="AF1180" s="41"/>
      <c r="AG1180" s="41"/>
      <c r="AH1180" s="41"/>
      <c r="AI1180" s="41"/>
      <c r="AJ1180" s="41"/>
      <c r="AK1180" s="41"/>
      <c r="AL1180" s="41"/>
      <c r="AM1180" s="41"/>
      <c r="AN1180" s="41"/>
      <c r="AO1180" s="41"/>
      <c r="AP1180" s="41"/>
      <c r="AQ1180" s="41"/>
      <c r="AR1180" s="41"/>
      <c r="AS1180" s="41"/>
    </row>
    <row r="1181" spans="1:45">
      <c r="A1181" s="38"/>
      <c r="B1181" s="38"/>
      <c r="C1181" s="38"/>
      <c r="D1181" s="38"/>
      <c r="E1181" s="49"/>
      <c r="F1181" s="49"/>
      <c r="G1181" s="38"/>
      <c r="H1181" s="49"/>
      <c r="I1181" s="49"/>
      <c r="J1181" s="49"/>
      <c r="K1181" s="49"/>
      <c r="L1181" s="41"/>
      <c r="M1181" s="41"/>
      <c r="N1181" s="41"/>
      <c r="O1181" s="41"/>
      <c r="P1181" s="43"/>
      <c r="Q1181" s="41"/>
      <c r="R1181" s="41"/>
      <c r="S1181" s="41"/>
      <c r="T1181" s="41"/>
      <c r="U1181" s="41"/>
      <c r="V1181" s="41"/>
      <c r="W1181" s="41"/>
      <c r="X1181" s="41"/>
      <c r="Y1181" s="41"/>
      <c r="Z1181" s="41"/>
      <c r="AA1181" s="41"/>
      <c r="AB1181" s="41"/>
      <c r="AC1181" s="41"/>
      <c r="AD1181" s="41"/>
      <c r="AE1181" s="41"/>
      <c r="AF1181" s="41"/>
      <c r="AG1181" s="41"/>
      <c r="AH1181" s="41"/>
      <c r="AI1181" s="41"/>
      <c r="AJ1181" s="41"/>
      <c r="AK1181" s="41"/>
      <c r="AL1181" s="41"/>
      <c r="AM1181" s="41"/>
      <c r="AN1181" s="41"/>
      <c r="AO1181" s="41"/>
      <c r="AP1181" s="41"/>
      <c r="AQ1181" s="41"/>
      <c r="AR1181" s="41"/>
      <c r="AS1181" s="41"/>
    </row>
    <row r="1182" spans="1:45">
      <c r="A1182" s="38"/>
      <c r="B1182" s="38"/>
      <c r="C1182" s="38"/>
      <c r="D1182" s="38"/>
      <c r="E1182" s="49"/>
      <c r="F1182" s="49"/>
      <c r="G1182" s="38"/>
      <c r="H1182" s="49"/>
      <c r="I1182" s="49"/>
      <c r="J1182" s="49"/>
      <c r="K1182" s="49"/>
      <c r="L1182" s="41"/>
      <c r="M1182" s="41"/>
      <c r="N1182" s="41"/>
      <c r="O1182" s="41"/>
      <c r="P1182" s="43"/>
      <c r="Q1182" s="41"/>
      <c r="R1182" s="41"/>
      <c r="S1182" s="41"/>
      <c r="T1182" s="41"/>
      <c r="U1182" s="41"/>
      <c r="V1182" s="41"/>
      <c r="W1182" s="41"/>
      <c r="X1182" s="41"/>
      <c r="Y1182" s="41"/>
      <c r="Z1182" s="41"/>
      <c r="AA1182" s="41"/>
      <c r="AB1182" s="41"/>
      <c r="AC1182" s="41"/>
      <c r="AD1182" s="41"/>
      <c r="AE1182" s="41"/>
      <c r="AF1182" s="41"/>
      <c r="AG1182" s="41"/>
      <c r="AH1182" s="41"/>
      <c r="AI1182" s="41"/>
      <c r="AJ1182" s="41"/>
      <c r="AK1182" s="41"/>
      <c r="AL1182" s="41"/>
      <c r="AM1182" s="41"/>
      <c r="AN1182" s="41"/>
      <c r="AO1182" s="41"/>
      <c r="AP1182" s="41"/>
      <c r="AQ1182" s="41"/>
      <c r="AR1182" s="41"/>
      <c r="AS1182" s="41"/>
    </row>
    <row r="1183" spans="1:45">
      <c r="A1183" s="38"/>
      <c r="B1183" s="38"/>
      <c r="C1183" s="38"/>
      <c r="D1183" s="38"/>
      <c r="E1183" s="49"/>
      <c r="F1183" s="49"/>
      <c r="G1183" s="38"/>
      <c r="H1183" s="49"/>
      <c r="I1183" s="49"/>
      <c r="J1183" s="49"/>
      <c r="K1183" s="49"/>
      <c r="L1183" s="41"/>
      <c r="M1183" s="41"/>
      <c r="N1183" s="41"/>
      <c r="O1183" s="41"/>
      <c r="P1183" s="43"/>
      <c r="Q1183" s="41"/>
      <c r="R1183" s="41"/>
      <c r="S1183" s="41"/>
      <c r="T1183" s="41"/>
      <c r="U1183" s="41"/>
      <c r="V1183" s="41"/>
      <c r="W1183" s="41"/>
      <c r="X1183" s="41"/>
      <c r="Y1183" s="41"/>
      <c r="Z1183" s="41"/>
      <c r="AA1183" s="41"/>
      <c r="AB1183" s="41"/>
      <c r="AC1183" s="41"/>
      <c r="AD1183" s="41"/>
      <c r="AE1183" s="41"/>
      <c r="AF1183" s="41"/>
      <c r="AG1183" s="41"/>
      <c r="AH1183" s="41"/>
      <c r="AI1183" s="41"/>
      <c r="AJ1183" s="41"/>
      <c r="AK1183" s="41"/>
      <c r="AL1183" s="41"/>
      <c r="AM1183" s="41"/>
      <c r="AN1183" s="41"/>
      <c r="AO1183" s="41"/>
      <c r="AP1183" s="41"/>
      <c r="AQ1183" s="41"/>
      <c r="AR1183" s="41"/>
      <c r="AS1183" s="41"/>
    </row>
    <row r="1184" spans="1:45">
      <c r="A1184" s="38"/>
      <c r="B1184" s="38"/>
      <c r="C1184" s="38"/>
      <c r="D1184" s="38"/>
      <c r="E1184" s="49"/>
      <c r="F1184" s="49"/>
      <c r="G1184" s="38"/>
      <c r="H1184" s="49"/>
      <c r="I1184" s="49"/>
      <c r="J1184" s="49"/>
      <c r="K1184" s="49"/>
      <c r="L1184" s="41"/>
      <c r="M1184" s="41"/>
      <c r="N1184" s="41"/>
      <c r="O1184" s="41"/>
      <c r="P1184" s="43"/>
      <c r="Q1184" s="41"/>
      <c r="R1184" s="41"/>
      <c r="S1184" s="41"/>
      <c r="T1184" s="41"/>
      <c r="U1184" s="41"/>
      <c r="V1184" s="41"/>
      <c r="W1184" s="41"/>
      <c r="X1184" s="41"/>
      <c r="Y1184" s="41"/>
      <c r="Z1184" s="41"/>
      <c r="AA1184" s="41"/>
      <c r="AB1184" s="41"/>
      <c r="AC1184" s="41"/>
      <c r="AD1184" s="41"/>
      <c r="AE1184" s="41"/>
      <c r="AF1184" s="41"/>
      <c r="AG1184" s="41"/>
      <c r="AH1184" s="41"/>
      <c r="AI1184" s="41"/>
      <c r="AJ1184" s="41"/>
      <c r="AK1184" s="41"/>
      <c r="AL1184" s="41"/>
      <c r="AM1184" s="41"/>
      <c r="AN1184" s="41"/>
      <c r="AO1184" s="41"/>
      <c r="AP1184" s="41"/>
      <c r="AQ1184" s="41"/>
      <c r="AR1184" s="41"/>
      <c r="AS1184" s="41"/>
    </row>
    <row r="1185" spans="1:45">
      <c r="A1185" s="38"/>
      <c r="B1185" s="38"/>
      <c r="C1185" s="38"/>
      <c r="D1185" s="38"/>
      <c r="E1185" s="49"/>
      <c r="F1185" s="49"/>
      <c r="G1185" s="38"/>
      <c r="H1185" s="49"/>
      <c r="I1185" s="49"/>
      <c r="J1185" s="49"/>
      <c r="K1185" s="49"/>
      <c r="L1185" s="41"/>
      <c r="M1185" s="41"/>
      <c r="N1185" s="41"/>
      <c r="O1185" s="41"/>
      <c r="P1185" s="43"/>
      <c r="Q1185" s="41"/>
      <c r="R1185" s="41"/>
      <c r="S1185" s="41"/>
      <c r="T1185" s="41"/>
      <c r="U1185" s="41"/>
      <c r="V1185" s="41"/>
      <c r="W1185" s="41"/>
      <c r="X1185" s="41"/>
      <c r="Y1185" s="41"/>
      <c r="Z1185" s="41"/>
      <c r="AA1185" s="41"/>
      <c r="AB1185" s="41"/>
      <c r="AC1185" s="41"/>
      <c r="AD1185" s="41"/>
      <c r="AE1185" s="41"/>
      <c r="AF1185" s="41"/>
      <c r="AG1185" s="41"/>
      <c r="AH1185" s="41"/>
      <c r="AI1185" s="41"/>
      <c r="AJ1185" s="41"/>
      <c r="AK1185" s="41"/>
      <c r="AL1185" s="41"/>
      <c r="AM1185" s="41"/>
      <c r="AN1185" s="41"/>
      <c r="AO1185" s="41"/>
      <c r="AP1185" s="41"/>
      <c r="AQ1185" s="41"/>
      <c r="AR1185" s="41"/>
      <c r="AS1185" s="41"/>
    </row>
    <row r="1186" spans="1:45">
      <c r="A1186" s="38"/>
      <c r="B1186" s="38"/>
      <c r="C1186" s="38"/>
      <c r="D1186" s="38"/>
      <c r="E1186" s="49"/>
      <c r="F1186" s="49"/>
      <c r="G1186" s="38"/>
      <c r="H1186" s="49"/>
      <c r="I1186" s="49"/>
      <c r="J1186" s="49"/>
      <c r="K1186" s="49"/>
      <c r="L1186" s="41"/>
      <c r="M1186" s="41"/>
      <c r="N1186" s="41"/>
      <c r="O1186" s="41"/>
      <c r="P1186" s="43"/>
      <c r="Q1186" s="41"/>
      <c r="R1186" s="41"/>
      <c r="S1186" s="41"/>
      <c r="T1186" s="41"/>
      <c r="U1186" s="41"/>
      <c r="V1186" s="41"/>
      <c r="W1186" s="41"/>
      <c r="X1186" s="41"/>
      <c r="Y1186" s="41"/>
      <c r="Z1186" s="41"/>
      <c r="AA1186" s="41"/>
      <c r="AB1186" s="41"/>
      <c r="AC1186" s="41"/>
      <c r="AD1186" s="41"/>
      <c r="AE1186" s="41"/>
      <c r="AF1186" s="41"/>
      <c r="AG1186" s="41"/>
      <c r="AH1186" s="41"/>
      <c r="AI1186" s="41"/>
      <c r="AJ1186" s="41"/>
      <c r="AK1186" s="41"/>
      <c r="AL1186" s="41"/>
      <c r="AM1186" s="41"/>
      <c r="AN1186" s="41"/>
      <c r="AO1186" s="41"/>
      <c r="AP1186" s="41"/>
      <c r="AQ1186" s="41"/>
      <c r="AR1186" s="41"/>
      <c r="AS1186" s="41"/>
    </row>
    <row r="1187" spans="1:45">
      <c r="A1187" s="38"/>
      <c r="B1187" s="38"/>
      <c r="C1187" s="38"/>
      <c r="D1187" s="38"/>
      <c r="E1187" s="49"/>
      <c r="F1187" s="49"/>
      <c r="G1187" s="38"/>
      <c r="H1187" s="49"/>
      <c r="I1187" s="49"/>
      <c r="J1187" s="49"/>
      <c r="K1187" s="49"/>
      <c r="L1187" s="41"/>
      <c r="M1187" s="41"/>
      <c r="N1187" s="41"/>
      <c r="O1187" s="41"/>
      <c r="P1187" s="43"/>
      <c r="Q1187" s="41"/>
      <c r="R1187" s="41"/>
      <c r="S1187" s="41"/>
      <c r="T1187" s="41"/>
      <c r="U1187" s="41"/>
      <c r="V1187" s="41"/>
      <c r="W1187" s="41"/>
      <c r="X1187" s="41"/>
      <c r="Y1187" s="41"/>
      <c r="Z1187" s="41"/>
      <c r="AA1187" s="41"/>
      <c r="AB1187" s="41"/>
      <c r="AC1187" s="41"/>
      <c r="AD1187" s="41"/>
      <c r="AE1187" s="41"/>
      <c r="AF1187" s="41"/>
      <c r="AG1187" s="41"/>
      <c r="AH1187" s="41"/>
      <c r="AI1187" s="41"/>
      <c r="AJ1187" s="41"/>
      <c r="AK1187" s="41"/>
      <c r="AL1187" s="41"/>
      <c r="AM1187" s="41"/>
      <c r="AN1187" s="41"/>
      <c r="AO1187" s="41"/>
      <c r="AP1187" s="41"/>
      <c r="AQ1187" s="41"/>
      <c r="AR1187" s="41"/>
      <c r="AS1187" s="41"/>
    </row>
    <row r="1188" spans="1:45">
      <c r="A1188" s="38"/>
      <c r="B1188" s="38"/>
      <c r="C1188" s="38"/>
      <c r="D1188" s="38"/>
      <c r="E1188" s="49"/>
      <c r="F1188" s="49"/>
      <c r="G1188" s="38"/>
      <c r="H1188" s="49"/>
      <c r="I1188" s="49"/>
      <c r="J1188" s="49"/>
      <c r="K1188" s="49"/>
      <c r="L1188" s="41"/>
      <c r="M1188" s="41"/>
      <c r="N1188" s="41"/>
      <c r="O1188" s="41"/>
      <c r="P1188" s="43"/>
      <c r="Q1188" s="41"/>
      <c r="R1188" s="41"/>
      <c r="S1188" s="41"/>
      <c r="T1188" s="41"/>
      <c r="U1188" s="41"/>
      <c r="V1188" s="41"/>
      <c r="W1188" s="41"/>
      <c r="X1188" s="41"/>
      <c r="Y1188" s="41"/>
      <c r="Z1188" s="41"/>
      <c r="AA1188" s="41"/>
      <c r="AB1188" s="41"/>
      <c r="AC1188" s="41"/>
      <c r="AD1188" s="41"/>
      <c r="AE1188" s="41"/>
      <c r="AF1188" s="41"/>
      <c r="AG1188" s="41"/>
      <c r="AH1188" s="41"/>
      <c r="AI1188" s="41"/>
      <c r="AJ1188" s="41"/>
      <c r="AK1188" s="41"/>
      <c r="AL1188" s="41"/>
      <c r="AM1188" s="41"/>
      <c r="AN1188" s="41"/>
      <c r="AO1188" s="41"/>
      <c r="AP1188" s="41"/>
      <c r="AQ1188" s="41"/>
      <c r="AR1188" s="41"/>
      <c r="AS1188" s="41"/>
    </row>
    <row r="1189" spans="1:45">
      <c r="A1189" s="38"/>
      <c r="B1189" s="38"/>
      <c r="C1189" s="38"/>
      <c r="D1189" s="38"/>
      <c r="E1189" s="49"/>
      <c r="F1189" s="49"/>
      <c r="G1189" s="38"/>
      <c r="H1189" s="49"/>
      <c r="I1189" s="49"/>
      <c r="J1189" s="49"/>
      <c r="K1189" s="49"/>
      <c r="L1189" s="41"/>
      <c r="M1189" s="41"/>
      <c r="N1189" s="41"/>
      <c r="O1189" s="41"/>
      <c r="P1189" s="43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  <c r="AD1189" s="41"/>
      <c r="AE1189" s="41"/>
      <c r="AF1189" s="41"/>
      <c r="AG1189" s="41"/>
      <c r="AH1189" s="41"/>
      <c r="AI1189" s="41"/>
      <c r="AJ1189" s="41"/>
      <c r="AK1189" s="41"/>
      <c r="AL1189" s="41"/>
      <c r="AM1189" s="41"/>
      <c r="AN1189" s="41"/>
      <c r="AO1189" s="41"/>
      <c r="AP1189" s="41"/>
      <c r="AQ1189" s="41"/>
      <c r="AR1189" s="41"/>
      <c r="AS1189" s="41"/>
    </row>
    <row r="1190" spans="1:45">
      <c r="A1190" s="38"/>
      <c r="B1190" s="38"/>
      <c r="C1190" s="38"/>
      <c r="D1190" s="38"/>
      <c r="E1190" s="49"/>
      <c r="F1190" s="49"/>
      <c r="G1190" s="38"/>
      <c r="H1190" s="49"/>
      <c r="I1190" s="49"/>
      <c r="J1190" s="49"/>
      <c r="K1190" s="49"/>
      <c r="L1190" s="41"/>
      <c r="M1190" s="41"/>
      <c r="N1190" s="41"/>
      <c r="O1190" s="41"/>
      <c r="P1190" s="43"/>
      <c r="Q1190" s="41"/>
      <c r="R1190" s="41"/>
      <c r="S1190" s="41"/>
      <c r="T1190" s="41"/>
      <c r="U1190" s="41"/>
      <c r="V1190" s="41"/>
      <c r="W1190" s="41"/>
      <c r="X1190" s="41"/>
      <c r="Y1190" s="41"/>
      <c r="Z1190" s="41"/>
      <c r="AA1190" s="41"/>
      <c r="AB1190" s="41"/>
      <c r="AC1190" s="41"/>
      <c r="AD1190" s="41"/>
      <c r="AE1190" s="41"/>
      <c r="AF1190" s="41"/>
      <c r="AG1190" s="41"/>
      <c r="AH1190" s="41"/>
      <c r="AI1190" s="41"/>
      <c r="AJ1190" s="41"/>
      <c r="AK1190" s="41"/>
      <c r="AL1190" s="41"/>
      <c r="AM1190" s="41"/>
      <c r="AN1190" s="41"/>
      <c r="AO1190" s="41"/>
      <c r="AP1190" s="41"/>
      <c r="AQ1190" s="41"/>
      <c r="AR1190" s="41"/>
      <c r="AS1190" s="41"/>
    </row>
    <row r="1191" spans="1:45">
      <c r="A1191" s="38"/>
      <c r="B1191" s="38"/>
      <c r="C1191" s="38"/>
      <c r="D1191" s="38"/>
      <c r="E1191" s="49"/>
      <c r="F1191" s="49"/>
      <c r="G1191" s="38"/>
      <c r="H1191" s="49"/>
      <c r="I1191" s="49"/>
      <c r="J1191" s="49"/>
      <c r="K1191" s="49"/>
      <c r="L1191" s="41"/>
      <c r="M1191" s="41"/>
      <c r="N1191" s="41"/>
      <c r="O1191" s="41"/>
      <c r="P1191" s="43"/>
      <c r="Q1191" s="41"/>
      <c r="R1191" s="41"/>
      <c r="S1191" s="41"/>
      <c r="T1191" s="41"/>
      <c r="U1191" s="41"/>
      <c r="V1191" s="41"/>
      <c r="W1191" s="41"/>
      <c r="X1191" s="41"/>
      <c r="Y1191" s="41"/>
      <c r="Z1191" s="41"/>
      <c r="AA1191" s="41"/>
      <c r="AB1191" s="41"/>
      <c r="AC1191" s="41"/>
      <c r="AD1191" s="41"/>
      <c r="AE1191" s="41"/>
      <c r="AF1191" s="41"/>
      <c r="AG1191" s="41"/>
      <c r="AH1191" s="41"/>
      <c r="AI1191" s="41"/>
      <c r="AJ1191" s="41"/>
      <c r="AK1191" s="41"/>
      <c r="AL1191" s="41"/>
      <c r="AM1191" s="41"/>
      <c r="AN1191" s="41"/>
      <c r="AO1191" s="41"/>
      <c r="AP1191" s="41"/>
      <c r="AQ1191" s="41"/>
      <c r="AR1191" s="41"/>
      <c r="AS1191" s="41"/>
    </row>
    <row r="1192" spans="1:45">
      <c r="A1192" s="38"/>
      <c r="B1192" s="38"/>
      <c r="C1192" s="38"/>
      <c r="D1192" s="38"/>
      <c r="E1192" s="49"/>
      <c r="F1192" s="49"/>
      <c r="G1192" s="38"/>
      <c r="H1192" s="49"/>
      <c r="I1192" s="49"/>
      <c r="J1192" s="49"/>
      <c r="K1192" s="49"/>
      <c r="L1192" s="41"/>
      <c r="M1192" s="41"/>
      <c r="N1192" s="41"/>
      <c r="O1192" s="41"/>
      <c r="P1192" s="43"/>
      <c r="Q1192" s="41"/>
      <c r="R1192" s="41"/>
      <c r="S1192" s="41"/>
      <c r="T1192" s="41"/>
      <c r="U1192" s="41"/>
      <c r="V1192" s="41"/>
      <c r="W1192" s="41"/>
      <c r="X1192" s="41"/>
      <c r="Y1192" s="41"/>
      <c r="Z1192" s="41"/>
      <c r="AA1192" s="41"/>
      <c r="AB1192" s="41"/>
      <c r="AC1192" s="41"/>
      <c r="AD1192" s="41"/>
      <c r="AE1192" s="41"/>
      <c r="AF1192" s="41"/>
      <c r="AG1192" s="41"/>
      <c r="AH1192" s="41"/>
      <c r="AI1192" s="41"/>
      <c r="AJ1192" s="41"/>
      <c r="AK1192" s="41"/>
      <c r="AL1192" s="41"/>
      <c r="AM1192" s="41"/>
      <c r="AN1192" s="41"/>
      <c r="AO1192" s="41"/>
      <c r="AP1192" s="41"/>
      <c r="AQ1192" s="41"/>
      <c r="AR1192" s="41"/>
      <c r="AS1192" s="41"/>
    </row>
    <row r="1193" spans="1:45">
      <c r="A1193" s="38"/>
      <c r="B1193" s="38"/>
      <c r="C1193" s="38"/>
      <c r="D1193" s="38"/>
      <c r="E1193" s="49"/>
      <c r="F1193" s="49"/>
      <c r="G1193" s="38"/>
      <c r="H1193" s="49"/>
      <c r="I1193" s="49"/>
      <c r="J1193" s="49"/>
      <c r="K1193" s="49"/>
      <c r="L1193" s="41"/>
      <c r="M1193" s="41"/>
      <c r="N1193" s="41"/>
      <c r="O1193" s="41"/>
      <c r="P1193" s="43"/>
      <c r="Q1193" s="41"/>
      <c r="R1193" s="41"/>
      <c r="S1193" s="41"/>
      <c r="T1193" s="41"/>
      <c r="U1193" s="41"/>
      <c r="V1193" s="41"/>
      <c r="W1193" s="41"/>
      <c r="X1193" s="41"/>
      <c r="Y1193" s="41"/>
      <c r="Z1193" s="41"/>
      <c r="AA1193" s="41"/>
      <c r="AB1193" s="41"/>
      <c r="AC1193" s="41"/>
      <c r="AD1193" s="41"/>
      <c r="AE1193" s="41"/>
      <c r="AF1193" s="41"/>
      <c r="AG1193" s="41"/>
      <c r="AH1193" s="41"/>
      <c r="AI1193" s="41"/>
      <c r="AJ1193" s="41"/>
      <c r="AK1193" s="41"/>
      <c r="AL1193" s="41"/>
      <c r="AM1193" s="41"/>
      <c r="AN1193" s="41"/>
      <c r="AO1193" s="41"/>
      <c r="AP1193" s="41"/>
      <c r="AQ1193" s="41"/>
      <c r="AR1193" s="41"/>
      <c r="AS1193" s="41"/>
    </row>
    <row r="1194" spans="1:45">
      <c r="A1194" s="38"/>
      <c r="B1194" s="38"/>
      <c r="C1194" s="38"/>
      <c r="D1194" s="38"/>
      <c r="E1194" s="49"/>
      <c r="F1194" s="49"/>
      <c r="G1194" s="38"/>
      <c r="H1194" s="49"/>
      <c r="I1194" s="49"/>
      <c r="J1194" s="49"/>
      <c r="K1194" s="49"/>
      <c r="L1194" s="41"/>
      <c r="M1194" s="41"/>
      <c r="N1194" s="41"/>
      <c r="O1194" s="41"/>
      <c r="P1194" s="43"/>
      <c r="Q1194" s="41"/>
      <c r="R1194" s="41"/>
      <c r="S1194" s="41"/>
      <c r="T1194" s="41"/>
      <c r="U1194" s="41"/>
      <c r="V1194" s="41"/>
      <c r="W1194" s="41"/>
      <c r="X1194" s="41"/>
      <c r="Y1194" s="41"/>
      <c r="Z1194" s="41"/>
      <c r="AA1194" s="41"/>
      <c r="AB1194" s="41"/>
      <c r="AC1194" s="41"/>
      <c r="AD1194" s="41"/>
      <c r="AE1194" s="41"/>
      <c r="AF1194" s="41"/>
      <c r="AG1194" s="41"/>
      <c r="AH1194" s="41"/>
      <c r="AI1194" s="41"/>
      <c r="AJ1194" s="41"/>
      <c r="AK1194" s="41"/>
      <c r="AL1194" s="41"/>
      <c r="AM1194" s="41"/>
      <c r="AN1194" s="41"/>
      <c r="AO1194" s="41"/>
      <c r="AP1194" s="41"/>
      <c r="AQ1194" s="41"/>
      <c r="AR1194" s="41"/>
      <c r="AS1194" s="41"/>
    </row>
    <row r="1195" spans="1:45">
      <c r="A1195" s="38"/>
      <c r="B1195" s="38"/>
      <c r="C1195" s="38"/>
      <c r="D1195" s="38"/>
      <c r="E1195" s="49"/>
      <c r="F1195" s="49"/>
      <c r="G1195" s="38"/>
      <c r="H1195" s="49"/>
      <c r="I1195" s="49"/>
      <c r="J1195" s="49"/>
      <c r="K1195" s="49"/>
      <c r="L1195" s="41"/>
      <c r="M1195" s="41"/>
      <c r="N1195" s="41"/>
      <c r="O1195" s="41"/>
      <c r="P1195" s="43"/>
      <c r="Q1195" s="41"/>
      <c r="R1195" s="41"/>
      <c r="S1195" s="41"/>
      <c r="T1195" s="41"/>
      <c r="U1195" s="41"/>
      <c r="V1195" s="41"/>
      <c r="W1195" s="41"/>
      <c r="X1195" s="41"/>
      <c r="Y1195" s="41"/>
      <c r="Z1195" s="41"/>
      <c r="AA1195" s="41"/>
      <c r="AB1195" s="41"/>
      <c r="AC1195" s="41"/>
      <c r="AD1195" s="41"/>
      <c r="AE1195" s="41"/>
      <c r="AF1195" s="41"/>
      <c r="AG1195" s="41"/>
      <c r="AH1195" s="41"/>
      <c r="AI1195" s="41"/>
      <c r="AJ1195" s="41"/>
      <c r="AK1195" s="41"/>
      <c r="AL1195" s="41"/>
      <c r="AM1195" s="41"/>
      <c r="AN1195" s="41"/>
      <c r="AO1195" s="41"/>
      <c r="AP1195" s="41"/>
      <c r="AQ1195" s="41"/>
      <c r="AR1195" s="41"/>
      <c r="AS1195" s="41"/>
    </row>
    <row r="1196" spans="1:45">
      <c r="A1196" s="38"/>
      <c r="B1196" s="38"/>
      <c r="C1196" s="38"/>
      <c r="D1196" s="38"/>
      <c r="E1196" s="49"/>
      <c r="F1196" s="49"/>
      <c r="G1196" s="38"/>
      <c r="H1196" s="49"/>
      <c r="I1196" s="49"/>
      <c r="J1196" s="49"/>
      <c r="K1196" s="49"/>
      <c r="L1196" s="41"/>
      <c r="M1196" s="41"/>
      <c r="N1196" s="41"/>
      <c r="O1196" s="41"/>
      <c r="P1196" s="43"/>
      <c r="Q1196" s="41"/>
      <c r="R1196" s="41"/>
      <c r="S1196" s="41"/>
      <c r="T1196" s="41"/>
      <c r="U1196" s="41"/>
      <c r="V1196" s="41"/>
      <c r="W1196" s="41"/>
      <c r="X1196" s="41"/>
      <c r="Y1196" s="41"/>
      <c r="Z1196" s="41"/>
      <c r="AA1196" s="41"/>
      <c r="AB1196" s="41"/>
      <c r="AC1196" s="41"/>
      <c r="AD1196" s="41"/>
      <c r="AE1196" s="41"/>
      <c r="AF1196" s="41"/>
      <c r="AG1196" s="41"/>
      <c r="AH1196" s="41"/>
      <c r="AI1196" s="41"/>
      <c r="AJ1196" s="41"/>
      <c r="AK1196" s="41"/>
      <c r="AL1196" s="41"/>
      <c r="AM1196" s="41"/>
      <c r="AN1196" s="41"/>
      <c r="AO1196" s="41"/>
      <c r="AP1196" s="41"/>
      <c r="AQ1196" s="41"/>
      <c r="AR1196" s="41"/>
      <c r="AS1196" s="41"/>
    </row>
    <row r="1197" spans="1:45">
      <c r="A1197" s="38"/>
      <c r="B1197" s="38"/>
      <c r="C1197" s="38"/>
      <c r="D1197" s="38"/>
      <c r="E1197" s="49"/>
      <c r="F1197" s="49"/>
      <c r="G1197" s="38"/>
      <c r="H1197" s="49"/>
      <c r="I1197" s="49"/>
      <c r="J1197" s="49"/>
      <c r="K1197" s="49"/>
      <c r="L1197" s="41"/>
      <c r="M1197" s="41"/>
      <c r="N1197" s="41"/>
      <c r="O1197" s="41"/>
      <c r="P1197" s="43"/>
      <c r="Q1197" s="41"/>
      <c r="R1197" s="41"/>
      <c r="S1197" s="41"/>
      <c r="T1197" s="41"/>
      <c r="U1197" s="41"/>
      <c r="V1197" s="41"/>
      <c r="W1197" s="41"/>
      <c r="X1197" s="41"/>
      <c r="Y1197" s="41"/>
      <c r="Z1197" s="41"/>
      <c r="AA1197" s="41"/>
      <c r="AB1197" s="41"/>
      <c r="AC1197" s="41"/>
      <c r="AD1197" s="41"/>
      <c r="AE1197" s="41"/>
      <c r="AF1197" s="41"/>
      <c r="AG1197" s="41"/>
      <c r="AH1197" s="41"/>
      <c r="AI1197" s="41"/>
      <c r="AJ1197" s="41"/>
      <c r="AK1197" s="41"/>
      <c r="AL1197" s="41"/>
      <c r="AM1197" s="41"/>
      <c r="AN1197" s="41"/>
      <c r="AO1197" s="41"/>
      <c r="AP1197" s="41"/>
      <c r="AQ1197" s="41"/>
      <c r="AR1197" s="41"/>
      <c r="AS1197" s="41"/>
    </row>
    <row r="1198" spans="1:45">
      <c r="A1198" s="38"/>
      <c r="B1198" s="38"/>
      <c r="C1198" s="38"/>
      <c r="D1198" s="38"/>
      <c r="E1198" s="49"/>
      <c r="F1198" s="49"/>
      <c r="G1198" s="38"/>
      <c r="H1198" s="49"/>
      <c r="I1198" s="49"/>
      <c r="J1198" s="49"/>
      <c r="K1198" s="49"/>
      <c r="L1198" s="41"/>
      <c r="M1198" s="41"/>
      <c r="N1198" s="41"/>
      <c r="O1198" s="41"/>
      <c r="P1198" s="43"/>
      <c r="Q1198" s="41"/>
      <c r="R1198" s="41"/>
      <c r="S1198" s="41"/>
      <c r="T1198" s="41"/>
      <c r="U1198" s="41"/>
      <c r="V1198" s="41"/>
      <c r="W1198" s="41"/>
      <c r="X1198" s="41"/>
      <c r="Y1198" s="41"/>
      <c r="Z1198" s="41"/>
      <c r="AA1198" s="41"/>
      <c r="AB1198" s="41"/>
      <c r="AC1198" s="41"/>
      <c r="AD1198" s="41"/>
      <c r="AE1198" s="41"/>
      <c r="AF1198" s="41"/>
      <c r="AG1198" s="41"/>
      <c r="AH1198" s="41"/>
      <c r="AI1198" s="41"/>
      <c r="AJ1198" s="41"/>
      <c r="AK1198" s="41"/>
      <c r="AL1198" s="41"/>
      <c r="AM1198" s="41"/>
      <c r="AN1198" s="41"/>
      <c r="AO1198" s="41"/>
      <c r="AP1198" s="41"/>
      <c r="AQ1198" s="41"/>
      <c r="AR1198" s="41"/>
      <c r="AS1198" s="41"/>
    </row>
    <row r="1199" spans="1:45">
      <c r="A1199" s="38"/>
      <c r="B1199" s="38"/>
      <c r="C1199" s="38"/>
      <c r="D1199" s="38"/>
      <c r="E1199" s="49"/>
      <c r="F1199" s="49"/>
      <c r="G1199" s="38"/>
      <c r="H1199" s="49"/>
      <c r="I1199" s="49"/>
      <c r="J1199" s="49"/>
      <c r="K1199" s="49"/>
      <c r="L1199" s="41"/>
      <c r="M1199" s="41"/>
      <c r="N1199" s="41"/>
      <c r="O1199" s="41"/>
      <c r="P1199" s="43"/>
      <c r="Q1199" s="41"/>
      <c r="R1199" s="41"/>
      <c r="S1199" s="41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  <c r="AD1199" s="41"/>
      <c r="AE1199" s="41"/>
      <c r="AF1199" s="41"/>
      <c r="AG1199" s="41"/>
      <c r="AH1199" s="41"/>
      <c r="AI1199" s="41"/>
      <c r="AJ1199" s="41"/>
      <c r="AK1199" s="41"/>
      <c r="AL1199" s="41"/>
      <c r="AM1199" s="41"/>
      <c r="AN1199" s="41"/>
      <c r="AO1199" s="41"/>
      <c r="AP1199" s="41"/>
      <c r="AQ1199" s="41"/>
      <c r="AR1199" s="41"/>
      <c r="AS1199" s="41"/>
    </row>
    <row r="1200" spans="1:45">
      <c r="A1200" s="38"/>
      <c r="B1200" s="38"/>
      <c r="C1200" s="38"/>
      <c r="D1200" s="38"/>
      <c r="E1200" s="49"/>
      <c r="F1200" s="49"/>
      <c r="G1200" s="38"/>
      <c r="H1200" s="49"/>
      <c r="I1200" s="49"/>
      <c r="J1200" s="49"/>
      <c r="K1200" s="49"/>
      <c r="L1200" s="41"/>
      <c r="M1200" s="41"/>
      <c r="N1200" s="41"/>
      <c r="O1200" s="41"/>
      <c r="P1200" s="43"/>
      <c r="Q1200" s="41"/>
      <c r="R1200" s="41"/>
      <c r="S1200" s="41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  <c r="AD1200" s="41"/>
      <c r="AE1200" s="41"/>
      <c r="AF1200" s="41"/>
      <c r="AG1200" s="41"/>
      <c r="AH1200" s="41"/>
      <c r="AI1200" s="41"/>
      <c r="AJ1200" s="41"/>
      <c r="AK1200" s="41"/>
      <c r="AL1200" s="41"/>
      <c r="AM1200" s="41"/>
      <c r="AN1200" s="41"/>
      <c r="AO1200" s="41"/>
      <c r="AP1200" s="41"/>
      <c r="AQ1200" s="41"/>
      <c r="AR1200" s="41"/>
      <c r="AS1200" s="41"/>
    </row>
    <row r="1201" spans="1:45">
      <c r="A1201" s="38"/>
      <c r="B1201" s="38"/>
      <c r="C1201" s="38"/>
      <c r="D1201" s="38"/>
      <c r="E1201" s="49"/>
      <c r="F1201" s="49"/>
      <c r="G1201" s="38"/>
      <c r="H1201" s="49"/>
      <c r="I1201" s="49"/>
      <c r="J1201" s="49"/>
      <c r="K1201" s="49"/>
      <c r="L1201" s="41"/>
      <c r="M1201" s="41"/>
      <c r="N1201" s="41"/>
      <c r="O1201" s="41"/>
      <c r="P1201" s="43"/>
      <c r="Q1201" s="41"/>
      <c r="R1201" s="41"/>
      <c r="S1201" s="41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  <c r="AD1201" s="41"/>
      <c r="AE1201" s="41"/>
      <c r="AF1201" s="41"/>
      <c r="AG1201" s="41"/>
      <c r="AH1201" s="41"/>
      <c r="AI1201" s="41"/>
      <c r="AJ1201" s="41"/>
      <c r="AK1201" s="41"/>
      <c r="AL1201" s="41"/>
      <c r="AM1201" s="41"/>
      <c r="AN1201" s="41"/>
      <c r="AO1201" s="41"/>
      <c r="AP1201" s="41"/>
      <c r="AQ1201" s="41"/>
      <c r="AR1201" s="41"/>
      <c r="AS1201" s="41"/>
    </row>
    <row r="1202" spans="1:45">
      <c r="A1202" s="38"/>
      <c r="B1202" s="38"/>
      <c r="C1202" s="38"/>
      <c r="D1202" s="38"/>
      <c r="E1202" s="49"/>
      <c r="F1202" s="49"/>
      <c r="G1202" s="38"/>
      <c r="H1202" s="49"/>
      <c r="I1202" s="49"/>
      <c r="J1202" s="49"/>
      <c r="K1202" s="49"/>
      <c r="L1202" s="41"/>
      <c r="M1202" s="41"/>
      <c r="N1202" s="41"/>
      <c r="O1202" s="41"/>
      <c r="P1202" s="43"/>
      <c r="Q1202" s="41"/>
      <c r="R1202" s="41"/>
      <c r="S1202" s="41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  <c r="AD1202" s="41"/>
      <c r="AE1202" s="41"/>
      <c r="AF1202" s="41"/>
      <c r="AG1202" s="41"/>
      <c r="AH1202" s="41"/>
      <c r="AI1202" s="41"/>
      <c r="AJ1202" s="41"/>
      <c r="AK1202" s="41"/>
      <c r="AL1202" s="41"/>
      <c r="AM1202" s="41"/>
      <c r="AN1202" s="41"/>
      <c r="AO1202" s="41"/>
      <c r="AP1202" s="41"/>
      <c r="AQ1202" s="41"/>
      <c r="AR1202" s="41"/>
      <c r="AS1202" s="41"/>
    </row>
    <row r="1203" spans="1:45">
      <c r="A1203" s="38"/>
      <c r="B1203" s="38"/>
      <c r="C1203" s="38"/>
      <c r="D1203" s="38"/>
      <c r="E1203" s="49"/>
      <c r="F1203" s="49"/>
      <c r="G1203" s="38"/>
      <c r="H1203" s="49"/>
      <c r="I1203" s="49"/>
      <c r="J1203" s="49"/>
      <c r="K1203" s="49"/>
      <c r="L1203" s="41"/>
      <c r="M1203" s="41"/>
      <c r="N1203" s="41"/>
      <c r="O1203" s="41"/>
      <c r="P1203" s="43"/>
      <c r="Q1203" s="41"/>
      <c r="R1203" s="41"/>
      <c r="S1203" s="41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  <c r="AD1203" s="41"/>
      <c r="AE1203" s="41"/>
      <c r="AF1203" s="41"/>
      <c r="AG1203" s="41"/>
      <c r="AH1203" s="41"/>
      <c r="AI1203" s="41"/>
      <c r="AJ1203" s="41"/>
      <c r="AK1203" s="41"/>
      <c r="AL1203" s="41"/>
      <c r="AM1203" s="41"/>
      <c r="AN1203" s="41"/>
      <c r="AO1203" s="41"/>
      <c r="AP1203" s="41"/>
      <c r="AQ1203" s="41"/>
      <c r="AR1203" s="41"/>
      <c r="AS1203" s="41"/>
    </row>
    <row r="1204" spans="1:45">
      <c r="A1204" s="38"/>
      <c r="B1204" s="38"/>
      <c r="C1204" s="38"/>
      <c r="D1204" s="38"/>
      <c r="E1204" s="49"/>
      <c r="F1204" s="49"/>
      <c r="G1204" s="38"/>
      <c r="H1204" s="49"/>
      <c r="I1204" s="49"/>
      <c r="J1204" s="49"/>
      <c r="K1204" s="49"/>
      <c r="L1204" s="41"/>
      <c r="M1204" s="41"/>
      <c r="N1204" s="41"/>
      <c r="O1204" s="41"/>
      <c r="P1204" s="43"/>
      <c r="Q1204" s="41"/>
      <c r="R1204" s="41"/>
      <c r="S1204" s="41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  <c r="AD1204" s="41"/>
      <c r="AE1204" s="41"/>
      <c r="AF1204" s="41"/>
      <c r="AG1204" s="41"/>
      <c r="AH1204" s="41"/>
      <c r="AI1204" s="41"/>
      <c r="AJ1204" s="41"/>
      <c r="AK1204" s="41"/>
      <c r="AL1204" s="41"/>
      <c r="AM1204" s="41"/>
      <c r="AN1204" s="41"/>
      <c r="AO1204" s="41"/>
      <c r="AP1204" s="41"/>
      <c r="AQ1204" s="41"/>
      <c r="AR1204" s="41"/>
      <c r="AS1204" s="41"/>
    </row>
    <row r="1205" spans="1:45">
      <c r="A1205" s="38"/>
      <c r="B1205" s="38"/>
      <c r="C1205" s="38"/>
      <c r="D1205" s="38"/>
      <c r="E1205" s="49"/>
      <c r="F1205" s="49"/>
      <c r="G1205" s="38"/>
      <c r="H1205" s="49"/>
      <c r="I1205" s="49"/>
      <c r="J1205" s="49"/>
      <c r="K1205" s="49"/>
      <c r="L1205" s="41"/>
      <c r="M1205" s="41"/>
      <c r="N1205" s="41"/>
      <c r="O1205" s="41"/>
      <c r="P1205" s="43"/>
      <c r="Q1205" s="41"/>
      <c r="R1205" s="41"/>
      <c r="S1205" s="41"/>
      <c r="T1205" s="41"/>
      <c r="U1205" s="41"/>
      <c r="V1205" s="41"/>
      <c r="W1205" s="41"/>
      <c r="X1205" s="41"/>
      <c r="Y1205" s="41"/>
      <c r="Z1205" s="41"/>
      <c r="AA1205" s="41"/>
      <c r="AB1205" s="41"/>
      <c r="AC1205" s="41"/>
      <c r="AD1205" s="41"/>
      <c r="AE1205" s="41"/>
      <c r="AF1205" s="41"/>
      <c r="AG1205" s="41"/>
      <c r="AH1205" s="41"/>
      <c r="AI1205" s="41"/>
      <c r="AJ1205" s="41"/>
      <c r="AK1205" s="41"/>
      <c r="AL1205" s="41"/>
      <c r="AM1205" s="41"/>
      <c r="AN1205" s="41"/>
      <c r="AO1205" s="41"/>
      <c r="AP1205" s="41"/>
      <c r="AQ1205" s="41"/>
      <c r="AR1205" s="41"/>
      <c r="AS1205" s="41"/>
    </row>
    <row r="1206" spans="1:45">
      <c r="A1206" s="38"/>
      <c r="B1206" s="38"/>
      <c r="C1206" s="38"/>
      <c r="D1206" s="38"/>
      <c r="E1206" s="49"/>
      <c r="F1206" s="49"/>
      <c r="G1206" s="38"/>
      <c r="H1206" s="49"/>
      <c r="I1206" s="49"/>
      <c r="J1206" s="49"/>
      <c r="K1206" s="49"/>
      <c r="L1206" s="41"/>
      <c r="M1206" s="41"/>
      <c r="N1206" s="41"/>
      <c r="O1206" s="41"/>
      <c r="P1206" s="43"/>
      <c r="Q1206" s="41"/>
      <c r="R1206" s="41"/>
      <c r="S1206" s="41"/>
      <c r="T1206" s="41"/>
      <c r="U1206" s="41"/>
      <c r="V1206" s="41"/>
      <c r="W1206" s="41"/>
      <c r="X1206" s="41"/>
      <c r="Y1206" s="41"/>
      <c r="Z1206" s="41"/>
      <c r="AA1206" s="41"/>
      <c r="AB1206" s="41"/>
      <c r="AC1206" s="41"/>
      <c r="AD1206" s="41"/>
      <c r="AE1206" s="41"/>
      <c r="AF1206" s="41"/>
      <c r="AG1206" s="41"/>
      <c r="AH1206" s="41"/>
      <c r="AI1206" s="41"/>
      <c r="AJ1206" s="41"/>
      <c r="AK1206" s="41"/>
      <c r="AL1206" s="41"/>
      <c r="AM1206" s="41"/>
      <c r="AN1206" s="41"/>
      <c r="AO1206" s="41"/>
      <c r="AP1206" s="41"/>
      <c r="AQ1206" s="41"/>
      <c r="AR1206" s="41"/>
      <c r="AS1206" s="41"/>
    </row>
    <row r="1207" spans="1:45">
      <c r="A1207" s="38"/>
      <c r="B1207" s="38"/>
      <c r="C1207" s="38"/>
      <c r="D1207" s="38"/>
      <c r="E1207" s="49"/>
      <c r="F1207" s="49"/>
      <c r="G1207" s="38"/>
      <c r="H1207" s="49"/>
      <c r="I1207" s="49"/>
      <c r="J1207" s="49"/>
      <c r="K1207" s="49"/>
      <c r="L1207" s="41"/>
      <c r="M1207" s="41"/>
      <c r="N1207" s="41"/>
      <c r="O1207" s="41"/>
      <c r="P1207" s="43"/>
      <c r="Q1207" s="41"/>
      <c r="R1207" s="41"/>
      <c r="S1207" s="41"/>
      <c r="T1207" s="41"/>
      <c r="U1207" s="41"/>
      <c r="V1207" s="41"/>
      <c r="W1207" s="41"/>
      <c r="X1207" s="41"/>
      <c r="Y1207" s="41"/>
      <c r="Z1207" s="41"/>
      <c r="AA1207" s="41"/>
      <c r="AB1207" s="41"/>
      <c r="AC1207" s="41"/>
      <c r="AD1207" s="41"/>
      <c r="AE1207" s="41"/>
      <c r="AF1207" s="41"/>
      <c r="AG1207" s="41"/>
      <c r="AH1207" s="41"/>
      <c r="AI1207" s="41"/>
      <c r="AJ1207" s="41"/>
      <c r="AK1207" s="41"/>
      <c r="AL1207" s="41"/>
      <c r="AM1207" s="41"/>
      <c r="AN1207" s="41"/>
      <c r="AO1207" s="41"/>
      <c r="AP1207" s="41"/>
      <c r="AQ1207" s="41"/>
      <c r="AR1207" s="41"/>
      <c r="AS1207" s="41"/>
    </row>
    <row r="1208" spans="1:45">
      <c r="A1208" s="38"/>
      <c r="B1208" s="38"/>
      <c r="C1208" s="38"/>
      <c r="D1208" s="38"/>
      <c r="E1208" s="49"/>
      <c r="F1208" s="49"/>
      <c r="G1208" s="38"/>
      <c r="H1208" s="49"/>
      <c r="I1208" s="49"/>
      <c r="J1208" s="49"/>
      <c r="K1208" s="49"/>
      <c r="L1208" s="41"/>
      <c r="M1208" s="41"/>
      <c r="N1208" s="41"/>
      <c r="O1208" s="41"/>
      <c r="P1208" s="43"/>
      <c r="Q1208" s="41"/>
      <c r="R1208" s="41"/>
      <c r="S1208" s="41"/>
      <c r="T1208" s="41"/>
      <c r="U1208" s="41"/>
      <c r="V1208" s="41"/>
      <c r="W1208" s="41"/>
      <c r="X1208" s="41"/>
      <c r="Y1208" s="41"/>
      <c r="Z1208" s="41"/>
      <c r="AA1208" s="41"/>
      <c r="AB1208" s="41"/>
      <c r="AC1208" s="41"/>
      <c r="AD1208" s="41"/>
      <c r="AE1208" s="41"/>
      <c r="AF1208" s="41"/>
      <c r="AG1208" s="41"/>
      <c r="AH1208" s="41"/>
      <c r="AI1208" s="41"/>
      <c r="AJ1208" s="41"/>
      <c r="AK1208" s="41"/>
      <c r="AL1208" s="41"/>
      <c r="AM1208" s="41"/>
      <c r="AN1208" s="41"/>
      <c r="AO1208" s="41"/>
      <c r="AP1208" s="41"/>
      <c r="AQ1208" s="41"/>
      <c r="AR1208" s="41"/>
      <c r="AS1208" s="41"/>
    </row>
    <row r="1209" spans="1:45">
      <c r="A1209" s="38"/>
      <c r="B1209" s="38"/>
      <c r="C1209" s="38"/>
      <c r="D1209" s="38"/>
      <c r="E1209" s="49"/>
      <c r="F1209" s="49"/>
      <c r="G1209" s="38"/>
      <c r="H1209" s="49"/>
      <c r="I1209" s="49"/>
      <c r="J1209" s="49"/>
      <c r="K1209" s="49"/>
      <c r="L1209" s="41"/>
      <c r="M1209" s="41"/>
      <c r="N1209" s="41"/>
      <c r="O1209" s="41"/>
      <c r="P1209" s="43"/>
      <c r="Q1209" s="41"/>
      <c r="R1209" s="41"/>
      <c r="S1209" s="41"/>
      <c r="T1209" s="41"/>
      <c r="U1209" s="41"/>
      <c r="V1209" s="41"/>
      <c r="W1209" s="41"/>
      <c r="X1209" s="41"/>
      <c r="Y1209" s="41"/>
      <c r="Z1209" s="41"/>
      <c r="AA1209" s="41"/>
      <c r="AB1209" s="41"/>
      <c r="AC1209" s="41"/>
      <c r="AD1209" s="41"/>
      <c r="AE1209" s="41"/>
      <c r="AF1209" s="41"/>
      <c r="AG1209" s="41"/>
      <c r="AH1209" s="41"/>
      <c r="AI1209" s="41"/>
      <c r="AJ1209" s="41"/>
      <c r="AK1209" s="41"/>
      <c r="AL1209" s="41"/>
      <c r="AM1209" s="41"/>
      <c r="AN1209" s="41"/>
      <c r="AO1209" s="41"/>
      <c r="AP1209" s="41"/>
      <c r="AQ1209" s="41"/>
      <c r="AR1209" s="41"/>
      <c r="AS1209" s="41"/>
    </row>
    <row r="1210" spans="1:45">
      <c r="A1210" s="38"/>
      <c r="B1210" s="38"/>
      <c r="C1210" s="38"/>
      <c r="D1210" s="38"/>
      <c r="E1210" s="49"/>
      <c r="F1210" s="49"/>
      <c r="G1210" s="38"/>
      <c r="H1210" s="49"/>
      <c r="I1210" s="49"/>
      <c r="J1210" s="49"/>
      <c r="K1210" s="49"/>
      <c r="L1210" s="41"/>
      <c r="M1210" s="41"/>
      <c r="N1210" s="41"/>
      <c r="O1210" s="41"/>
      <c r="P1210" s="43"/>
      <c r="Q1210" s="41"/>
      <c r="R1210" s="41"/>
      <c r="S1210" s="41"/>
      <c r="T1210" s="41"/>
      <c r="U1210" s="41"/>
      <c r="V1210" s="41"/>
      <c r="W1210" s="41"/>
      <c r="X1210" s="41"/>
      <c r="Y1210" s="41"/>
      <c r="Z1210" s="41"/>
      <c r="AA1210" s="41"/>
      <c r="AB1210" s="41"/>
      <c r="AC1210" s="41"/>
      <c r="AD1210" s="41"/>
      <c r="AE1210" s="41"/>
      <c r="AF1210" s="41"/>
      <c r="AG1210" s="41"/>
      <c r="AH1210" s="41"/>
      <c r="AI1210" s="41"/>
      <c r="AJ1210" s="41"/>
      <c r="AK1210" s="41"/>
      <c r="AL1210" s="41"/>
      <c r="AM1210" s="41"/>
      <c r="AN1210" s="41"/>
      <c r="AO1210" s="41"/>
      <c r="AP1210" s="41"/>
      <c r="AQ1210" s="41"/>
      <c r="AR1210" s="41"/>
      <c r="AS1210" s="41"/>
    </row>
    <row r="1211" spans="1:45">
      <c r="A1211" s="38"/>
      <c r="B1211" s="38"/>
      <c r="C1211" s="38"/>
      <c r="D1211" s="38"/>
      <c r="E1211" s="49"/>
      <c r="F1211" s="49"/>
      <c r="G1211" s="38"/>
      <c r="H1211" s="49"/>
      <c r="I1211" s="49"/>
      <c r="J1211" s="49"/>
      <c r="K1211" s="49"/>
      <c r="L1211" s="41"/>
      <c r="M1211" s="41"/>
      <c r="N1211" s="41"/>
      <c r="O1211" s="41"/>
      <c r="P1211" s="43"/>
      <c r="Q1211" s="41"/>
      <c r="R1211" s="41"/>
      <c r="S1211" s="41"/>
      <c r="T1211" s="41"/>
      <c r="U1211" s="41"/>
      <c r="V1211" s="41"/>
      <c r="W1211" s="41"/>
      <c r="X1211" s="41"/>
      <c r="Y1211" s="41"/>
      <c r="Z1211" s="41"/>
      <c r="AA1211" s="41"/>
      <c r="AB1211" s="41"/>
      <c r="AC1211" s="41"/>
      <c r="AD1211" s="41"/>
      <c r="AE1211" s="41"/>
      <c r="AF1211" s="41"/>
      <c r="AG1211" s="41"/>
      <c r="AH1211" s="41"/>
      <c r="AI1211" s="41"/>
      <c r="AJ1211" s="41"/>
      <c r="AK1211" s="41"/>
      <c r="AL1211" s="41"/>
      <c r="AM1211" s="41"/>
      <c r="AN1211" s="41"/>
      <c r="AO1211" s="41"/>
      <c r="AP1211" s="41"/>
      <c r="AQ1211" s="41"/>
      <c r="AR1211" s="41"/>
      <c r="AS1211" s="41"/>
    </row>
    <row r="1212" spans="1:45">
      <c r="A1212" s="38"/>
      <c r="B1212" s="38"/>
      <c r="C1212" s="38"/>
      <c r="D1212" s="38"/>
      <c r="E1212" s="49"/>
      <c r="F1212" s="49"/>
      <c r="G1212" s="38"/>
      <c r="H1212" s="49"/>
      <c r="I1212" s="49"/>
      <c r="J1212" s="49"/>
      <c r="K1212" s="49"/>
      <c r="L1212" s="41"/>
      <c r="M1212" s="41"/>
      <c r="N1212" s="41"/>
      <c r="O1212" s="41"/>
      <c r="P1212" s="43"/>
      <c r="Q1212" s="41"/>
      <c r="R1212" s="41"/>
      <c r="S1212" s="41"/>
      <c r="T1212" s="41"/>
      <c r="U1212" s="41"/>
      <c r="V1212" s="41"/>
      <c r="W1212" s="41"/>
      <c r="X1212" s="41"/>
      <c r="Y1212" s="41"/>
      <c r="Z1212" s="41"/>
      <c r="AA1212" s="41"/>
      <c r="AB1212" s="41"/>
      <c r="AC1212" s="41"/>
      <c r="AD1212" s="41"/>
      <c r="AE1212" s="41"/>
      <c r="AF1212" s="41"/>
      <c r="AG1212" s="41"/>
      <c r="AH1212" s="41"/>
      <c r="AI1212" s="41"/>
      <c r="AJ1212" s="41"/>
      <c r="AK1212" s="41"/>
      <c r="AL1212" s="41"/>
      <c r="AM1212" s="41"/>
      <c r="AN1212" s="41"/>
      <c r="AO1212" s="41"/>
      <c r="AP1212" s="41"/>
      <c r="AQ1212" s="41"/>
      <c r="AR1212" s="41"/>
      <c r="AS1212" s="41"/>
    </row>
    <row r="1213" spans="1:45">
      <c r="A1213" s="38"/>
      <c r="B1213" s="38"/>
      <c r="C1213" s="38"/>
      <c r="D1213" s="38"/>
      <c r="E1213" s="49"/>
      <c r="F1213" s="49"/>
      <c r="G1213" s="38"/>
      <c r="H1213" s="49"/>
      <c r="I1213" s="49"/>
      <c r="J1213" s="49"/>
      <c r="K1213" s="49"/>
      <c r="L1213" s="41"/>
      <c r="M1213" s="41"/>
      <c r="N1213" s="41"/>
      <c r="O1213" s="41"/>
      <c r="P1213" s="43"/>
      <c r="Q1213" s="41"/>
      <c r="R1213" s="41"/>
      <c r="S1213" s="41"/>
      <c r="T1213" s="41"/>
      <c r="U1213" s="41"/>
      <c r="V1213" s="41"/>
      <c r="W1213" s="41"/>
      <c r="X1213" s="41"/>
      <c r="Y1213" s="41"/>
      <c r="Z1213" s="41"/>
      <c r="AA1213" s="41"/>
      <c r="AB1213" s="41"/>
      <c r="AC1213" s="41"/>
      <c r="AD1213" s="41"/>
      <c r="AE1213" s="41"/>
      <c r="AF1213" s="41"/>
      <c r="AG1213" s="41"/>
      <c r="AH1213" s="41"/>
      <c r="AI1213" s="41"/>
      <c r="AJ1213" s="41"/>
      <c r="AK1213" s="41"/>
      <c r="AL1213" s="41"/>
      <c r="AM1213" s="41"/>
      <c r="AN1213" s="41"/>
      <c r="AO1213" s="41"/>
      <c r="AP1213" s="41"/>
      <c r="AQ1213" s="41"/>
      <c r="AR1213" s="41"/>
      <c r="AS1213" s="41"/>
    </row>
    <row r="1214" spans="1:45">
      <c r="A1214" s="38"/>
      <c r="B1214" s="38"/>
      <c r="C1214" s="38"/>
      <c r="D1214" s="38"/>
      <c r="E1214" s="49"/>
      <c r="F1214" s="49"/>
      <c r="G1214" s="38"/>
      <c r="H1214" s="49"/>
      <c r="I1214" s="49"/>
      <c r="J1214" s="49"/>
      <c r="K1214" s="49"/>
      <c r="L1214" s="41"/>
      <c r="M1214" s="41"/>
      <c r="N1214" s="41"/>
      <c r="O1214" s="41"/>
      <c r="P1214" s="43"/>
      <c r="Q1214" s="41"/>
      <c r="R1214" s="41"/>
      <c r="S1214" s="41"/>
      <c r="T1214" s="41"/>
      <c r="U1214" s="41"/>
      <c r="V1214" s="41"/>
      <c r="W1214" s="41"/>
      <c r="X1214" s="41"/>
      <c r="Y1214" s="41"/>
      <c r="Z1214" s="41"/>
      <c r="AA1214" s="41"/>
      <c r="AB1214" s="41"/>
      <c r="AC1214" s="41"/>
      <c r="AD1214" s="41"/>
      <c r="AE1214" s="41"/>
      <c r="AF1214" s="41"/>
      <c r="AG1214" s="41"/>
      <c r="AH1214" s="41"/>
      <c r="AI1214" s="41"/>
      <c r="AJ1214" s="41"/>
      <c r="AK1214" s="41"/>
      <c r="AL1214" s="41"/>
      <c r="AM1214" s="41"/>
      <c r="AN1214" s="41"/>
      <c r="AO1214" s="41"/>
      <c r="AP1214" s="41"/>
      <c r="AQ1214" s="41"/>
      <c r="AR1214" s="41"/>
      <c r="AS1214" s="41"/>
    </row>
    <row r="1215" spans="1:45">
      <c r="A1215" s="38"/>
      <c r="B1215" s="38"/>
      <c r="C1215" s="38"/>
      <c r="D1215" s="38"/>
      <c r="E1215" s="49"/>
      <c r="F1215" s="49"/>
      <c r="G1215" s="38"/>
      <c r="H1215" s="49"/>
      <c r="I1215" s="49"/>
      <c r="J1215" s="49"/>
      <c r="K1215" s="49"/>
      <c r="L1215" s="41"/>
      <c r="M1215" s="41"/>
      <c r="N1215" s="41"/>
      <c r="O1215" s="41"/>
      <c r="P1215" s="43"/>
      <c r="Q1215" s="41"/>
      <c r="R1215" s="41"/>
      <c r="S1215" s="41"/>
      <c r="T1215" s="41"/>
      <c r="U1215" s="41"/>
      <c r="V1215" s="41"/>
      <c r="W1215" s="41"/>
      <c r="X1215" s="41"/>
      <c r="Y1215" s="41"/>
      <c r="Z1215" s="41"/>
      <c r="AA1215" s="41"/>
      <c r="AB1215" s="41"/>
      <c r="AC1215" s="41"/>
      <c r="AD1215" s="41"/>
      <c r="AE1215" s="41"/>
      <c r="AF1215" s="41"/>
      <c r="AG1215" s="41"/>
      <c r="AH1215" s="41"/>
      <c r="AI1215" s="41"/>
      <c r="AJ1215" s="41"/>
      <c r="AK1215" s="41"/>
      <c r="AL1215" s="41"/>
      <c r="AM1215" s="41"/>
      <c r="AN1215" s="41"/>
      <c r="AO1215" s="41"/>
      <c r="AP1215" s="41"/>
      <c r="AQ1215" s="41"/>
      <c r="AR1215" s="41"/>
      <c r="AS1215" s="41"/>
    </row>
    <row r="1216" spans="1:45">
      <c r="A1216" s="38"/>
      <c r="B1216" s="38"/>
      <c r="C1216" s="38"/>
      <c r="D1216" s="38"/>
      <c r="E1216" s="49"/>
      <c r="F1216" s="49"/>
      <c r="G1216" s="38"/>
      <c r="H1216" s="49"/>
      <c r="I1216" s="49"/>
      <c r="J1216" s="49"/>
      <c r="K1216" s="49"/>
      <c r="L1216" s="41"/>
      <c r="M1216" s="41"/>
      <c r="N1216" s="41"/>
      <c r="O1216" s="41"/>
      <c r="P1216" s="43"/>
      <c r="Q1216" s="41"/>
      <c r="R1216" s="41"/>
      <c r="S1216" s="41"/>
      <c r="T1216" s="41"/>
      <c r="U1216" s="41"/>
      <c r="V1216" s="41"/>
      <c r="W1216" s="41"/>
      <c r="X1216" s="41"/>
      <c r="Y1216" s="41"/>
      <c r="Z1216" s="41"/>
      <c r="AA1216" s="41"/>
      <c r="AB1216" s="41"/>
      <c r="AC1216" s="41"/>
      <c r="AD1216" s="41"/>
      <c r="AE1216" s="41"/>
      <c r="AF1216" s="41"/>
      <c r="AG1216" s="41"/>
      <c r="AH1216" s="41"/>
      <c r="AI1216" s="41"/>
      <c r="AJ1216" s="41"/>
      <c r="AK1216" s="41"/>
      <c r="AL1216" s="41"/>
      <c r="AM1216" s="41"/>
      <c r="AN1216" s="41"/>
      <c r="AO1216" s="41"/>
      <c r="AP1216" s="41"/>
      <c r="AQ1216" s="41"/>
      <c r="AR1216" s="41"/>
      <c r="AS1216" s="41"/>
    </row>
    <row r="1217" spans="1:45">
      <c r="A1217" s="38"/>
      <c r="B1217" s="38"/>
      <c r="C1217" s="38"/>
      <c r="D1217" s="38"/>
      <c r="E1217" s="49"/>
      <c r="F1217" s="49"/>
      <c r="G1217" s="38"/>
      <c r="H1217" s="49"/>
      <c r="I1217" s="49"/>
      <c r="J1217" s="49"/>
      <c r="K1217" s="49"/>
      <c r="L1217" s="41"/>
      <c r="M1217" s="41"/>
      <c r="N1217" s="41"/>
      <c r="O1217" s="41"/>
      <c r="P1217" s="43"/>
      <c r="Q1217" s="41"/>
      <c r="R1217" s="41"/>
      <c r="S1217" s="41"/>
      <c r="T1217" s="41"/>
      <c r="U1217" s="41"/>
      <c r="V1217" s="41"/>
      <c r="W1217" s="41"/>
      <c r="X1217" s="41"/>
      <c r="Y1217" s="41"/>
      <c r="Z1217" s="41"/>
      <c r="AA1217" s="41"/>
      <c r="AB1217" s="41"/>
      <c r="AC1217" s="41"/>
      <c r="AD1217" s="41"/>
      <c r="AE1217" s="41"/>
      <c r="AF1217" s="41"/>
      <c r="AG1217" s="41"/>
      <c r="AH1217" s="41"/>
      <c r="AI1217" s="41"/>
      <c r="AJ1217" s="41"/>
      <c r="AK1217" s="41"/>
      <c r="AL1217" s="41"/>
      <c r="AM1217" s="41"/>
      <c r="AN1217" s="41"/>
      <c r="AO1217" s="41"/>
      <c r="AP1217" s="41"/>
      <c r="AQ1217" s="41"/>
      <c r="AR1217" s="41"/>
      <c r="AS1217" s="41"/>
    </row>
    <row r="1218" spans="1:45">
      <c r="A1218" s="38"/>
      <c r="B1218" s="38"/>
      <c r="C1218" s="38"/>
      <c r="D1218" s="38"/>
      <c r="E1218" s="49"/>
      <c r="F1218" s="49"/>
      <c r="G1218" s="38"/>
      <c r="H1218" s="49"/>
      <c r="I1218" s="49"/>
      <c r="J1218" s="49"/>
      <c r="K1218" s="49"/>
      <c r="L1218" s="41"/>
      <c r="M1218" s="41"/>
      <c r="N1218" s="41"/>
      <c r="O1218" s="41"/>
      <c r="P1218" s="43"/>
      <c r="Q1218" s="41"/>
      <c r="R1218" s="41"/>
      <c r="S1218" s="41"/>
      <c r="T1218" s="41"/>
      <c r="U1218" s="41"/>
      <c r="V1218" s="41"/>
      <c r="W1218" s="41"/>
      <c r="X1218" s="41"/>
      <c r="Y1218" s="41"/>
      <c r="Z1218" s="41"/>
      <c r="AA1218" s="41"/>
      <c r="AB1218" s="41"/>
      <c r="AC1218" s="41"/>
      <c r="AD1218" s="41"/>
      <c r="AE1218" s="41"/>
      <c r="AF1218" s="41"/>
      <c r="AG1218" s="41"/>
      <c r="AH1218" s="41"/>
      <c r="AI1218" s="41"/>
      <c r="AJ1218" s="41"/>
      <c r="AK1218" s="41"/>
      <c r="AL1218" s="41"/>
      <c r="AM1218" s="41"/>
      <c r="AN1218" s="41"/>
      <c r="AO1218" s="41"/>
      <c r="AP1218" s="41"/>
      <c r="AQ1218" s="41"/>
      <c r="AR1218" s="41"/>
      <c r="AS1218" s="41"/>
    </row>
    <row r="1219" spans="1:45">
      <c r="A1219" s="38"/>
      <c r="B1219" s="38"/>
      <c r="C1219" s="38"/>
      <c r="D1219" s="38"/>
      <c r="E1219" s="49"/>
      <c r="F1219" s="49"/>
      <c r="G1219" s="38"/>
      <c r="H1219" s="49"/>
      <c r="I1219" s="49"/>
      <c r="J1219" s="49"/>
      <c r="K1219" s="49"/>
      <c r="L1219" s="41"/>
      <c r="M1219" s="41"/>
      <c r="N1219" s="41"/>
      <c r="O1219" s="41"/>
      <c r="P1219" s="43"/>
      <c r="Q1219" s="41"/>
      <c r="R1219" s="41"/>
      <c r="S1219" s="41"/>
      <c r="T1219" s="41"/>
      <c r="U1219" s="41"/>
      <c r="V1219" s="41"/>
      <c r="W1219" s="41"/>
      <c r="X1219" s="41"/>
      <c r="Y1219" s="41"/>
      <c r="Z1219" s="41"/>
      <c r="AA1219" s="41"/>
      <c r="AB1219" s="41"/>
      <c r="AC1219" s="41"/>
      <c r="AD1219" s="41"/>
      <c r="AE1219" s="41"/>
      <c r="AF1219" s="41"/>
      <c r="AG1219" s="41"/>
      <c r="AH1219" s="41"/>
      <c r="AI1219" s="41"/>
      <c r="AJ1219" s="41"/>
      <c r="AK1219" s="41"/>
      <c r="AL1219" s="41"/>
      <c r="AM1219" s="41"/>
      <c r="AN1219" s="41"/>
      <c r="AO1219" s="41"/>
      <c r="AP1219" s="41"/>
      <c r="AQ1219" s="41"/>
      <c r="AR1219" s="41"/>
      <c r="AS1219" s="41"/>
    </row>
    <row r="1220" spans="1:45">
      <c r="A1220" s="38"/>
      <c r="B1220" s="38"/>
      <c r="C1220" s="38"/>
      <c r="D1220" s="38"/>
      <c r="E1220" s="49"/>
      <c r="F1220" s="49"/>
      <c r="G1220" s="38"/>
      <c r="H1220" s="49"/>
      <c r="I1220" s="49"/>
      <c r="J1220" s="49"/>
      <c r="K1220" s="49"/>
      <c r="L1220" s="41"/>
      <c r="M1220" s="41"/>
      <c r="N1220" s="41"/>
      <c r="O1220" s="41"/>
      <c r="P1220" s="43"/>
      <c r="Q1220" s="41"/>
      <c r="R1220" s="41"/>
      <c r="S1220" s="41"/>
      <c r="T1220" s="41"/>
      <c r="U1220" s="41"/>
      <c r="V1220" s="41"/>
      <c r="W1220" s="41"/>
      <c r="X1220" s="41"/>
      <c r="Y1220" s="41"/>
      <c r="Z1220" s="41"/>
      <c r="AA1220" s="41"/>
      <c r="AB1220" s="41"/>
      <c r="AC1220" s="41"/>
      <c r="AD1220" s="41"/>
      <c r="AE1220" s="41"/>
      <c r="AF1220" s="41"/>
      <c r="AG1220" s="41"/>
      <c r="AH1220" s="41"/>
      <c r="AI1220" s="41"/>
      <c r="AJ1220" s="41"/>
      <c r="AK1220" s="41"/>
      <c r="AL1220" s="41"/>
      <c r="AM1220" s="41"/>
      <c r="AN1220" s="41"/>
      <c r="AO1220" s="41"/>
      <c r="AP1220" s="41"/>
      <c r="AQ1220" s="41"/>
      <c r="AR1220" s="41"/>
      <c r="AS1220" s="41"/>
    </row>
    <row r="1221" spans="1:45">
      <c r="A1221" s="38"/>
      <c r="B1221" s="38"/>
      <c r="C1221" s="38"/>
      <c r="D1221" s="38"/>
      <c r="E1221" s="49"/>
      <c r="F1221" s="49"/>
      <c r="G1221" s="38"/>
      <c r="H1221" s="49"/>
      <c r="I1221" s="49"/>
      <c r="J1221" s="49"/>
      <c r="K1221" s="49"/>
      <c r="L1221" s="41"/>
      <c r="M1221" s="41"/>
      <c r="N1221" s="41"/>
      <c r="O1221" s="41"/>
      <c r="P1221" s="43"/>
      <c r="Q1221" s="41"/>
      <c r="R1221" s="41"/>
      <c r="S1221" s="41"/>
      <c r="T1221" s="41"/>
      <c r="U1221" s="41"/>
      <c r="V1221" s="41"/>
      <c r="W1221" s="41"/>
      <c r="X1221" s="41"/>
      <c r="Y1221" s="41"/>
      <c r="Z1221" s="41"/>
      <c r="AA1221" s="41"/>
      <c r="AB1221" s="41"/>
      <c r="AC1221" s="41"/>
      <c r="AD1221" s="41"/>
      <c r="AE1221" s="41"/>
      <c r="AF1221" s="41"/>
      <c r="AG1221" s="41"/>
      <c r="AH1221" s="41"/>
      <c r="AI1221" s="41"/>
      <c r="AJ1221" s="41"/>
      <c r="AK1221" s="41"/>
      <c r="AL1221" s="41"/>
      <c r="AM1221" s="41"/>
      <c r="AN1221" s="41"/>
      <c r="AO1221" s="41"/>
      <c r="AP1221" s="41"/>
      <c r="AQ1221" s="41"/>
      <c r="AR1221" s="41"/>
      <c r="AS1221" s="41"/>
    </row>
    <row r="1222" spans="1:45">
      <c r="A1222" s="38"/>
      <c r="B1222" s="38"/>
      <c r="C1222" s="38"/>
      <c r="D1222" s="38"/>
      <c r="E1222" s="49"/>
      <c r="F1222" s="49"/>
      <c r="G1222" s="38"/>
      <c r="H1222" s="49"/>
      <c r="I1222" s="49"/>
      <c r="J1222" s="49"/>
      <c r="K1222" s="49"/>
      <c r="L1222" s="41"/>
      <c r="M1222" s="41"/>
      <c r="N1222" s="41"/>
      <c r="O1222" s="41"/>
      <c r="P1222" s="43"/>
      <c r="Q1222" s="41"/>
      <c r="R1222" s="41"/>
      <c r="S1222" s="41"/>
      <c r="T1222" s="41"/>
      <c r="U1222" s="41"/>
      <c r="V1222" s="41"/>
      <c r="W1222" s="41"/>
      <c r="X1222" s="41"/>
      <c r="Y1222" s="41"/>
      <c r="Z1222" s="41"/>
      <c r="AA1222" s="41"/>
      <c r="AB1222" s="41"/>
      <c r="AC1222" s="41"/>
      <c r="AD1222" s="41"/>
      <c r="AE1222" s="41"/>
      <c r="AF1222" s="41"/>
      <c r="AG1222" s="41"/>
      <c r="AH1222" s="41"/>
      <c r="AI1222" s="41"/>
      <c r="AJ1222" s="41"/>
      <c r="AK1222" s="41"/>
      <c r="AL1222" s="41"/>
      <c r="AM1222" s="41"/>
      <c r="AN1222" s="41"/>
      <c r="AO1222" s="41"/>
      <c r="AP1222" s="41"/>
      <c r="AQ1222" s="41"/>
      <c r="AR1222" s="41"/>
      <c r="AS1222" s="41"/>
    </row>
    <row r="1223" spans="1:45">
      <c r="A1223" s="38"/>
      <c r="B1223" s="38"/>
      <c r="C1223" s="38"/>
      <c r="D1223" s="38"/>
      <c r="E1223" s="49"/>
      <c r="F1223" s="49"/>
      <c r="G1223" s="38"/>
      <c r="H1223" s="49"/>
      <c r="I1223" s="49"/>
      <c r="J1223" s="49"/>
      <c r="K1223" s="49"/>
      <c r="L1223" s="41"/>
      <c r="M1223" s="41"/>
      <c r="N1223" s="41"/>
      <c r="O1223" s="41"/>
      <c r="P1223" s="43"/>
      <c r="Q1223" s="41"/>
      <c r="R1223" s="41"/>
      <c r="S1223" s="41"/>
      <c r="T1223" s="41"/>
      <c r="U1223" s="41"/>
      <c r="V1223" s="41"/>
      <c r="W1223" s="41"/>
      <c r="X1223" s="41"/>
      <c r="Y1223" s="41"/>
      <c r="Z1223" s="41"/>
      <c r="AA1223" s="41"/>
      <c r="AB1223" s="41"/>
      <c r="AC1223" s="41"/>
      <c r="AD1223" s="41"/>
      <c r="AE1223" s="41"/>
      <c r="AF1223" s="41"/>
      <c r="AG1223" s="41"/>
      <c r="AH1223" s="41"/>
      <c r="AI1223" s="41"/>
      <c r="AJ1223" s="41"/>
      <c r="AK1223" s="41"/>
      <c r="AL1223" s="41"/>
      <c r="AM1223" s="41"/>
      <c r="AN1223" s="41"/>
      <c r="AO1223" s="41"/>
      <c r="AP1223" s="41"/>
      <c r="AQ1223" s="41"/>
      <c r="AR1223" s="41"/>
      <c r="AS1223" s="41"/>
    </row>
    <row r="1224" spans="1:45">
      <c r="A1224" s="38"/>
      <c r="B1224" s="38"/>
      <c r="C1224" s="38"/>
      <c r="D1224" s="38"/>
      <c r="E1224" s="49"/>
      <c r="F1224" s="49"/>
      <c r="G1224" s="38"/>
      <c r="H1224" s="49"/>
      <c r="I1224" s="49"/>
      <c r="J1224" s="49"/>
      <c r="K1224" s="49"/>
      <c r="L1224" s="41"/>
      <c r="M1224" s="41"/>
      <c r="N1224" s="41"/>
      <c r="O1224" s="41"/>
      <c r="P1224" s="43"/>
      <c r="Q1224" s="41"/>
      <c r="R1224" s="41"/>
      <c r="S1224" s="41"/>
      <c r="T1224" s="41"/>
      <c r="U1224" s="41"/>
      <c r="V1224" s="41"/>
      <c r="W1224" s="41"/>
      <c r="X1224" s="41"/>
      <c r="Y1224" s="41"/>
      <c r="Z1224" s="41"/>
      <c r="AA1224" s="41"/>
      <c r="AB1224" s="41"/>
      <c r="AC1224" s="41"/>
      <c r="AD1224" s="41"/>
      <c r="AE1224" s="41"/>
      <c r="AF1224" s="41"/>
      <c r="AG1224" s="41"/>
      <c r="AH1224" s="41"/>
      <c r="AI1224" s="41"/>
      <c r="AJ1224" s="41"/>
      <c r="AK1224" s="41"/>
      <c r="AL1224" s="41"/>
      <c r="AM1224" s="41"/>
      <c r="AN1224" s="41"/>
      <c r="AO1224" s="41"/>
      <c r="AP1224" s="41"/>
      <c r="AQ1224" s="41"/>
      <c r="AR1224" s="41"/>
      <c r="AS1224" s="41"/>
    </row>
    <row r="1225" spans="1:45">
      <c r="A1225" s="38"/>
      <c r="B1225" s="38"/>
      <c r="C1225" s="38"/>
      <c r="D1225" s="38"/>
      <c r="E1225" s="49"/>
      <c r="F1225" s="49"/>
      <c r="G1225" s="38"/>
      <c r="H1225" s="49"/>
      <c r="I1225" s="49"/>
      <c r="J1225" s="49"/>
      <c r="K1225" s="49"/>
      <c r="L1225" s="41"/>
      <c r="M1225" s="41"/>
      <c r="N1225" s="41"/>
      <c r="O1225" s="41"/>
      <c r="P1225" s="43"/>
      <c r="Q1225" s="41"/>
      <c r="R1225" s="41"/>
      <c r="S1225" s="41"/>
      <c r="T1225" s="41"/>
      <c r="U1225" s="41"/>
      <c r="V1225" s="41"/>
      <c r="W1225" s="41"/>
      <c r="X1225" s="41"/>
      <c r="Y1225" s="41"/>
      <c r="Z1225" s="41"/>
      <c r="AA1225" s="41"/>
      <c r="AB1225" s="41"/>
      <c r="AC1225" s="41"/>
      <c r="AD1225" s="41"/>
      <c r="AE1225" s="41"/>
      <c r="AF1225" s="41"/>
      <c r="AG1225" s="41"/>
      <c r="AH1225" s="41"/>
      <c r="AI1225" s="41"/>
      <c r="AJ1225" s="41"/>
      <c r="AK1225" s="41"/>
      <c r="AL1225" s="41"/>
      <c r="AM1225" s="41"/>
      <c r="AN1225" s="41"/>
      <c r="AO1225" s="41"/>
      <c r="AP1225" s="41"/>
      <c r="AQ1225" s="41"/>
      <c r="AR1225" s="41"/>
      <c r="AS1225" s="41"/>
    </row>
    <row r="1226" spans="1:45">
      <c r="A1226" s="38"/>
      <c r="B1226" s="38"/>
      <c r="C1226" s="38"/>
      <c r="D1226" s="38"/>
      <c r="E1226" s="49"/>
      <c r="F1226" s="49"/>
      <c r="G1226" s="38"/>
      <c r="H1226" s="49"/>
      <c r="I1226" s="49"/>
      <c r="J1226" s="49"/>
      <c r="K1226" s="49"/>
      <c r="L1226" s="41"/>
      <c r="M1226" s="41"/>
      <c r="N1226" s="41"/>
      <c r="O1226" s="41"/>
      <c r="P1226" s="43"/>
      <c r="Q1226" s="41"/>
      <c r="R1226" s="41"/>
      <c r="S1226" s="41"/>
      <c r="T1226" s="41"/>
      <c r="U1226" s="41"/>
      <c r="V1226" s="41"/>
      <c r="W1226" s="41"/>
      <c r="X1226" s="41"/>
      <c r="Y1226" s="41"/>
      <c r="Z1226" s="41"/>
      <c r="AA1226" s="41"/>
      <c r="AB1226" s="41"/>
      <c r="AC1226" s="41"/>
      <c r="AD1226" s="41"/>
      <c r="AE1226" s="41"/>
      <c r="AF1226" s="41"/>
      <c r="AG1226" s="41"/>
      <c r="AH1226" s="41"/>
      <c r="AI1226" s="41"/>
      <c r="AJ1226" s="41"/>
      <c r="AK1226" s="41"/>
      <c r="AL1226" s="41"/>
      <c r="AM1226" s="41"/>
      <c r="AN1226" s="41"/>
      <c r="AO1226" s="41"/>
      <c r="AP1226" s="41"/>
      <c r="AQ1226" s="41"/>
      <c r="AR1226" s="41"/>
      <c r="AS1226" s="41"/>
    </row>
    <row r="1227" spans="1:45">
      <c r="A1227" s="38"/>
      <c r="B1227" s="38"/>
      <c r="C1227" s="38"/>
      <c r="D1227" s="38"/>
      <c r="E1227" s="49"/>
      <c r="F1227" s="49"/>
      <c r="G1227" s="38"/>
      <c r="H1227" s="49"/>
      <c r="I1227" s="49"/>
      <c r="J1227" s="49"/>
      <c r="K1227" s="49"/>
      <c r="L1227" s="41"/>
      <c r="M1227" s="41"/>
      <c r="N1227" s="41"/>
      <c r="O1227" s="41"/>
      <c r="P1227" s="43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  <c r="AD1227" s="41"/>
      <c r="AE1227" s="41"/>
      <c r="AF1227" s="41"/>
      <c r="AG1227" s="41"/>
      <c r="AH1227" s="41"/>
      <c r="AI1227" s="41"/>
      <c r="AJ1227" s="41"/>
      <c r="AK1227" s="41"/>
      <c r="AL1227" s="41"/>
      <c r="AM1227" s="41"/>
      <c r="AN1227" s="41"/>
      <c r="AO1227" s="41"/>
      <c r="AP1227" s="41"/>
      <c r="AQ1227" s="41"/>
      <c r="AR1227" s="41"/>
      <c r="AS1227" s="41"/>
    </row>
    <row r="1228" spans="1:45">
      <c r="A1228" s="38"/>
      <c r="B1228" s="38"/>
      <c r="C1228" s="38"/>
      <c r="D1228" s="38"/>
      <c r="E1228" s="49"/>
      <c r="F1228" s="49"/>
      <c r="G1228" s="38"/>
      <c r="H1228" s="49"/>
      <c r="I1228" s="49"/>
      <c r="J1228" s="49"/>
      <c r="K1228" s="49"/>
      <c r="L1228" s="41"/>
      <c r="M1228" s="41"/>
      <c r="N1228" s="41"/>
      <c r="O1228" s="41"/>
      <c r="P1228" s="43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  <c r="AD1228" s="41"/>
      <c r="AE1228" s="41"/>
      <c r="AF1228" s="41"/>
      <c r="AG1228" s="41"/>
      <c r="AH1228" s="41"/>
      <c r="AI1228" s="41"/>
      <c r="AJ1228" s="41"/>
      <c r="AK1228" s="41"/>
      <c r="AL1228" s="41"/>
      <c r="AM1228" s="41"/>
      <c r="AN1228" s="41"/>
      <c r="AO1228" s="41"/>
      <c r="AP1228" s="41"/>
      <c r="AQ1228" s="41"/>
      <c r="AR1228" s="41"/>
      <c r="AS1228" s="41"/>
    </row>
    <row r="1229" spans="1:45">
      <c r="A1229" s="38"/>
      <c r="B1229" s="38"/>
      <c r="C1229" s="38"/>
      <c r="D1229" s="38"/>
      <c r="E1229" s="49"/>
      <c r="F1229" s="49"/>
      <c r="G1229" s="38"/>
      <c r="H1229" s="49"/>
      <c r="I1229" s="49"/>
      <c r="J1229" s="49"/>
      <c r="K1229" s="49"/>
      <c r="L1229" s="41"/>
      <c r="M1229" s="41"/>
      <c r="N1229" s="41"/>
      <c r="O1229" s="41"/>
      <c r="P1229" s="43"/>
      <c r="Q1229" s="41"/>
      <c r="R1229" s="41"/>
      <c r="S1229" s="41"/>
      <c r="T1229" s="41"/>
      <c r="U1229" s="41"/>
      <c r="V1229" s="41"/>
      <c r="W1229" s="41"/>
      <c r="X1229" s="41"/>
      <c r="Y1229" s="41"/>
      <c r="Z1229" s="41"/>
      <c r="AA1229" s="41"/>
      <c r="AB1229" s="41"/>
      <c r="AC1229" s="41"/>
      <c r="AD1229" s="41"/>
      <c r="AE1229" s="41"/>
      <c r="AF1229" s="41"/>
      <c r="AG1229" s="41"/>
      <c r="AH1229" s="41"/>
      <c r="AI1229" s="41"/>
      <c r="AJ1229" s="41"/>
      <c r="AK1229" s="41"/>
      <c r="AL1229" s="41"/>
      <c r="AM1229" s="41"/>
      <c r="AN1229" s="41"/>
      <c r="AO1229" s="41"/>
      <c r="AP1229" s="41"/>
      <c r="AQ1229" s="41"/>
      <c r="AR1229" s="41"/>
      <c r="AS1229" s="41"/>
    </row>
    <row r="1230" spans="1:45">
      <c r="A1230" s="38"/>
      <c r="B1230" s="38"/>
      <c r="C1230" s="38"/>
      <c r="D1230" s="38"/>
      <c r="E1230" s="49"/>
      <c r="F1230" s="49"/>
      <c r="G1230" s="38"/>
      <c r="H1230" s="49"/>
      <c r="I1230" s="49"/>
      <c r="J1230" s="49"/>
      <c r="K1230" s="49"/>
      <c r="L1230" s="41"/>
      <c r="M1230" s="41"/>
      <c r="N1230" s="41"/>
      <c r="O1230" s="41"/>
      <c r="P1230" s="43"/>
      <c r="Q1230" s="41"/>
      <c r="R1230" s="41"/>
      <c r="S1230" s="41"/>
      <c r="T1230" s="41"/>
      <c r="U1230" s="41"/>
      <c r="V1230" s="41"/>
      <c r="W1230" s="41"/>
      <c r="X1230" s="41"/>
      <c r="Y1230" s="41"/>
      <c r="Z1230" s="41"/>
      <c r="AA1230" s="41"/>
      <c r="AB1230" s="41"/>
      <c r="AC1230" s="41"/>
      <c r="AD1230" s="41"/>
      <c r="AE1230" s="41"/>
      <c r="AF1230" s="41"/>
      <c r="AG1230" s="41"/>
      <c r="AH1230" s="41"/>
      <c r="AI1230" s="41"/>
      <c r="AJ1230" s="41"/>
      <c r="AK1230" s="41"/>
      <c r="AL1230" s="41"/>
      <c r="AM1230" s="41"/>
      <c r="AN1230" s="41"/>
      <c r="AO1230" s="41"/>
      <c r="AP1230" s="41"/>
      <c r="AQ1230" s="41"/>
      <c r="AR1230" s="41"/>
      <c r="AS1230" s="41"/>
    </row>
    <row r="1231" spans="1:45">
      <c r="A1231" s="38"/>
      <c r="B1231" s="38"/>
      <c r="C1231" s="38"/>
      <c r="D1231" s="38"/>
      <c r="E1231" s="49"/>
      <c r="F1231" s="49"/>
      <c r="G1231" s="38"/>
      <c r="H1231" s="49"/>
      <c r="I1231" s="49"/>
      <c r="J1231" s="49"/>
      <c r="K1231" s="49"/>
      <c r="L1231" s="41"/>
      <c r="M1231" s="41"/>
      <c r="N1231" s="41"/>
      <c r="O1231" s="41"/>
      <c r="P1231" s="43"/>
      <c r="Q1231" s="41"/>
      <c r="R1231" s="41"/>
      <c r="S1231" s="41"/>
      <c r="T1231" s="41"/>
      <c r="U1231" s="41"/>
      <c r="V1231" s="41"/>
      <c r="W1231" s="41"/>
      <c r="X1231" s="41"/>
      <c r="Y1231" s="41"/>
      <c r="Z1231" s="41"/>
      <c r="AA1231" s="41"/>
      <c r="AB1231" s="41"/>
      <c r="AC1231" s="41"/>
      <c r="AD1231" s="41"/>
      <c r="AE1231" s="41"/>
      <c r="AF1231" s="41"/>
      <c r="AG1231" s="41"/>
      <c r="AH1231" s="41"/>
      <c r="AI1231" s="41"/>
      <c r="AJ1231" s="41"/>
      <c r="AK1231" s="41"/>
      <c r="AL1231" s="41"/>
      <c r="AM1231" s="41"/>
      <c r="AN1231" s="41"/>
      <c r="AO1231" s="41"/>
      <c r="AP1231" s="41"/>
      <c r="AQ1231" s="41"/>
      <c r="AR1231" s="41"/>
      <c r="AS1231" s="41"/>
    </row>
    <row r="1232" spans="1:45">
      <c r="A1232" s="38"/>
      <c r="B1232" s="38"/>
      <c r="C1232" s="38"/>
      <c r="D1232" s="38"/>
      <c r="E1232" s="49"/>
      <c r="F1232" s="49"/>
      <c r="G1232" s="38"/>
      <c r="H1232" s="49"/>
      <c r="I1232" s="49"/>
      <c r="J1232" s="49"/>
      <c r="K1232" s="49"/>
      <c r="L1232" s="41"/>
      <c r="M1232" s="41"/>
      <c r="N1232" s="41"/>
      <c r="O1232" s="41"/>
      <c r="P1232" s="43"/>
      <c r="Q1232" s="41"/>
      <c r="R1232" s="41"/>
      <c r="S1232" s="41"/>
      <c r="T1232" s="41"/>
      <c r="U1232" s="41"/>
      <c r="V1232" s="41"/>
      <c r="W1232" s="41"/>
      <c r="X1232" s="41"/>
      <c r="Y1232" s="41"/>
      <c r="Z1232" s="41"/>
      <c r="AA1232" s="41"/>
      <c r="AB1232" s="41"/>
      <c r="AC1232" s="41"/>
      <c r="AD1232" s="41"/>
      <c r="AE1232" s="41"/>
      <c r="AF1232" s="41"/>
      <c r="AG1232" s="41"/>
      <c r="AH1232" s="41"/>
      <c r="AI1232" s="41"/>
      <c r="AJ1232" s="41"/>
      <c r="AK1232" s="41"/>
      <c r="AL1232" s="41"/>
      <c r="AM1232" s="41"/>
      <c r="AN1232" s="41"/>
      <c r="AO1232" s="41"/>
      <c r="AP1232" s="41"/>
      <c r="AQ1232" s="41"/>
      <c r="AR1232" s="41"/>
      <c r="AS1232" s="41"/>
    </row>
    <row r="1233" spans="1:45">
      <c r="A1233" s="38"/>
      <c r="B1233" s="38"/>
      <c r="C1233" s="38"/>
      <c r="D1233" s="38"/>
      <c r="E1233" s="49"/>
      <c r="F1233" s="49"/>
      <c r="G1233" s="38"/>
      <c r="H1233" s="49"/>
      <c r="I1233" s="49"/>
      <c r="J1233" s="49"/>
      <c r="K1233" s="49"/>
      <c r="L1233" s="41"/>
      <c r="M1233" s="41"/>
      <c r="N1233" s="41"/>
      <c r="O1233" s="41"/>
      <c r="P1233" s="43"/>
      <c r="Q1233" s="41"/>
      <c r="R1233" s="41"/>
      <c r="S1233" s="41"/>
      <c r="T1233" s="41"/>
      <c r="U1233" s="41"/>
      <c r="V1233" s="41"/>
      <c r="W1233" s="41"/>
      <c r="X1233" s="41"/>
      <c r="Y1233" s="41"/>
      <c r="Z1233" s="41"/>
      <c r="AA1233" s="41"/>
      <c r="AB1233" s="41"/>
      <c r="AC1233" s="41"/>
      <c r="AD1233" s="41"/>
      <c r="AE1233" s="41"/>
      <c r="AF1233" s="41"/>
      <c r="AG1233" s="41"/>
      <c r="AH1233" s="41"/>
      <c r="AI1233" s="41"/>
      <c r="AJ1233" s="41"/>
      <c r="AK1233" s="41"/>
      <c r="AL1233" s="41"/>
      <c r="AM1233" s="41"/>
      <c r="AN1233" s="41"/>
      <c r="AO1233" s="41"/>
      <c r="AP1233" s="41"/>
      <c r="AQ1233" s="41"/>
      <c r="AR1233" s="41"/>
      <c r="AS1233" s="41"/>
    </row>
    <row r="1234" spans="1:45">
      <c r="A1234" s="38"/>
      <c r="B1234" s="38"/>
      <c r="C1234" s="38"/>
      <c r="D1234" s="38"/>
      <c r="E1234" s="49"/>
      <c r="F1234" s="49"/>
      <c r="G1234" s="38"/>
      <c r="H1234" s="49"/>
      <c r="I1234" s="49"/>
      <c r="J1234" s="49"/>
      <c r="K1234" s="49"/>
      <c r="L1234" s="41"/>
      <c r="M1234" s="41"/>
      <c r="N1234" s="41"/>
      <c r="O1234" s="41"/>
      <c r="P1234" s="43"/>
      <c r="Q1234" s="41"/>
      <c r="R1234" s="41"/>
      <c r="S1234" s="41"/>
      <c r="T1234" s="41"/>
      <c r="U1234" s="41"/>
      <c r="V1234" s="41"/>
      <c r="W1234" s="41"/>
      <c r="X1234" s="41"/>
      <c r="Y1234" s="41"/>
      <c r="Z1234" s="41"/>
      <c r="AA1234" s="41"/>
      <c r="AB1234" s="41"/>
      <c r="AC1234" s="41"/>
      <c r="AD1234" s="41"/>
      <c r="AE1234" s="41"/>
      <c r="AF1234" s="41"/>
      <c r="AG1234" s="41"/>
      <c r="AH1234" s="41"/>
      <c r="AI1234" s="41"/>
      <c r="AJ1234" s="41"/>
      <c r="AK1234" s="41"/>
      <c r="AL1234" s="41"/>
      <c r="AM1234" s="41"/>
      <c r="AN1234" s="41"/>
      <c r="AO1234" s="41"/>
      <c r="AP1234" s="41"/>
      <c r="AQ1234" s="41"/>
      <c r="AR1234" s="41"/>
      <c r="AS1234" s="41"/>
    </row>
    <row r="1235" spans="1:45">
      <c r="A1235" s="38"/>
      <c r="B1235" s="38"/>
      <c r="C1235" s="38"/>
      <c r="D1235" s="38"/>
      <c r="E1235" s="49"/>
      <c r="F1235" s="49"/>
      <c r="G1235" s="38"/>
      <c r="H1235" s="49"/>
      <c r="I1235" s="49"/>
      <c r="J1235" s="49"/>
      <c r="K1235" s="49"/>
      <c r="L1235" s="41"/>
      <c r="M1235" s="41"/>
      <c r="N1235" s="41"/>
      <c r="O1235" s="41"/>
      <c r="P1235" s="43"/>
      <c r="Q1235" s="41"/>
      <c r="R1235" s="41"/>
      <c r="S1235" s="41"/>
      <c r="T1235" s="41"/>
      <c r="U1235" s="41"/>
      <c r="V1235" s="41"/>
      <c r="W1235" s="41"/>
      <c r="X1235" s="41"/>
      <c r="Y1235" s="41"/>
      <c r="Z1235" s="41"/>
      <c r="AA1235" s="41"/>
      <c r="AB1235" s="41"/>
      <c r="AC1235" s="41"/>
      <c r="AD1235" s="41"/>
      <c r="AE1235" s="41"/>
      <c r="AF1235" s="41"/>
      <c r="AG1235" s="41"/>
      <c r="AH1235" s="41"/>
      <c r="AI1235" s="41"/>
      <c r="AJ1235" s="41"/>
      <c r="AK1235" s="41"/>
      <c r="AL1235" s="41"/>
      <c r="AM1235" s="41"/>
      <c r="AN1235" s="41"/>
      <c r="AO1235" s="41"/>
      <c r="AP1235" s="41"/>
      <c r="AQ1235" s="41"/>
      <c r="AR1235" s="41"/>
      <c r="AS1235" s="41"/>
    </row>
    <row r="1236" spans="1:45">
      <c r="A1236" s="38"/>
      <c r="B1236" s="38"/>
      <c r="C1236" s="38"/>
      <c r="D1236" s="38"/>
      <c r="E1236" s="49"/>
      <c r="F1236" s="49"/>
      <c r="G1236" s="38"/>
      <c r="H1236" s="49"/>
      <c r="I1236" s="49"/>
      <c r="J1236" s="49"/>
      <c r="K1236" s="49"/>
      <c r="L1236" s="41"/>
      <c r="M1236" s="41"/>
      <c r="N1236" s="41"/>
      <c r="O1236" s="41"/>
      <c r="P1236" s="43"/>
      <c r="Q1236" s="41"/>
      <c r="R1236" s="41"/>
      <c r="S1236" s="41"/>
      <c r="T1236" s="41"/>
      <c r="U1236" s="41"/>
      <c r="V1236" s="41"/>
      <c r="W1236" s="41"/>
      <c r="X1236" s="41"/>
      <c r="Y1236" s="41"/>
      <c r="Z1236" s="41"/>
      <c r="AA1236" s="41"/>
      <c r="AB1236" s="41"/>
      <c r="AC1236" s="41"/>
      <c r="AD1236" s="41"/>
      <c r="AE1236" s="41"/>
      <c r="AF1236" s="41"/>
      <c r="AG1236" s="41"/>
      <c r="AH1236" s="41"/>
      <c r="AI1236" s="41"/>
      <c r="AJ1236" s="41"/>
      <c r="AK1236" s="41"/>
      <c r="AL1236" s="41"/>
      <c r="AM1236" s="41"/>
      <c r="AN1236" s="41"/>
      <c r="AO1236" s="41"/>
      <c r="AP1236" s="41"/>
      <c r="AQ1236" s="41"/>
      <c r="AR1236" s="41"/>
      <c r="AS1236" s="41"/>
    </row>
    <row r="1237" spans="1:45">
      <c r="A1237" s="38"/>
      <c r="B1237" s="38"/>
      <c r="C1237" s="38"/>
      <c r="D1237" s="38"/>
      <c r="E1237" s="49"/>
      <c r="F1237" s="49"/>
      <c r="G1237" s="38"/>
      <c r="H1237" s="49"/>
      <c r="I1237" s="49"/>
      <c r="J1237" s="49"/>
      <c r="K1237" s="49"/>
      <c r="L1237" s="41"/>
      <c r="M1237" s="41"/>
      <c r="N1237" s="41"/>
      <c r="O1237" s="41"/>
      <c r="P1237" s="43"/>
      <c r="Q1237" s="41"/>
      <c r="R1237" s="41"/>
      <c r="S1237" s="41"/>
      <c r="T1237" s="41"/>
      <c r="U1237" s="41"/>
      <c r="V1237" s="41"/>
      <c r="W1237" s="41"/>
      <c r="X1237" s="41"/>
      <c r="Y1237" s="41"/>
      <c r="Z1237" s="41"/>
      <c r="AA1237" s="41"/>
      <c r="AB1237" s="41"/>
      <c r="AC1237" s="41"/>
      <c r="AD1237" s="41"/>
      <c r="AE1237" s="41"/>
      <c r="AF1237" s="41"/>
      <c r="AG1237" s="41"/>
      <c r="AH1237" s="41"/>
      <c r="AI1237" s="41"/>
      <c r="AJ1237" s="41"/>
      <c r="AK1237" s="41"/>
      <c r="AL1237" s="41"/>
      <c r="AM1237" s="41"/>
      <c r="AN1237" s="41"/>
      <c r="AO1237" s="41"/>
      <c r="AP1237" s="41"/>
      <c r="AQ1237" s="41"/>
      <c r="AR1237" s="41"/>
      <c r="AS1237" s="41"/>
    </row>
    <row r="1238" spans="1:45">
      <c r="A1238" s="38"/>
      <c r="B1238" s="38"/>
      <c r="C1238" s="38"/>
      <c r="D1238" s="38"/>
      <c r="E1238" s="49"/>
      <c r="F1238" s="49"/>
      <c r="G1238" s="38"/>
      <c r="H1238" s="49"/>
      <c r="I1238" s="49"/>
      <c r="J1238" s="49"/>
      <c r="K1238" s="49"/>
      <c r="L1238" s="41"/>
      <c r="M1238" s="41"/>
      <c r="N1238" s="41"/>
      <c r="O1238" s="41"/>
      <c r="P1238" s="43"/>
      <c r="Q1238" s="41"/>
      <c r="R1238" s="41"/>
      <c r="S1238" s="41"/>
      <c r="T1238" s="41"/>
      <c r="U1238" s="41"/>
      <c r="V1238" s="41"/>
      <c r="W1238" s="41"/>
      <c r="X1238" s="41"/>
      <c r="Y1238" s="41"/>
      <c r="Z1238" s="41"/>
      <c r="AA1238" s="41"/>
      <c r="AB1238" s="41"/>
      <c r="AC1238" s="41"/>
      <c r="AD1238" s="41"/>
      <c r="AE1238" s="41"/>
      <c r="AF1238" s="41"/>
      <c r="AG1238" s="41"/>
      <c r="AH1238" s="41"/>
      <c r="AI1238" s="41"/>
      <c r="AJ1238" s="41"/>
      <c r="AK1238" s="41"/>
      <c r="AL1238" s="41"/>
      <c r="AM1238" s="41"/>
      <c r="AN1238" s="41"/>
      <c r="AO1238" s="41"/>
      <c r="AP1238" s="41"/>
      <c r="AQ1238" s="41"/>
      <c r="AR1238" s="41"/>
      <c r="AS1238" s="41"/>
    </row>
    <row r="1239" spans="1:45">
      <c r="A1239" s="38"/>
      <c r="B1239" s="38"/>
      <c r="C1239" s="38"/>
      <c r="D1239" s="38"/>
      <c r="E1239" s="49"/>
      <c r="F1239" s="49"/>
      <c r="G1239" s="38"/>
      <c r="H1239" s="49"/>
      <c r="I1239" s="49"/>
      <c r="J1239" s="49"/>
      <c r="K1239" s="49"/>
      <c r="L1239" s="41"/>
      <c r="M1239" s="41"/>
      <c r="N1239" s="41"/>
      <c r="O1239" s="41"/>
      <c r="P1239" s="43"/>
      <c r="Q1239" s="41"/>
      <c r="R1239" s="41"/>
      <c r="S1239" s="41"/>
      <c r="T1239" s="41"/>
      <c r="U1239" s="41"/>
      <c r="V1239" s="41"/>
      <c r="W1239" s="41"/>
      <c r="X1239" s="41"/>
      <c r="Y1239" s="41"/>
      <c r="Z1239" s="41"/>
      <c r="AA1239" s="41"/>
      <c r="AB1239" s="41"/>
      <c r="AC1239" s="41"/>
      <c r="AD1239" s="41"/>
      <c r="AE1239" s="41"/>
      <c r="AF1239" s="41"/>
      <c r="AG1239" s="41"/>
      <c r="AH1239" s="41"/>
      <c r="AI1239" s="41"/>
      <c r="AJ1239" s="41"/>
      <c r="AK1239" s="41"/>
      <c r="AL1239" s="41"/>
      <c r="AM1239" s="41"/>
      <c r="AN1239" s="41"/>
      <c r="AO1239" s="41"/>
      <c r="AP1239" s="41"/>
      <c r="AQ1239" s="41"/>
      <c r="AR1239" s="41"/>
      <c r="AS1239" s="41"/>
    </row>
    <row r="1240" spans="1:45">
      <c r="A1240" s="38"/>
      <c r="B1240" s="38"/>
      <c r="C1240" s="38"/>
      <c r="D1240" s="38"/>
      <c r="E1240" s="49"/>
      <c r="F1240" s="49"/>
      <c r="G1240" s="38"/>
      <c r="H1240" s="49"/>
      <c r="I1240" s="49"/>
      <c r="J1240" s="49"/>
      <c r="K1240" s="49"/>
      <c r="L1240" s="41"/>
      <c r="M1240" s="41"/>
      <c r="N1240" s="41"/>
      <c r="O1240" s="41"/>
      <c r="P1240" s="43"/>
      <c r="Q1240" s="41"/>
      <c r="R1240" s="41"/>
      <c r="S1240" s="41"/>
      <c r="T1240" s="41"/>
      <c r="U1240" s="41"/>
      <c r="V1240" s="41"/>
      <c r="W1240" s="41"/>
      <c r="X1240" s="41"/>
      <c r="Y1240" s="41"/>
      <c r="Z1240" s="41"/>
      <c r="AA1240" s="41"/>
      <c r="AB1240" s="41"/>
      <c r="AC1240" s="41"/>
      <c r="AD1240" s="41"/>
      <c r="AE1240" s="41"/>
      <c r="AF1240" s="41"/>
      <c r="AG1240" s="41"/>
      <c r="AH1240" s="41"/>
      <c r="AI1240" s="41"/>
      <c r="AJ1240" s="41"/>
      <c r="AK1240" s="41"/>
      <c r="AL1240" s="41"/>
      <c r="AM1240" s="41"/>
      <c r="AN1240" s="41"/>
      <c r="AO1240" s="41"/>
      <c r="AP1240" s="41"/>
      <c r="AQ1240" s="41"/>
      <c r="AR1240" s="41"/>
      <c r="AS1240" s="41"/>
    </row>
    <row r="1241" spans="1:45">
      <c r="A1241" s="38"/>
      <c r="B1241" s="38"/>
      <c r="C1241" s="38"/>
      <c r="D1241" s="38"/>
      <c r="E1241" s="49"/>
      <c r="F1241" s="49"/>
      <c r="G1241" s="38"/>
      <c r="H1241" s="49"/>
      <c r="I1241" s="49"/>
      <c r="J1241" s="49"/>
      <c r="K1241" s="49"/>
      <c r="L1241" s="41"/>
      <c r="M1241" s="41"/>
      <c r="N1241" s="41"/>
      <c r="O1241" s="41"/>
      <c r="P1241" s="43"/>
      <c r="Q1241" s="41"/>
      <c r="R1241" s="41"/>
      <c r="S1241" s="41"/>
      <c r="T1241" s="41"/>
      <c r="U1241" s="41"/>
      <c r="V1241" s="41"/>
      <c r="W1241" s="41"/>
      <c r="X1241" s="41"/>
      <c r="Y1241" s="41"/>
      <c r="Z1241" s="41"/>
      <c r="AA1241" s="41"/>
      <c r="AB1241" s="41"/>
      <c r="AC1241" s="41"/>
      <c r="AD1241" s="41"/>
      <c r="AE1241" s="41"/>
      <c r="AF1241" s="41"/>
      <c r="AG1241" s="41"/>
      <c r="AH1241" s="41"/>
      <c r="AI1241" s="41"/>
      <c r="AJ1241" s="41"/>
      <c r="AK1241" s="41"/>
      <c r="AL1241" s="41"/>
      <c r="AM1241" s="41"/>
      <c r="AN1241" s="41"/>
      <c r="AO1241" s="41"/>
      <c r="AP1241" s="41"/>
      <c r="AQ1241" s="41"/>
      <c r="AR1241" s="41"/>
      <c r="AS1241" s="41"/>
    </row>
    <row r="1242" spans="1:45">
      <c r="A1242" s="38"/>
      <c r="B1242" s="38"/>
      <c r="C1242" s="38"/>
      <c r="D1242" s="38"/>
      <c r="E1242" s="49"/>
      <c r="F1242" s="49"/>
      <c r="G1242" s="38"/>
      <c r="H1242" s="49"/>
      <c r="I1242" s="49"/>
      <c r="J1242" s="49"/>
      <c r="K1242" s="49"/>
      <c r="L1242" s="41"/>
      <c r="M1242" s="41"/>
      <c r="N1242" s="41"/>
      <c r="O1242" s="41"/>
      <c r="P1242" s="43"/>
      <c r="Q1242" s="41"/>
      <c r="R1242" s="41"/>
      <c r="S1242" s="41"/>
      <c r="T1242" s="41"/>
      <c r="U1242" s="41"/>
      <c r="V1242" s="41"/>
      <c r="W1242" s="41"/>
      <c r="X1242" s="41"/>
      <c r="Y1242" s="41"/>
      <c r="Z1242" s="41"/>
      <c r="AA1242" s="41"/>
      <c r="AB1242" s="41"/>
      <c r="AC1242" s="41"/>
      <c r="AD1242" s="41"/>
      <c r="AE1242" s="41"/>
      <c r="AF1242" s="41"/>
      <c r="AG1242" s="41"/>
      <c r="AH1242" s="41"/>
      <c r="AI1242" s="41"/>
      <c r="AJ1242" s="41"/>
      <c r="AK1242" s="41"/>
      <c r="AL1242" s="41"/>
      <c r="AM1242" s="41"/>
      <c r="AN1242" s="41"/>
      <c r="AO1242" s="41"/>
      <c r="AP1242" s="41"/>
      <c r="AQ1242" s="41"/>
      <c r="AR1242" s="41"/>
      <c r="AS1242" s="41"/>
    </row>
    <row r="1243" spans="1:45">
      <c r="A1243" s="38"/>
      <c r="B1243" s="38"/>
      <c r="C1243" s="38"/>
      <c r="D1243" s="38"/>
      <c r="E1243" s="49"/>
      <c r="F1243" s="49"/>
      <c r="G1243" s="38"/>
      <c r="H1243" s="49"/>
      <c r="I1243" s="49"/>
      <c r="J1243" s="49"/>
      <c r="K1243" s="49"/>
      <c r="L1243" s="41"/>
      <c r="M1243" s="41"/>
      <c r="N1243" s="41"/>
      <c r="O1243" s="41"/>
      <c r="P1243" s="43"/>
      <c r="Q1243" s="41"/>
      <c r="R1243" s="41"/>
      <c r="S1243" s="41"/>
      <c r="T1243" s="41"/>
      <c r="U1243" s="41"/>
      <c r="V1243" s="41"/>
      <c r="W1243" s="41"/>
      <c r="X1243" s="41"/>
      <c r="Y1243" s="41"/>
      <c r="Z1243" s="41"/>
      <c r="AA1243" s="41"/>
      <c r="AB1243" s="41"/>
      <c r="AC1243" s="41"/>
      <c r="AD1243" s="41"/>
      <c r="AE1243" s="41"/>
      <c r="AF1243" s="41"/>
      <c r="AG1243" s="41"/>
      <c r="AH1243" s="41"/>
      <c r="AI1243" s="41"/>
      <c r="AJ1243" s="41"/>
      <c r="AK1243" s="41"/>
      <c r="AL1243" s="41"/>
      <c r="AM1243" s="41"/>
      <c r="AN1243" s="41"/>
      <c r="AO1243" s="41"/>
      <c r="AP1243" s="41"/>
      <c r="AQ1243" s="41"/>
      <c r="AR1243" s="41"/>
      <c r="AS1243" s="41"/>
    </row>
    <row r="1244" spans="1:45">
      <c r="A1244" s="38"/>
      <c r="B1244" s="38"/>
      <c r="C1244" s="38"/>
      <c r="D1244" s="38"/>
      <c r="E1244" s="49"/>
      <c r="F1244" s="49"/>
      <c r="G1244" s="38"/>
      <c r="H1244" s="49"/>
      <c r="I1244" s="49"/>
      <c r="J1244" s="49"/>
      <c r="K1244" s="49"/>
      <c r="L1244" s="41"/>
      <c r="M1244" s="41"/>
      <c r="N1244" s="41"/>
      <c r="O1244" s="41"/>
      <c r="P1244" s="43"/>
      <c r="Q1244" s="41"/>
      <c r="R1244" s="41"/>
      <c r="S1244" s="41"/>
      <c r="T1244" s="41"/>
      <c r="U1244" s="41"/>
      <c r="V1244" s="41"/>
      <c r="W1244" s="41"/>
      <c r="X1244" s="41"/>
      <c r="Y1244" s="41"/>
      <c r="Z1244" s="41"/>
      <c r="AA1244" s="41"/>
      <c r="AB1244" s="41"/>
      <c r="AC1244" s="41"/>
      <c r="AD1244" s="41"/>
      <c r="AE1244" s="41"/>
      <c r="AF1244" s="41"/>
      <c r="AG1244" s="41"/>
      <c r="AH1244" s="41"/>
      <c r="AI1244" s="41"/>
      <c r="AJ1244" s="41"/>
      <c r="AK1244" s="41"/>
      <c r="AL1244" s="41"/>
      <c r="AM1244" s="41"/>
      <c r="AN1244" s="41"/>
      <c r="AO1244" s="41"/>
      <c r="AP1244" s="41"/>
      <c r="AQ1244" s="41"/>
      <c r="AR1244" s="41"/>
      <c r="AS1244" s="41"/>
    </row>
    <row r="1245" spans="1:45">
      <c r="A1245" s="38"/>
      <c r="B1245" s="38"/>
      <c r="C1245" s="38"/>
      <c r="D1245" s="38"/>
      <c r="E1245" s="49"/>
      <c r="F1245" s="49"/>
      <c r="G1245" s="38"/>
      <c r="H1245" s="49"/>
      <c r="I1245" s="49"/>
      <c r="J1245" s="49"/>
      <c r="K1245" s="49"/>
      <c r="L1245" s="41"/>
      <c r="M1245" s="41"/>
      <c r="N1245" s="41"/>
      <c r="O1245" s="41"/>
      <c r="P1245" s="43"/>
      <c r="Q1245" s="41"/>
      <c r="R1245" s="41"/>
      <c r="S1245" s="41"/>
      <c r="T1245" s="41"/>
      <c r="U1245" s="41"/>
      <c r="V1245" s="41"/>
      <c r="W1245" s="41"/>
      <c r="X1245" s="41"/>
      <c r="Y1245" s="41"/>
      <c r="Z1245" s="41"/>
      <c r="AA1245" s="41"/>
      <c r="AB1245" s="41"/>
      <c r="AC1245" s="41"/>
      <c r="AD1245" s="41"/>
      <c r="AE1245" s="41"/>
      <c r="AF1245" s="41"/>
      <c r="AG1245" s="41"/>
      <c r="AH1245" s="41"/>
      <c r="AI1245" s="41"/>
      <c r="AJ1245" s="41"/>
      <c r="AK1245" s="41"/>
      <c r="AL1245" s="41"/>
      <c r="AM1245" s="41"/>
      <c r="AN1245" s="41"/>
      <c r="AO1245" s="41"/>
      <c r="AP1245" s="41"/>
      <c r="AQ1245" s="41"/>
      <c r="AR1245" s="41"/>
      <c r="AS1245" s="41"/>
    </row>
    <row r="1246" spans="1:45">
      <c r="A1246" s="38"/>
      <c r="B1246" s="38"/>
      <c r="C1246" s="38"/>
      <c r="D1246" s="38"/>
      <c r="E1246" s="49"/>
      <c r="F1246" s="49"/>
      <c r="G1246" s="38"/>
      <c r="H1246" s="49"/>
      <c r="I1246" s="49"/>
      <c r="J1246" s="49"/>
      <c r="K1246" s="49"/>
      <c r="L1246" s="41"/>
      <c r="M1246" s="41"/>
      <c r="N1246" s="41"/>
      <c r="O1246" s="41"/>
      <c r="P1246" s="43"/>
      <c r="Q1246" s="41"/>
      <c r="R1246" s="41"/>
      <c r="S1246" s="41"/>
      <c r="T1246" s="41"/>
      <c r="U1246" s="41"/>
      <c r="V1246" s="41"/>
      <c r="W1246" s="41"/>
      <c r="X1246" s="41"/>
      <c r="Y1246" s="41"/>
      <c r="Z1246" s="41"/>
      <c r="AA1246" s="41"/>
      <c r="AB1246" s="41"/>
      <c r="AC1246" s="41"/>
      <c r="AD1246" s="41"/>
      <c r="AE1246" s="41"/>
      <c r="AF1246" s="41"/>
      <c r="AG1246" s="41"/>
      <c r="AH1246" s="41"/>
      <c r="AI1246" s="41"/>
      <c r="AJ1246" s="41"/>
      <c r="AK1246" s="41"/>
      <c r="AL1246" s="41"/>
      <c r="AM1246" s="41"/>
      <c r="AN1246" s="41"/>
      <c r="AO1246" s="41"/>
      <c r="AP1246" s="41"/>
      <c r="AQ1246" s="41"/>
      <c r="AR1246" s="41"/>
      <c r="AS1246" s="41"/>
    </row>
    <row r="1247" spans="1:45">
      <c r="A1247" s="38"/>
      <c r="B1247" s="38"/>
      <c r="C1247" s="38"/>
      <c r="D1247" s="38"/>
      <c r="E1247" s="49"/>
      <c r="F1247" s="49"/>
      <c r="G1247" s="38"/>
      <c r="H1247" s="49"/>
      <c r="I1247" s="49"/>
      <c r="J1247" s="49"/>
      <c r="K1247" s="49"/>
      <c r="L1247" s="41"/>
      <c r="M1247" s="41"/>
      <c r="N1247" s="41"/>
      <c r="O1247" s="41"/>
      <c r="P1247" s="43"/>
      <c r="Q1247" s="41"/>
      <c r="R1247" s="41"/>
      <c r="S1247" s="41"/>
      <c r="T1247" s="41"/>
      <c r="U1247" s="41"/>
      <c r="V1247" s="41"/>
      <c r="W1247" s="41"/>
      <c r="X1247" s="41"/>
      <c r="Y1247" s="41"/>
      <c r="Z1247" s="41"/>
      <c r="AA1247" s="41"/>
      <c r="AB1247" s="41"/>
      <c r="AC1247" s="41"/>
      <c r="AD1247" s="41"/>
      <c r="AE1247" s="41"/>
      <c r="AF1247" s="41"/>
      <c r="AG1247" s="41"/>
      <c r="AH1247" s="41"/>
      <c r="AI1247" s="41"/>
      <c r="AJ1247" s="41"/>
      <c r="AK1247" s="41"/>
      <c r="AL1247" s="41"/>
      <c r="AM1247" s="41"/>
      <c r="AN1247" s="41"/>
      <c r="AO1247" s="41"/>
      <c r="AP1247" s="41"/>
      <c r="AQ1247" s="41"/>
      <c r="AR1247" s="41"/>
      <c r="AS1247" s="41"/>
    </row>
    <row r="1248" spans="1:45">
      <c r="A1248" s="38"/>
      <c r="B1248" s="38"/>
      <c r="C1248" s="38"/>
      <c r="D1248" s="38"/>
      <c r="E1248" s="49"/>
      <c r="F1248" s="49"/>
      <c r="G1248" s="38"/>
      <c r="H1248" s="49"/>
      <c r="I1248" s="49"/>
      <c r="J1248" s="49"/>
      <c r="K1248" s="49"/>
      <c r="L1248" s="41"/>
      <c r="M1248" s="41"/>
      <c r="N1248" s="41"/>
      <c r="O1248" s="41"/>
      <c r="P1248" s="43"/>
      <c r="Q1248" s="41"/>
      <c r="R1248" s="41"/>
      <c r="S1248" s="41"/>
      <c r="T1248" s="41"/>
      <c r="U1248" s="41"/>
      <c r="V1248" s="41"/>
      <c r="W1248" s="41"/>
      <c r="X1248" s="41"/>
      <c r="Y1248" s="41"/>
      <c r="Z1248" s="41"/>
      <c r="AA1248" s="41"/>
      <c r="AB1248" s="41"/>
      <c r="AC1248" s="41"/>
      <c r="AD1248" s="41"/>
      <c r="AE1248" s="41"/>
      <c r="AF1248" s="41"/>
      <c r="AG1248" s="41"/>
      <c r="AH1248" s="41"/>
      <c r="AI1248" s="41"/>
      <c r="AJ1248" s="41"/>
      <c r="AK1248" s="41"/>
      <c r="AL1248" s="41"/>
      <c r="AM1248" s="41"/>
      <c r="AN1248" s="41"/>
      <c r="AO1248" s="41"/>
      <c r="AP1248" s="41"/>
      <c r="AQ1248" s="41"/>
      <c r="AR1248" s="41"/>
      <c r="AS1248" s="41"/>
    </row>
    <row r="1249" spans="1:45">
      <c r="A1249" s="38"/>
      <c r="B1249" s="38"/>
      <c r="C1249" s="38"/>
      <c r="D1249" s="38"/>
      <c r="E1249" s="49"/>
      <c r="F1249" s="49"/>
      <c r="G1249" s="38"/>
      <c r="H1249" s="49"/>
      <c r="I1249" s="49"/>
      <c r="J1249" s="49"/>
      <c r="K1249" s="49"/>
      <c r="L1249" s="41"/>
      <c r="M1249" s="41"/>
      <c r="N1249" s="41"/>
      <c r="O1249" s="41"/>
      <c r="P1249" s="43"/>
      <c r="Q1249" s="41"/>
      <c r="R1249" s="41"/>
      <c r="S1249" s="41"/>
      <c r="T1249" s="41"/>
      <c r="U1249" s="41"/>
      <c r="V1249" s="41"/>
      <c r="W1249" s="41"/>
      <c r="X1249" s="41"/>
      <c r="Y1249" s="41"/>
      <c r="Z1249" s="41"/>
      <c r="AA1249" s="41"/>
      <c r="AB1249" s="41"/>
      <c r="AC1249" s="41"/>
      <c r="AD1249" s="41"/>
      <c r="AE1249" s="41"/>
      <c r="AF1249" s="41"/>
      <c r="AG1249" s="41"/>
      <c r="AH1249" s="41"/>
      <c r="AI1249" s="41"/>
      <c r="AJ1249" s="41"/>
      <c r="AK1249" s="41"/>
      <c r="AL1249" s="41"/>
      <c r="AM1249" s="41"/>
      <c r="AN1249" s="41"/>
      <c r="AO1249" s="41"/>
      <c r="AP1249" s="41"/>
      <c r="AQ1249" s="41"/>
      <c r="AR1249" s="41"/>
      <c r="AS1249" s="41"/>
    </row>
    <row r="1250" spans="1:45">
      <c r="A1250" s="38"/>
      <c r="B1250" s="38"/>
      <c r="C1250" s="38"/>
      <c r="D1250" s="38"/>
      <c r="E1250" s="49"/>
      <c r="F1250" s="49"/>
      <c r="G1250" s="38"/>
      <c r="H1250" s="49"/>
      <c r="I1250" s="49"/>
      <c r="J1250" s="49"/>
      <c r="K1250" s="49"/>
      <c r="L1250" s="41"/>
      <c r="M1250" s="41"/>
      <c r="N1250" s="41"/>
      <c r="O1250" s="41"/>
      <c r="P1250" s="43"/>
      <c r="Q1250" s="41"/>
      <c r="R1250" s="41"/>
      <c r="S1250" s="41"/>
      <c r="T1250" s="41"/>
      <c r="U1250" s="41"/>
      <c r="V1250" s="41"/>
      <c r="W1250" s="41"/>
      <c r="X1250" s="41"/>
      <c r="Y1250" s="41"/>
      <c r="Z1250" s="41"/>
      <c r="AA1250" s="41"/>
      <c r="AB1250" s="41"/>
      <c r="AC1250" s="41"/>
      <c r="AD1250" s="41"/>
      <c r="AE1250" s="41"/>
      <c r="AF1250" s="41"/>
      <c r="AG1250" s="41"/>
      <c r="AH1250" s="41"/>
      <c r="AI1250" s="41"/>
      <c r="AJ1250" s="41"/>
      <c r="AK1250" s="41"/>
      <c r="AL1250" s="41"/>
      <c r="AM1250" s="41"/>
      <c r="AN1250" s="41"/>
      <c r="AO1250" s="41"/>
      <c r="AP1250" s="41"/>
      <c r="AQ1250" s="41"/>
      <c r="AR1250" s="41"/>
      <c r="AS1250" s="41"/>
    </row>
    <row r="1251" spans="1:45">
      <c r="A1251" s="38"/>
      <c r="B1251" s="38"/>
      <c r="C1251" s="38"/>
      <c r="D1251" s="38"/>
      <c r="E1251" s="49"/>
      <c r="F1251" s="49"/>
      <c r="G1251" s="38"/>
      <c r="H1251" s="49"/>
      <c r="I1251" s="49"/>
      <c r="J1251" s="49"/>
      <c r="K1251" s="49"/>
      <c r="L1251" s="41"/>
      <c r="M1251" s="41"/>
      <c r="N1251" s="41"/>
      <c r="O1251" s="41"/>
      <c r="P1251" s="43"/>
      <c r="Q1251" s="41"/>
      <c r="R1251" s="41"/>
      <c r="S1251" s="41"/>
      <c r="T1251" s="41"/>
      <c r="U1251" s="41"/>
      <c r="V1251" s="41"/>
      <c r="W1251" s="41"/>
      <c r="X1251" s="41"/>
      <c r="Y1251" s="41"/>
      <c r="Z1251" s="41"/>
      <c r="AA1251" s="41"/>
      <c r="AB1251" s="41"/>
      <c r="AC1251" s="41"/>
      <c r="AD1251" s="41"/>
      <c r="AE1251" s="41"/>
      <c r="AF1251" s="41"/>
      <c r="AG1251" s="41"/>
      <c r="AH1251" s="41"/>
      <c r="AI1251" s="41"/>
      <c r="AJ1251" s="41"/>
      <c r="AK1251" s="41"/>
      <c r="AL1251" s="41"/>
      <c r="AM1251" s="41"/>
      <c r="AN1251" s="41"/>
      <c r="AO1251" s="41"/>
      <c r="AP1251" s="41"/>
      <c r="AQ1251" s="41"/>
      <c r="AR1251" s="41"/>
      <c r="AS1251" s="41"/>
    </row>
    <row r="1252" spans="1:45">
      <c r="A1252" s="38"/>
      <c r="B1252" s="38"/>
      <c r="C1252" s="38"/>
      <c r="D1252" s="38"/>
      <c r="E1252" s="49"/>
      <c r="F1252" s="49"/>
      <c r="G1252" s="38"/>
      <c r="H1252" s="49"/>
      <c r="I1252" s="49"/>
      <c r="J1252" s="49"/>
      <c r="K1252" s="49"/>
      <c r="L1252" s="41"/>
      <c r="M1252" s="41"/>
      <c r="N1252" s="41"/>
      <c r="O1252" s="41"/>
      <c r="P1252" s="43"/>
      <c r="Q1252" s="41"/>
      <c r="R1252" s="41"/>
      <c r="S1252" s="41"/>
      <c r="T1252" s="41"/>
      <c r="U1252" s="41"/>
      <c r="V1252" s="41"/>
      <c r="W1252" s="41"/>
      <c r="X1252" s="41"/>
      <c r="Y1252" s="41"/>
      <c r="Z1252" s="41"/>
      <c r="AA1252" s="41"/>
      <c r="AB1252" s="41"/>
      <c r="AC1252" s="41"/>
      <c r="AD1252" s="41"/>
      <c r="AE1252" s="41"/>
      <c r="AF1252" s="41"/>
      <c r="AG1252" s="41"/>
      <c r="AH1252" s="41"/>
      <c r="AI1252" s="41"/>
      <c r="AJ1252" s="41"/>
      <c r="AK1252" s="41"/>
      <c r="AL1252" s="41"/>
      <c r="AM1252" s="41"/>
      <c r="AN1252" s="41"/>
      <c r="AO1252" s="41"/>
      <c r="AP1252" s="41"/>
      <c r="AQ1252" s="41"/>
      <c r="AR1252" s="41"/>
      <c r="AS1252" s="41"/>
    </row>
    <row r="1253" spans="1:45">
      <c r="A1253" s="38"/>
      <c r="B1253" s="38"/>
      <c r="C1253" s="38"/>
      <c r="D1253" s="38"/>
      <c r="E1253" s="49"/>
      <c r="F1253" s="49"/>
      <c r="G1253" s="38"/>
      <c r="H1253" s="49"/>
      <c r="I1253" s="49"/>
      <c r="J1253" s="49"/>
      <c r="K1253" s="49"/>
      <c r="L1253" s="41"/>
      <c r="M1253" s="41"/>
      <c r="N1253" s="41"/>
      <c r="O1253" s="41"/>
      <c r="P1253" s="43"/>
      <c r="Q1253" s="41"/>
      <c r="R1253" s="41"/>
      <c r="S1253" s="41"/>
      <c r="T1253" s="41"/>
      <c r="U1253" s="41"/>
      <c r="V1253" s="41"/>
      <c r="W1253" s="41"/>
      <c r="X1253" s="41"/>
      <c r="Y1253" s="41"/>
      <c r="Z1253" s="41"/>
      <c r="AA1253" s="41"/>
      <c r="AB1253" s="41"/>
      <c r="AC1253" s="41"/>
      <c r="AD1253" s="41"/>
      <c r="AE1253" s="41"/>
      <c r="AF1253" s="41"/>
      <c r="AG1253" s="41"/>
      <c r="AH1253" s="41"/>
      <c r="AI1253" s="41"/>
      <c r="AJ1253" s="41"/>
      <c r="AK1253" s="41"/>
      <c r="AL1253" s="41"/>
      <c r="AM1253" s="41"/>
      <c r="AN1253" s="41"/>
      <c r="AO1253" s="41"/>
      <c r="AP1253" s="41"/>
      <c r="AQ1253" s="41"/>
      <c r="AR1253" s="41"/>
      <c r="AS1253" s="41"/>
    </row>
    <row r="1254" spans="1:45">
      <c r="A1254" s="38"/>
      <c r="B1254" s="38"/>
      <c r="C1254" s="38"/>
      <c r="D1254" s="38"/>
      <c r="E1254" s="49"/>
      <c r="F1254" s="49"/>
      <c r="G1254" s="38"/>
      <c r="H1254" s="49"/>
      <c r="I1254" s="49"/>
      <c r="J1254" s="49"/>
      <c r="K1254" s="49"/>
      <c r="L1254" s="41"/>
      <c r="M1254" s="41"/>
      <c r="N1254" s="41"/>
      <c r="O1254" s="41"/>
      <c r="P1254" s="43"/>
      <c r="Q1254" s="41"/>
      <c r="R1254" s="41"/>
      <c r="S1254" s="41"/>
      <c r="T1254" s="41"/>
      <c r="U1254" s="41"/>
      <c r="V1254" s="41"/>
      <c r="W1254" s="41"/>
      <c r="X1254" s="41"/>
      <c r="Y1254" s="41"/>
      <c r="Z1254" s="41"/>
      <c r="AA1254" s="41"/>
      <c r="AB1254" s="41"/>
      <c r="AC1254" s="41"/>
      <c r="AD1254" s="41"/>
      <c r="AE1254" s="41"/>
      <c r="AF1254" s="41"/>
      <c r="AG1254" s="41"/>
      <c r="AH1254" s="41"/>
      <c r="AI1254" s="41"/>
      <c r="AJ1254" s="41"/>
      <c r="AK1254" s="41"/>
      <c r="AL1254" s="41"/>
      <c r="AM1254" s="41"/>
      <c r="AN1254" s="41"/>
      <c r="AO1254" s="41"/>
      <c r="AP1254" s="41"/>
      <c r="AQ1254" s="41"/>
      <c r="AR1254" s="41"/>
      <c r="AS1254" s="41"/>
    </row>
    <row r="1255" spans="1:45">
      <c r="A1255" s="38"/>
      <c r="B1255" s="38"/>
      <c r="C1255" s="38"/>
      <c r="D1255" s="38"/>
      <c r="E1255" s="49"/>
      <c r="F1255" s="49"/>
      <c r="G1255" s="38"/>
      <c r="H1255" s="49"/>
      <c r="I1255" s="49"/>
      <c r="J1255" s="49"/>
      <c r="K1255" s="49"/>
      <c r="L1255" s="41"/>
      <c r="M1255" s="41"/>
      <c r="N1255" s="41"/>
      <c r="O1255" s="41"/>
      <c r="P1255" s="43"/>
      <c r="Q1255" s="41"/>
      <c r="R1255" s="41"/>
      <c r="S1255" s="41"/>
      <c r="T1255" s="41"/>
      <c r="U1255" s="41"/>
      <c r="V1255" s="41"/>
      <c r="W1255" s="41"/>
      <c r="X1255" s="41"/>
      <c r="Y1255" s="41"/>
      <c r="Z1255" s="41"/>
      <c r="AA1255" s="41"/>
      <c r="AB1255" s="41"/>
      <c r="AC1255" s="41"/>
      <c r="AD1255" s="41"/>
      <c r="AE1255" s="41"/>
      <c r="AF1255" s="41"/>
      <c r="AG1255" s="41"/>
      <c r="AH1255" s="41"/>
      <c r="AI1255" s="41"/>
      <c r="AJ1255" s="41"/>
      <c r="AK1255" s="41"/>
      <c r="AL1255" s="41"/>
      <c r="AM1255" s="41"/>
      <c r="AN1255" s="41"/>
      <c r="AO1255" s="41"/>
      <c r="AP1255" s="41"/>
      <c r="AQ1255" s="41"/>
      <c r="AR1255" s="41"/>
      <c r="AS1255" s="41"/>
    </row>
    <row r="1256" spans="1:45">
      <c r="A1256" s="38"/>
      <c r="B1256" s="38"/>
      <c r="C1256" s="38"/>
      <c r="D1256" s="38"/>
      <c r="E1256" s="49"/>
      <c r="F1256" s="49"/>
      <c r="G1256" s="38"/>
      <c r="H1256" s="49"/>
      <c r="I1256" s="49"/>
      <c r="J1256" s="49"/>
      <c r="K1256" s="49"/>
      <c r="L1256" s="41"/>
      <c r="M1256" s="41"/>
      <c r="N1256" s="41"/>
      <c r="O1256" s="41"/>
      <c r="P1256" s="43"/>
      <c r="Q1256" s="41"/>
      <c r="R1256" s="41"/>
      <c r="S1256" s="41"/>
      <c r="T1256" s="41"/>
      <c r="U1256" s="41"/>
      <c r="V1256" s="41"/>
      <c r="W1256" s="41"/>
      <c r="X1256" s="41"/>
      <c r="Y1256" s="41"/>
      <c r="Z1256" s="41"/>
      <c r="AA1256" s="41"/>
      <c r="AB1256" s="41"/>
      <c r="AC1256" s="41"/>
      <c r="AD1256" s="41"/>
      <c r="AE1256" s="41"/>
      <c r="AF1256" s="41"/>
      <c r="AG1256" s="41"/>
      <c r="AH1256" s="41"/>
      <c r="AI1256" s="41"/>
      <c r="AJ1256" s="41"/>
      <c r="AK1256" s="41"/>
      <c r="AL1256" s="41"/>
      <c r="AM1256" s="41"/>
      <c r="AN1256" s="41"/>
      <c r="AO1256" s="41"/>
      <c r="AP1256" s="41"/>
      <c r="AQ1256" s="41"/>
      <c r="AR1256" s="41"/>
      <c r="AS1256" s="41"/>
    </row>
    <row r="1257" spans="1:45">
      <c r="A1257" s="38"/>
      <c r="B1257" s="38"/>
      <c r="C1257" s="38"/>
      <c r="D1257" s="38"/>
      <c r="E1257" s="49"/>
      <c r="F1257" s="49"/>
      <c r="G1257" s="38"/>
      <c r="H1257" s="49"/>
      <c r="I1257" s="49"/>
      <c r="J1257" s="49"/>
      <c r="K1257" s="49"/>
      <c r="L1257" s="41"/>
      <c r="M1257" s="41"/>
      <c r="N1257" s="41"/>
      <c r="O1257" s="41"/>
      <c r="P1257" s="43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1"/>
      <c r="AF1257" s="41"/>
      <c r="AG1257" s="41"/>
      <c r="AH1257" s="41"/>
      <c r="AI1257" s="41"/>
      <c r="AJ1257" s="41"/>
      <c r="AK1257" s="41"/>
      <c r="AL1257" s="41"/>
      <c r="AM1257" s="41"/>
      <c r="AN1257" s="41"/>
      <c r="AO1257" s="41"/>
      <c r="AP1257" s="41"/>
      <c r="AQ1257" s="41"/>
      <c r="AR1257" s="41"/>
      <c r="AS1257" s="41"/>
    </row>
    <row r="1258" spans="1:45">
      <c r="A1258" s="38"/>
      <c r="B1258" s="38"/>
      <c r="C1258" s="38"/>
      <c r="D1258" s="38"/>
      <c r="E1258" s="49"/>
      <c r="F1258" s="49"/>
      <c r="G1258" s="38"/>
      <c r="H1258" s="49"/>
      <c r="I1258" s="49"/>
      <c r="J1258" s="49"/>
      <c r="K1258" s="49"/>
      <c r="L1258" s="41"/>
      <c r="M1258" s="41"/>
      <c r="N1258" s="41"/>
      <c r="O1258" s="41"/>
      <c r="P1258" s="43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I1258" s="41"/>
      <c r="AJ1258" s="41"/>
      <c r="AK1258" s="41"/>
      <c r="AL1258" s="41"/>
      <c r="AM1258" s="41"/>
      <c r="AN1258" s="41"/>
      <c r="AO1258" s="41"/>
      <c r="AP1258" s="41"/>
      <c r="AQ1258" s="41"/>
      <c r="AR1258" s="41"/>
      <c r="AS1258" s="41"/>
    </row>
    <row r="1259" spans="1:45">
      <c r="A1259" s="38"/>
      <c r="B1259" s="38"/>
      <c r="C1259" s="38"/>
      <c r="D1259" s="38"/>
      <c r="E1259" s="49"/>
      <c r="F1259" s="49"/>
      <c r="G1259" s="38"/>
      <c r="H1259" s="49"/>
      <c r="I1259" s="49"/>
      <c r="J1259" s="49"/>
      <c r="K1259" s="49"/>
      <c r="L1259" s="41"/>
      <c r="M1259" s="41"/>
      <c r="N1259" s="41"/>
      <c r="O1259" s="41"/>
      <c r="P1259" s="43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I1259" s="41"/>
      <c r="AJ1259" s="41"/>
      <c r="AK1259" s="41"/>
      <c r="AL1259" s="41"/>
      <c r="AM1259" s="41"/>
      <c r="AN1259" s="41"/>
      <c r="AO1259" s="41"/>
      <c r="AP1259" s="41"/>
      <c r="AQ1259" s="41"/>
      <c r="AR1259" s="41"/>
      <c r="AS1259" s="41"/>
    </row>
    <row r="1260" spans="1:45">
      <c r="A1260" s="38"/>
      <c r="B1260" s="38"/>
      <c r="C1260" s="38"/>
      <c r="D1260" s="38"/>
      <c r="E1260" s="49"/>
      <c r="F1260" s="49"/>
      <c r="G1260" s="38"/>
      <c r="H1260" s="49"/>
      <c r="I1260" s="49"/>
      <c r="J1260" s="49"/>
      <c r="K1260" s="49"/>
      <c r="L1260" s="41"/>
      <c r="M1260" s="41"/>
      <c r="N1260" s="41"/>
      <c r="O1260" s="41"/>
      <c r="P1260" s="43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I1260" s="41"/>
      <c r="AJ1260" s="41"/>
      <c r="AK1260" s="41"/>
      <c r="AL1260" s="41"/>
      <c r="AM1260" s="41"/>
      <c r="AN1260" s="41"/>
      <c r="AO1260" s="41"/>
      <c r="AP1260" s="41"/>
      <c r="AQ1260" s="41"/>
      <c r="AR1260" s="41"/>
      <c r="AS1260" s="41"/>
    </row>
    <row r="1261" spans="1:45">
      <c r="A1261" s="38"/>
      <c r="B1261" s="38"/>
      <c r="C1261" s="38"/>
      <c r="D1261" s="38"/>
      <c r="E1261" s="49"/>
      <c r="F1261" s="49"/>
      <c r="G1261" s="38"/>
      <c r="H1261" s="49"/>
      <c r="I1261" s="49"/>
      <c r="J1261" s="49"/>
      <c r="K1261" s="49"/>
      <c r="L1261" s="41"/>
      <c r="M1261" s="41"/>
      <c r="N1261" s="41"/>
      <c r="O1261" s="41"/>
      <c r="P1261" s="43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I1261" s="41"/>
      <c r="AJ1261" s="41"/>
      <c r="AK1261" s="41"/>
      <c r="AL1261" s="41"/>
      <c r="AM1261" s="41"/>
      <c r="AN1261" s="41"/>
      <c r="AO1261" s="41"/>
      <c r="AP1261" s="41"/>
      <c r="AQ1261" s="41"/>
      <c r="AR1261" s="41"/>
      <c r="AS1261" s="41"/>
    </row>
    <row r="1262" spans="1:45">
      <c r="A1262" s="38"/>
      <c r="B1262" s="38"/>
      <c r="C1262" s="38"/>
      <c r="D1262" s="38"/>
      <c r="E1262" s="49"/>
      <c r="F1262" s="49"/>
      <c r="G1262" s="38"/>
      <c r="H1262" s="49"/>
      <c r="I1262" s="49"/>
      <c r="J1262" s="49"/>
      <c r="K1262" s="49"/>
      <c r="L1262" s="41"/>
      <c r="M1262" s="41"/>
      <c r="N1262" s="41"/>
      <c r="O1262" s="41"/>
      <c r="P1262" s="43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I1262" s="41"/>
      <c r="AJ1262" s="41"/>
      <c r="AK1262" s="41"/>
      <c r="AL1262" s="41"/>
      <c r="AM1262" s="41"/>
      <c r="AN1262" s="41"/>
      <c r="AO1262" s="41"/>
      <c r="AP1262" s="41"/>
      <c r="AQ1262" s="41"/>
      <c r="AR1262" s="41"/>
      <c r="AS1262" s="41"/>
    </row>
    <row r="1263" spans="1:45">
      <c r="A1263" s="38"/>
      <c r="B1263" s="38"/>
      <c r="C1263" s="38"/>
      <c r="D1263" s="38"/>
      <c r="E1263" s="49"/>
      <c r="F1263" s="49"/>
      <c r="G1263" s="38"/>
      <c r="H1263" s="49"/>
      <c r="I1263" s="49"/>
      <c r="J1263" s="49"/>
      <c r="K1263" s="49"/>
      <c r="L1263" s="41"/>
      <c r="M1263" s="41"/>
      <c r="N1263" s="41"/>
      <c r="O1263" s="41"/>
      <c r="P1263" s="43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I1263" s="41"/>
      <c r="AJ1263" s="41"/>
      <c r="AK1263" s="41"/>
      <c r="AL1263" s="41"/>
      <c r="AM1263" s="41"/>
      <c r="AN1263" s="41"/>
      <c r="AO1263" s="41"/>
      <c r="AP1263" s="41"/>
      <c r="AQ1263" s="41"/>
      <c r="AR1263" s="41"/>
      <c r="AS1263" s="41"/>
    </row>
    <row r="1264" spans="1:45">
      <c r="A1264" s="38"/>
      <c r="B1264" s="38"/>
      <c r="C1264" s="38"/>
      <c r="D1264" s="38"/>
      <c r="E1264" s="49"/>
      <c r="F1264" s="49"/>
      <c r="G1264" s="38"/>
      <c r="H1264" s="49"/>
      <c r="I1264" s="49"/>
      <c r="J1264" s="49"/>
      <c r="K1264" s="49"/>
      <c r="L1264" s="41"/>
      <c r="M1264" s="41"/>
      <c r="N1264" s="41"/>
      <c r="O1264" s="41"/>
      <c r="P1264" s="43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I1264" s="41"/>
      <c r="AJ1264" s="41"/>
      <c r="AK1264" s="41"/>
      <c r="AL1264" s="41"/>
      <c r="AM1264" s="41"/>
      <c r="AN1264" s="41"/>
      <c r="AO1264" s="41"/>
      <c r="AP1264" s="41"/>
      <c r="AQ1264" s="41"/>
      <c r="AR1264" s="41"/>
      <c r="AS1264" s="41"/>
    </row>
    <row r="1265" spans="1:45">
      <c r="A1265" s="38"/>
      <c r="B1265" s="38"/>
      <c r="C1265" s="38"/>
      <c r="D1265" s="38"/>
      <c r="E1265" s="49"/>
      <c r="F1265" s="49"/>
      <c r="G1265" s="38"/>
      <c r="H1265" s="49"/>
      <c r="I1265" s="49"/>
      <c r="J1265" s="49"/>
      <c r="K1265" s="49"/>
      <c r="L1265" s="41"/>
      <c r="M1265" s="41"/>
      <c r="N1265" s="41"/>
      <c r="O1265" s="41"/>
      <c r="P1265" s="43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I1265" s="41"/>
      <c r="AJ1265" s="41"/>
      <c r="AK1265" s="41"/>
      <c r="AL1265" s="41"/>
      <c r="AM1265" s="41"/>
      <c r="AN1265" s="41"/>
      <c r="AO1265" s="41"/>
      <c r="AP1265" s="41"/>
      <c r="AQ1265" s="41"/>
      <c r="AR1265" s="41"/>
      <c r="AS1265" s="41"/>
    </row>
    <row r="1266" spans="1:45">
      <c r="A1266" s="38"/>
      <c r="B1266" s="38"/>
      <c r="C1266" s="38"/>
      <c r="D1266" s="38"/>
      <c r="E1266" s="49"/>
      <c r="F1266" s="49"/>
      <c r="G1266" s="38"/>
      <c r="H1266" s="49"/>
      <c r="I1266" s="49"/>
      <c r="J1266" s="49"/>
      <c r="K1266" s="49"/>
      <c r="L1266" s="41"/>
      <c r="M1266" s="41"/>
      <c r="N1266" s="41"/>
      <c r="O1266" s="41"/>
      <c r="P1266" s="43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I1266" s="41"/>
      <c r="AJ1266" s="41"/>
      <c r="AK1266" s="41"/>
      <c r="AL1266" s="41"/>
      <c r="AM1266" s="41"/>
      <c r="AN1266" s="41"/>
      <c r="AO1266" s="41"/>
      <c r="AP1266" s="41"/>
      <c r="AQ1266" s="41"/>
      <c r="AR1266" s="41"/>
      <c r="AS1266" s="41"/>
    </row>
    <row r="1267" spans="1:45">
      <c r="A1267" s="38"/>
      <c r="B1267" s="38"/>
      <c r="C1267" s="38"/>
      <c r="D1267" s="38"/>
      <c r="E1267" s="49"/>
      <c r="F1267" s="49"/>
      <c r="G1267" s="38"/>
      <c r="H1267" s="49"/>
      <c r="I1267" s="49"/>
      <c r="J1267" s="49"/>
      <c r="K1267" s="49"/>
      <c r="L1267" s="41"/>
      <c r="M1267" s="41"/>
      <c r="N1267" s="41"/>
      <c r="O1267" s="41"/>
      <c r="P1267" s="43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1"/>
      <c r="AF1267" s="41"/>
      <c r="AG1267" s="41"/>
      <c r="AH1267" s="41"/>
      <c r="AI1267" s="41"/>
      <c r="AJ1267" s="41"/>
      <c r="AK1267" s="41"/>
      <c r="AL1267" s="41"/>
      <c r="AM1267" s="41"/>
      <c r="AN1267" s="41"/>
      <c r="AO1267" s="41"/>
      <c r="AP1267" s="41"/>
      <c r="AQ1267" s="41"/>
      <c r="AR1267" s="41"/>
      <c r="AS1267" s="41"/>
    </row>
    <row r="1268" spans="1:45">
      <c r="A1268" s="38"/>
      <c r="B1268" s="38"/>
      <c r="C1268" s="38"/>
      <c r="D1268" s="38"/>
      <c r="E1268" s="49"/>
      <c r="F1268" s="49"/>
      <c r="G1268" s="38"/>
      <c r="H1268" s="49"/>
      <c r="I1268" s="49"/>
      <c r="J1268" s="49"/>
      <c r="K1268" s="49"/>
      <c r="L1268" s="41"/>
      <c r="M1268" s="41"/>
      <c r="N1268" s="41"/>
      <c r="O1268" s="41"/>
      <c r="P1268" s="43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  <c r="AH1268" s="41"/>
      <c r="AI1268" s="41"/>
      <c r="AJ1268" s="41"/>
      <c r="AK1268" s="41"/>
      <c r="AL1268" s="41"/>
      <c r="AM1268" s="41"/>
      <c r="AN1268" s="41"/>
      <c r="AO1268" s="41"/>
      <c r="AP1268" s="41"/>
      <c r="AQ1268" s="41"/>
      <c r="AR1268" s="41"/>
      <c r="AS1268" s="41"/>
    </row>
    <row r="1269" spans="1:45">
      <c r="A1269" s="38"/>
      <c r="B1269" s="38"/>
      <c r="C1269" s="38"/>
      <c r="D1269" s="38"/>
      <c r="E1269" s="49"/>
      <c r="F1269" s="49"/>
      <c r="G1269" s="38"/>
      <c r="H1269" s="49"/>
      <c r="I1269" s="49"/>
      <c r="J1269" s="49"/>
      <c r="K1269" s="49"/>
      <c r="L1269" s="41"/>
      <c r="M1269" s="41"/>
      <c r="N1269" s="41"/>
      <c r="O1269" s="41"/>
      <c r="P1269" s="43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1"/>
      <c r="AF1269" s="41"/>
      <c r="AG1269" s="41"/>
      <c r="AH1269" s="41"/>
      <c r="AI1269" s="41"/>
      <c r="AJ1269" s="41"/>
      <c r="AK1269" s="41"/>
      <c r="AL1269" s="41"/>
      <c r="AM1269" s="41"/>
      <c r="AN1269" s="41"/>
      <c r="AO1269" s="41"/>
      <c r="AP1269" s="41"/>
      <c r="AQ1269" s="41"/>
      <c r="AR1269" s="41"/>
      <c r="AS1269" s="41"/>
    </row>
    <row r="1270" spans="1:45">
      <c r="A1270" s="38"/>
      <c r="B1270" s="38"/>
      <c r="C1270" s="38"/>
      <c r="D1270" s="38"/>
      <c r="E1270" s="49"/>
      <c r="F1270" s="49"/>
      <c r="G1270" s="38"/>
      <c r="H1270" s="49"/>
      <c r="I1270" s="49"/>
      <c r="J1270" s="49"/>
      <c r="K1270" s="49"/>
      <c r="L1270" s="41"/>
      <c r="M1270" s="41"/>
      <c r="N1270" s="41"/>
      <c r="O1270" s="41"/>
      <c r="P1270" s="43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1"/>
      <c r="AF1270" s="41"/>
      <c r="AG1270" s="41"/>
      <c r="AH1270" s="41"/>
      <c r="AI1270" s="41"/>
      <c r="AJ1270" s="41"/>
      <c r="AK1270" s="41"/>
      <c r="AL1270" s="41"/>
      <c r="AM1270" s="41"/>
      <c r="AN1270" s="41"/>
      <c r="AO1270" s="41"/>
      <c r="AP1270" s="41"/>
      <c r="AQ1270" s="41"/>
      <c r="AR1270" s="41"/>
      <c r="AS1270" s="41"/>
    </row>
    <row r="1271" spans="1:45">
      <c r="A1271" s="38"/>
      <c r="B1271" s="38"/>
      <c r="C1271" s="38"/>
      <c r="D1271" s="38"/>
      <c r="E1271" s="49"/>
      <c r="F1271" s="49"/>
      <c r="G1271" s="38"/>
      <c r="H1271" s="49"/>
      <c r="I1271" s="49"/>
      <c r="J1271" s="49"/>
      <c r="K1271" s="49"/>
      <c r="L1271" s="41"/>
      <c r="M1271" s="41"/>
      <c r="N1271" s="41"/>
      <c r="O1271" s="41"/>
      <c r="P1271" s="43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1"/>
      <c r="AF1271" s="41"/>
      <c r="AG1271" s="41"/>
      <c r="AH1271" s="41"/>
      <c r="AI1271" s="41"/>
      <c r="AJ1271" s="41"/>
      <c r="AK1271" s="41"/>
      <c r="AL1271" s="41"/>
      <c r="AM1271" s="41"/>
      <c r="AN1271" s="41"/>
      <c r="AO1271" s="41"/>
      <c r="AP1271" s="41"/>
      <c r="AQ1271" s="41"/>
      <c r="AR1271" s="41"/>
      <c r="AS1271" s="41"/>
    </row>
    <row r="1272" spans="1:45">
      <c r="A1272" s="38"/>
      <c r="B1272" s="38"/>
      <c r="C1272" s="38"/>
      <c r="D1272" s="38"/>
      <c r="E1272" s="49"/>
      <c r="F1272" s="49"/>
      <c r="G1272" s="38"/>
      <c r="H1272" s="49"/>
      <c r="I1272" s="49"/>
      <c r="J1272" s="49"/>
      <c r="K1272" s="49"/>
      <c r="L1272" s="41"/>
      <c r="M1272" s="41"/>
      <c r="N1272" s="41"/>
      <c r="O1272" s="41"/>
      <c r="P1272" s="43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1"/>
      <c r="AF1272" s="41"/>
      <c r="AG1272" s="41"/>
      <c r="AH1272" s="41"/>
      <c r="AI1272" s="41"/>
      <c r="AJ1272" s="41"/>
      <c r="AK1272" s="41"/>
      <c r="AL1272" s="41"/>
      <c r="AM1272" s="41"/>
      <c r="AN1272" s="41"/>
      <c r="AO1272" s="41"/>
      <c r="AP1272" s="41"/>
      <c r="AQ1272" s="41"/>
      <c r="AR1272" s="41"/>
      <c r="AS1272" s="41"/>
    </row>
    <row r="1273" spans="1:45">
      <c r="A1273" s="38"/>
      <c r="B1273" s="38"/>
      <c r="C1273" s="38"/>
      <c r="D1273" s="38"/>
      <c r="E1273" s="49"/>
      <c r="F1273" s="49"/>
      <c r="G1273" s="38"/>
      <c r="H1273" s="49"/>
      <c r="I1273" s="49"/>
      <c r="J1273" s="49"/>
      <c r="K1273" s="49"/>
      <c r="L1273" s="41"/>
      <c r="M1273" s="41"/>
      <c r="N1273" s="41"/>
      <c r="O1273" s="41"/>
      <c r="P1273" s="43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  <c r="AH1273" s="41"/>
      <c r="AI1273" s="41"/>
      <c r="AJ1273" s="41"/>
      <c r="AK1273" s="41"/>
      <c r="AL1273" s="41"/>
      <c r="AM1273" s="41"/>
      <c r="AN1273" s="41"/>
      <c r="AO1273" s="41"/>
      <c r="AP1273" s="41"/>
      <c r="AQ1273" s="41"/>
      <c r="AR1273" s="41"/>
      <c r="AS1273" s="41"/>
    </row>
    <row r="1274" spans="1:45">
      <c r="A1274" s="38"/>
      <c r="B1274" s="38"/>
      <c r="C1274" s="38"/>
      <c r="D1274" s="38"/>
      <c r="E1274" s="49"/>
      <c r="F1274" s="49"/>
      <c r="G1274" s="38"/>
      <c r="H1274" s="49"/>
      <c r="I1274" s="49"/>
      <c r="J1274" s="49"/>
      <c r="K1274" s="49"/>
      <c r="L1274" s="41"/>
      <c r="M1274" s="41"/>
      <c r="N1274" s="41"/>
      <c r="O1274" s="41"/>
      <c r="P1274" s="43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  <c r="AH1274" s="41"/>
      <c r="AI1274" s="41"/>
      <c r="AJ1274" s="41"/>
      <c r="AK1274" s="41"/>
      <c r="AL1274" s="41"/>
      <c r="AM1274" s="41"/>
      <c r="AN1274" s="41"/>
      <c r="AO1274" s="41"/>
      <c r="AP1274" s="41"/>
      <c r="AQ1274" s="41"/>
      <c r="AR1274" s="41"/>
      <c r="AS1274" s="41"/>
    </row>
    <row r="1275" spans="1:45">
      <c r="A1275" s="38"/>
      <c r="B1275" s="38"/>
      <c r="C1275" s="38"/>
      <c r="D1275" s="38"/>
      <c r="E1275" s="49"/>
      <c r="F1275" s="49"/>
      <c r="G1275" s="38"/>
      <c r="H1275" s="49"/>
      <c r="I1275" s="49"/>
      <c r="J1275" s="49"/>
      <c r="K1275" s="49"/>
      <c r="L1275" s="41"/>
      <c r="M1275" s="41"/>
      <c r="N1275" s="41"/>
      <c r="O1275" s="41"/>
      <c r="P1275" s="43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  <c r="AH1275" s="41"/>
      <c r="AI1275" s="41"/>
      <c r="AJ1275" s="41"/>
      <c r="AK1275" s="41"/>
      <c r="AL1275" s="41"/>
      <c r="AM1275" s="41"/>
      <c r="AN1275" s="41"/>
      <c r="AO1275" s="41"/>
      <c r="AP1275" s="41"/>
      <c r="AQ1275" s="41"/>
      <c r="AR1275" s="41"/>
      <c r="AS1275" s="41"/>
    </row>
    <row r="1276" spans="1:45">
      <c r="A1276" s="38"/>
      <c r="B1276" s="38"/>
      <c r="C1276" s="38"/>
      <c r="D1276" s="38"/>
      <c r="E1276" s="49"/>
      <c r="F1276" s="49"/>
      <c r="G1276" s="38"/>
      <c r="H1276" s="49"/>
      <c r="I1276" s="49"/>
      <c r="J1276" s="49"/>
      <c r="K1276" s="49"/>
      <c r="L1276" s="41"/>
      <c r="M1276" s="41"/>
      <c r="N1276" s="41"/>
      <c r="O1276" s="41"/>
      <c r="P1276" s="43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1"/>
      <c r="AF1276" s="41"/>
      <c r="AG1276" s="41"/>
      <c r="AH1276" s="41"/>
      <c r="AI1276" s="41"/>
      <c r="AJ1276" s="41"/>
      <c r="AK1276" s="41"/>
      <c r="AL1276" s="41"/>
      <c r="AM1276" s="41"/>
      <c r="AN1276" s="41"/>
      <c r="AO1276" s="41"/>
      <c r="AP1276" s="41"/>
      <c r="AQ1276" s="41"/>
      <c r="AR1276" s="41"/>
      <c r="AS1276" s="41"/>
    </row>
    <row r="1277" spans="1:45">
      <c r="A1277" s="38"/>
      <c r="B1277" s="38"/>
      <c r="C1277" s="38"/>
      <c r="D1277" s="38"/>
      <c r="E1277" s="49"/>
      <c r="F1277" s="49"/>
      <c r="G1277" s="38"/>
      <c r="H1277" s="49"/>
      <c r="I1277" s="49"/>
      <c r="J1277" s="49"/>
      <c r="K1277" s="49"/>
      <c r="L1277" s="41"/>
      <c r="M1277" s="41"/>
      <c r="N1277" s="41"/>
      <c r="O1277" s="41"/>
      <c r="P1277" s="43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1"/>
      <c r="AF1277" s="41"/>
      <c r="AG1277" s="41"/>
      <c r="AH1277" s="41"/>
      <c r="AI1277" s="41"/>
      <c r="AJ1277" s="41"/>
      <c r="AK1277" s="41"/>
      <c r="AL1277" s="41"/>
      <c r="AM1277" s="41"/>
      <c r="AN1277" s="41"/>
      <c r="AO1277" s="41"/>
      <c r="AP1277" s="41"/>
      <c r="AQ1277" s="41"/>
      <c r="AR1277" s="41"/>
      <c r="AS1277" s="41"/>
    </row>
    <row r="1278" spans="1:45">
      <c r="A1278" s="38"/>
      <c r="B1278" s="38"/>
      <c r="C1278" s="38"/>
      <c r="D1278" s="38"/>
      <c r="E1278" s="49"/>
      <c r="F1278" s="49"/>
      <c r="G1278" s="38"/>
      <c r="H1278" s="49"/>
      <c r="I1278" s="49"/>
      <c r="J1278" s="49"/>
      <c r="K1278" s="49"/>
      <c r="L1278" s="41"/>
      <c r="M1278" s="41"/>
      <c r="N1278" s="41"/>
      <c r="O1278" s="41"/>
      <c r="P1278" s="43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  <c r="AH1278" s="41"/>
      <c r="AI1278" s="41"/>
      <c r="AJ1278" s="41"/>
      <c r="AK1278" s="41"/>
      <c r="AL1278" s="41"/>
      <c r="AM1278" s="41"/>
      <c r="AN1278" s="41"/>
      <c r="AO1278" s="41"/>
      <c r="AP1278" s="41"/>
      <c r="AQ1278" s="41"/>
      <c r="AR1278" s="41"/>
      <c r="AS1278" s="41"/>
    </row>
    <row r="1279" spans="1:45">
      <c r="A1279" s="38"/>
      <c r="B1279" s="38"/>
      <c r="C1279" s="38"/>
      <c r="D1279" s="38"/>
      <c r="E1279" s="49"/>
      <c r="F1279" s="49"/>
      <c r="G1279" s="38"/>
      <c r="H1279" s="49"/>
      <c r="I1279" s="49"/>
      <c r="J1279" s="49"/>
      <c r="K1279" s="49"/>
      <c r="L1279" s="41"/>
      <c r="M1279" s="41"/>
      <c r="N1279" s="41"/>
      <c r="O1279" s="41"/>
      <c r="P1279" s="43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1"/>
      <c r="AF1279" s="41"/>
      <c r="AG1279" s="41"/>
      <c r="AH1279" s="41"/>
      <c r="AI1279" s="41"/>
      <c r="AJ1279" s="41"/>
      <c r="AK1279" s="41"/>
      <c r="AL1279" s="41"/>
      <c r="AM1279" s="41"/>
      <c r="AN1279" s="41"/>
      <c r="AO1279" s="41"/>
      <c r="AP1279" s="41"/>
      <c r="AQ1279" s="41"/>
      <c r="AR1279" s="41"/>
      <c r="AS1279" s="41"/>
    </row>
    <row r="1280" spans="1:45">
      <c r="A1280" s="38"/>
      <c r="B1280" s="38"/>
      <c r="C1280" s="38"/>
      <c r="D1280" s="38"/>
      <c r="E1280" s="49"/>
      <c r="F1280" s="49"/>
      <c r="G1280" s="38"/>
      <c r="H1280" s="49"/>
      <c r="I1280" s="49"/>
      <c r="J1280" s="49"/>
      <c r="K1280" s="49"/>
      <c r="L1280" s="41"/>
      <c r="M1280" s="41"/>
      <c r="N1280" s="41"/>
      <c r="O1280" s="41"/>
      <c r="P1280" s="43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  <c r="AH1280" s="41"/>
      <c r="AI1280" s="41"/>
      <c r="AJ1280" s="41"/>
      <c r="AK1280" s="41"/>
      <c r="AL1280" s="41"/>
      <c r="AM1280" s="41"/>
      <c r="AN1280" s="41"/>
      <c r="AO1280" s="41"/>
      <c r="AP1280" s="41"/>
      <c r="AQ1280" s="41"/>
      <c r="AR1280" s="41"/>
      <c r="AS1280" s="41"/>
    </row>
    <row r="1281" spans="1:45">
      <c r="A1281" s="38"/>
      <c r="B1281" s="38"/>
      <c r="C1281" s="38"/>
      <c r="D1281" s="38"/>
      <c r="E1281" s="49"/>
      <c r="F1281" s="49"/>
      <c r="G1281" s="38"/>
      <c r="H1281" s="49"/>
      <c r="I1281" s="49"/>
      <c r="J1281" s="49"/>
      <c r="K1281" s="49"/>
      <c r="L1281" s="41"/>
      <c r="M1281" s="41"/>
      <c r="N1281" s="41"/>
      <c r="O1281" s="41"/>
      <c r="P1281" s="43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1"/>
      <c r="AF1281" s="41"/>
      <c r="AG1281" s="41"/>
      <c r="AH1281" s="41"/>
      <c r="AI1281" s="41"/>
      <c r="AJ1281" s="41"/>
      <c r="AK1281" s="41"/>
      <c r="AL1281" s="41"/>
      <c r="AM1281" s="41"/>
      <c r="AN1281" s="41"/>
      <c r="AO1281" s="41"/>
      <c r="AP1281" s="41"/>
      <c r="AQ1281" s="41"/>
      <c r="AR1281" s="41"/>
      <c r="AS1281" s="41"/>
    </row>
    <row r="1282" spans="1:45">
      <c r="A1282" s="38"/>
      <c r="B1282" s="38"/>
      <c r="C1282" s="38"/>
      <c r="D1282" s="38"/>
      <c r="E1282" s="49"/>
      <c r="F1282" s="49"/>
      <c r="G1282" s="38"/>
      <c r="H1282" s="49"/>
      <c r="I1282" s="49"/>
      <c r="J1282" s="49"/>
      <c r="K1282" s="49"/>
      <c r="L1282" s="41"/>
      <c r="M1282" s="41"/>
      <c r="N1282" s="41"/>
      <c r="O1282" s="41"/>
      <c r="P1282" s="43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1"/>
      <c r="AF1282" s="41"/>
      <c r="AG1282" s="41"/>
      <c r="AH1282" s="41"/>
      <c r="AI1282" s="41"/>
      <c r="AJ1282" s="41"/>
      <c r="AK1282" s="41"/>
      <c r="AL1282" s="41"/>
      <c r="AM1282" s="41"/>
      <c r="AN1282" s="41"/>
      <c r="AO1282" s="41"/>
      <c r="AP1282" s="41"/>
      <c r="AQ1282" s="41"/>
      <c r="AR1282" s="41"/>
      <c r="AS1282" s="41"/>
    </row>
    <row r="1283" spans="1:45">
      <c r="A1283" s="38"/>
      <c r="B1283" s="38"/>
      <c r="C1283" s="38"/>
      <c r="D1283" s="38"/>
      <c r="E1283" s="49"/>
      <c r="F1283" s="49"/>
      <c r="G1283" s="38"/>
      <c r="H1283" s="49"/>
      <c r="I1283" s="49"/>
      <c r="J1283" s="49"/>
      <c r="K1283" s="49"/>
      <c r="L1283" s="41"/>
      <c r="M1283" s="41"/>
      <c r="N1283" s="41"/>
      <c r="O1283" s="41"/>
      <c r="P1283" s="43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  <c r="AH1283" s="41"/>
      <c r="AI1283" s="41"/>
      <c r="AJ1283" s="41"/>
      <c r="AK1283" s="41"/>
      <c r="AL1283" s="41"/>
      <c r="AM1283" s="41"/>
      <c r="AN1283" s="41"/>
      <c r="AO1283" s="41"/>
      <c r="AP1283" s="41"/>
      <c r="AQ1283" s="41"/>
      <c r="AR1283" s="41"/>
      <c r="AS1283" s="41"/>
    </row>
    <row r="1284" spans="1:45">
      <c r="A1284" s="38"/>
      <c r="B1284" s="38"/>
      <c r="C1284" s="38"/>
      <c r="D1284" s="38"/>
      <c r="E1284" s="49"/>
      <c r="F1284" s="49"/>
      <c r="G1284" s="38"/>
      <c r="H1284" s="49"/>
      <c r="I1284" s="49"/>
      <c r="J1284" s="49"/>
      <c r="K1284" s="49"/>
      <c r="L1284" s="41"/>
      <c r="M1284" s="41"/>
      <c r="N1284" s="41"/>
      <c r="O1284" s="41"/>
      <c r="P1284" s="43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  <c r="AH1284" s="41"/>
      <c r="AI1284" s="41"/>
      <c r="AJ1284" s="41"/>
      <c r="AK1284" s="41"/>
      <c r="AL1284" s="41"/>
      <c r="AM1284" s="41"/>
      <c r="AN1284" s="41"/>
      <c r="AO1284" s="41"/>
      <c r="AP1284" s="41"/>
      <c r="AQ1284" s="41"/>
      <c r="AR1284" s="41"/>
      <c r="AS1284" s="41"/>
    </row>
    <row r="1285" spans="1:45">
      <c r="A1285" s="38"/>
      <c r="B1285" s="38"/>
      <c r="C1285" s="38"/>
      <c r="D1285" s="38"/>
      <c r="E1285" s="49"/>
      <c r="F1285" s="49"/>
      <c r="G1285" s="38"/>
      <c r="H1285" s="49"/>
      <c r="I1285" s="49"/>
      <c r="J1285" s="49"/>
      <c r="K1285" s="49"/>
      <c r="L1285" s="41"/>
      <c r="M1285" s="41"/>
      <c r="N1285" s="41"/>
      <c r="O1285" s="41"/>
      <c r="P1285" s="43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I1285" s="41"/>
      <c r="AJ1285" s="41"/>
      <c r="AK1285" s="41"/>
      <c r="AL1285" s="41"/>
      <c r="AM1285" s="41"/>
      <c r="AN1285" s="41"/>
      <c r="AO1285" s="41"/>
      <c r="AP1285" s="41"/>
      <c r="AQ1285" s="41"/>
      <c r="AR1285" s="41"/>
      <c r="AS1285" s="41"/>
    </row>
    <row r="1286" spans="1:45">
      <c r="A1286" s="38"/>
      <c r="B1286" s="38"/>
      <c r="C1286" s="38"/>
      <c r="D1286" s="38"/>
      <c r="E1286" s="49"/>
      <c r="F1286" s="49"/>
      <c r="G1286" s="38"/>
      <c r="H1286" s="49"/>
      <c r="I1286" s="49"/>
      <c r="J1286" s="49"/>
      <c r="K1286" s="49"/>
      <c r="L1286" s="41"/>
      <c r="M1286" s="41"/>
      <c r="N1286" s="41"/>
      <c r="O1286" s="41"/>
      <c r="P1286" s="43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1"/>
      <c r="AF1286" s="41"/>
      <c r="AG1286" s="41"/>
      <c r="AH1286" s="41"/>
      <c r="AI1286" s="41"/>
      <c r="AJ1286" s="41"/>
      <c r="AK1286" s="41"/>
      <c r="AL1286" s="41"/>
      <c r="AM1286" s="41"/>
      <c r="AN1286" s="41"/>
      <c r="AO1286" s="41"/>
      <c r="AP1286" s="41"/>
      <c r="AQ1286" s="41"/>
      <c r="AR1286" s="41"/>
      <c r="AS1286" s="41"/>
    </row>
    <row r="1287" spans="1:45">
      <c r="A1287" s="38"/>
      <c r="B1287" s="38"/>
      <c r="C1287" s="38"/>
      <c r="D1287" s="38"/>
      <c r="E1287" s="49"/>
      <c r="F1287" s="49"/>
      <c r="G1287" s="38"/>
      <c r="H1287" s="49"/>
      <c r="I1287" s="49"/>
      <c r="J1287" s="49"/>
      <c r="K1287" s="49"/>
      <c r="L1287" s="41"/>
      <c r="M1287" s="41"/>
      <c r="N1287" s="41"/>
      <c r="O1287" s="41"/>
      <c r="P1287" s="43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1"/>
      <c r="AF1287" s="41"/>
      <c r="AG1287" s="41"/>
      <c r="AH1287" s="41"/>
      <c r="AI1287" s="41"/>
      <c r="AJ1287" s="41"/>
      <c r="AK1287" s="41"/>
      <c r="AL1287" s="41"/>
      <c r="AM1287" s="41"/>
      <c r="AN1287" s="41"/>
      <c r="AO1287" s="41"/>
      <c r="AP1287" s="41"/>
      <c r="AQ1287" s="41"/>
      <c r="AR1287" s="41"/>
      <c r="AS1287" s="41"/>
    </row>
    <row r="1288" spans="1:45">
      <c r="A1288" s="38"/>
      <c r="B1288" s="38"/>
      <c r="C1288" s="38"/>
      <c r="D1288" s="38"/>
      <c r="E1288" s="49"/>
      <c r="F1288" s="49"/>
      <c r="G1288" s="38"/>
      <c r="H1288" s="49"/>
      <c r="I1288" s="49"/>
      <c r="J1288" s="49"/>
      <c r="K1288" s="49"/>
      <c r="L1288" s="41"/>
      <c r="M1288" s="41"/>
      <c r="N1288" s="41"/>
      <c r="O1288" s="41"/>
      <c r="P1288" s="43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  <c r="AH1288" s="41"/>
      <c r="AI1288" s="41"/>
      <c r="AJ1288" s="41"/>
      <c r="AK1288" s="41"/>
      <c r="AL1288" s="41"/>
      <c r="AM1288" s="41"/>
      <c r="AN1288" s="41"/>
      <c r="AO1288" s="41"/>
      <c r="AP1288" s="41"/>
      <c r="AQ1288" s="41"/>
      <c r="AR1288" s="41"/>
      <c r="AS1288" s="41"/>
    </row>
    <row r="1289" spans="1:45">
      <c r="A1289" s="38"/>
      <c r="B1289" s="38"/>
      <c r="C1289" s="38"/>
      <c r="D1289" s="38"/>
      <c r="E1289" s="49"/>
      <c r="F1289" s="49"/>
      <c r="G1289" s="38"/>
      <c r="H1289" s="49"/>
      <c r="I1289" s="49"/>
      <c r="J1289" s="49"/>
      <c r="K1289" s="49"/>
      <c r="L1289" s="41"/>
      <c r="M1289" s="41"/>
      <c r="N1289" s="41"/>
      <c r="O1289" s="41"/>
      <c r="P1289" s="43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  <c r="AH1289" s="41"/>
      <c r="AI1289" s="41"/>
      <c r="AJ1289" s="41"/>
      <c r="AK1289" s="41"/>
      <c r="AL1289" s="41"/>
      <c r="AM1289" s="41"/>
      <c r="AN1289" s="41"/>
      <c r="AO1289" s="41"/>
      <c r="AP1289" s="41"/>
      <c r="AQ1289" s="41"/>
      <c r="AR1289" s="41"/>
      <c r="AS1289" s="41"/>
    </row>
    <row r="1290" spans="1:45">
      <c r="A1290" s="38"/>
      <c r="B1290" s="38"/>
      <c r="C1290" s="38"/>
      <c r="D1290" s="38"/>
      <c r="E1290" s="49"/>
      <c r="F1290" s="49"/>
      <c r="G1290" s="38"/>
      <c r="H1290" s="49"/>
      <c r="I1290" s="49"/>
      <c r="J1290" s="49"/>
      <c r="K1290" s="49"/>
      <c r="L1290" s="41"/>
      <c r="M1290" s="41"/>
      <c r="N1290" s="41"/>
      <c r="O1290" s="41"/>
      <c r="P1290" s="43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1"/>
      <c r="AF1290" s="41"/>
      <c r="AG1290" s="41"/>
      <c r="AH1290" s="41"/>
      <c r="AI1290" s="41"/>
      <c r="AJ1290" s="41"/>
      <c r="AK1290" s="41"/>
      <c r="AL1290" s="41"/>
      <c r="AM1290" s="41"/>
      <c r="AN1290" s="41"/>
      <c r="AO1290" s="41"/>
      <c r="AP1290" s="41"/>
      <c r="AQ1290" s="41"/>
      <c r="AR1290" s="41"/>
      <c r="AS1290" s="41"/>
    </row>
    <row r="1291" spans="1:45">
      <c r="A1291" s="38"/>
      <c r="B1291" s="38"/>
      <c r="C1291" s="38"/>
      <c r="D1291" s="38"/>
      <c r="E1291" s="49"/>
      <c r="F1291" s="49"/>
      <c r="G1291" s="38"/>
      <c r="H1291" s="49"/>
      <c r="I1291" s="49"/>
      <c r="J1291" s="49"/>
      <c r="K1291" s="49"/>
      <c r="L1291" s="41"/>
      <c r="M1291" s="41"/>
      <c r="N1291" s="41"/>
      <c r="O1291" s="41"/>
      <c r="P1291" s="43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1"/>
      <c r="AF1291" s="41"/>
      <c r="AG1291" s="41"/>
      <c r="AH1291" s="41"/>
      <c r="AI1291" s="41"/>
      <c r="AJ1291" s="41"/>
      <c r="AK1291" s="41"/>
      <c r="AL1291" s="41"/>
      <c r="AM1291" s="41"/>
      <c r="AN1291" s="41"/>
      <c r="AO1291" s="41"/>
      <c r="AP1291" s="41"/>
      <c r="AQ1291" s="41"/>
      <c r="AR1291" s="41"/>
      <c r="AS1291" s="41"/>
    </row>
    <row r="1292" spans="1:45">
      <c r="A1292" s="38"/>
      <c r="B1292" s="38"/>
      <c r="C1292" s="38"/>
      <c r="D1292" s="38"/>
      <c r="E1292" s="49"/>
      <c r="F1292" s="49"/>
      <c r="G1292" s="38"/>
      <c r="H1292" s="49"/>
      <c r="I1292" s="49"/>
      <c r="J1292" s="49"/>
      <c r="K1292" s="49"/>
      <c r="L1292" s="41"/>
      <c r="M1292" s="41"/>
      <c r="N1292" s="41"/>
      <c r="O1292" s="41"/>
      <c r="P1292" s="43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1"/>
      <c r="AF1292" s="41"/>
      <c r="AG1292" s="41"/>
      <c r="AH1292" s="41"/>
      <c r="AI1292" s="41"/>
      <c r="AJ1292" s="41"/>
      <c r="AK1292" s="41"/>
      <c r="AL1292" s="41"/>
      <c r="AM1292" s="41"/>
      <c r="AN1292" s="41"/>
      <c r="AO1292" s="41"/>
      <c r="AP1292" s="41"/>
      <c r="AQ1292" s="41"/>
      <c r="AR1292" s="41"/>
      <c r="AS1292" s="41"/>
    </row>
    <row r="1293" spans="1:45">
      <c r="A1293" s="38"/>
      <c r="B1293" s="38"/>
      <c r="C1293" s="38"/>
      <c r="D1293" s="38"/>
      <c r="E1293" s="49"/>
      <c r="F1293" s="49"/>
      <c r="G1293" s="38"/>
      <c r="H1293" s="49"/>
      <c r="I1293" s="49"/>
      <c r="J1293" s="49"/>
      <c r="K1293" s="49"/>
      <c r="L1293" s="41"/>
      <c r="M1293" s="41"/>
      <c r="N1293" s="41"/>
      <c r="O1293" s="41"/>
      <c r="P1293" s="43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1"/>
      <c r="AF1293" s="41"/>
      <c r="AG1293" s="41"/>
      <c r="AH1293" s="41"/>
      <c r="AI1293" s="41"/>
      <c r="AJ1293" s="41"/>
      <c r="AK1293" s="41"/>
      <c r="AL1293" s="41"/>
      <c r="AM1293" s="41"/>
      <c r="AN1293" s="41"/>
      <c r="AO1293" s="41"/>
      <c r="AP1293" s="41"/>
      <c r="AQ1293" s="41"/>
      <c r="AR1293" s="41"/>
      <c r="AS1293" s="41"/>
    </row>
    <row r="1294" spans="1:45">
      <c r="A1294" s="38"/>
      <c r="B1294" s="38"/>
      <c r="C1294" s="38"/>
      <c r="D1294" s="38"/>
      <c r="E1294" s="49"/>
      <c r="F1294" s="49"/>
      <c r="G1294" s="38"/>
      <c r="H1294" s="49"/>
      <c r="I1294" s="49"/>
      <c r="J1294" s="49"/>
      <c r="K1294" s="49"/>
      <c r="L1294" s="41"/>
      <c r="M1294" s="41"/>
      <c r="N1294" s="41"/>
      <c r="O1294" s="41"/>
      <c r="P1294" s="43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  <c r="AH1294" s="41"/>
      <c r="AI1294" s="41"/>
      <c r="AJ1294" s="41"/>
      <c r="AK1294" s="41"/>
      <c r="AL1294" s="41"/>
      <c r="AM1294" s="41"/>
      <c r="AN1294" s="41"/>
      <c r="AO1294" s="41"/>
      <c r="AP1294" s="41"/>
      <c r="AQ1294" s="41"/>
      <c r="AR1294" s="41"/>
      <c r="AS1294" s="41"/>
    </row>
    <row r="1295" spans="1:45">
      <c r="A1295" s="38"/>
      <c r="B1295" s="38"/>
      <c r="C1295" s="38"/>
      <c r="D1295" s="38"/>
      <c r="E1295" s="49"/>
      <c r="F1295" s="49"/>
      <c r="G1295" s="38"/>
      <c r="H1295" s="49"/>
      <c r="I1295" s="49"/>
      <c r="J1295" s="49"/>
      <c r="K1295" s="49"/>
      <c r="L1295" s="41"/>
      <c r="M1295" s="41"/>
      <c r="N1295" s="41"/>
      <c r="O1295" s="41"/>
      <c r="P1295" s="43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  <c r="AH1295" s="41"/>
      <c r="AI1295" s="41"/>
      <c r="AJ1295" s="41"/>
      <c r="AK1295" s="41"/>
      <c r="AL1295" s="41"/>
      <c r="AM1295" s="41"/>
      <c r="AN1295" s="41"/>
      <c r="AO1295" s="41"/>
      <c r="AP1295" s="41"/>
      <c r="AQ1295" s="41"/>
      <c r="AR1295" s="41"/>
      <c r="AS1295" s="41"/>
    </row>
    <row r="1296" spans="1:45">
      <c r="A1296" s="38"/>
      <c r="B1296" s="38"/>
      <c r="C1296" s="38"/>
      <c r="D1296" s="38"/>
      <c r="E1296" s="49"/>
      <c r="F1296" s="49"/>
      <c r="G1296" s="38"/>
      <c r="H1296" s="49"/>
      <c r="I1296" s="49"/>
      <c r="J1296" s="49"/>
      <c r="K1296" s="49"/>
      <c r="L1296" s="41"/>
      <c r="M1296" s="41"/>
      <c r="N1296" s="41"/>
      <c r="O1296" s="41"/>
      <c r="P1296" s="43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1"/>
      <c r="AF1296" s="41"/>
      <c r="AG1296" s="41"/>
      <c r="AH1296" s="41"/>
      <c r="AI1296" s="41"/>
      <c r="AJ1296" s="41"/>
      <c r="AK1296" s="41"/>
      <c r="AL1296" s="41"/>
      <c r="AM1296" s="41"/>
      <c r="AN1296" s="41"/>
      <c r="AO1296" s="41"/>
      <c r="AP1296" s="41"/>
      <c r="AQ1296" s="41"/>
      <c r="AR1296" s="41"/>
      <c r="AS1296" s="41"/>
    </row>
    <row r="1297" spans="1:45">
      <c r="A1297" s="38"/>
      <c r="B1297" s="38"/>
      <c r="C1297" s="38"/>
      <c r="D1297" s="38"/>
      <c r="E1297" s="49"/>
      <c r="F1297" s="49"/>
      <c r="G1297" s="38"/>
      <c r="H1297" s="49"/>
      <c r="I1297" s="49"/>
      <c r="J1297" s="49"/>
      <c r="K1297" s="49"/>
      <c r="L1297" s="41"/>
      <c r="M1297" s="41"/>
      <c r="N1297" s="41"/>
      <c r="O1297" s="41"/>
      <c r="P1297" s="43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1"/>
      <c r="AF1297" s="41"/>
      <c r="AG1297" s="41"/>
      <c r="AH1297" s="41"/>
      <c r="AI1297" s="41"/>
      <c r="AJ1297" s="41"/>
      <c r="AK1297" s="41"/>
      <c r="AL1297" s="41"/>
      <c r="AM1297" s="41"/>
      <c r="AN1297" s="41"/>
      <c r="AO1297" s="41"/>
      <c r="AP1297" s="41"/>
      <c r="AQ1297" s="41"/>
      <c r="AR1297" s="41"/>
      <c r="AS1297" s="41"/>
    </row>
    <row r="1298" spans="1:45">
      <c r="A1298" s="38"/>
      <c r="B1298" s="38"/>
      <c r="C1298" s="38"/>
      <c r="D1298" s="38"/>
      <c r="E1298" s="49"/>
      <c r="F1298" s="49"/>
      <c r="G1298" s="38"/>
      <c r="H1298" s="49"/>
      <c r="I1298" s="49"/>
      <c r="J1298" s="49"/>
      <c r="K1298" s="49"/>
      <c r="L1298" s="41"/>
      <c r="M1298" s="41"/>
      <c r="N1298" s="41"/>
      <c r="O1298" s="41"/>
      <c r="P1298" s="43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1"/>
      <c r="AF1298" s="41"/>
      <c r="AG1298" s="41"/>
      <c r="AH1298" s="41"/>
      <c r="AI1298" s="41"/>
      <c r="AJ1298" s="41"/>
      <c r="AK1298" s="41"/>
      <c r="AL1298" s="41"/>
      <c r="AM1298" s="41"/>
      <c r="AN1298" s="41"/>
      <c r="AO1298" s="41"/>
      <c r="AP1298" s="41"/>
      <c r="AQ1298" s="41"/>
      <c r="AR1298" s="41"/>
      <c r="AS1298" s="41"/>
    </row>
    <row r="1299" spans="1:45">
      <c r="A1299" s="38"/>
      <c r="B1299" s="38"/>
      <c r="C1299" s="38"/>
      <c r="D1299" s="38"/>
      <c r="E1299" s="49"/>
      <c r="F1299" s="49"/>
      <c r="G1299" s="38"/>
      <c r="H1299" s="49"/>
      <c r="I1299" s="49"/>
      <c r="J1299" s="49"/>
      <c r="K1299" s="49"/>
      <c r="L1299" s="41"/>
      <c r="M1299" s="41"/>
      <c r="N1299" s="41"/>
      <c r="O1299" s="41"/>
      <c r="P1299" s="43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  <c r="AH1299" s="41"/>
      <c r="AI1299" s="41"/>
      <c r="AJ1299" s="41"/>
      <c r="AK1299" s="41"/>
      <c r="AL1299" s="41"/>
      <c r="AM1299" s="41"/>
      <c r="AN1299" s="41"/>
      <c r="AO1299" s="41"/>
      <c r="AP1299" s="41"/>
      <c r="AQ1299" s="41"/>
      <c r="AR1299" s="41"/>
      <c r="AS1299" s="41"/>
    </row>
    <row r="1300" spans="1:45">
      <c r="A1300" s="38"/>
      <c r="B1300" s="38"/>
      <c r="C1300" s="38"/>
      <c r="D1300" s="38"/>
      <c r="E1300" s="49"/>
      <c r="F1300" s="49"/>
      <c r="G1300" s="38"/>
      <c r="H1300" s="49"/>
      <c r="I1300" s="49"/>
      <c r="J1300" s="49"/>
      <c r="K1300" s="49"/>
      <c r="L1300" s="41"/>
      <c r="M1300" s="41"/>
      <c r="N1300" s="41"/>
      <c r="O1300" s="41"/>
      <c r="P1300" s="43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1"/>
      <c r="AF1300" s="41"/>
      <c r="AG1300" s="41"/>
      <c r="AH1300" s="41"/>
      <c r="AI1300" s="41"/>
      <c r="AJ1300" s="41"/>
      <c r="AK1300" s="41"/>
      <c r="AL1300" s="41"/>
      <c r="AM1300" s="41"/>
      <c r="AN1300" s="41"/>
      <c r="AO1300" s="41"/>
      <c r="AP1300" s="41"/>
      <c r="AQ1300" s="41"/>
      <c r="AR1300" s="41"/>
      <c r="AS1300" s="41"/>
    </row>
    <row r="1301" spans="1:45">
      <c r="A1301" s="38"/>
      <c r="B1301" s="38"/>
      <c r="C1301" s="38"/>
      <c r="D1301" s="38"/>
      <c r="E1301" s="49"/>
      <c r="F1301" s="49"/>
      <c r="G1301" s="38"/>
      <c r="H1301" s="49"/>
      <c r="I1301" s="49"/>
      <c r="J1301" s="49"/>
      <c r="K1301" s="49"/>
      <c r="L1301" s="41"/>
      <c r="M1301" s="41"/>
      <c r="N1301" s="41"/>
      <c r="O1301" s="41"/>
      <c r="P1301" s="43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1"/>
      <c r="AF1301" s="41"/>
      <c r="AG1301" s="41"/>
      <c r="AH1301" s="41"/>
      <c r="AI1301" s="41"/>
      <c r="AJ1301" s="41"/>
      <c r="AK1301" s="41"/>
      <c r="AL1301" s="41"/>
      <c r="AM1301" s="41"/>
      <c r="AN1301" s="41"/>
      <c r="AO1301" s="41"/>
      <c r="AP1301" s="41"/>
      <c r="AQ1301" s="41"/>
      <c r="AR1301" s="41"/>
      <c r="AS1301" s="41"/>
    </row>
    <row r="1302" spans="1:45">
      <c r="A1302" s="38"/>
      <c r="B1302" s="38"/>
      <c r="C1302" s="38"/>
      <c r="D1302" s="38"/>
      <c r="E1302" s="49"/>
      <c r="F1302" s="49"/>
      <c r="G1302" s="38"/>
      <c r="H1302" s="49"/>
      <c r="I1302" s="49"/>
      <c r="J1302" s="49"/>
      <c r="K1302" s="49"/>
      <c r="L1302" s="41"/>
      <c r="M1302" s="41"/>
      <c r="N1302" s="41"/>
      <c r="O1302" s="41"/>
      <c r="P1302" s="43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1"/>
      <c r="AF1302" s="41"/>
      <c r="AG1302" s="41"/>
      <c r="AH1302" s="41"/>
      <c r="AI1302" s="41"/>
      <c r="AJ1302" s="41"/>
      <c r="AK1302" s="41"/>
      <c r="AL1302" s="41"/>
      <c r="AM1302" s="41"/>
      <c r="AN1302" s="41"/>
      <c r="AO1302" s="41"/>
      <c r="AP1302" s="41"/>
      <c r="AQ1302" s="41"/>
      <c r="AR1302" s="41"/>
      <c r="AS1302" s="41"/>
    </row>
    <row r="1303" spans="1:45">
      <c r="A1303" s="38"/>
      <c r="B1303" s="38"/>
      <c r="C1303" s="38"/>
      <c r="D1303" s="38"/>
      <c r="E1303" s="49"/>
      <c r="F1303" s="49"/>
      <c r="G1303" s="38"/>
      <c r="H1303" s="49"/>
      <c r="I1303" s="49"/>
      <c r="J1303" s="49"/>
      <c r="K1303" s="49"/>
      <c r="L1303" s="41"/>
      <c r="M1303" s="41"/>
      <c r="N1303" s="41"/>
      <c r="O1303" s="41"/>
      <c r="P1303" s="43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1"/>
      <c r="AF1303" s="41"/>
      <c r="AG1303" s="41"/>
      <c r="AH1303" s="41"/>
      <c r="AI1303" s="41"/>
      <c r="AJ1303" s="41"/>
      <c r="AK1303" s="41"/>
      <c r="AL1303" s="41"/>
      <c r="AM1303" s="41"/>
      <c r="AN1303" s="41"/>
      <c r="AO1303" s="41"/>
      <c r="AP1303" s="41"/>
      <c r="AQ1303" s="41"/>
      <c r="AR1303" s="41"/>
      <c r="AS1303" s="41"/>
    </row>
    <row r="1304" spans="1:45">
      <c r="A1304" s="38"/>
      <c r="B1304" s="38"/>
      <c r="C1304" s="38"/>
      <c r="D1304" s="38"/>
      <c r="E1304" s="49"/>
      <c r="F1304" s="49"/>
      <c r="G1304" s="38"/>
      <c r="H1304" s="49"/>
      <c r="I1304" s="49"/>
      <c r="J1304" s="49"/>
      <c r="K1304" s="49"/>
      <c r="L1304" s="41"/>
      <c r="M1304" s="41"/>
      <c r="N1304" s="41"/>
      <c r="O1304" s="41"/>
      <c r="P1304" s="43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  <c r="AH1304" s="41"/>
      <c r="AI1304" s="41"/>
      <c r="AJ1304" s="41"/>
      <c r="AK1304" s="41"/>
      <c r="AL1304" s="41"/>
      <c r="AM1304" s="41"/>
      <c r="AN1304" s="41"/>
      <c r="AO1304" s="41"/>
      <c r="AP1304" s="41"/>
      <c r="AQ1304" s="41"/>
      <c r="AR1304" s="41"/>
      <c r="AS1304" s="41"/>
    </row>
    <row r="1305" spans="1:45">
      <c r="A1305" s="38"/>
      <c r="B1305" s="38"/>
      <c r="C1305" s="38"/>
      <c r="D1305" s="38"/>
      <c r="E1305" s="49"/>
      <c r="F1305" s="49"/>
      <c r="G1305" s="38"/>
      <c r="H1305" s="49"/>
      <c r="I1305" s="49"/>
      <c r="J1305" s="49"/>
      <c r="K1305" s="49"/>
      <c r="L1305" s="41"/>
      <c r="M1305" s="41"/>
      <c r="N1305" s="41"/>
      <c r="O1305" s="41"/>
      <c r="P1305" s="43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  <c r="AH1305" s="41"/>
      <c r="AI1305" s="41"/>
      <c r="AJ1305" s="41"/>
      <c r="AK1305" s="41"/>
      <c r="AL1305" s="41"/>
      <c r="AM1305" s="41"/>
      <c r="AN1305" s="41"/>
      <c r="AO1305" s="41"/>
      <c r="AP1305" s="41"/>
      <c r="AQ1305" s="41"/>
      <c r="AR1305" s="41"/>
      <c r="AS1305" s="41"/>
    </row>
    <row r="1306" spans="1:45">
      <c r="A1306" s="38"/>
      <c r="B1306" s="38"/>
      <c r="C1306" s="38"/>
      <c r="D1306" s="38"/>
      <c r="E1306" s="49"/>
      <c r="F1306" s="49"/>
      <c r="G1306" s="38"/>
      <c r="H1306" s="49"/>
      <c r="I1306" s="49"/>
      <c r="J1306" s="49"/>
      <c r="K1306" s="49"/>
      <c r="L1306" s="41"/>
      <c r="M1306" s="41"/>
      <c r="N1306" s="41"/>
      <c r="O1306" s="41"/>
      <c r="P1306" s="43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1"/>
      <c r="AF1306" s="41"/>
      <c r="AG1306" s="41"/>
      <c r="AH1306" s="41"/>
      <c r="AI1306" s="41"/>
      <c r="AJ1306" s="41"/>
      <c r="AK1306" s="41"/>
      <c r="AL1306" s="41"/>
      <c r="AM1306" s="41"/>
      <c r="AN1306" s="41"/>
      <c r="AO1306" s="41"/>
      <c r="AP1306" s="41"/>
      <c r="AQ1306" s="41"/>
      <c r="AR1306" s="41"/>
      <c r="AS1306" s="41"/>
    </row>
    <row r="1307" spans="1:45">
      <c r="A1307" s="38"/>
      <c r="B1307" s="38"/>
      <c r="C1307" s="38"/>
      <c r="D1307" s="38"/>
      <c r="E1307" s="49"/>
      <c r="F1307" s="49"/>
      <c r="G1307" s="38"/>
      <c r="H1307" s="49"/>
      <c r="I1307" s="49"/>
      <c r="J1307" s="49"/>
      <c r="K1307" s="49"/>
      <c r="L1307" s="41"/>
      <c r="M1307" s="41"/>
      <c r="N1307" s="41"/>
      <c r="O1307" s="41"/>
      <c r="P1307" s="43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  <c r="AH1307" s="41"/>
      <c r="AI1307" s="41"/>
      <c r="AJ1307" s="41"/>
      <c r="AK1307" s="41"/>
      <c r="AL1307" s="41"/>
      <c r="AM1307" s="41"/>
      <c r="AN1307" s="41"/>
      <c r="AO1307" s="41"/>
      <c r="AP1307" s="41"/>
      <c r="AQ1307" s="41"/>
      <c r="AR1307" s="41"/>
      <c r="AS1307" s="41"/>
    </row>
    <row r="1308" spans="1:45">
      <c r="A1308" s="38"/>
      <c r="B1308" s="38"/>
      <c r="C1308" s="38"/>
      <c r="D1308" s="38"/>
      <c r="E1308" s="49"/>
      <c r="F1308" s="49"/>
      <c r="G1308" s="38"/>
      <c r="H1308" s="49"/>
      <c r="I1308" s="49"/>
      <c r="J1308" s="49"/>
      <c r="K1308" s="49"/>
      <c r="L1308" s="41"/>
      <c r="M1308" s="41"/>
      <c r="N1308" s="41"/>
      <c r="O1308" s="41"/>
      <c r="P1308" s="43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  <c r="AH1308" s="41"/>
      <c r="AI1308" s="41"/>
      <c r="AJ1308" s="41"/>
      <c r="AK1308" s="41"/>
      <c r="AL1308" s="41"/>
      <c r="AM1308" s="41"/>
      <c r="AN1308" s="41"/>
      <c r="AO1308" s="41"/>
      <c r="AP1308" s="41"/>
      <c r="AQ1308" s="41"/>
      <c r="AR1308" s="41"/>
      <c r="AS1308" s="41"/>
    </row>
    <row r="1309" spans="1:45">
      <c r="A1309" s="38"/>
      <c r="B1309" s="38"/>
      <c r="C1309" s="38"/>
      <c r="D1309" s="38"/>
      <c r="E1309" s="49"/>
      <c r="F1309" s="49"/>
      <c r="G1309" s="38"/>
      <c r="H1309" s="49"/>
      <c r="I1309" s="49"/>
      <c r="J1309" s="49"/>
      <c r="K1309" s="49"/>
      <c r="L1309" s="41"/>
      <c r="M1309" s="41"/>
      <c r="N1309" s="41"/>
      <c r="O1309" s="41"/>
      <c r="P1309" s="43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  <c r="AH1309" s="41"/>
      <c r="AI1309" s="41"/>
      <c r="AJ1309" s="41"/>
      <c r="AK1309" s="41"/>
      <c r="AL1309" s="41"/>
      <c r="AM1309" s="41"/>
      <c r="AN1309" s="41"/>
      <c r="AO1309" s="41"/>
      <c r="AP1309" s="41"/>
      <c r="AQ1309" s="41"/>
      <c r="AR1309" s="41"/>
      <c r="AS1309" s="41"/>
    </row>
    <row r="1310" spans="1:45">
      <c r="A1310" s="38"/>
      <c r="B1310" s="38"/>
      <c r="C1310" s="38"/>
      <c r="D1310" s="38"/>
      <c r="E1310" s="49"/>
      <c r="F1310" s="49"/>
      <c r="G1310" s="38"/>
      <c r="H1310" s="49"/>
      <c r="I1310" s="49"/>
      <c r="J1310" s="49"/>
      <c r="K1310" s="49"/>
      <c r="L1310" s="41"/>
      <c r="M1310" s="41"/>
      <c r="N1310" s="41"/>
      <c r="O1310" s="41"/>
      <c r="P1310" s="43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1"/>
      <c r="AF1310" s="41"/>
      <c r="AG1310" s="41"/>
      <c r="AH1310" s="41"/>
      <c r="AI1310" s="41"/>
      <c r="AJ1310" s="41"/>
      <c r="AK1310" s="41"/>
      <c r="AL1310" s="41"/>
      <c r="AM1310" s="41"/>
      <c r="AN1310" s="41"/>
      <c r="AO1310" s="41"/>
      <c r="AP1310" s="41"/>
      <c r="AQ1310" s="41"/>
      <c r="AR1310" s="41"/>
      <c r="AS1310" s="41"/>
    </row>
    <row r="1311" spans="1:45">
      <c r="A1311" s="38"/>
      <c r="B1311" s="38"/>
      <c r="C1311" s="38"/>
      <c r="D1311" s="38"/>
      <c r="E1311" s="49"/>
      <c r="F1311" s="49"/>
      <c r="G1311" s="38"/>
      <c r="H1311" s="49"/>
      <c r="I1311" s="49"/>
      <c r="J1311" s="49"/>
      <c r="K1311" s="49"/>
      <c r="L1311" s="41"/>
      <c r="M1311" s="41"/>
      <c r="N1311" s="41"/>
      <c r="O1311" s="41"/>
      <c r="P1311" s="43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1"/>
      <c r="AF1311" s="41"/>
      <c r="AG1311" s="41"/>
      <c r="AH1311" s="41"/>
      <c r="AI1311" s="41"/>
      <c r="AJ1311" s="41"/>
      <c r="AK1311" s="41"/>
      <c r="AL1311" s="41"/>
      <c r="AM1311" s="41"/>
      <c r="AN1311" s="41"/>
      <c r="AO1311" s="41"/>
      <c r="AP1311" s="41"/>
      <c r="AQ1311" s="41"/>
      <c r="AR1311" s="41"/>
      <c r="AS1311" s="41"/>
    </row>
    <row r="1312" spans="1:45">
      <c r="A1312" s="38"/>
      <c r="B1312" s="38"/>
      <c r="C1312" s="38"/>
      <c r="D1312" s="38"/>
      <c r="E1312" s="49"/>
      <c r="F1312" s="49"/>
      <c r="G1312" s="38"/>
      <c r="H1312" s="49"/>
      <c r="I1312" s="49"/>
      <c r="J1312" s="49"/>
      <c r="K1312" s="49"/>
      <c r="L1312" s="41"/>
      <c r="M1312" s="41"/>
      <c r="N1312" s="41"/>
      <c r="O1312" s="41"/>
      <c r="P1312" s="43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  <c r="AH1312" s="41"/>
      <c r="AI1312" s="41"/>
      <c r="AJ1312" s="41"/>
      <c r="AK1312" s="41"/>
      <c r="AL1312" s="41"/>
      <c r="AM1312" s="41"/>
      <c r="AN1312" s="41"/>
      <c r="AO1312" s="41"/>
      <c r="AP1312" s="41"/>
      <c r="AQ1312" s="41"/>
      <c r="AR1312" s="41"/>
      <c r="AS1312" s="41"/>
    </row>
    <row r="1313" spans="1:45">
      <c r="A1313" s="38"/>
      <c r="B1313" s="38"/>
      <c r="C1313" s="38"/>
      <c r="D1313" s="38"/>
      <c r="E1313" s="49"/>
      <c r="F1313" s="49"/>
      <c r="G1313" s="38"/>
      <c r="H1313" s="49"/>
      <c r="I1313" s="49"/>
      <c r="J1313" s="49"/>
      <c r="K1313" s="49"/>
      <c r="L1313" s="41"/>
      <c r="M1313" s="41"/>
      <c r="N1313" s="41"/>
      <c r="O1313" s="41"/>
      <c r="P1313" s="43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  <c r="AH1313" s="41"/>
      <c r="AI1313" s="41"/>
      <c r="AJ1313" s="41"/>
      <c r="AK1313" s="41"/>
      <c r="AL1313" s="41"/>
      <c r="AM1313" s="41"/>
      <c r="AN1313" s="41"/>
      <c r="AO1313" s="41"/>
      <c r="AP1313" s="41"/>
      <c r="AQ1313" s="41"/>
      <c r="AR1313" s="41"/>
      <c r="AS1313" s="41"/>
    </row>
    <row r="1314" spans="1:45">
      <c r="A1314" s="38"/>
      <c r="B1314" s="38"/>
      <c r="C1314" s="38"/>
      <c r="D1314" s="38"/>
      <c r="E1314" s="49"/>
      <c r="F1314" s="49"/>
      <c r="G1314" s="38"/>
      <c r="H1314" s="49"/>
      <c r="I1314" s="49"/>
      <c r="J1314" s="49"/>
      <c r="K1314" s="49"/>
      <c r="L1314" s="41"/>
      <c r="M1314" s="41"/>
      <c r="N1314" s="41"/>
      <c r="O1314" s="41"/>
      <c r="P1314" s="43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  <c r="AH1314" s="41"/>
      <c r="AI1314" s="41"/>
      <c r="AJ1314" s="41"/>
      <c r="AK1314" s="41"/>
      <c r="AL1314" s="41"/>
      <c r="AM1314" s="41"/>
      <c r="AN1314" s="41"/>
      <c r="AO1314" s="41"/>
      <c r="AP1314" s="41"/>
      <c r="AQ1314" s="41"/>
      <c r="AR1314" s="41"/>
      <c r="AS1314" s="41"/>
    </row>
    <row r="1315" spans="1:45">
      <c r="A1315" s="38"/>
      <c r="B1315" s="38"/>
      <c r="C1315" s="38"/>
      <c r="D1315" s="38"/>
      <c r="E1315" s="49"/>
      <c r="F1315" s="49"/>
      <c r="G1315" s="38"/>
      <c r="H1315" s="49"/>
      <c r="I1315" s="49"/>
      <c r="J1315" s="49"/>
      <c r="K1315" s="49"/>
      <c r="L1315" s="41"/>
      <c r="M1315" s="41"/>
      <c r="N1315" s="41"/>
      <c r="O1315" s="41"/>
      <c r="P1315" s="43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1"/>
      <c r="AF1315" s="41"/>
      <c r="AG1315" s="41"/>
      <c r="AH1315" s="41"/>
      <c r="AI1315" s="41"/>
      <c r="AJ1315" s="41"/>
      <c r="AK1315" s="41"/>
      <c r="AL1315" s="41"/>
      <c r="AM1315" s="41"/>
      <c r="AN1315" s="41"/>
      <c r="AO1315" s="41"/>
      <c r="AP1315" s="41"/>
      <c r="AQ1315" s="41"/>
      <c r="AR1315" s="41"/>
      <c r="AS1315" s="41"/>
    </row>
    <row r="1316" spans="1:45">
      <c r="A1316" s="38"/>
      <c r="B1316" s="38"/>
      <c r="C1316" s="38"/>
      <c r="D1316" s="38"/>
      <c r="E1316" s="49"/>
      <c r="F1316" s="49"/>
      <c r="G1316" s="38"/>
      <c r="H1316" s="49"/>
      <c r="I1316" s="49"/>
      <c r="J1316" s="49"/>
      <c r="K1316" s="49"/>
      <c r="L1316" s="41"/>
      <c r="M1316" s="41"/>
      <c r="N1316" s="41"/>
      <c r="O1316" s="41"/>
      <c r="P1316" s="43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1"/>
      <c r="AF1316" s="41"/>
      <c r="AG1316" s="41"/>
      <c r="AH1316" s="41"/>
      <c r="AI1316" s="41"/>
      <c r="AJ1316" s="41"/>
      <c r="AK1316" s="41"/>
      <c r="AL1316" s="41"/>
      <c r="AM1316" s="41"/>
      <c r="AN1316" s="41"/>
      <c r="AO1316" s="41"/>
      <c r="AP1316" s="41"/>
      <c r="AQ1316" s="41"/>
      <c r="AR1316" s="41"/>
      <c r="AS1316" s="41"/>
    </row>
    <row r="1317" spans="1:45">
      <c r="A1317" s="38"/>
      <c r="B1317" s="38"/>
      <c r="C1317" s="38"/>
      <c r="D1317" s="38"/>
      <c r="E1317" s="49"/>
      <c r="F1317" s="49"/>
      <c r="G1317" s="38"/>
      <c r="H1317" s="49"/>
      <c r="I1317" s="49"/>
      <c r="J1317" s="49"/>
      <c r="K1317" s="49"/>
      <c r="L1317" s="41"/>
      <c r="M1317" s="41"/>
      <c r="N1317" s="41"/>
      <c r="O1317" s="41"/>
      <c r="P1317" s="43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  <c r="AH1317" s="41"/>
      <c r="AI1317" s="41"/>
      <c r="AJ1317" s="41"/>
      <c r="AK1317" s="41"/>
      <c r="AL1317" s="41"/>
      <c r="AM1317" s="41"/>
      <c r="AN1317" s="41"/>
      <c r="AO1317" s="41"/>
      <c r="AP1317" s="41"/>
      <c r="AQ1317" s="41"/>
      <c r="AR1317" s="41"/>
      <c r="AS1317" s="41"/>
    </row>
    <row r="1318" spans="1:45">
      <c r="A1318" s="38"/>
      <c r="B1318" s="38"/>
      <c r="C1318" s="38"/>
      <c r="D1318" s="38"/>
      <c r="E1318" s="49"/>
      <c r="F1318" s="49"/>
      <c r="G1318" s="38"/>
      <c r="H1318" s="49"/>
      <c r="I1318" s="49"/>
      <c r="J1318" s="49"/>
      <c r="K1318" s="49"/>
      <c r="L1318" s="41"/>
      <c r="M1318" s="41"/>
      <c r="N1318" s="41"/>
      <c r="O1318" s="41"/>
      <c r="P1318" s="43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1"/>
      <c r="AF1318" s="41"/>
      <c r="AG1318" s="41"/>
      <c r="AH1318" s="41"/>
      <c r="AI1318" s="41"/>
      <c r="AJ1318" s="41"/>
      <c r="AK1318" s="41"/>
      <c r="AL1318" s="41"/>
      <c r="AM1318" s="41"/>
      <c r="AN1318" s="41"/>
      <c r="AO1318" s="41"/>
      <c r="AP1318" s="41"/>
      <c r="AQ1318" s="41"/>
      <c r="AR1318" s="41"/>
      <c r="AS1318" s="41"/>
    </row>
    <row r="1319" spans="1:45">
      <c r="A1319" s="38"/>
      <c r="B1319" s="38"/>
      <c r="C1319" s="38"/>
      <c r="D1319" s="38"/>
      <c r="E1319" s="49"/>
      <c r="F1319" s="49"/>
      <c r="G1319" s="38"/>
      <c r="H1319" s="49"/>
      <c r="I1319" s="49"/>
      <c r="J1319" s="49"/>
      <c r="K1319" s="49"/>
      <c r="L1319" s="41"/>
      <c r="M1319" s="41"/>
      <c r="N1319" s="41"/>
      <c r="O1319" s="41"/>
      <c r="P1319" s="43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1"/>
      <c r="AF1319" s="41"/>
      <c r="AG1319" s="41"/>
      <c r="AH1319" s="41"/>
      <c r="AI1319" s="41"/>
      <c r="AJ1319" s="41"/>
      <c r="AK1319" s="41"/>
      <c r="AL1319" s="41"/>
      <c r="AM1319" s="41"/>
      <c r="AN1319" s="41"/>
      <c r="AO1319" s="41"/>
      <c r="AP1319" s="41"/>
      <c r="AQ1319" s="41"/>
      <c r="AR1319" s="41"/>
      <c r="AS1319" s="41"/>
    </row>
    <row r="1320" spans="1:45">
      <c r="A1320" s="38"/>
      <c r="B1320" s="38"/>
      <c r="C1320" s="38"/>
      <c r="D1320" s="38"/>
      <c r="E1320" s="49"/>
      <c r="F1320" s="49"/>
      <c r="G1320" s="38"/>
      <c r="H1320" s="49"/>
      <c r="I1320" s="49"/>
      <c r="J1320" s="49"/>
      <c r="K1320" s="49"/>
      <c r="L1320" s="41"/>
      <c r="M1320" s="41"/>
      <c r="N1320" s="41"/>
      <c r="O1320" s="41"/>
      <c r="P1320" s="43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1"/>
      <c r="AF1320" s="41"/>
      <c r="AG1320" s="41"/>
      <c r="AH1320" s="41"/>
      <c r="AI1320" s="41"/>
      <c r="AJ1320" s="41"/>
      <c r="AK1320" s="41"/>
      <c r="AL1320" s="41"/>
      <c r="AM1320" s="41"/>
      <c r="AN1320" s="41"/>
      <c r="AO1320" s="41"/>
      <c r="AP1320" s="41"/>
      <c r="AQ1320" s="41"/>
      <c r="AR1320" s="41"/>
      <c r="AS1320" s="41"/>
    </row>
    <row r="1321" spans="1:45">
      <c r="A1321" s="38"/>
      <c r="B1321" s="38"/>
      <c r="C1321" s="38"/>
      <c r="D1321" s="38"/>
      <c r="E1321" s="49"/>
      <c r="F1321" s="49"/>
      <c r="G1321" s="38"/>
      <c r="H1321" s="49"/>
      <c r="I1321" s="49"/>
      <c r="J1321" s="49"/>
      <c r="K1321" s="49"/>
      <c r="L1321" s="41"/>
      <c r="M1321" s="41"/>
      <c r="N1321" s="41"/>
      <c r="O1321" s="41"/>
      <c r="P1321" s="43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1"/>
      <c r="AF1321" s="41"/>
      <c r="AG1321" s="41"/>
      <c r="AH1321" s="41"/>
      <c r="AI1321" s="41"/>
      <c r="AJ1321" s="41"/>
      <c r="AK1321" s="41"/>
      <c r="AL1321" s="41"/>
      <c r="AM1321" s="41"/>
      <c r="AN1321" s="41"/>
      <c r="AO1321" s="41"/>
      <c r="AP1321" s="41"/>
      <c r="AQ1321" s="41"/>
      <c r="AR1321" s="41"/>
      <c r="AS1321" s="41"/>
    </row>
    <row r="1322" spans="1:45">
      <c r="A1322" s="38"/>
      <c r="B1322" s="38"/>
      <c r="C1322" s="38"/>
      <c r="D1322" s="38"/>
      <c r="E1322" s="49"/>
      <c r="F1322" s="49"/>
      <c r="G1322" s="38"/>
      <c r="H1322" s="49"/>
      <c r="I1322" s="49"/>
      <c r="J1322" s="49"/>
      <c r="K1322" s="49"/>
      <c r="L1322" s="41"/>
      <c r="M1322" s="41"/>
      <c r="N1322" s="41"/>
      <c r="O1322" s="41"/>
      <c r="P1322" s="43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1"/>
      <c r="AF1322" s="41"/>
      <c r="AG1322" s="41"/>
      <c r="AH1322" s="41"/>
      <c r="AI1322" s="41"/>
      <c r="AJ1322" s="41"/>
      <c r="AK1322" s="41"/>
      <c r="AL1322" s="41"/>
      <c r="AM1322" s="41"/>
      <c r="AN1322" s="41"/>
      <c r="AO1322" s="41"/>
      <c r="AP1322" s="41"/>
      <c r="AQ1322" s="41"/>
      <c r="AR1322" s="41"/>
      <c r="AS1322" s="41"/>
    </row>
    <row r="1323" spans="1:45">
      <c r="A1323" s="38"/>
      <c r="B1323" s="38"/>
      <c r="C1323" s="38"/>
      <c r="D1323" s="38"/>
      <c r="E1323" s="49"/>
      <c r="F1323" s="49"/>
      <c r="G1323" s="38"/>
      <c r="H1323" s="49"/>
      <c r="I1323" s="49"/>
      <c r="J1323" s="49"/>
      <c r="K1323" s="49"/>
      <c r="L1323" s="41"/>
      <c r="M1323" s="41"/>
      <c r="N1323" s="41"/>
      <c r="O1323" s="41"/>
      <c r="P1323" s="43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1"/>
      <c r="AF1323" s="41"/>
      <c r="AG1323" s="41"/>
      <c r="AH1323" s="41"/>
      <c r="AI1323" s="41"/>
      <c r="AJ1323" s="41"/>
      <c r="AK1323" s="41"/>
      <c r="AL1323" s="41"/>
      <c r="AM1323" s="41"/>
      <c r="AN1323" s="41"/>
      <c r="AO1323" s="41"/>
      <c r="AP1323" s="41"/>
      <c r="AQ1323" s="41"/>
      <c r="AR1323" s="41"/>
      <c r="AS1323" s="41"/>
    </row>
    <row r="1324" spans="1:45">
      <c r="A1324" s="38"/>
      <c r="B1324" s="38"/>
      <c r="C1324" s="38"/>
      <c r="D1324" s="38"/>
      <c r="E1324" s="49"/>
      <c r="F1324" s="49"/>
      <c r="G1324" s="38"/>
      <c r="H1324" s="49"/>
      <c r="I1324" s="49"/>
      <c r="J1324" s="49"/>
      <c r="K1324" s="49"/>
      <c r="L1324" s="41"/>
      <c r="M1324" s="41"/>
      <c r="N1324" s="41"/>
      <c r="O1324" s="41"/>
      <c r="P1324" s="43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  <c r="AH1324" s="41"/>
      <c r="AI1324" s="41"/>
      <c r="AJ1324" s="41"/>
      <c r="AK1324" s="41"/>
      <c r="AL1324" s="41"/>
      <c r="AM1324" s="41"/>
      <c r="AN1324" s="41"/>
      <c r="AO1324" s="41"/>
      <c r="AP1324" s="41"/>
      <c r="AQ1324" s="41"/>
      <c r="AR1324" s="41"/>
      <c r="AS1324" s="41"/>
    </row>
    <row r="1325" spans="1:45">
      <c r="A1325" s="38"/>
      <c r="B1325" s="38"/>
      <c r="C1325" s="38"/>
      <c r="D1325" s="38"/>
      <c r="E1325" s="49"/>
      <c r="F1325" s="49"/>
      <c r="G1325" s="38"/>
      <c r="H1325" s="49"/>
      <c r="I1325" s="49"/>
      <c r="J1325" s="49"/>
      <c r="K1325" s="49"/>
      <c r="L1325" s="41"/>
      <c r="M1325" s="41"/>
      <c r="N1325" s="41"/>
      <c r="O1325" s="41"/>
      <c r="P1325" s="43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  <c r="AH1325" s="41"/>
      <c r="AI1325" s="41"/>
      <c r="AJ1325" s="41"/>
      <c r="AK1325" s="41"/>
      <c r="AL1325" s="41"/>
      <c r="AM1325" s="41"/>
      <c r="AN1325" s="41"/>
      <c r="AO1325" s="41"/>
      <c r="AP1325" s="41"/>
      <c r="AQ1325" s="41"/>
      <c r="AR1325" s="41"/>
      <c r="AS1325" s="41"/>
    </row>
    <row r="1326" spans="1:45">
      <c r="A1326" s="38"/>
      <c r="B1326" s="38"/>
      <c r="C1326" s="38"/>
      <c r="D1326" s="38"/>
      <c r="E1326" s="49"/>
      <c r="F1326" s="49"/>
      <c r="G1326" s="38"/>
      <c r="H1326" s="49"/>
      <c r="I1326" s="49"/>
      <c r="J1326" s="49"/>
      <c r="K1326" s="49"/>
      <c r="L1326" s="41"/>
      <c r="M1326" s="41"/>
      <c r="N1326" s="41"/>
      <c r="O1326" s="41"/>
      <c r="P1326" s="43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  <c r="AH1326" s="41"/>
      <c r="AI1326" s="41"/>
      <c r="AJ1326" s="41"/>
      <c r="AK1326" s="41"/>
      <c r="AL1326" s="41"/>
      <c r="AM1326" s="41"/>
      <c r="AN1326" s="41"/>
      <c r="AO1326" s="41"/>
      <c r="AP1326" s="41"/>
      <c r="AQ1326" s="41"/>
      <c r="AR1326" s="41"/>
      <c r="AS1326" s="41"/>
    </row>
    <row r="1327" spans="1:45">
      <c r="A1327" s="38"/>
      <c r="B1327" s="38"/>
      <c r="C1327" s="38"/>
      <c r="D1327" s="38"/>
      <c r="E1327" s="49"/>
      <c r="F1327" s="49"/>
      <c r="G1327" s="38"/>
      <c r="H1327" s="49"/>
      <c r="I1327" s="49"/>
      <c r="J1327" s="49"/>
      <c r="K1327" s="49"/>
      <c r="L1327" s="41"/>
      <c r="M1327" s="41"/>
      <c r="N1327" s="41"/>
      <c r="O1327" s="41"/>
      <c r="P1327" s="43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1"/>
      <c r="AF1327" s="41"/>
      <c r="AG1327" s="41"/>
      <c r="AH1327" s="41"/>
      <c r="AI1327" s="41"/>
      <c r="AJ1327" s="41"/>
      <c r="AK1327" s="41"/>
      <c r="AL1327" s="41"/>
      <c r="AM1327" s="41"/>
      <c r="AN1327" s="41"/>
      <c r="AO1327" s="41"/>
      <c r="AP1327" s="41"/>
      <c r="AQ1327" s="41"/>
      <c r="AR1327" s="41"/>
      <c r="AS1327" s="41"/>
    </row>
    <row r="1328" spans="1:45">
      <c r="A1328" s="38"/>
      <c r="B1328" s="38"/>
      <c r="C1328" s="38"/>
      <c r="D1328" s="38"/>
      <c r="E1328" s="49"/>
      <c r="F1328" s="49"/>
      <c r="G1328" s="38"/>
      <c r="H1328" s="49"/>
      <c r="I1328" s="49"/>
      <c r="J1328" s="49"/>
      <c r="K1328" s="49"/>
      <c r="L1328" s="41"/>
      <c r="M1328" s="41"/>
      <c r="N1328" s="41"/>
      <c r="O1328" s="41"/>
      <c r="P1328" s="43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1"/>
      <c r="AF1328" s="41"/>
      <c r="AG1328" s="41"/>
      <c r="AH1328" s="41"/>
      <c r="AI1328" s="41"/>
      <c r="AJ1328" s="41"/>
      <c r="AK1328" s="41"/>
      <c r="AL1328" s="41"/>
      <c r="AM1328" s="41"/>
      <c r="AN1328" s="41"/>
      <c r="AO1328" s="41"/>
      <c r="AP1328" s="41"/>
      <c r="AQ1328" s="41"/>
      <c r="AR1328" s="41"/>
      <c r="AS1328" s="41"/>
    </row>
    <row r="1329" spans="1:45">
      <c r="A1329" s="38"/>
      <c r="B1329" s="38"/>
      <c r="C1329" s="38"/>
      <c r="D1329" s="38"/>
      <c r="E1329" s="49"/>
      <c r="F1329" s="49"/>
      <c r="G1329" s="38"/>
      <c r="H1329" s="49"/>
      <c r="I1329" s="49"/>
      <c r="J1329" s="49"/>
      <c r="K1329" s="49"/>
      <c r="L1329" s="41"/>
      <c r="M1329" s="41"/>
      <c r="N1329" s="41"/>
      <c r="O1329" s="41"/>
      <c r="P1329" s="43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1"/>
      <c r="AF1329" s="41"/>
      <c r="AG1329" s="41"/>
      <c r="AH1329" s="41"/>
      <c r="AI1329" s="41"/>
      <c r="AJ1329" s="41"/>
      <c r="AK1329" s="41"/>
      <c r="AL1329" s="41"/>
      <c r="AM1329" s="41"/>
      <c r="AN1329" s="41"/>
      <c r="AO1329" s="41"/>
      <c r="AP1329" s="41"/>
      <c r="AQ1329" s="41"/>
      <c r="AR1329" s="41"/>
      <c r="AS1329" s="41"/>
    </row>
    <row r="1330" spans="1:45">
      <c r="A1330" s="38"/>
      <c r="B1330" s="38"/>
      <c r="C1330" s="38"/>
      <c r="D1330" s="38"/>
      <c r="E1330" s="49"/>
      <c r="F1330" s="49"/>
      <c r="G1330" s="38"/>
      <c r="H1330" s="49"/>
      <c r="I1330" s="49"/>
      <c r="J1330" s="49"/>
      <c r="K1330" s="49"/>
      <c r="L1330" s="41"/>
      <c r="M1330" s="41"/>
      <c r="N1330" s="41"/>
      <c r="O1330" s="41"/>
      <c r="P1330" s="43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  <c r="AH1330" s="41"/>
      <c r="AI1330" s="41"/>
      <c r="AJ1330" s="41"/>
      <c r="AK1330" s="41"/>
      <c r="AL1330" s="41"/>
      <c r="AM1330" s="41"/>
      <c r="AN1330" s="41"/>
      <c r="AO1330" s="41"/>
      <c r="AP1330" s="41"/>
      <c r="AQ1330" s="41"/>
      <c r="AR1330" s="41"/>
      <c r="AS1330" s="41"/>
    </row>
    <row r="1331" spans="1:45">
      <c r="A1331" s="38"/>
      <c r="B1331" s="38"/>
      <c r="C1331" s="38"/>
      <c r="D1331" s="38"/>
      <c r="E1331" s="49"/>
      <c r="F1331" s="49"/>
      <c r="G1331" s="38"/>
      <c r="H1331" s="49"/>
      <c r="I1331" s="49"/>
      <c r="J1331" s="49"/>
      <c r="K1331" s="49"/>
      <c r="L1331" s="41"/>
      <c r="M1331" s="41"/>
      <c r="N1331" s="41"/>
      <c r="O1331" s="41"/>
      <c r="P1331" s="43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1"/>
      <c r="AF1331" s="41"/>
      <c r="AG1331" s="41"/>
      <c r="AH1331" s="41"/>
      <c r="AI1331" s="41"/>
      <c r="AJ1331" s="41"/>
      <c r="AK1331" s="41"/>
      <c r="AL1331" s="41"/>
      <c r="AM1331" s="41"/>
      <c r="AN1331" s="41"/>
      <c r="AO1331" s="41"/>
      <c r="AP1331" s="41"/>
      <c r="AQ1331" s="41"/>
      <c r="AR1331" s="41"/>
      <c r="AS1331" s="41"/>
    </row>
    <row r="1332" spans="1:45">
      <c r="A1332" s="38"/>
      <c r="B1332" s="38"/>
      <c r="C1332" s="38"/>
      <c r="D1332" s="38"/>
      <c r="E1332" s="49"/>
      <c r="F1332" s="49"/>
      <c r="G1332" s="38"/>
      <c r="H1332" s="49"/>
      <c r="I1332" s="49"/>
      <c r="J1332" s="49"/>
      <c r="K1332" s="49"/>
      <c r="L1332" s="41"/>
      <c r="M1332" s="41"/>
      <c r="N1332" s="41"/>
      <c r="O1332" s="41"/>
      <c r="P1332" s="43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  <c r="AH1332" s="41"/>
      <c r="AI1332" s="41"/>
      <c r="AJ1332" s="41"/>
      <c r="AK1332" s="41"/>
      <c r="AL1332" s="41"/>
      <c r="AM1332" s="41"/>
      <c r="AN1332" s="41"/>
      <c r="AO1332" s="41"/>
      <c r="AP1332" s="41"/>
      <c r="AQ1332" s="41"/>
      <c r="AR1332" s="41"/>
      <c r="AS1332" s="41"/>
    </row>
    <row r="1333" spans="1:45">
      <c r="A1333" s="38"/>
      <c r="B1333" s="38"/>
      <c r="C1333" s="38"/>
      <c r="D1333" s="38"/>
      <c r="E1333" s="49"/>
      <c r="F1333" s="49"/>
      <c r="G1333" s="38"/>
      <c r="H1333" s="49"/>
      <c r="I1333" s="49"/>
      <c r="J1333" s="49"/>
      <c r="K1333" s="49"/>
      <c r="L1333" s="41"/>
      <c r="M1333" s="41"/>
      <c r="N1333" s="41"/>
      <c r="O1333" s="41"/>
      <c r="P1333" s="43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1"/>
      <c r="AF1333" s="41"/>
      <c r="AG1333" s="41"/>
      <c r="AH1333" s="41"/>
      <c r="AI1333" s="41"/>
      <c r="AJ1333" s="41"/>
      <c r="AK1333" s="41"/>
      <c r="AL1333" s="41"/>
      <c r="AM1333" s="41"/>
      <c r="AN1333" s="41"/>
      <c r="AO1333" s="41"/>
      <c r="AP1333" s="41"/>
      <c r="AQ1333" s="41"/>
      <c r="AR1333" s="41"/>
      <c r="AS1333" s="41"/>
    </row>
    <row r="1334" spans="1:45">
      <c r="A1334" s="38"/>
      <c r="B1334" s="38"/>
      <c r="C1334" s="38"/>
      <c r="D1334" s="38"/>
      <c r="E1334" s="49"/>
      <c r="F1334" s="49"/>
      <c r="G1334" s="38"/>
      <c r="H1334" s="49"/>
      <c r="I1334" s="49"/>
      <c r="J1334" s="49"/>
      <c r="K1334" s="49"/>
      <c r="L1334" s="41"/>
      <c r="M1334" s="41"/>
      <c r="N1334" s="41"/>
      <c r="O1334" s="41"/>
      <c r="P1334" s="43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  <c r="AH1334" s="41"/>
      <c r="AI1334" s="41"/>
      <c r="AJ1334" s="41"/>
      <c r="AK1334" s="41"/>
      <c r="AL1334" s="41"/>
      <c r="AM1334" s="41"/>
      <c r="AN1334" s="41"/>
      <c r="AO1334" s="41"/>
      <c r="AP1334" s="41"/>
      <c r="AQ1334" s="41"/>
      <c r="AR1334" s="41"/>
      <c r="AS1334" s="41"/>
    </row>
    <row r="1335" spans="1:45">
      <c r="A1335" s="38"/>
      <c r="B1335" s="38"/>
      <c r="C1335" s="38"/>
      <c r="D1335" s="38"/>
      <c r="E1335" s="49"/>
      <c r="F1335" s="49"/>
      <c r="G1335" s="38"/>
      <c r="H1335" s="49"/>
      <c r="I1335" s="49"/>
      <c r="J1335" s="49"/>
      <c r="K1335" s="49"/>
      <c r="L1335" s="41"/>
      <c r="M1335" s="41"/>
      <c r="N1335" s="41"/>
      <c r="O1335" s="41"/>
      <c r="P1335" s="43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1"/>
      <c r="AF1335" s="41"/>
      <c r="AG1335" s="41"/>
      <c r="AH1335" s="41"/>
      <c r="AI1335" s="41"/>
      <c r="AJ1335" s="41"/>
      <c r="AK1335" s="41"/>
      <c r="AL1335" s="41"/>
      <c r="AM1335" s="41"/>
      <c r="AN1335" s="41"/>
      <c r="AO1335" s="41"/>
      <c r="AP1335" s="41"/>
      <c r="AQ1335" s="41"/>
      <c r="AR1335" s="41"/>
      <c r="AS1335" s="41"/>
    </row>
    <row r="1336" spans="1:45">
      <c r="A1336" s="38"/>
      <c r="B1336" s="38"/>
      <c r="C1336" s="38"/>
      <c r="D1336" s="38"/>
      <c r="E1336" s="49"/>
      <c r="F1336" s="49"/>
      <c r="G1336" s="38"/>
      <c r="H1336" s="49"/>
      <c r="I1336" s="49"/>
      <c r="J1336" s="49"/>
      <c r="K1336" s="49"/>
      <c r="L1336" s="41"/>
      <c r="M1336" s="41"/>
      <c r="N1336" s="41"/>
      <c r="O1336" s="41"/>
      <c r="P1336" s="43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1"/>
      <c r="AF1336" s="41"/>
      <c r="AG1336" s="41"/>
      <c r="AH1336" s="41"/>
      <c r="AI1336" s="41"/>
      <c r="AJ1336" s="41"/>
      <c r="AK1336" s="41"/>
      <c r="AL1336" s="41"/>
      <c r="AM1336" s="41"/>
      <c r="AN1336" s="41"/>
      <c r="AO1336" s="41"/>
      <c r="AP1336" s="41"/>
      <c r="AQ1336" s="41"/>
      <c r="AR1336" s="41"/>
      <c r="AS1336" s="41"/>
    </row>
    <row r="1337" spans="1:45">
      <c r="A1337" s="38"/>
      <c r="B1337" s="38"/>
      <c r="C1337" s="38"/>
      <c r="D1337" s="38"/>
      <c r="E1337" s="49"/>
      <c r="F1337" s="49"/>
      <c r="G1337" s="38"/>
      <c r="H1337" s="49"/>
      <c r="I1337" s="49"/>
      <c r="J1337" s="49"/>
      <c r="K1337" s="49"/>
      <c r="L1337" s="41"/>
      <c r="M1337" s="41"/>
      <c r="N1337" s="41"/>
      <c r="O1337" s="41"/>
      <c r="P1337" s="43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1"/>
      <c r="AF1337" s="41"/>
      <c r="AG1337" s="41"/>
      <c r="AH1337" s="41"/>
      <c r="AI1337" s="41"/>
      <c r="AJ1337" s="41"/>
      <c r="AK1337" s="41"/>
      <c r="AL1337" s="41"/>
      <c r="AM1337" s="41"/>
      <c r="AN1337" s="41"/>
      <c r="AO1337" s="41"/>
      <c r="AP1337" s="41"/>
      <c r="AQ1337" s="41"/>
      <c r="AR1337" s="41"/>
      <c r="AS1337" s="41"/>
    </row>
    <row r="1338" spans="1:45">
      <c r="A1338" s="38"/>
      <c r="B1338" s="38"/>
      <c r="C1338" s="38"/>
      <c r="D1338" s="38"/>
      <c r="E1338" s="49"/>
      <c r="F1338" s="49"/>
      <c r="G1338" s="38"/>
      <c r="H1338" s="49"/>
      <c r="I1338" s="49"/>
      <c r="J1338" s="49"/>
      <c r="K1338" s="49"/>
      <c r="L1338" s="41"/>
      <c r="M1338" s="41"/>
      <c r="N1338" s="41"/>
      <c r="O1338" s="41"/>
      <c r="P1338" s="43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1"/>
      <c r="AF1338" s="41"/>
      <c r="AG1338" s="41"/>
      <c r="AH1338" s="41"/>
      <c r="AI1338" s="41"/>
      <c r="AJ1338" s="41"/>
      <c r="AK1338" s="41"/>
      <c r="AL1338" s="41"/>
      <c r="AM1338" s="41"/>
      <c r="AN1338" s="41"/>
      <c r="AO1338" s="41"/>
      <c r="AP1338" s="41"/>
      <c r="AQ1338" s="41"/>
      <c r="AR1338" s="41"/>
      <c r="AS1338" s="41"/>
    </row>
    <row r="1339" spans="1:45">
      <c r="A1339" s="38"/>
      <c r="B1339" s="38"/>
      <c r="C1339" s="38"/>
      <c r="D1339" s="38"/>
      <c r="E1339" s="49"/>
      <c r="F1339" s="49"/>
      <c r="G1339" s="38"/>
      <c r="H1339" s="49"/>
      <c r="I1339" s="49"/>
      <c r="J1339" s="49"/>
      <c r="K1339" s="49"/>
      <c r="L1339" s="41"/>
      <c r="M1339" s="41"/>
      <c r="N1339" s="41"/>
      <c r="O1339" s="41"/>
      <c r="P1339" s="43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  <c r="AH1339" s="41"/>
      <c r="AI1339" s="41"/>
      <c r="AJ1339" s="41"/>
      <c r="AK1339" s="41"/>
      <c r="AL1339" s="41"/>
      <c r="AM1339" s="41"/>
      <c r="AN1339" s="41"/>
      <c r="AO1339" s="41"/>
      <c r="AP1339" s="41"/>
      <c r="AQ1339" s="41"/>
      <c r="AR1339" s="41"/>
      <c r="AS1339" s="41"/>
    </row>
    <row r="1340" spans="1:45">
      <c r="A1340" s="38"/>
      <c r="B1340" s="38"/>
      <c r="C1340" s="38"/>
      <c r="D1340" s="38"/>
      <c r="E1340" s="49"/>
      <c r="F1340" s="49"/>
      <c r="G1340" s="38"/>
      <c r="H1340" s="49"/>
      <c r="I1340" s="49"/>
      <c r="J1340" s="49"/>
      <c r="K1340" s="49"/>
      <c r="L1340" s="41"/>
      <c r="M1340" s="41"/>
      <c r="N1340" s="41"/>
      <c r="O1340" s="41"/>
      <c r="P1340" s="43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1"/>
      <c r="AF1340" s="41"/>
      <c r="AG1340" s="41"/>
      <c r="AH1340" s="41"/>
      <c r="AI1340" s="41"/>
      <c r="AJ1340" s="41"/>
      <c r="AK1340" s="41"/>
      <c r="AL1340" s="41"/>
      <c r="AM1340" s="41"/>
      <c r="AN1340" s="41"/>
      <c r="AO1340" s="41"/>
      <c r="AP1340" s="41"/>
      <c r="AQ1340" s="41"/>
      <c r="AR1340" s="41"/>
      <c r="AS1340" s="41"/>
    </row>
    <row r="1341" spans="1:45">
      <c r="A1341" s="38"/>
      <c r="B1341" s="38"/>
      <c r="C1341" s="38"/>
      <c r="D1341" s="38"/>
      <c r="E1341" s="49"/>
      <c r="F1341" s="49"/>
      <c r="G1341" s="38"/>
      <c r="H1341" s="49"/>
      <c r="I1341" s="49"/>
      <c r="J1341" s="49"/>
      <c r="K1341" s="49"/>
      <c r="L1341" s="41"/>
      <c r="M1341" s="41"/>
      <c r="N1341" s="41"/>
      <c r="O1341" s="41"/>
      <c r="P1341" s="43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1"/>
      <c r="AF1341" s="41"/>
      <c r="AG1341" s="41"/>
      <c r="AH1341" s="41"/>
      <c r="AI1341" s="41"/>
      <c r="AJ1341" s="41"/>
      <c r="AK1341" s="41"/>
      <c r="AL1341" s="41"/>
      <c r="AM1341" s="41"/>
      <c r="AN1341" s="41"/>
      <c r="AO1341" s="41"/>
      <c r="AP1341" s="41"/>
      <c r="AQ1341" s="41"/>
      <c r="AR1341" s="41"/>
      <c r="AS1341" s="41"/>
    </row>
    <row r="1342" spans="1:45">
      <c r="A1342" s="38"/>
      <c r="B1342" s="38"/>
      <c r="C1342" s="38"/>
      <c r="D1342" s="38"/>
      <c r="E1342" s="49"/>
      <c r="F1342" s="49"/>
      <c r="G1342" s="38"/>
      <c r="H1342" s="49"/>
      <c r="I1342" s="49"/>
      <c r="J1342" s="49"/>
      <c r="K1342" s="49"/>
      <c r="L1342" s="41"/>
      <c r="M1342" s="41"/>
      <c r="N1342" s="41"/>
      <c r="O1342" s="41"/>
      <c r="P1342" s="43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  <c r="AH1342" s="41"/>
      <c r="AI1342" s="41"/>
      <c r="AJ1342" s="41"/>
      <c r="AK1342" s="41"/>
      <c r="AL1342" s="41"/>
      <c r="AM1342" s="41"/>
      <c r="AN1342" s="41"/>
      <c r="AO1342" s="41"/>
      <c r="AP1342" s="41"/>
      <c r="AQ1342" s="41"/>
      <c r="AR1342" s="41"/>
      <c r="AS1342" s="41"/>
    </row>
    <row r="1343" spans="1:45">
      <c r="A1343" s="38"/>
      <c r="B1343" s="38"/>
      <c r="C1343" s="38"/>
      <c r="D1343" s="38"/>
      <c r="E1343" s="49"/>
      <c r="F1343" s="49"/>
      <c r="G1343" s="38"/>
      <c r="H1343" s="49"/>
      <c r="I1343" s="49"/>
      <c r="J1343" s="49"/>
      <c r="K1343" s="49"/>
      <c r="L1343" s="41"/>
      <c r="M1343" s="41"/>
      <c r="N1343" s="41"/>
      <c r="O1343" s="41"/>
      <c r="P1343" s="43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1"/>
      <c r="AF1343" s="41"/>
      <c r="AG1343" s="41"/>
      <c r="AH1343" s="41"/>
      <c r="AI1343" s="41"/>
      <c r="AJ1343" s="41"/>
      <c r="AK1343" s="41"/>
      <c r="AL1343" s="41"/>
      <c r="AM1343" s="41"/>
      <c r="AN1343" s="41"/>
      <c r="AO1343" s="41"/>
      <c r="AP1343" s="41"/>
      <c r="AQ1343" s="41"/>
      <c r="AR1343" s="41"/>
      <c r="AS1343" s="41"/>
    </row>
    <row r="1344" spans="1:45">
      <c r="A1344" s="38"/>
      <c r="B1344" s="38"/>
      <c r="C1344" s="38"/>
      <c r="D1344" s="38"/>
      <c r="E1344" s="49"/>
      <c r="F1344" s="49"/>
      <c r="G1344" s="38"/>
      <c r="H1344" s="49"/>
      <c r="I1344" s="49"/>
      <c r="J1344" s="49"/>
      <c r="K1344" s="49"/>
      <c r="L1344" s="41"/>
      <c r="M1344" s="41"/>
      <c r="N1344" s="41"/>
      <c r="O1344" s="41"/>
      <c r="P1344" s="43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1"/>
      <c r="AF1344" s="41"/>
      <c r="AG1344" s="41"/>
      <c r="AH1344" s="41"/>
      <c r="AI1344" s="41"/>
      <c r="AJ1344" s="41"/>
      <c r="AK1344" s="41"/>
      <c r="AL1344" s="41"/>
      <c r="AM1344" s="41"/>
      <c r="AN1344" s="41"/>
      <c r="AO1344" s="41"/>
      <c r="AP1344" s="41"/>
      <c r="AQ1344" s="41"/>
      <c r="AR1344" s="41"/>
      <c r="AS1344" s="41"/>
    </row>
    <row r="1345" spans="1:45">
      <c r="A1345" s="38"/>
      <c r="B1345" s="38"/>
      <c r="C1345" s="38"/>
      <c r="D1345" s="38"/>
      <c r="E1345" s="49"/>
      <c r="F1345" s="49"/>
      <c r="G1345" s="38"/>
      <c r="H1345" s="49"/>
      <c r="I1345" s="49"/>
      <c r="J1345" s="49"/>
      <c r="K1345" s="49"/>
      <c r="L1345" s="41"/>
      <c r="M1345" s="41"/>
      <c r="N1345" s="41"/>
      <c r="O1345" s="41"/>
      <c r="P1345" s="43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  <c r="AH1345" s="41"/>
      <c r="AI1345" s="41"/>
      <c r="AJ1345" s="41"/>
      <c r="AK1345" s="41"/>
      <c r="AL1345" s="41"/>
      <c r="AM1345" s="41"/>
      <c r="AN1345" s="41"/>
      <c r="AO1345" s="41"/>
      <c r="AP1345" s="41"/>
      <c r="AQ1345" s="41"/>
      <c r="AR1345" s="41"/>
      <c r="AS1345" s="41"/>
    </row>
    <row r="1346" spans="1:45">
      <c r="A1346" s="38"/>
      <c r="B1346" s="38"/>
      <c r="C1346" s="38"/>
      <c r="D1346" s="38"/>
      <c r="E1346" s="49"/>
      <c r="F1346" s="49"/>
      <c r="G1346" s="38"/>
      <c r="H1346" s="49"/>
      <c r="I1346" s="49"/>
      <c r="J1346" s="49"/>
      <c r="K1346" s="49"/>
      <c r="L1346" s="41"/>
      <c r="M1346" s="41"/>
      <c r="N1346" s="41"/>
      <c r="O1346" s="41"/>
      <c r="P1346" s="43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1"/>
      <c r="AF1346" s="41"/>
      <c r="AG1346" s="41"/>
      <c r="AH1346" s="41"/>
      <c r="AI1346" s="41"/>
      <c r="AJ1346" s="41"/>
      <c r="AK1346" s="41"/>
      <c r="AL1346" s="41"/>
      <c r="AM1346" s="41"/>
      <c r="AN1346" s="41"/>
      <c r="AO1346" s="41"/>
      <c r="AP1346" s="41"/>
      <c r="AQ1346" s="41"/>
      <c r="AR1346" s="41"/>
      <c r="AS1346" s="41"/>
    </row>
    <row r="1347" spans="1:45">
      <c r="A1347" s="38"/>
      <c r="B1347" s="38"/>
      <c r="C1347" s="38"/>
      <c r="D1347" s="38"/>
      <c r="E1347" s="49"/>
      <c r="F1347" s="49"/>
      <c r="G1347" s="38"/>
      <c r="H1347" s="49"/>
      <c r="I1347" s="49"/>
      <c r="J1347" s="49"/>
      <c r="K1347" s="49"/>
      <c r="L1347" s="41"/>
      <c r="M1347" s="41"/>
      <c r="N1347" s="41"/>
      <c r="O1347" s="41"/>
      <c r="P1347" s="43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1"/>
      <c r="AF1347" s="41"/>
      <c r="AG1347" s="41"/>
      <c r="AH1347" s="41"/>
      <c r="AI1347" s="41"/>
      <c r="AJ1347" s="41"/>
      <c r="AK1347" s="41"/>
      <c r="AL1347" s="41"/>
      <c r="AM1347" s="41"/>
      <c r="AN1347" s="41"/>
      <c r="AO1347" s="41"/>
      <c r="AP1347" s="41"/>
      <c r="AQ1347" s="41"/>
      <c r="AR1347" s="41"/>
      <c r="AS1347" s="41"/>
    </row>
    <row r="1348" spans="1:45">
      <c r="A1348" s="38"/>
      <c r="B1348" s="38"/>
      <c r="C1348" s="38"/>
      <c r="D1348" s="38"/>
      <c r="E1348" s="49"/>
      <c r="F1348" s="49"/>
      <c r="G1348" s="38"/>
      <c r="H1348" s="49"/>
      <c r="I1348" s="49"/>
      <c r="J1348" s="49"/>
      <c r="K1348" s="49"/>
      <c r="L1348" s="41"/>
      <c r="M1348" s="41"/>
      <c r="N1348" s="41"/>
      <c r="O1348" s="41"/>
      <c r="P1348" s="43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  <c r="AH1348" s="41"/>
      <c r="AI1348" s="41"/>
      <c r="AJ1348" s="41"/>
      <c r="AK1348" s="41"/>
      <c r="AL1348" s="41"/>
      <c r="AM1348" s="41"/>
      <c r="AN1348" s="41"/>
      <c r="AO1348" s="41"/>
      <c r="AP1348" s="41"/>
      <c r="AQ1348" s="41"/>
      <c r="AR1348" s="41"/>
      <c r="AS1348" s="41"/>
    </row>
    <row r="1349" spans="1:45">
      <c r="A1349" s="38"/>
      <c r="B1349" s="38"/>
      <c r="C1349" s="38"/>
      <c r="D1349" s="38"/>
      <c r="E1349" s="49"/>
      <c r="F1349" s="49"/>
      <c r="G1349" s="38"/>
      <c r="H1349" s="49"/>
      <c r="I1349" s="49"/>
      <c r="J1349" s="49"/>
      <c r="K1349" s="49"/>
      <c r="L1349" s="41"/>
      <c r="M1349" s="41"/>
      <c r="N1349" s="41"/>
      <c r="O1349" s="41"/>
      <c r="P1349" s="43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1"/>
      <c r="AF1349" s="41"/>
      <c r="AG1349" s="41"/>
      <c r="AH1349" s="41"/>
      <c r="AI1349" s="41"/>
      <c r="AJ1349" s="41"/>
      <c r="AK1349" s="41"/>
      <c r="AL1349" s="41"/>
      <c r="AM1349" s="41"/>
      <c r="AN1349" s="41"/>
      <c r="AO1349" s="41"/>
      <c r="AP1349" s="41"/>
      <c r="AQ1349" s="41"/>
      <c r="AR1349" s="41"/>
      <c r="AS1349" s="41"/>
    </row>
    <row r="1350" spans="1:45">
      <c r="A1350" s="38"/>
      <c r="B1350" s="38"/>
      <c r="C1350" s="38"/>
      <c r="D1350" s="38"/>
      <c r="E1350" s="49"/>
      <c r="F1350" s="49"/>
      <c r="G1350" s="38"/>
      <c r="H1350" s="49"/>
      <c r="I1350" s="49"/>
      <c r="J1350" s="49"/>
      <c r="K1350" s="49"/>
      <c r="L1350" s="41"/>
      <c r="M1350" s="41"/>
      <c r="N1350" s="41"/>
      <c r="O1350" s="41"/>
      <c r="P1350" s="43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1"/>
      <c r="AF1350" s="41"/>
      <c r="AG1350" s="41"/>
      <c r="AH1350" s="41"/>
      <c r="AI1350" s="41"/>
      <c r="AJ1350" s="41"/>
      <c r="AK1350" s="41"/>
      <c r="AL1350" s="41"/>
      <c r="AM1350" s="41"/>
      <c r="AN1350" s="41"/>
      <c r="AO1350" s="41"/>
      <c r="AP1350" s="41"/>
      <c r="AQ1350" s="41"/>
      <c r="AR1350" s="41"/>
      <c r="AS1350" s="41"/>
    </row>
    <row r="1351" spans="1:45">
      <c r="A1351" s="38"/>
      <c r="B1351" s="38"/>
      <c r="C1351" s="38"/>
      <c r="D1351" s="38"/>
      <c r="E1351" s="49"/>
      <c r="F1351" s="49"/>
      <c r="G1351" s="38"/>
      <c r="H1351" s="49"/>
      <c r="I1351" s="49"/>
      <c r="J1351" s="49"/>
      <c r="K1351" s="49"/>
      <c r="L1351" s="41"/>
      <c r="M1351" s="41"/>
      <c r="N1351" s="41"/>
      <c r="O1351" s="41"/>
      <c r="P1351" s="43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I1351" s="41"/>
      <c r="AJ1351" s="41"/>
      <c r="AK1351" s="41"/>
      <c r="AL1351" s="41"/>
      <c r="AM1351" s="41"/>
      <c r="AN1351" s="41"/>
      <c r="AO1351" s="41"/>
      <c r="AP1351" s="41"/>
      <c r="AQ1351" s="41"/>
      <c r="AR1351" s="41"/>
      <c r="AS1351" s="41"/>
    </row>
    <row r="1352" spans="1:45">
      <c r="A1352" s="38"/>
      <c r="B1352" s="38"/>
      <c r="C1352" s="38"/>
      <c r="D1352" s="38"/>
      <c r="E1352" s="49"/>
      <c r="F1352" s="49"/>
      <c r="G1352" s="38"/>
      <c r="H1352" s="49"/>
      <c r="I1352" s="49"/>
      <c r="J1352" s="49"/>
      <c r="K1352" s="49"/>
      <c r="L1352" s="41"/>
      <c r="M1352" s="41"/>
      <c r="N1352" s="41"/>
      <c r="O1352" s="41"/>
      <c r="P1352" s="43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I1352" s="41"/>
      <c r="AJ1352" s="41"/>
      <c r="AK1352" s="41"/>
      <c r="AL1352" s="41"/>
      <c r="AM1352" s="41"/>
      <c r="AN1352" s="41"/>
      <c r="AO1352" s="41"/>
      <c r="AP1352" s="41"/>
      <c r="AQ1352" s="41"/>
      <c r="AR1352" s="41"/>
      <c r="AS1352" s="41"/>
    </row>
    <row r="1353" spans="1:45">
      <c r="A1353" s="38"/>
      <c r="B1353" s="38"/>
      <c r="C1353" s="38"/>
      <c r="D1353" s="38"/>
      <c r="E1353" s="49"/>
      <c r="F1353" s="49"/>
      <c r="G1353" s="38"/>
      <c r="H1353" s="49"/>
      <c r="I1353" s="49"/>
      <c r="J1353" s="49"/>
      <c r="K1353" s="49"/>
      <c r="L1353" s="41"/>
      <c r="M1353" s="41"/>
      <c r="N1353" s="41"/>
      <c r="O1353" s="41"/>
      <c r="P1353" s="43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I1353" s="41"/>
      <c r="AJ1353" s="41"/>
      <c r="AK1353" s="41"/>
      <c r="AL1353" s="41"/>
      <c r="AM1353" s="41"/>
      <c r="AN1353" s="41"/>
      <c r="AO1353" s="41"/>
      <c r="AP1353" s="41"/>
      <c r="AQ1353" s="41"/>
      <c r="AR1353" s="41"/>
      <c r="AS1353" s="41"/>
    </row>
    <row r="1354" spans="1:45">
      <c r="A1354" s="38"/>
      <c r="B1354" s="38"/>
      <c r="C1354" s="38"/>
      <c r="D1354" s="38"/>
      <c r="E1354" s="49"/>
      <c r="F1354" s="49"/>
      <c r="G1354" s="38"/>
      <c r="H1354" s="49"/>
      <c r="I1354" s="49"/>
      <c r="J1354" s="49"/>
      <c r="K1354" s="49"/>
      <c r="L1354" s="41"/>
      <c r="M1354" s="41"/>
      <c r="N1354" s="41"/>
      <c r="O1354" s="41"/>
      <c r="P1354" s="43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I1354" s="41"/>
      <c r="AJ1354" s="41"/>
      <c r="AK1354" s="41"/>
      <c r="AL1354" s="41"/>
      <c r="AM1354" s="41"/>
      <c r="AN1354" s="41"/>
      <c r="AO1354" s="41"/>
      <c r="AP1354" s="41"/>
      <c r="AQ1354" s="41"/>
      <c r="AR1354" s="41"/>
      <c r="AS1354" s="41"/>
    </row>
    <row r="1355" spans="1:45">
      <c r="A1355" s="38"/>
      <c r="B1355" s="38"/>
      <c r="C1355" s="38"/>
      <c r="D1355" s="38"/>
      <c r="E1355" s="49"/>
      <c r="F1355" s="49"/>
      <c r="G1355" s="38"/>
      <c r="H1355" s="49"/>
      <c r="I1355" s="49"/>
      <c r="J1355" s="49"/>
      <c r="K1355" s="49"/>
      <c r="L1355" s="41"/>
      <c r="M1355" s="41"/>
      <c r="N1355" s="41"/>
      <c r="O1355" s="41"/>
      <c r="P1355" s="43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I1355" s="41"/>
      <c r="AJ1355" s="41"/>
      <c r="AK1355" s="41"/>
      <c r="AL1355" s="41"/>
      <c r="AM1355" s="41"/>
      <c r="AN1355" s="41"/>
      <c r="AO1355" s="41"/>
      <c r="AP1355" s="41"/>
      <c r="AQ1355" s="41"/>
      <c r="AR1355" s="41"/>
      <c r="AS1355" s="41"/>
    </row>
    <row r="1356" spans="1:45">
      <c r="A1356" s="38"/>
      <c r="B1356" s="38"/>
      <c r="C1356" s="38"/>
      <c r="D1356" s="38"/>
      <c r="E1356" s="49"/>
      <c r="F1356" s="49"/>
      <c r="G1356" s="38"/>
      <c r="H1356" s="49"/>
      <c r="I1356" s="49"/>
      <c r="J1356" s="49"/>
      <c r="K1356" s="49"/>
      <c r="L1356" s="41"/>
      <c r="M1356" s="41"/>
      <c r="N1356" s="41"/>
      <c r="O1356" s="41"/>
      <c r="P1356" s="43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I1356" s="41"/>
      <c r="AJ1356" s="41"/>
      <c r="AK1356" s="41"/>
      <c r="AL1356" s="41"/>
      <c r="AM1356" s="41"/>
      <c r="AN1356" s="41"/>
      <c r="AO1356" s="41"/>
      <c r="AP1356" s="41"/>
      <c r="AQ1356" s="41"/>
      <c r="AR1356" s="41"/>
      <c r="AS1356" s="41"/>
    </row>
    <row r="1357" spans="1:45">
      <c r="A1357" s="38"/>
      <c r="B1357" s="38"/>
      <c r="C1357" s="38"/>
      <c r="D1357" s="38"/>
      <c r="E1357" s="49"/>
      <c r="F1357" s="49"/>
      <c r="G1357" s="38"/>
      <c r="H1357" s="49"/>
      <c r="I1357" s="49"/>
      <c r="J1357" s="49"/>
      <c r="K1357" s="49"/>
      <c r="L1357" s="41"/>
      <c r="M1357" s="41"/>
      <c r="N1357" s="41"/>
      <c r="O1357" s="41"/>
      <c r="P1357" s="43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I1357" s="41"/>
      <c r="AJ1357" s="41"/>
      <c r="AK1357" s="41"/>
      <c r="AL1357" s="41"/>
      <c r="AM1357" s="41"/>
      <c r="AN1357" s="41"/>
      <c r="AO1357" s="41"/>
      <c r="AP1357" s="41"/>
      <c r="AQ1357" s="41"/>
      <c r="AR1357" s="41"/>
      <c r="AS1357" s="41"/>
    </row>
    <row r="1358" spans="1:45">
      <c r="A1358" s="38"/>
      <c r="B1358" s="38"/>
      <c r="C1358" s="38"/>
      <c r="D1358" s="38"/>
      <c r="E1358" s="49"/>
      <c r="F1358" s="49"/>
      <c r="G1358" s="38"/>
      <c r="H1358" s="49"/>
      <c r="I1358" s="49"/>
      <c r="J1358" s="49"/>
      <c r="K1358" s="49"/>
      <c r="L1358" s="41"/>
      <c r="M1358" s="41"/>
      <c r="N1358" s="41"/>
      <c r="O1358" s="41"/>
      <c r="P1358" s="43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I1358" s="41"/>
      <c r="AJ1358" s="41"/>
      <c r="AK1358" s="41"/>
      <c r="AL1358" s="41"/>
      <c r="AM1358" s="41"/>
      <c r="AN1358" s="41"/>
      <c r="AO1358" s="41"/>
      <c r="AP1358" s="41"/>
      <c r="AQ1358" s="41"/>
      <c r="AR1358" s="41"/>
      <c r="AS1358" s="41"/>
    </row>
    <row r="1359" spans="1:45">
      <c r="A1359" s="38"/>
      <c r="B1359" s="38"/>
      <c r="C1359" s="38"/>
      <c r="D1359" s="38"/>
      <c r="E1359" s="49"/>
      <c r="F1359" s="49"/>
      <c r="G1359" s="38"/>
      <c r="H1359" s="49"/>
      <c r="I1359" s="49"/>
      <c r="J1359" s="49"/>
      <c r="K1359" s="49"/>
      <c r="L1359" s="41"/>
      <c r="M1359" s="41"/>
      <c r="N1359" s="41"/>
      <c r="O1359" s="41"/>
      <c r="P1359" s="43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I1359" s="41"/>
      <c r="AJ1359" s="41"/>
      <c r="AK1359" s="41"/>
      <c r="AL1359" s="41"/>
      <c r="AM1359" s="41"/>
      <c r="AN1359" s="41"/>
      <c r="AO1359" s="41"/>
      <c r="AP1359" s="41"/>
      <c r="AQ1359" s="41"/>
      <c r="AR1359" s="41"/>
      <c r="AS1359" s="41"/>
    </row>
    <row r="1360" spans="1:45">
      <c r="A1360" s="38"/>
      <c r="B1360" s="38"/>
      <c r="C1360" s="38"/>
      <c r="D1360" s="38"/>
      <c r="E1360" s="49"/>
      <c r="F1360" s="49"/>
      <c r="G1360" s="38"/>
      <c r="H1360" s="49"/>
      <c r="I1360" s="49"/>
      <c r="J1360" s="49"/>
      <c r="K1360" s="49"/>
      <c r="L1360" s="41"/>
      <c r="M1360" s="41"/>
      <c r="N1360" s="41"/>
      <c r="O1360" s="41"/>
      <c r="P1360" s="43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I1360" s="41"/>
      <c r="AJ1360" s="41"/>
      <c r="AK1360" s="41"/>
      <c r="AL1360" s="41"/>
      <c r="AM1360" s="41"/>
      <c r="AN1360" s="41"/>
      <c r="AO1360" s="41"/>
      <c r="AP1360" s="41"/>
      <c r="AQ1360" s="41"/>
      <c r="AR1360" s="41"/>
      <c r="AS1360" s="41"/>
    </row>
    <row r="1361" spans="1:45">
      <c r="A1361" s="38"/>
      <c r="B1361" s="38"/>
      <c r="C1361" s="38"/>
      <c r="D1361" s="38"/>
      <c r="E1361" s="49"/>
      <c r="F1361" s="49"/>
      <c r="G1361" s="38"/>
      <c r="H1361" s="49"/>
      <c r="I1361" s="49"/>
      <c r="J1361" s="49"/>
      <c r="K1361" s="49"/>
      <c r="L1361" s="41"/>
      <c r="M1361" s="41"/>
      <c r="N1361" s="41"/>
      <c r="O1361" s="41"/>
      <c r="P1361" s="43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I1361" s="41"/>
      <c r="AJ1361" s="41"/>
      <c r="AK1361" s="41"/>
      <c r="AL1361" s="41"/>
      <c r="AM1361" s="41"/>
      <c r="AN1361" s="41"/>
      <c r="AO1361" s="41"/>
      <c r="AP1361" s="41"/>
      <c r="AQ1361" s="41"/>
      <c r="AR1361" s="41"/>
      <c r="AS1361" s="41"/>
    </row>
    <row r="1362" spans="1:45">
      <c r="A1362" s="38"/>
      <c r="B1362" s="38"/>
      <c r="C1362" s="38"/>
      <c r="D1362" s="38"/>
      <c r="E1362" s="49"/>
      <c r="F1362" s="49"/>
      <c r="G1362" s="38"/>
      <c r="H1362" s="49"/>
      <c r="I1362" s="49"/>
      <c r="J1362" s="49"/>
      <c r="K1362" s="49"/>
      <c r="L1362" s="41"/>
      <c r="M1362" s="41"/>
      <c r="N1362" s="41"/>
      <c r="O1362" s="41"/>
      <c r="P1362" s="43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I1362" s="41"/>
      <c r="AJ1362" s="41"/>
      <c r="AK1362" s="41"/>
      <c r="AL1362" s="41"/>
      <c r="AM1362" s="41"/>
      <c r="AN1362" s="41"/>
      <c r="AO1362" s="41"/>
      <c r="AP1362" s="41"/>
      <c r="AQ1362" s="41"/>
      <c r="AR1362" s="41"/>
      <c r="AS1362" s="41"/>
    </row>
    <row r="1363" spans="1:45">
      <c r="A1363" s="38"/>
      <c r="B1363" s="38"/>
      <c r="C1363" s="38"/>
      <c r="D1363" s="38"/>
      <c r="E1363" s="49"/>
      <c r="F1363" s="49"/>
      <c r="G1363" s="38"/>
      <c r="H1363" s="49"/>
      <c r="I1363" s="49"/>
      <c r="J1363" s="49"/>
      <c r="K1363" s="49"/>
      <c r="L1363" s="41"/>
      <c r="M1363" s="41"/>
      <c r="N1363" s="41"/>
      <c r="O1363" s="41"/>
      <c r="P1363" s="43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I1363" s="41"/>
      <c r="AJ1363" s="41"/>
      <c r="AK1363" s="41"/>
      <c r="AL1363" s="41"/>
      <c r="AM1363" s="41"/>
      <c r="AN1363" s="41"/>
      <c r="AO1363" s="41"/>
      <c r="AP1363" s="41"/>
      <c r="AQ1363" s="41"/>
      <c r="AR1363" s="41"/>
      <c r="AS1363" s="41"/>
    </row>
    <row r="1364" spans="1:45">
      <c r="A1364" s="38"/>
      <c r="B1364" s="38"/>
      <c r="C1364" s="38"/>
      <c r="D1364" s="38"/>
      <c r="E1364" s="49"/>
      <c r="F1364" s="49"/>
      <c r="G1364" s="38"/>
      <c r="H1364" s="49"/>
      <c r="I1364" s="49"/>
      <c r="J1364" s="49"/>
      <c r="K1364" s="49"/>
      <c r="L1364" s="41"/>
      <c r="M1364" s="41"/>
      <c r="N1364" s="41"/>
      <c r="O1364" s="41"/>
      <c r="P1364" s="43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1"/>
      <c r="AF1364" s="41"/>
      <c r="AG1364" s="41"/>
      <c r="AH1364" s="41"/>
      <c r="AI1364" s="41"/>
      <c r="AJ1364" s="41"/>
      <c r="AK1364" s="41"/>
      <c r="AL1364" s="41"/>
      <c r="AM1364" s="41"/>
      <c r="AN1364" s="41"/>
      <c r="AO1364" s="41"/>
      <c r="AP1364" s="41"/>
      <c r="AQ1364" s="41"/>
      <c r="AR1364" s="41"/>
      <c r="AS1364" s="41"/>
    </row>
    <row r="1365" spans="1:45">
      <c r="A1365" s="38"/>
      <c r="B1365" s="38"/>
      <c r="C1365" s="38"/>
      <c r="D1365" s="38"/>
      <c r="E1365" s="49"/>
      <c r="F1365" s="49"/>
      <c r="G1365" s="38"/>
      <c r="H1365" s="49"/>
      <c r="I1365" s="49"/>
      <c r="J1365" s="49"/>
      <c r="K1365" s="49"/>
      <c r="L1365" s="41"/>
      <c r="M1365" s="41"/>
      <c r="N1365" s="41"/>
      <c r="O1365" s="41"/>
      <c r="P1365" s="43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  <c r="AH1365" s="41"/>
      <c r="AI1365" s="41"/>
      <c r="AJ1365" s="41"/>
      <c r="AK1365" s="41"/>
      <c r="AL1365" s="41"/>
      <c r="AM1365" s="41"/>
      <c r="AN1365" s="41"/>
      <c r="AO1365" s="41"/>
      <c r="AP1365" s="41"/>
      <c r="AQ1365" s="41"/>
      <c r="AR1365" s="41"/>
      <c r="AS1365" s="41"/>
    </row>
    <row r="1366" spans="1:45">
      <c r="A1366" s="38"/>
      <c r="B1366" s="38"/>
      <c r="C1366" s="38"/>
      <c r="D1366" s="38"/>
      <c r="E1366" s="49"/>
      <c r="F1366" s="49"/>
      <c r="G1366" s="38"/>
      <c r="H1366" s="49"/>
      <c r="I1366" s="49"/>
      <c r="J1366" s="49"/>
      <c r="K1366" s="49"/>
      <c r="L1366" s="41"/>
      <c r="M1366" s="41"/>
      <c r="N1366" s="41"/>
      <c r="O1366" s="41"/>
      <c r="P1366" s="43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1"/>
      <c r="AF1366" s="41"/>
      <c r="AG1366" s="41"/>
      <c r="AH1366" s="41"/>
      <c r="AI1366" s="41"/>
      <c r="AJ1366" s="41"/>
      <c r="AK1366" s="41"/>
      <c r="AL1366" s="41"/>
      <c r="AM1366" s="41"/>
      <c r="AN1366" s="41"/>
      <c r="AO1366" s="41"/>
      <c r="AP1366" s="41"/>
      <c r="AQ1366" s="41"/>
      <c r="AR1366" s="41"/>
      <c r="AS1366" s="41"/>
    </row>
    <row r="1367" spans="1:45">
      <c r="A1367" s="38"/>
      <c r="B1367" s="38"/>
      <c r="C1367" s="38"/>
      <c r="D1367" s="38"/>
      <c r="E1367" s="49"/>
      <c r="F1367" s="49"/>
      <c r="G1367" s="38"/>
      <c r="H1367" s="49"/>
      <c r="I1367" s="49"/>
      <c r="J1367" s="49"/>
      <c r="K1367" s="49"/>
      <c r="L1367" s="41"/>
      <c r="M1367" s="41"/>
      <c r="N1367" s="41"/>
      <c r="O1367" s="41"/>
      <c r="P1367" s="43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  <c r="AH1367" s="41"/>
      <c r="AI1367" s="41"/>
      <c r="AJ1367" s="41"/>
      <c r="AK1367" s="41"/>
      <c r="AL1367" s="41"/>
      <c r="AM1367" s="41"/>
      <c r="AN1367" s="41"/>
      <c r="AO1367" s="41"/>
      <c r="AP1367" s="41"/>
      <c r="AQ1367" s="41"/>
      <c r="AR1367" s="41"/>
      <c r="AS1367" s="41"/>
    </row>
    <row r="1368" spans="1:45">
      <c r="A1368" s="38"/>
      <c r="B1368" s="38"/>
      <c r="C1368" s="38"/>
      <c r="D1368" s="38"/>
      <c r="E1368" s="49"/>
      <c r="F1368" s="49"/>
      <c r="G1368" s="38"/>
      <c r="H1368" s="49"/>
      <c r="I1368" s="49"/>
      <c r="J1368" s="49"/>
      <c r="K1368" s="49"/>
      <c r="L1368" s="41"/>
      <c r="M1368" s="41"/>
      <c r="N1368" s="41"/>
      <c r="O1368" s="41"/>
      <c r="P1368" s="43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  <c r="AH1368" s="41"/>
      <c r="AI1368" s="41"/>
      <c r="AJ1368" s="41"/>
      <c r="AK1368" s="41"/>
      <c r="AL1368" s="41"/>
      <c r="AM1368" s="41"/>
      <c r="AN1368" s="41"/>
      <c r="AO1368" s="41"/>
      <c r="AP1368" s="41"/>
      <c r="AQ1368" s="41"/>
      <c r="AR1368" s="41"/>
      <c r="AS1368" s="41"/>
    </row>
    <row r="1369" spans="1:45">
      <c r="A1369" s="38"/>
      <c r="B1369" s="38"/>
      <c r="C1369" s="38"/>
      <c r="D1369" s="38"/>
      <c r="E1369" s="49"/>
      <c r="F1369" s="49"/>
      <c r="G1369" s="38"/>
      <c r="H1369" s="49"/>
      <c r="I1369" s="49"/>
      <c r="J1369" s="49"/>
      <c r="K1369" s="49"/>
      <c r="L1369" s="41"/>
      <c r="M1369" s="41"/>
      <c r="N1369" s="41"/>
      <c r="O1369" s="41"/>
      <c r="P1369" s="43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1"/>
      <c r="AF1369" s="41"/>
      <c r="AG1369" s="41"/>
      <c r="AH1369" s="41"/>
      <c r="AI1369" s="41"/>
      <c r="AJ1369" s="41"/>
      <c r="AK1369" s="41"/>
      <c r="AL1369" s="41"/>
      <c r="AM1369" s="41"/>
      <c r="AN1369" s="41"/>
      <c r="AO1369" s="41"/>
      <c r="AP1369" s="41"/>
      <c r="AQ1369" s="41"/>
      <c r="AR1369" s="41"/>
      <c r="AS1369" s="41"/>
    </row>
    <row r="1370" spans="1:45">
      <c r="A1370" s="38"/>
      <c r="B1370" s="38"/>
      <c r="C1370" s="38"/>
      <c r="D1370" s="38"/>
      <c r="E1370" s="49"/>
      <c r="F1370" s="49"/>
      <c r="G1370" s="38"/>
      <c r="H1370" s="49"/>
      <c r="I1370" s="49"/>
      <c r="J1370" s="49"/>
      <c r="K1370" s="49"/>
      <c r="L1370" s="41"/>
      <c r="M1370" s="41"/>
      <c r="N1370" s="41"/>
      <c r="O1370" s="41"/>
      <c r="P1370" s="43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1"/>
      <c r="AF1370" s="41"/>
      <c r="AG1370" s="41"/>
      <c r="AH1370" s="41"/>
      <c r="AI1370" s="41"/>
      <c r="AJ1370" s="41"/>
      <c r="AK1370" s="41"/>
      <c r="AL1370" s="41"/>
      <c r="AM1370" s="41"/>
      <c r="AN1370" s="41"/>
      <c r="AO1370" s="41"/>
      <c r="AP1370" s="41"/>
      <c r="AQ1370" s="41"/>
      <c r="AR1370" s="41"/>
      <c r="AS1370" s="41"/>
    </row>
    <row r="1371" spans="1:45">
      <c r="A1371" s="38"/>
      <c r="B1371" s="38"/>
      <c r="C1371" s="38"/>
      <c r="D1371" s="38"/>
      <c r="E1371" s="49"/>
      <c r="F1371" s="49"/>
      <c r="G1371" s="38"/>
      <c r="H1371" s="49"/>
      <c r="I1371" s="49"/>
      <c r="J1371" s="49"/>
      <c r="K1371" s="49"/>
      <c r="L1371" s="41"/>
      <c r="M1371" s="41"/>
      <c r="N1371" s="41"/>
      <c r="O1371" s="41"/>
      <c r="P1371" s="43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  <c r="AH1371" s="41"/>
      <c r="AI1371" s="41"/>
      <c r="AJ1371" s="41"/>
      <c r="AK1371" s="41"/>
      <c r="AL1371" s="41"/>
      <c r="AM1371" s="41"/>
      <c r="AN1371" s="41"/>
      <c r="AO1371" s="41"/>
      <c r="AP1371" s="41"/>
      <c r="AQ1371" s="41"/>
      <c r="AR1371" s="41"/>
      <c r="AS1371" s="41"/>
    </row>
    <row r="1372" spans="1:45">
      <c r="A1372" s="38"/>
      <c r="B1372" s="38"/>
      <c r="C1372" s="38"/>
      <c r="D1372" s="38"/>
      <c r="E1372" s="49"/>
      <c r="F1372" s="49"/>
      <c r="G1372" s="38"/>
      <c r="H1372" s="49"/>
      <c r="I1372" s="49"/>
      <c r="J1372" s="49"/>
      <c r="K1372" s="49"/>
      <c r="L1372" s="41"/>
      <c r="M1372" s="41"/>
      <c r="N1372" s="41"/>
      <c r="O1372" s="41"/>
      <c r="P1372" s="43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  <c r="AH1372" s="41"/>
      <c r="AI1372" s="41"/>
      <c r="AJ1372" s="41"/>
      <c r="AK1372" s="41"/>
      <c r="AL1372" s="41"/>
      <c r="AM1372" s="41"/>
      <c r="AN1372" s="41"/>
      <c r="AO1372" s="41"/>
      <c r="AP1372" s="41"/>
      <c r="AQ1372" s="41"/>
      <c r="AR1372" s="41"/>
      <c r="AS1372" s="41"/>
    </row>
    <row r="1373" spans="1:45">
      <c r="A1373" s="38"/>
      <c r="B1373" s="38"/>
      <c r="C1373" s="38"/>
      <c r="D1373" s="38"/>
      <c r="E1373" s="49"/>
      <c r="F1373" s="49"/>
      <c r="G1373" s="38"/>
      <c r="H1373" s="49"/>
      <c r="I1373" s="49"/>
      <c r="J1373" s="49"/>
      <c r="K1373" s="49"/>
      <c r="L1373" s="41"/>
      <c r="M1373" s="41"/>
      <c r="N1373" s="41"/>
      <c r="O1373" s="41"/>
      <c r="P1373" s="43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  <c r="AH1373" s="41"/>
      <c r="AI1373" s="41"/>
      <c r="AJ1373" s="41"/>
      <c r="AK1373" s="41"/>
      <c r="AL1373" s="41"/>
      <c r="AM1373" s="41"/>
      <c r="AN1373" s="41"/>
      <c r="AO1373" s="41"/>
      <c r="AP1373" s="41"/>
      <c r="AQ1373" s="41"/>
      <c r="AR1373" s="41"/>
      <c r="AS1373" s="41"/>
    </row>
    <row r="1374" spans="1:45">
      <c r="A1374" s="38"/>
      <c r="B1374" s="38"/>
      <c r="C1374" s="38"/>
      <c r="D1374" s="38"/>
      <c r="E1374" s="49"/>
      <c r="F1374" s="49"/>
      <c r="G1374" s="38"/>
      <c r="H1374" s="49"/>
      <c r="I1374" s="49"/>
      <c r="J1374" s="49"/>
      <c r="K1374" s="49"/>
      <c r="L1374" s="41"/>
      <c r="M1374" s="41"/>
      <c r="N1374" s="41"/>
      <c r="O1374" s="41"/>
      <c r="P1374" s="43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  <c r="AH1374" s="41"/>
      <c r="AI1374" s="41"/>
      <c r="AJ1374" s="41"/>
      <c r="AK1374" s="41"/>
      <c r="AL1374" s="41"/>
      <c r="AM1374" s="41"/>
      <c r="AN1374" s="41"/>
      <c r="AO1374" s="41"/>
      <c r="AP1374" s="41"/>
      <c r="AQ1374" s="41"/>
      <c r="AR1374" s="41"/>
      <c r="AS1374" s="41"/>
    </row>
    <row r="1375" spans="1:45">
      <c r="A1375" s="38"/>
      <c r="B1375" s="38"/>
      <c r="C1375" s="38"/>
      <c r="D1375" s="38"/>
      <c r="E1375" s="49"/>
      <c r="F1375" s="49"/>
      <c r="G1375" s="38"/>
      <c r="H1375" s="49"/>
      <c r="I1375" s="49"/>
      <c r="J1375" s="49"/>
      <c r="K1375" s="49"/>
      <c r="L1375" s="41"/>
      <c r="M1375" s="41"/>
      <c r="N1375" s="41"/>
      <c r="O1375" s="41"/>
      <c r="P1375" s="43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  <c r="AH1375" s="41"/>
      <c r="AI1375" s="41"/>
      <c r="AJ1375" s="41"/>
      <c r="AK1375" s="41"/>
      <c r="AL1375" s="41"/>
      <c r="AM1375" s="41"/>
      <c r="AN1375" s="41"/>
      <c r="AO1375" s="41"/>
      <c r="AP1375" s="41"/>
      <c r="AQ1375" s="41"/>
      <c r="AR1375" s="41"/>
      <c r="AS1375" s="41"/>
    </row>
    <row r="1376" spans="1:45">
      <c r="A1376" s="38"/>
      <c r="B1376" s="38"/>
      <c r="C1376" s="38"/>
      <c r="D1376" s="38"/>
      <c r="E1376" s="49"/>
      <c r="F1376" s="49"/>
      <c r="G1376" s="38"/>
      <c r="H1376" s="49"/>
      <c r="I1376" s="49"/>
      <c r="J1376" s="49"/>
      <c r="K1376" s="49"/>
      <c r="L1376" s="41"/>
      <c r="M1376" s="41"/>
      <c r="N1376" s="41"/>
      <c r="O1376" s="41"/>
      <c r="P1376" s="43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  <c r="AH1376" s="41"/>
      <c r="AI1376" s="41"/>
      <c r="AJ1376" s="41"/>
      <c r="AK1376" s="41"/>
      <c r="AL1376" s="41"/>
      <c r="AM1376" s="41"/>
      <c r="AN1376" s="41"/>
      <c r="AO1376" s="41"/>
      <c r="AP1376" s="41"/>
      <c r="AQ1376" s="41"/>
      <c r="AR1376" s="41"/>
      <c r="AS1376" s="41"/>
    </row>
    <row r="1377" spans="1:45">
      <c r="A1377" s="38"/>
      <c r="B1377" s="38"/>
      <c r="C1377" s="38"/>
      <c r="D1377" s="38"/>
      <c r="E1377" s="49"/>
      <c r="F1377" s="49"/>
      <c r="G1377" s="38"/>
      <c r="H1377" s="49"/>
      <c r="I1377" s="49"/>
      <c r="J1377" s="49"/>
      <c r="K1377" s="49"/>
      <c r="L1377" s="41"/>
      <c r="M1377" s="41"/>
      <c r="N1377" s="41"/>
      <c r="O1377" s="41"/>
      <c r="P1377" s="43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  <c r="AH1377" s="41"/>
      <c r="AI1377" s="41"/>
      <c r="AJ1377" s="41"/>
      <c r="AK1377" s="41"/>
      <c r="AL1377" s="41"/>
      <c r="AM1377" s="41"/>
      <c r="AN1377" s="41"/>
      <c r="AO1377" s="41"/>
      <c r="AP1377" s="41"/>
      <c r="AQ1377" s="41"/>
      <c r="AR1377" s="41"/>
      <c r="AS1377" s="41"/>
    </row>
    <row r="1378" spans="1:45">
      <c r="A1378" s="38"/>
      <c r="B1378" s="38"/>
      <c r="C1378" s="38"/>
      <c r="D1378" s="38"/>
      <c r="E1378" s="49"/>
      <c r="F1378" s="49"/>
      <c r="G1378" s="38"/>
      <c r="H1378" s="49"/>
      <c r="I1378" s="49"/>
      <c r="J1378" s="49"/>
      <c r="K1378" s="49"/>
      <c r="L1378" s="41"/>
      <c r="M1378" s="41"/>
      <c r="N1378" s="41"/>
      <c r="O1378" s="41"/>
      <c r="P1378" s="43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  <c r="AH1378" s="41"/>
      <c r="AI1378" s="41"/>
      <c r="AJ1378" s="41"/>
      <c r="AK1378" s="41"/>
      <c r="AL1378" s="41"/>
      <c r="AM1378" s="41"/>
      <c r="AN1378" s="41"/>
      <c r="AO1378" s="41"/>
      <c r="AP1378" s="41"/>
      <c r="AQ1378" s="41"/>
      <c r="AR1378" s="41"/>
      <c r="AS1378" s="41"/>
    </row>
    <row r="1379" spans="1:45">
      <c r="A1379" s="38"/>
      <c r="B1379" s="38"/>
      <c r="C1379" s="38"/>
      <c r="D1379" s="38"/>
      <c r="E1379" s="49"/>
      <c r="F1379" s="49"/>
      <c r="G1379" s="38"/>
      <c r="H1379" s="49"/>
      <c r="I1379" s="49"/>
      <c r="J1379" s="49"/>
      <c r="K1379" s="49"/>
      <c r="L1379" s="41"/>
      <c r="M1379" s="41"/>
      <c r="N1379" s="41"/>
      <c r="O1379" s="41"/>
      <c r="P1379" s="43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  <c r="AH1379" s="41"/>
      <c r="AI1379" s="41"/>
      <c r="AJ1379" s="41"/>
      <c r="AK1379" s="41"/>
      <c r="AL1379" s="41"/>
      <c r="AM1379" s="41"/>
      <c r="AN1379" s="41"/>
      <c r="AO1379" s="41"/>
      <c r="AP1379" s="41"/>
      <c r="AQ1379" s="41"/>
      <c r="AR1379" s="41"/>
      <c r="AS1379" s="41"/>
    </row>
    <row r="1380" spans="1:45">
      <c r="A1380" s="38"/>
      <c r="B1380" s="38"/>
      <c r="C1380" s="38"/>
      <c r="D1380" s="38"/>
      <c r="E1380" s="49"/>
      <c r="F1380" s="49"/>
      <c r="G1380" s="38"/>
      <c r="H1380" s="49"/>
      <c r="I1380" s="49"/>
      <c r="J1380" s="49"/>
      <c r="K1380" s="49"/>
      <c r="L1380" s="41"/>
      <c r="M1380" s="41"/>
      <c r="N1380" s="41"/>
      <c r="O1380" s="41"/>
      <c r="P1380" s="43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  <c r="AH1380" s="41"/>
      <c r="AI1380" s="41"/>
      <c r="AJ1380" s="41"/>
      <c r="AK1380" s="41"/>
      <c r="AL1380" s="41"/>
      <c r="AM1380" s="41"/>
      <c r="AN1380" s="41"/>
      <c r="AO1380" s="41"/>
      <c r="AP1380" s="41"/>
      <c r="AQ1380" s="41"/>
      <c r="AR1380" s="41"/>
      <c r="AS1380" s="41"/>
    </row>
    <row r="1381" spans="1:45">
      <c r="A1381" s="38"/>
      <c r="B1381" s="38"/>
      <c r="C1381" s="38"/>
      <c r="D1381" s="38"/>
      <c r="E1381" s="49"/>
      <c r="F1381" s="49"/>
      <c r="G1381" s="38"/>
      <c r="H1381" s="49"/>
      <c r="I1381" s="49"/>
      <c r="J1381" s="49"/>
      <c r="K1381" s="49"/>
      <c r="L1381" s="41"/>
      <c r="M1381" s="41"/>
      <c r="N1381" s="41"/>
      <c r="O1381" s="41"/>
      <c r="P1381" s="43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  <c r="AH1381" s="41"/>
      <c r="AI1381" s="41"/>
      <c r="AJ1381" s="41"/>
      <c r="AK1381" s="41"/>
      <c r="AL1381" s="41"/>
      <c r="AM1381" s="41"/>
      <c r="AN1381" s="41"/>
      <c r="AO1381" s="41"/>
      <c r="AP1381" s="41"/>
      <c r="AQ1381" s="41"/>
      <c r="AR1381" s="41"/>
      <c r="AS1381" s="41"/>
    </row>
    <row r="1382" spans="1:45">
      <c r="A1382" s="38"/>
      <c r="B1382" s="38"/>
      <c r="C1382" s="38"/>
      <c r="D1382" s="38"/>
      <c r="E1382" s="49"/>
      <c r="F1382" s="49"/>
      <c r="G1382" s="38"/>
      <c r="H1382" s="49"/>
      <c r="I1382" s="49"/>
      <c r="J1382" s="49"/>
      <c r="K1382" s="49"/>
      <c r="L1382" s="41"/>
      <c r="M1382" s="41"/>
      <c r="N1382" s="41"/>
      <c r="O1382" s="41"/>
      <c r="P1382" s="43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1"/>
      <c r="AF1382" s="41"/>
      <c r="AG1382" s="41"/>
      <c r="AH1382" s="41"/>
      <c r="AI1382" s="41"/>
      <c r="AJ1382" s="41"/>
      <c r="AK1382" s="41"/>
      <c r="AL1382" s="41"/>
      <c r="AM1382" s="41"/>
      <c r="AN1382" s="41"/>
      <c r="AO1382" s="41"/>
      <c r="AP1382" s="41"/>
      <c r="AQ1382" s="41"/>
      <c r="AR1382" s="41"/>
      <c r="AS1382" s="41"/>
    </row>
    <row r="1383" spans="1:45">
      <c r="A1383" s="38"/>
      <c r="B1383" s="38"/>
      <c r="C1383" s="38"/>
      <c r="D1383" s="38"/>
      <c r="E1383" s="49"/>
      <c r="F1383" s="49"/>
      <c r="G1383" s="38"/>
      <c r="H1383" s="49"/>
      <c r="I1383" s="49"/>
      <c r="J1383" s="49"/>
      <c r="K1383" s="49"/>
      <c r="L1383" s="41"/>
      <c r="M1383" s="41"/>
      <c r="N1383" s="41"/>
      <c r="O1383" s="41"/>
      <c r="P1383" s="43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1"/>
      <c r="AF1383" s="41"/>
      <c r="AG1383" s="41"/>
      <c r="AH1383" s="41"/>
      <c r="AI1383" s="41"/>
      <c r="AJ1383" s="41"/>
      <c r="AK1383" s="41"/>
      <c r="AL1383" s="41"/>
      <c r="AM1383" s="41"/>
      <c r="AN1383" s="41"/>
      <c r="AO1383" s="41"/>
      <c r="AP1383" s="41"/>
      <c r="AQ1383" s="41"/>
      <c r="AR1383" s="41"/>
      <c r="AS1383" s="41"/>
    </row>
    <row r="1384" spans="1:45">
      <c r="A1384" s="38"/>
      <c r="B1384" s="38"/>
      <c r="C1384" s="38"/>
      <c r="D1384" s="38"/>
      <c r="E1384" s="49"/>
      <c r="F1384" s="49"/>
      <c r="G1384" s="38"/>
      <c r="H1384" s="49"/>
      <c r="I1384" s="49"/>
      <c r="J1384" s="49"/>
      <c r="K1384" s="49"/>
      <c r="L1384" s="41"/>
      <c r="M1384" s="41"/>
      <c r="N1384" s="41"/>
      <c r="O1384" s="41"/>
      <c r="P1384" s="43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  <c r="AH1384" s="41"/>
      <c r="AI1384" s="41"/>
      <c r="AJ1384" s="41"/>
      <c r="AK1384" s="41"/>
      <c r="AL1384" s="41"/>
      <c r="AM1384" s="41"/>
      <c r="AN1384" s="41"/>
      <c r="AO1384" s="41"/>
      <c r="AP1384" s="41"/>
      <c r="AQ1384" s="41"/>
      <c r="AR1384" s="41"/>
      <c r="AS1384" s="41"/>
    </row>
    <row r="1385" spans="1:45">
      <c r="A1385" s="38"/>
      <c r="B1385" s="38"/>
      <c r="C1385" s="38"/>
      <c r="D1385" s="38"/>
      <c r="E1385" s="49"/>
      <c r="F1385" s="49"/>
      <c r="G1385" s="38"/>
      <c r="H1385" s="49"/>
      <c r="I1385" s="49"/>
      <c r="J1385" s="49"/>
      <c r="K1385" s="49"/>
      <c r="L1385" s="41"/>
      <c r="M1385" s="41"/>
      <c r="N1385" s="41"/>
      <c r="O1385" s="41"/>
      <c r="P1385" s="43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I1385" s="41"/>
      <c r="AJ1385" s="41"/>
      <c r="AK1385" s="41"/>
      <c r="AL1385" s="41"/>
      <c r="AM1385" s="41"/>
      <c r="AN1385" s="41"/>
      <c r="AO1385" s="41"/>
      <c r="AP1385" s="41"/>
      <c r="AQ1385" s="41"/>
      <c r="AR1385" s="41"/>
      <c r="AS1385" s="41"/>
    </row>
    <row r="1386" spans="1:45">
      <c r="A1386" s="38"/>
      <c r="B1386" s="38"/>
      <c r="C1386" s="38"/>
      <c r="D1386" s="38"/>
      <c r="E1386" s="49"/>
      <c r="F1386" s="49"/>
      <c r="G1386" s="38"/>
      <c r="H1386" s="49"/>
      <c r="I1386" s="49"/>
      <c r="J1386" s="49"/>
      <c r="K1386" s="49"/>
      <c r="L1386" s="41"/>
      <c r="M1386" s="41"/>
      <c r="N1386" s="41"/>
      <c r="O1386" s="41"/>
      <c r="P1386" s="43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I1386" s="41"/>
      <c r="AJ1386" s="41"/>
      <c r="AK1386" s="41"/>
      <c r="AL1386" s="41"/>
      <c r="AM1386" s="41"/>
      <c r="AN1386" s="41"/>
      <c r="AO1386" s="41"/>
      <c r="AP1386" s="41"/>
      <c r="AQ1386" s="41"/>
      <c r="AR1386" s="41"/>
      <c r="AS1386" s="41"/>
    </row>
    <row r="1387" spans="1:45">
      <c r="A1387" s="38"/>
      <c r="B1387" s="38"/>
      <c r="C1387" s="38"/>
      <c r="D1387" s="38"/>
      <c r="E1387" s="49"/>
      <c r="F1387" s="49"/>
      <c r="G1387" s="38"/>
      <c r="H1387" s="49"/>
      <c r="I1387" s="49"/>
      <c r="J1387" s="49"/>
      <c r="K1387" s="49"/>
      <c r="L1387" s="41"/>
      <c r="M1387" s="41"/>
      <c r="N1387" s="41"/>
      <c r="O1387" s="41"/>
      <c r="P1387" s="43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I1387" s="41"/>
      <c r="AJ1387" s="41"/>
      <c r="AK1387" s="41"/>
      <c r="AL1387" s="41"/>
      <c r="AM1387" s="41"/>
      <c r="AN1387" s="41"/>
      <c r="AO1387" s="41"/>
      <c r="AP1387" s="41"/>
      <c r="AQ1387" s="41"/>
      <c r="AR1387" s="41"/>
      <c r="AS1387" s="41"/>
    </row>
    <row r="1388" spans="1:45">
      <c r="A1388" s="38"/>
      <c r="B1388" s="38"/>
      <c r="C1388" s="38"/>
      <c r="D1388" s="38"/>
      <c r="E1388" s="49"/>
      <c r="F1388" s="49"/>
      <c r="G1388" s="38"/>
      <c r="H1388" s="49"/>
      <c r="I1388" s="49"/>
      <c r="J1388" s="49"/>
      <c r="K1388" s="49"/>
      <c r="L1388" s="41"/>
      <c r="M1388" s="41"/>
      <c r="N1388" s="41"/>
      <c r="O1388" s="41"/>
      <c r="P1388" s="43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I1388" s="41"/>
      <c r="AJ1388" s="41"/>
      <c r="AK1388" s="41"/>
      <c r="AL1388" s="41"/>
      <c r="AM1388" s="41"/>
      <c r="AN1388" s="41"/>
      <c r="AO1388" s="41"/>
      <c r="AP1388" s="41"/>
      <c r="AQ1388" s="41"/>
      <c r="AR1388" s="41"/>
      <c r="AS1388" s="41"/>
    </row>
    <row r="1389" spans="1:45">
      <c r="A1389" s="38"/>
      <c r="B1389" s="38"/>
      <c r="C1389" s="38"/>
      <c r="D1389" s="38"/>
      <c r="E1389" s="49"/>
      <c r="F1389" s="49"/>
      <c r="G1389" s="38"/>
      <c r="H1389" s="49"/>
      <c r="I1389" s="49"/>
      <c r="J1389" s="49"/>
      <c r="K1389" s="49"/>
      <c r="L1389" s="41"/>
      <c r="M1389" s="41"/>
      <c r="N1389" s="41"/>
      <c r="O1389" s="41"/>
      <c r="P1389" s="43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I1389" s="41"/>
      <c r="AJ1389" s="41"/>
      <c r="AK1389" s="41"/>
      <c r="AL1389" s="41"/>
      <c r="AM1389" s="41"/>
      <c r="AN1389" s="41"/>
      <c r="AO1389" s="41"/>
      <c r="AP1389" s="41"/>
      <c r="AQ1389" s="41"/>
      <c r="AR1389" s="41"/>
      <c r="AS1389" s="41"/>
    </row>
    <row r="1390" spans="1:45">
      <c r="A1390" s="38"/>
      <c r="B1390" s="38"/>
      <c r="C1390" s="38"/>
      <c r="D1390" s="38"/>
      <c r="E1390" s="49"/>
      <c r="F1390" s="49"/>
      <c r="G1390" s="38"/>
      <c r="H1390" s="49"/>
      <c r="I1390" s="49"/>
      <c r="J1390" s="49"/>
      <c r="K1390" s="49"/>
      <c r="L1390" s="41"/>
      <c r="M1390" s="41"/>
      <c r="N1390" s="41"/>
      <c r="O1390" s="41"/>
      <c r="P1390" s="43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I1390" s="41"/>
      <c r="AJ1390" s="41"/>
      <c r="AK1390" s="41"/>
      <c r="AL1390" s="41"/>
      <c r="AM1390" s="41"/>
      <c r="AN1390" s="41"/>
      <c r="AO1390" s="41"/>
      <c r="AP1390" s="41"/>
      <c r="AQ1390" s="41"/>
      <c r="AR1390" s="41"/>
      <c r="AS1390" s="41"/>
    </row>
    <row r="1391" spans="1:45">
      <c r="A1391" s="38"/>
      <c r="B1391" s="38"/>
      <c r="C1391" s="38"/>
      <c r="D1391" s="38"/>
      <c r="E1391" s="49"/>
      <c r="F1391" s="49"/>
      <c r="G1391" s="38"/>
      <c r="H1391" s="49"/>
      <c r="I1391" s="49"/>
      <c r="J1391" s="49"/>
      <c r="K1391" s="49"/>
      <c r="L1391" s="41"/>
      <c r="M1391" s="41"/>
      <c r="N1391" s="41"/>
      <c r="O1391" s="41"/>
      <c r="P1391" s="43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I1391" s="41"/>
      <c r="AJ1391" s="41"/>
      <c r="AK1391" s="41"/>
      <c r="AL1391" s="41"/>
      <c r="AM1391" s="41"/>
      <c r="AN1391" s="41"/>
      <c r="AO1391" s="41"/>
      <c r="AP1391" s="41"/>
      <c r="AQ1391" s="41"/>
      <c r="AR1391" s="41"/>
      <c r="AS1391" s="41"/>
    </row>
    <row r="1392" spans="1:45">
      <c r="A1392" s="38"/>
      <c r="B1392" s="38"/>
      <c r="C1392" s="38"/>
      <c r="D1392" s="38"/>
      <c r="E1392" s="49"/>
      <c r="F1392" s="49"/>
      <c r="G1392" s="38"/>
      <c r="H1392" s="49"/>
      <c r="I1392" s="49"/>
      <c r="J1392" s="49"/>
      <c r="K1392" s="49"/>
      <c r="L1392" s="41"/>
      <c r="M1392" s="41"/>
      <c r="N1392" s="41"/>
      <c r="O1392" s="41"/>
      <c r="P1392" s="43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I1392" s="41"/>
      <c r="AJ1392" s="41"/>
      <c r="AK1392" s="41"/>
      <c r="AL1392" s="41"/>
      <c r="AM1392" s="41"/>
      <c r="AN1392" s="41"/>
      <c r="AO1392" s="41"/>
      <c r="AP1392" s="41"/>
      <c r="AQ1392" s="41"/>
      <c r="AR1392" s="41"/>
      <c r="AS1392" s="41"/>
    </row>
    <row r="1393" spans="1:45">
      <c r="A1393" s="38"/>
      <c r="B1393" s="38"/>
      <c r="C1393" s="38"/>
      <c r="D1393" s="38"/>
      <c r="E1393" s="49"/>
      <c r="F1393" s="49"/>
      <c r="G1393" s="38"/>
      <c r="H1393" s="49"/>
      <c r="I1393" s="49"/>
      <c r="J1393" s="49"/>
      <c r="K1393" s="49"/>
      <c r="L1393" s="41"/>
      <c r="M1393" s="41"/>
      <c r="N1393" s="41"/>
      <c r="O1393" s="41"/>
      <c r="P1393" s="43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I1393" s="41"/>
      <c r="AJ1393" s="41"/>
      <c r="AK1393" s="41"/>
      <c r="AL1393" s="41"/>
      <c r="AM1393" s="41"/>
      <c r="AN1393" s="41"/>
      <c r="AO1393" s="41"/>
      <c r="AP1393" s="41"/>
      <c r="AQ1393" s="41"/>
      <c r="AR1393" s="41"/>
      <c r="AS1393" s="41"/>
    </row>
    <row r="1394" spans="1:45">
      <c r="A1394" s="38"/>
      <c r="B1394" s="38"/>
      <c r="C1394" s="38"/>
      <c r="D1394" s="38"/>
      <c r="E1394" s="49"/>
      <c r="F1394" s="49"/>
      <c r="G1394" s="38"/>
      <c r="H1394" s="49"/>
      <c r="I1394" s="49"/>
      <c r="J1394" s="49"/>
      <c r="K1394" s="49"/>
      <c r="L1394" s="41"/>
      <c r="M1394" s="41"/>
      <c r="N1394" s="41"/>
      <c r="O1394" s="41"/>
      <c r="P1394" s="43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1"/>
      <c r="AF1394" s="41"/>
      <c r="AG1394" s="41"/>
      <c r="AH1394" s="41"/>
      <c r="AI1394" s="41"/>
      <c r="AJ1394" s="41"/>
      <c r="AK1394" s="41"/>
      <c r="AL1394" s="41"/>
      <c r="AM1394" s="41"/>
      <c r="AN1394" s="41"/>
      <c r="AO1394" s="41"/>
      <c r="AP1394" s="41"/>
      <c r="AQ1394" s="41"/>
      <c r="AR1394" s="41"/>
      <c r="AS1394" s="41"/>
    </row>
    <row r="1395" spans="1:45">
      <c r="A1395" s="38"/>
      <c r="B1395" s="38"/>
      <c r="C1395" s="38"/>
      <c r="D1395" s="38"/>
      <c r="E1395" s="49"/>
      <c r="F1395" s="49"/>
      <c r="G1395" s="38"/>
      <c r="H1395" s="49"/>
      <c r="I1395" s="49"/>
      <c r="J1395" s="49"/>
      <c r="K1395" s="49"/>
      <c r="L1395" s="41"/>
      <c r="M1395" s="41"/>
      <c r="N1395" s="41"/>
      <c r="O1395" s="41"/>
      <c r="P1395" s="43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1"/>
      <c r="AF1395" s="41"/>
      <c r="AG1395" s="41"/>
      <c r="AH1395" s="41"/>
      <c r="AI1395" s="41"/>
      <c r="AJ1395" s="41"/>
      <c r="AK1395" s="41"/>
      <c r="AL1395" s="41"/>
      <c r="AM1395" s="41"/>
      <c r="AN1395" s="41"/>
      <c r="AO1395" s="41"/>
      <c r="AP1395" s="41"/>
      <c r="AQ1395" s="41"/>
      <c r="AR1395" s="41"/>
      <c r="AS1395" s="41"/>
    </row>
    <row r="1396" spans="1:45">
      <c r="A1396" s="38"/>
      <c r="B1396" s="38"/>
      <c r="C1396" s="38"/>
      <c r="D1396" s="38"/>
      <c r="E1396" s="49"/>
      <c r="F1396" s="49"/>
      <c r="G1396" s="38"/>
      <c r="H1396" s="49"/>
      <c r="I1396" s="49"/>
      <c r="J1396" s="49"/>
      <c r="K1396" s="49"/>
      <c r="L1396" s="41"/>
      <c r="M1396" s="41"/>
      <c r="N1396" s="41"/>
      <c r="O1396" s="41"/>
      <c r="P1396" s="43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1"/>
      <c r="AF1396" s="41"/>
      <c r="AG1396" s="41"/>
      <c r="AH1396" s="41"/>
      <c r="AI1396" s="41"/>
      <c r="AJ1396" s="41"/>
      <c r="AK1396" s="41"/>
      <c r="AL1396" s="41"/>
      <c r="AM1396" s="41"/>
      <c r="AN1396" s="41"/>
      <c r="AO1396" s="41"/>
      <c r="AP1396" s="41"/>
      <c r="AQ1396" s="41"/>
      <c r="AR1396" s="41"/>
      <c r="AS1396" s="41"/>
    </row>
    <row r="1397" spans="1:45">
      <c r="A1397" s="38"/>
      <c r="B1397" s="38"/>
      <c r="C1397" s="38"/>
      <c r="D1397" s="38"/>
      <c r="E1397" s="49"/>
      <c r="F1397" s="49"/>
      <c r="G1397" s="38"/>
      <c r="H1397" s="49"/>
      <c r="I1397" s="49"/>
      <c r="J1397" s="49"/>
      <c r="K1397" s="49"/>
      <c r="L1397" s="41"/>
      <c r="M1397" s="41"/>
      <c r="N1397" s="41"/>
      <c r="O1397" s="41"/>
      <c r="P1397" s="43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1"/>
      <c r="AF1397" s="41"/>
      <c r="AG1397" s="41"/>
      <c r="AH1397" s="41"/>
      <c r="AI1397" s="41"/>
      <c r="AJ1397" s="41"/>
      <c r="AK1397" s="41"/>
      <c r="AL1397" s="41"/>
      <c r="AM1397" s="41"/>
      <c r="AN1397" s="41"/>
      <c r="AO1397" s="41"/>
      <c r="AP1397" s="41"/>
      <c r="AQ1397" s="41"/>
      <c r="AR1397" s="41"/>
      <c r="AS1397" s="41"/>
    </row>
    <row r="1398" spans="1:45">
      <c r="A1398" s="38"/>
      <c r="B1398" s="38"/>
      <c r="C1398" s="38"/>
      <c r="D1398" s="38"/>
      <c r="E1398" s="49"/>
      <c r="F1398" s="49"/>
      <c r="G1398" s="38"/>
      <c r="H1398" s="49"/>
      <c r="I1398" s="49"/>
      <c r="J1398" s="49"/>
      <c r="K1398" s="49"/>
      <c r="L1398" s="41"/>
      <c r="M1398" s="41"/>
      <c r="N1398" s="41"/>
      <c r="O1398" s="41"/>
      <c r="P1398" s="43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1"/>
      <c r="AF1398" s="41"/>
      <c r="AG1398" s="41"/>
      <c r="AH1398" s="41"/>
      <c r="AI1398" s="41"/>
      <c r="AJ1398" s="41"/>
      <c r="AK1398" s="41"/>
      <c r="AL1398" s="41"/>
      <c r="AM1398" s="41"/>
      <c r="AN1398" s="41"/>
      <c r="AO1398" s="41"/>
      <c r="AP1398" s="41"/>
      <c r="AQ1398" s="41"/>
      <c r="AR1398" s="41"/>
      <c r="AS1398" s="41"/>
    </row>
    <row r="1399" spans="1:45">
      <c r="A1399" s="38"/>
      <c r="B1399" s="38"/>
      <c r="C1399" s="38"/>
      <c r="D1399" s="38"/>
      <c r="E1399" s="49"/>
      <c r="F1399" s="49"/>
      <c r="G1399" s="38"/>
      <c r="H1399" s="49"/>
      <c r="I1399" s="49"/>
      <c r="J1399" s="49"/>
      <c r="K1399" s="49"/>
      <c r="L1399" s="41"/>
      <c r="M1399" s="41"/>
      <c r="N1399" s="41"/>
      <c r="O1399" s="41"/>
      <c r="P1399" s="43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1"/>
      <c r="AF1399" s="41"/>
      <c r="AG1399" s="41"/>
      <c r="AH1399" s="41"/>
      <c r="AI1399" s="41"/>
      <c r="AJ1399" s="41"/>
      <c r="AK1399" s="41"/>
      <c r="AL1399" s="41"/>
      <c r="AM1399" s="41"/>
      <c r="AN1399" s="41"/>
      <c r="AO1399" s="41"/>
      <c r="AP1399" s="41"/>
      <c r="AQ1399" s="41"/>
      <c r="AR1399" s="41"/>
      <c r="AS1399" s="41"/>
    </row>
    <row r="1400" spans="1:45">
      <c r="A1400" s="38"/>
      <c r="B1400" s="38"/>
      <c r="C1400" s="38"/>
      <c r="D1400" s="38"/>
      <c r="E1400" s="49"/>
      <c r="F1400" s="49"/>
      <c r="G1400" s="38"/>
      <c r="H1400" s="49"/>
      <c r="I1400" s="49"/>
      <c r="J1400" s="49"/>
      <c r="K1400" s="49"/>
      <c r="L1400" s="41"/>
      <c r="M1400" s="41"/>
      <c r="N1400" s="41"/>
      <c r="O1400" s="41"/>
      <c r="P1400" s="43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1"/>
      <c r="AF1400" s="41"/>
      <c r="AG1400" s="41"/>
      <c r="AH1400" s="41"/>
      <c r="AI1400" s="41"/>
      <c r="AJ1400" s="41"/>
      <c r="AK1400" s="41"/>
      <c r="AL1400" s="41"/>
      <c r="AM1400" s="41"/>
      <c r="AN1400" s="41"/>
      <c r="AO1400" s="41"/>
      <c r="AP1400" s="41"/>
      <c r="AQ1400" s="41"/>
      <c r="AR1400" s="41"/>
      <c r="AS1400" s="41"/>
    </row>
    <row r="1401" spans="1:45">
      <c r="A1401" s="38"/>
      <c r="B1401" s="38"/>
      <c r="C1401" s="38"/>
      <c r="D1401" s="38"/>
      <c r="E1401" s="49"/>
      <c r="F1401" s="49"/>
      <c r="G1401" s="38"/>
      <c r="H1401" s="49"/>
      <c r="I1401" s="49"/>
      <c r="J1401" s="49"/>
      <c r="K1401" s="49"/>
      <c r="L1401" s="41"/>
      <c r="M1401" s="41"/>
      <c r="N1401" s="41"/>
      <c r="O1401" s="41"/>
      <c r="P1401" s="43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1"/>
      <c r="AF1401" s="41"/>
      <c r="AG1401" s="41"/>
      <c r="AH1401" s="41"/>
      <c r="AI1401" s="41"/>
      <c r="AJ1401" s="41"/>
      <c r="AK1401" s="41"/>
      <c r="AL1401" s="41"/>
      <c r="AM1401" s="41"/>
      <c r="AN1401" s="41"/>
      <c r="AO1401" s="41"/>
      <c r="AP1401" s="41"/>
      <c r="AQ1401" s="41"/>
      <c r="AR1401" s="41"/>
      <c r="AS1401" s="41"/>
    </row>
    <row r="1402" spans="1:45">
      <c r="A1402" s="38"/>
      <c r="B1402" s="38"/>
      <c r="C1402" s="38"/>
      <c r="D1402" s="38"/>
      <c r="E1402" s="49"/>
      <c r="F1402" s="49"/>
      <c r="G1402" s="38"/>
      <c r="H1402" s="49"/>
      <c r="I1402" s="49"/>
      <c r="J1402" s="49"/>
      <c r="K1402" s="49"/>
      <c r="L1402" s="41"/>
      <c r="M1402" s="41"/>
      <c r="N1402" s="41"/>
      <c r="O1402" s="41"/>
      <c r="P1402" s="43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1"/>
      <c r="AF1402" s="41"/>
      <c r="AG1402" s="41"/>
      <c r="AH1402" s="41"/>
      <c r="AI1402" s="41"/>
      <c r="AJ1402" s="41"/>
      <c r="AK1402" s="41"/>
      <c r="AL1402" s="41"/>
      <c r="AM1402" s="41"/>
      <c r="AN1402" s="41"/>
      <c r="AO1402" s="41"/>
      <c r="AP1402" s="41"/>
      <c r="AQ1402" s="41"/>
      <c r="AR1402" s="41"/>
      <c r="AS1402" s="41"/>
    </row>
    <row r="1403" spans="1:45">
      <c r="A1403" s="38"/>
      <c r="B1403" s="38"/>
      <c r="C1403" s="38"/>
      <c r="D1403" s="38"/>
      <c r="E1403" s="49"/>
      <c r="F1403" s="49"/>
      <c r="G1403" s="38"/>
      <c r="H1403" s="49"/>
      <c r="I1403" s="49"/>
      <c r="J1403" s="49"/>
      <c r="K1403" s="49"/>
      <c r="L1403" s="41"/>
      <c r="M1403" s="41"/>
      <c r="N1403" s="41"/>
      <c r="O1403" s="41"/>
      <c r="P1403" s="43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1"/>
      <c r="AF1403" s="41"/>
      <c r="AG1403" s="41"/>
      <c r="AH1403" s="41"/>
      <c r="AI1403" s="41"/>
      <c r="AJ1403" s="41"/>
      <c r="AK1403" s="41"/>
      <c r="AL1403" s="41"/>
      <c r="AM1403" s="41"/>
      <c r="AN1403" s="41"/>
      <c r="AO1403" s="41"/>
      <c r="AP1403" s="41"/>
      <c r="AQ1403" s="41"/>
      <c r="AR1403" s="41"/>
      <c r="AS1403" s="41"/>
    </row>
    <row r="1404" spans="1:45">
      <c r="A1404" s="38"/>
      <c r="B1404" s="38"/>
      <c r="C1404" s="38"/>
      <c r="D1404" s="38"/>
      <c r="E1404" s="49"/>
      <c r="F1404" s="49"/>
      <c r="G1404" s="38"/>
      <c r="H1404" s="49"/>
      <c r="I1404" s="49"/>
      <c r="J1404" s="49"/>
      <c r="K1404" s="49"/>
      <c r="L1404" s="41"/>
      <c r="M1404" s="41"/>
      <c r="N1404" s="41"/>
      <c r="O1404" s="41"/>
      <c r="P1404" s="43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1"/>
      <c r="AF1404" s="41"/>
      <c r="AG1404" s="41"/>
      <c r="AH1404" s="41"/>
      <c r="AI1404" s="41"/>
      <c r="AJ1404" s="41"/>
      <c r="AK1404" s="41"/>
      <c r="AL1404" s="41"/>
      <c r="AM1404" s="41"/>
      <c r="AN1404" s="41"/>
      <c r="AO1404" s="41"/>
      <c r="AP1404" s="41"/>
      <c r="AQ1404" s="41"/>
      <c r="AR1404" s="41"/>
      <c r="AS1404" s="41"/>
    </row>
    <row r="1405" spans="1:45">
      <c r="A1405" s="38"/>
      <c r="B1405" s="38"/>
      <c r="C1405" s="38"/>
      <c r="D1405" s="38"/>
      <c r="E1405" s="49"/>
      <c r="F1405" s="49"/>
      <c r="G1405" s="38"/>
      <c r="H1405" s="49"/>
      <c r="I1405" s="49"/>
      <c r="J1405" s="49"/>
      <c r="K1405" s="49"/>
      <c r="L1405" s="41"/>
      <c r="M1405" s="41"/>
      <c r="N1405" s="41"/>
      <c r="O1405" s="41"/>
      <c r="P1405" s="43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1"/>
      <c r="AF1405" s="41"/>
      <c r="AG1405" s="41"/>
      <c r="AH1405" s="41"/>
      <c r="AI1405" s="41"/>
      <c r="AJ1405" s="41"/>
      <c r="AK1405" s="41"/>
      <c r="AL1405" s="41"/>
      <c r="AM1405" s="41"/>
      <c r="AN1405" s="41"/>
      <c r="AO1405" s="41"/>
      <c r="AP1405" s="41"/>
      <c r="AQ1405" s="41"/>
      <c r="AR1405" s="41"/>
      <c r="AS1405" s="41"/>
    </row>
    <row r="1406" spans="1:45">
      <c r="A1406" s="38"/>
      <c r="B1406" s="38"/>
      <c r="C1406" s="38"/>
      <c r="D1406" s="38"/>
      <c r="E1406" s="49"/>
      <c r="F1406" s="49"/>
      <c r="G1406" s="38"/>
      <c r="H1406" s="49"/>
      <c r="I1406" s="49"/>
      <c r="J1406" s="49"/>
      <c r="K1406" s="49"/>
      <c r="L1406" s="41"/>
      <c r="M1406" s="41"/>
      <c r="N1406" s="41"/>
      <c r="O1406" s="41"/>
      <c r="P1406" s="43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1"/>
      <c r="AF1406" s="41"/>
      <c r="AG1406" s="41"/>
      <c r="AH1406" s="41"/>
      <c r="AI1406" s="41"/>
      <c r="AJ1406" s="41"/>
      <c r="AK1406" s="41"/>
      <c r="AL1406" s="41"/>
      <c r="AM1406" s="41"/>
      <c r="AN1406" s="41"/>
      <c r="AO1406" s="41"/>
      <c r="AP1406" s="41"/>
      <c r="AQ1406" s="41"/>
      <c r="AR1406" s="41"/>
      <c r="AS1406" s="41"/>
    </row>
  </sheetData>
  <sheetProtection password="F7E3" sheet="1" objects="1" scenarios="1"/>
  <mergeCells count="3">
    <mergeCell ref="A2:N2"/>
    <mergeCell ref="B1:AS1"/>
    <mergeCell ref="O2:AT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12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H10"/>
  <sheetViews>
    <sheetView workbookViewId="0">
      <selection sqref="A1:J1"/>
    </sheetView>
  </sheetViews>
  <sheetFormatPr defaultRowHeight="13.2"/>
  <sheetData>
    <row r="1" spans="1:8">
      <c r="A1" t="s">
        <v>373</v>
      </c>
      <c r="B1" t="s">
        <v>374</v>
      </c>
      <c r="C1" t="s">
        <v>375</v>
      </c>
      <c r="D1" t="s">
        <v>376</v>
      </c>
      <c r="E1" t="s">
        <v>43</v>
      </c>
      <c r="F1" t="s">
        <v>41</v>
      </c>
      <c r="G1" t="s">
        <v>44</v>
      </c>
      <c r="H1" t="s">
        <v>45</v>
      </c>
    </row>
    <row r="2" spans="1:8">
      <c r="A2" t="s">
        <v>492</v>
      </c>
      <c r="B2">
        <v>1</v>
      </c>
      <c r="C2" t="s">
        <v>162</v>
      </c>
      <c r="D2" t="s">
        <v>493</v>
      </c>
      <c r="E2" t="s">
        <v>494</v>
      </c>
      <c r="H2" t="s">
        <v>336</v>
      </c>
    </row>
    <row r="3" spans="1:8">
      <c r="A3" t="s">
        <v>492</v>
      </c>
      <c r="B3">
        <v>2</v>
      </c>
      <c r="C3" t="s">
        <v>163</v>
      </c>
      <c r="E3" t="s">
        <v>495</v>
      </c>
      <c r="H3" t="s">
        <v>336</v>
      </c>
    </row>
    <row r="4" spans="1:8">
      <c r="A4" t="s">
        <v>492</v>
      </c>
      <c r="B4">
        <v>3</v>
      </c>
      <c r="C4" t="s">
        <v>164</v>
      </c>
      <c r="E4" t="s">
        <v>496</v>
      </c>
      <c r="H4" t="s">
        <v>377</v>
      </c>
    </row>
    <row r="5" spans="1:8">
      <c r="A5" t="s">
        <v>497</v>
      </c>
      <c r="B5">
        <v>1</v>
      </c>
      <c r="C5" t="s">
        <v>162</v>
      </c>
      <c r="D5" t="s">
        <v>493</v>
      </c>
      <c r="E5" t="s">
        <v>498</v>
      </c>
      <c r="H5" t="s">
        <v>336</v>
      </c>
    </row>
    <row r="6" spans="1:8">
      <c r="A6" t="s">
        <v>497</v>
      </c>
      <c r="B6">
        <v>2</v>
      </c>
      <c r="C6" t="s">
        <v>163</v>
      </c>
      <c r="E6" t="s">
        <v>499</v>
      </c>
      <c r="H6" t="s">
        <v>336</v>
      </c>
    </row>
    <row r="7" spans="1:8">
      <c r="A7" t="s">
        <v>497</v>
      </c>
      <c r="B7">
        <v>3</v>
      </c>
      <c r="C7" t="s">
        <v>164</v>
      </c>
      <c r="E7" t="s">
        <v>500</v>
      </c>
      <c r="H7" t="s">
        <v>336</v>
      </c>
    </row>
    <row r="8" spans="1:8">
      <c r="A8" t="s">
        <v>501</v>
      </c>
      <c r="B8">
        <v>1</v>
      </c>
      <c r="C8" t="s">
        <v>162</v>
      </c>
      <c r="D8" t="s">
        <v>493</v>
      </c>
      <c r="E8" t="s">
        <v>502</v>
      </c>
      <c r="F8" t="s">
        <v>503</v>
      </c>
      <c r="H8" t="s">
        <v>336</v>
      </c>
    </row>
    <row r="9" spans="1:8">
      <c r="A9" t="s">
        <v>501</v>
      </c>
      <c r="B9">
        <v>2</v>
      </c>
      <c r="C9" t="s">
        <v>163</v>
      </c>
      <c r="E9" t="s">
        <v>504</v>
      </c>
      <c r="H9" t="s">
        <v>336</v>
      </c>
    </row>
    <row r="10" spans="1:8">
      <c r="A10" t="s">
        <v>501</v>
      </c>
      <c r="B10">
        <v>3</v>
      </c>
      <c r="C10" t="s">
        <v>164</v>
      </c>
      <c r="E10" t="s">
        <v>505</v>
      </c>
      <c r="H10" t="s">
        <v>336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L128"/>
  <sheetViews>
    <sheetView showGridLines="0" zoomScaleNormal="100" workbookViewId="0">
      <selection sqref="A1:J1"/>
    </sheetView>
  </sheetViews>
  <sheetFormatPr defaultColWidth="7.5546875" defaultRowHeight="17.25" customHeight="1"/>
  <cols>
    <col min="1" max="4" width="7.5546875" style="279" customWidth="1"/>
    <col min="5" max="5" width="8.33203125" style="279" customWidth="1"/>
    <col min="6" max="10" width="7.5546875" style="279" customWidth="1"/>
    <col min="11" max="11" width="7.5546875" style="816" customWidth="1"/>
    <col min="12" max="12" width="9.5546875" style="279" bestFit="1" customWidth="1"/>
    <col min="13" max="18" width="7.5546875" style="279"/>
    <col min="19" max="19" width="15.44140625" style="279" customWidth="1"/>
    <col min="20" max="20" width="11.44140625" style="279" customWidth="1"/>
    <col min="21" max="21" width="10.5546875" style="279" customWidth="1"/>
    <col min="22" max="22" width="8.33203125" style="279" bestFit="1" customWidth="1"/>
    <col min="23" max="23" width="12.5546875" style="279" customWidth="1"/>
    <col min="24" max="24" width="10.5546875" style="279" customWidth="1"/>
    <col min="25" max="16384" width="7.5546875" style="279"/>
  </cols>
  <sheetData>
    <row r="1" spans="1:24" ht="17.25" customHeight="1">
      <c r="A1" s="279" t="s">
        <v>275</v>
      </c>
      <c r="F1" s="494"/>
      <c r="G1" s="494"/>
      <c r="K1" s="810"/>
      <c r="L1" s="480"/>
      <c r="M1" s="480"/>
      <c r="N1" s="480"/>
      <c r="O1" s="480"/>
      <c r="S1" s="279" t="s">
        <v>443</v>
      </c>
      <c r="T1" s="279" t="s">
        <v>445</v>
      </c>
      <c r="U1" s="509">
        <f>IF(C3="","",_xlfn.STDEV.S(C3:C14))</f>
        <v>7.8015812305563828E-2</v>
      </c>
      <c r="V1" s="279" t="s">
        <v>444</v>
      </c>
      <c r="W1" s="843">
        <f>MAX(MAX(C3:C14)-AVERAGE(C3:C14),AVERAGE(C3:C14)-MIN(C3:C14))</f>
        <v>0.14988333333333337</v>
      </c>
      <c r="X1" s="279" t="str">
        <f>IF(C3="","OK",IF(W1&gt;3*U1,"Verificar","OK"))</f>
        <v>OK</v>
      </c>
    </row>
    <row r="2" spans="1:24" ht="17.25" customHeight="1">
      <c r="A2" s="547" t="s">
        <v>276</v>
      </c>
      <c r="B2" s="547" t="s">
        <v>162</v>
      </c>
      <c r="C2" s="547" t="s">
        <v>163</v>
      </c>
      <c r="D2" s="547" t="s">
        <v>277</v>
      </c>
      <c r="E2" s="547" t="s">
        <v>308</v>
      </c>
      <c r="F2" s="547" t="s">
        <v>162</v>
      </c>
      <c r="G2" s="547" t="s">
        <v>163</v>
      </c>
      <c r="H2" s="547" t="s">
        <v>277</v>
      </c>
      <c r="I2" s="279" t="s">
        <v>309</v>
      </c>
      <c r="J2" s="387" t="s">
        <v>251</v>
      </c>
      <c r="K2" s="811" t="s">
        <v>410</v>
      </c>
      <c r="L2" s="488"/>
      <c r="M2" s="480"/>
      <c r="N2" s="480"/>
      <c r="O2" s="480"/>
      <c r="T2" s="279" t="s">
        <v>445</v>
      </c>
      <c r="U2" s="509">
        <f>IF(C16="","",_xlfn.STDEV.S(C16:C27))</f>
        <v>4.5330901227094503E-2</v>
      </c>
      <c r="V2" s="279" t="s">
        <v>444</v>
      </c>
      <c r="W2" s="843">
        <f>IF(C16="","",MAX(MAX(C16:C27)-AVERAGE(C16:C27),AVERAGE(C16:C27)-MIN(C16:C27)))</f>
        <v>0.13108333333333277</v>
      </c>
      <c r="X2" s="279" t="str">
        <f>IF(C16="","OK",IF(W2&gt;3*U2,"Verificar","OK"))</f>
        <v>OK</v>
      </c>
    </row>
    <row r="3" spans="1:24" ht="17.25" customHeight="1">
      <c r="A3" s="549">
        <v>1</v>
      </c>
      <c r="B3" s="548">
        <v>2.9230999999999998</v>
      </c>
      <c r="C3" s="548">
        <v>9.3018999999999998</v>
      </c>
      <c r="D3" s="548">
        <v>9.3156999999999996</v>
      </c>
      <c r="E3" s="548">
        <v>96.15</v>
      </c>
      <c r="F3" s="548">
        <v>6.4000000000000003E-3</v>
      </c>
      <c r="G3" s="548">
        <v>5.8599999999999999E-2</v>
      </c>
      <c r="H3" s="548">
        <v>7.7299999999999994E-2</v>
      </c>
      <c r="I3" s="548"/>
      <c r="J3" s="548"/>
      <c r="K3" s="824" t="s">
        <v>490</v>
      </c>
      <c r="L3" s="551"/>
      <c r="M3" s="552"/>
      <c r="N3" s="550"/>
      <c r="O3" s="552"/>
      <c r="P3" s="300"/>
      <c r="Q3" s="300"/>
    </row>
    <row r="4" spans="1:24" ht="17.25" customHeight="1">
      <c r="A4" s="549">
        <v>2</v>
      </c>
      <c r="B4" s="548">
        <v>2.9213</v>
      </c>
      <c r="C4" s="548">
        <v>9.2678999999999991</v>
      </c>
      <c r="D4" s="548">
        <v>9.2786000000000008</v>
      </c>
      <c r="E4" s="548">
        <v>96.15</v>
      </c>
      <c r="F4" s="548">
        <v>6.1999999999999998E-3</v>
      </c>
      <c r="G4" s="548">
        <v>5.5E-2</v>
      </c>
      <c r="H4" s="548">
        <v>5.6800000000000003E-2</v>
      </c>
      <c r="I4" s="548"/>
      <c r="J4" s="548"/>
      <c r="K4" s="551"/>
      <c r="L4" s="551"/>
      <c r="M4" s="552"/>
      <c r="N4" s="550"/>
      <c r="O4" s="552"/>
      <c r="P4" s="558"/>
      <c r="Q4" s="558"/>
      <c r="R4" s="495"/>
      <c r="S4" s="495"/>
      <c r="T4" s="495"/>
      <c r="U4" s="281"/>
    </row>
    <row r="5" spans="1:24" ht="17.25" customHeight="1">
      <c r="A5" s="549">
        <v>3</v>
      </c>
      <c r="B5" s="548">
        <v>2.9224999999999999</v>
      </c>
      <c r="C5" s="548">
        <v>9.2685999999999993</v>
      </c>
      <c r="D5" s="548">
        <v>9.3203999999999994</v>
      </c>
      <c r="E5" s="548">
        <v>96.15</v>
      </c>
      <c r="F5" s="548">
        <v>6.3E-3</v>
      </c>
      <c r="G5" s="548">
        <v>5.8400000000000001E-2</v>
      </c>
      <c r="H5" s="548">
        <v>7.4099999999999999E-2</v>
      </c>
      <c r="I5" s="548"/>
      <c r="J5" s="548"/>
      <c r="K5" s="551"/>
      <c r="L5" s="551"/>
      <c r="M5" s="552"/>
      <c r="N5" s="550"/>
      <c r="O5" s="552"/>
      <c r="P5" s="558"/>
      <c r="Q5" s="558"/>
      <c r="R5" s="495"/>
      <c r="S5" s="495"/>
      <c r="T5" s="495"/>
      <c r="U5" s="281"/>
    </row>
    <row r="6" spans="1:24" ht="17.25" customHeight="1">
      <c r="A6" s="549">
        <v>4</v>
      </c>
      <c r="B6" s="548">
        <v>2.9068999999999998</v>
      </c>
      <c r="C6" s="548">
        <v>9.2111000000000001</v>
      </c>
      <c r="D6" s="548">
        <v>9.282</v>
      </c>
      <c r="E6" s="548">
        <v>100</v>
      </c>
      <c r="F6" s="548">
        <v>6.0000000000000001E-3</v>
      </c>
      <c r="G6" s="548">
        <v>5.7799999999999997E-2</v>
      </c>
      <c r="H6" s="548">
        <v>6.8699999999999997E-2</v>
      </c>
      <c r="I6" s="548"/>
      <c r="J6" s="548"/>
      <c r="K6" s="551"/>
      <c r="L6" s="551"/>
      <c r="M6" s="550"/>
      <c r="N6" s="550"/>
      <c r="O6" s="552"/>
      <c r="P6" s="558"/>
      <c r="Q6" s="558"/>
      <c r="R6" s="495"/>
      <c r="S6" s="495"/>
      <c r="T6" s="495"/>
      <c r="U6" s="281"/>
    </row>
    <row r="7" spans="1:24" ht="17.25" customHeight="1">
      <c r="A7" s="549">
        <v>5</v>
      </c>
      <c r="B7" s="548">
        <v>2.9339</v>
      </c>
      <c r="C7" s="548">
        <v>9.2837999999999994</v>
      </c>
      <c r="D7" s="548">
        <v>9.423</v>
      </c>
      <c r="E7" s="548">
        <v>96.15</v>
      </c>
      <c r="F7" s="548">
        <v>6.1000000000000004E-3</v>
      </c>
      <c r="G7" s="548">
        <v>5.5899999999999998E-2</v>
      </c>
      <c r="H7" s="548">
        <v>6.2700000000000006E-2</v>
      </c>
      <c r="I7" s="548"/>
      <c r="J7" s="548"/>
      <c r="K7" s="551"/>
      <c r="L7" s="551"/>
      <c r="M7" s="550"/>
      <c r="N7" s="550"/>
      <c r="O7" s="552"/>
      <c r="P7" s="558"/>
      <c r="Q7" s="558"/>
      <c r="R7" s="495"/>
      <c r="S7" s="495"/>
      <c r="T7" s="495"/>
      <c r="U7" s="281"/>
    </row>
    <row r="8" spans="1:24" ht="17.25" customHeight="1">
      <c r="A8" s="549">
        <v>6</v>
      </c>
      <c r="B8" s="548">
        <v>2.9445999999999999</v>
      </c>
      <c r="C8" s="548">
        <v>9.4387000000000008</v>
      </c>
      <c r="D8" s="548">
        <v>9.6125000000000007</v>
      </c>
      <c r="E8" s="548">
        <v>100</v>
      </c>
      <c r="F8" s="548"/>
      <c r="G8" s="548"/>
      <c r="H8" s="548"/>
      <c r="I8" s="548"/>
      <c r="J8" s="548"/>
      <c r="K8" s="551"/>
      <c r="L8" s="551"/>
      <c r="M8" s="550"/>
      <c r="N8" s="550"/>
      <c r="O8" s="552"/>
      <c r="P8" s="558"/>
      <c r="Q8" s="558"/>
      <c r="R8" s="495"/>
      <c r="S8" s="495"/>
      <c r="T8" s="495"/>
      <c r="U8" s="300"/>
    </row>
    <row r="9" spans="1:24" ht="17.25" customHeight="1">
      <c r="A9" s="549">
        <v>7</v>
      </c>
      <c r="B9" s="548">
        <v>2.9338000000000002</v>
      </c>
      <c r="C9" s="548">
        <v>9.1454000000000004</v>
      </c>
      <c r="D9" s="548">
        <v>9.1531000000000002</v>
      </c>
      <c r="E9" s="548">
        <v>100.1</v>
      </c>
      <c r="F9" s="548"/>
      <c r="G9" s="548"/>
      <c r="H9" s="548"/>
      <c r="I9" s="548"/>
      <c r="J9" s="548"/>
      <c r="K9" s="812"/>
      <c r="L9" s="558"/>
      <c r="M9" s="558"/>
      <c r="N9" s="558"/>
      <c r="O9" s="558"/>
      <c r="P9" s="558"/>
      <c r="Q9" s="558"/>
      <c r="R9" s="495"/>
      <c r="S9" s="495"/>
      <c r="T9" s="495"/>
      <c r="U9" s="281"/>
    </row>
    <row r="10" spans="1:24" ht="17.25" customHeight="1">
      <c r="A10" s="549">
        <v>8</v>
      </c>
      <c r="B10" s="548">
        <v>2.9317000000000002</v>
      </c>
      <c r="C10" s="548">
        <v>9.2530999999999999</v>
      </c>
      <c r="D10" s="548">
        <v>9.2911000000000001</v>
      </c>
      <c r="E10" s="548">
        <v>96.15</v>
      </c>
      <c r="F10" s="548"/>
      <c r="G10" s="548"/>
      <c r="H10" s="548"/>
      <c r="I10" s="548"/>
      <c r="J10" s="548"/>
      <c r="K10" s="812"/>
      <c r="L10" s="558"/>
      <c r="M10" s="558"/>
      <c r="N10" s="558"/>
      <c r="O10" s="558"/>
      <c r="P10" s="558"/>
      <c r="Q10" s="558"/>
      <c r="R10" s="495"/>
      <c r="S10" s="495"/>
      <c r="T10" s="495"/>
      <c r="U10" s="281"/>
    </row>
    <row r="11" spans="1:24" ht="17.25" customHeight="1">
      <c r="A11" s="549">
        <v>9</v>
      </c>
      <c r="B11" s="548">
        <v>2.9287999999999998</v>
      </c>
      <c r="C11" s="548">
        <v>9.2940000000000005</v>
      </c>
      <c r="D11" s="548">
        <v>9.3476999999999997</v>
      </c>
      <c r="E11" s="548">
        <v>100.1</v>
      </c>
      <c r="F11" s="548"/>
      <c r="G11" s="548"/>
      <c r="H11" s="548"/>
      <c r="I11" s="548"/>
      <c r="J11" s="548"/>
      <c r="K11" s="813"/>
      <c r="L11" s="558"/>
      <c r="M11" s="558"/>
      <c r="N11" s="558"/>
      <c r="O11" s="558"/>
      <c r="P11" s="558"/>
      <c r="Q11" s="558"/>
      <c r="R11" s="495"/>
      <c r="S11" s="495"/>
      <c r="T11" s="495"/>
      <c r="U11" s="281"/>
    </row>
    <row r="12" spans="1:24" ht="17.25" customHeight="1">
      <c r="A12" s="549">
        <v>10</v>
      </c>
      <c r="B12" s="548">
        <v>2.9415</v>
      </c>
      <c r="C12" s="548">
        <v>9.3104999999999993</v>
      </c>
      <c r="D12" s="548">
        <v>9.3488000000000007</v>
      </c>
      <c r="E12" s="548">
        <v>96.15</v>
      </c>
      <c r="F12" s="548"/>
      <c r="G12" s="548"/>
      <c r="H12" s="548"/>
      <c r="I12" s="548"/>
      <c r="J12" s="548"/>
      <c r="K12" s="814"/>
      <c r="L12" s="300"/>
      <c r="M12" s="300"/>
      <c r="N12" s="300"/>
      <c r="O12" s="300"/>
      <c r="P12" s="300"/>
      <c r="Q12" s="300"/>
    </row>
    <row r="13" spans="1:24" ht="17.25" customHeight="1">
      <c r="A13" s="549">
        <v>11</v>
      </c>
      <c r="B13" s="548">
        <v>2.9390000000000001</v>
      </c>
      <c r="C13" s="548">
        <v>9.2796000000000003</v>
      </c>
      <c r="D13" s="548">
        <v>9.3170999999999999</v>
      </c>
      <c r="E13" s="548">
        <v>100.2</v>
      </c>
      <c r="F13" s="548"/>
      <c r="G13" s="548"/>
      <c r="H13" s="548"/>
      <c r="I13" s="548"/>
      <c r="J13" s="548"/>
      <c r="K13" s="815"/>
      <c r="L13" s="550"/>
      <c r="M13" s="550"/>
      <c r="N13" s="550"/>
      <c r="O13" s="550"/>
      <c r="P13" s="553"/>
      <c r="Q13" s="550"/>
      <c r="R13" s="498"/>
      <c r="S13" s="499"/>
      <c r="T13" s="480"/>
      <c r="U13" s="480"/>
      <c r="V13" s="480"/>
    </row>
    <row r="14" spans="1:24" ht="17.25" customHeight="1">
      <c r="A14" s="549">
        <v>12</v>
      </c>
      <c r="B14" s="548">
        <v>2.9072</v>
      </c>
      <c r="C14" s="548">
        <v>9.4111999999999991</v>
      </c>
      <c r="D14" s="548">
        <v>9.8026999999999997</v>
      </c>
      <c r="E14" s="548">
        <v>96.15</v>
      </c>
      <c r="F14" s="548"/>
      <c r="G14" s="548"/>
      <c r="H14" s="548"/>
      <c r="I14" s="548"/>
      <c r="J14" s="548"/>
      <c r="K14" s="815"/>
      <c r="L14" s="554"/>
      <c r="M14" s="550"/>
      <c r="N14" s="552"/>
      <c r="O14" s="553"/>
      <c r="P14" s="555"/>
      <c r="Q14" s="556"/>
      <c r="R14" s="502"/>
      <c r="S14" s="319"/>
      <c r="T14" s="501"/>
      <c r="U14" s="316"/>
      <c r="V14" s="480"/>
    </row>
    <row r="15" spans="1:24" ht="17.25" customHeight="1">
      <c r="A15" s="649"/>
      <c r="B15" s="649"/>
      <c r="C15" s="649"/>
      <c r="D15" s="650"/>
      <c r="E15" s="649"/>
      <c r="F15" s="547"/>
      <c r="G15" s="550"/>
      <c r="H15" s="300"/>
      <c r="I15" s="300"/>
      <c r="J15" s="300"/>
      <c r="K15" s="815"/>
      <c r="L15" s="554"/>
      <c r="M15" s="550"/>
      <c r="N15" s="552"/>
      <c r="O15" s="557"/>
      <c r="P15" s="555"/>
      <c r="Q15" s="556"/>
      <c r="R15" s="502"/>
      <c r="S15" s="319"/>
      <c r="T15" s="501"/>
      <c r="U15" s="316"/>
      <c r="V15" s="480"/>
    </row>
    <row r="16" spans="1:24" ht="17.25" customHeight="1">
      <c r="A16" s="387">
        <v>1</v>
      </c>
      <c r="B16" s="548">
        <v>2.9853999999999998</v>
      </c>
      <c r="C16" s="548">
        <v>9.5137</v>
      </c>
      <c r="D16" s="548">
        <v>9.5216999999999992</v>
      </c>
      <c r="E16" s="548">
        <v>99.59</v>
      </c>
      <c r="F16" s="548"/>
      <c r="G16" s="548"/>
      <c r="H16" s="548"/>
      <c r="I16" s="548"/>
      <c r="J16" s="548"/>
      <c r="K16" s="823" t="s">
        <v>491</v>
      </c>
      <c r="L16" s="319"/>
      <c r="M16" s="480"/>
      <c r="N16" s="489"/>
      <c r="O16" s="504"/>
      <c r="P16" s="500"/>
      <c r="Q16" s="501"/>
      <c r="R16" s="502"/>
      <c r="S16" s="319"/>
      <c r="T16" s="501"/>
      <c r="U16" s="316"/>
      <c r="V16" s="480"/>
    </row>
    <row r="17" spans="1:37" ht="17.25" customHeight="1">
      <c r="A17" s="387">
        <v>2</v>
      </c>
      <c r="B17" s="548">
        <v>2.9876</v>
      </c>
      <c r="C17" s="548">
        <v>9.4984999999999999</v>
      </c>
      <c r="D17" s="548">
        <v>9.5206</v>
      </c>
      <c r="E17" s="548">
        <v>99.83</v>
      </c>
      <c r="F17" s="548"/>
      <c r="G17" s="548"/>
      <c r="H17" s="548"/>
      <c r="I17" s="548"/>
      <c r="J17" s="548"/>
      <c r="K17" s="810"/>
      <c r="L17" s="480"/>
      <c r="M17" s="480"/>
      <c r="N17" s="480"/>
      <c r="O17" s="497"/>
      <c r="P17" s="497"/>
      <c r="Q17" s="497"/>
      <c r="R17" s="480"/>
      <c r="S17" s="498"/>
      <c r="T17" s="499"/>
      <c r="U17" s="480"/>
      <c r="V17" s="480"/>
      <c r="W17" s="480"/>
    </row>
    <row r="18" spans="1:37" ht="17.25" customHeight="1">
      <c r="A18" s="387">
        <v>3</v>
      </c>
      <c r="B18" s="548">
        <v>2.9866999999999999</v>
      </c>
      <c r="C18" s="548">
        <v>9.5012000000000008</v>
      </c>
      <c r="D18" s="548">
        <v>9.5169999999999995</v>
      </c>
      <c r="E18" s="548">
        <v>99.57</v>
      </c>
      <c r="F18" s="548"/>
      <c r="G18" s="548"/>
      <c r="H18" s="548"/>
      <c r="I18" s="548"/>
      <c r="J18" s="548"/>
      <c r="K18" s="810"/>
      <c r="L18" s="319"/>
      <c r="M18" s="480"/>
      <c r="N18" s="489"/>
      <c r="O18" s="500"/>
      <c r="P18" s="500"/>
      <c r="Q18" s="500"/>
      <c r="R18" s="501"/>
      <c r="S18" s="502"/>
      <c r="T18" s="319"/>
      <c r="U18" s="501"/>
      <c r="V18" s="319"/>
      <c r="W18" s="480"/>
      <c r="X18" s="505"/>
      <c r="Y18" s="505"/>
    </row>
    <row r="19" spans="1:37" ht="17.25" customHeight="1">
      <c r="A19" s="387">
        <v>4</v>
      </c>
      <c r="B19" s="548">
        <v>2.9849999999999999</v>
      </c>
      <c r="C19" s="548">
        <v>9.4829000000000008</v>
      </c>
      <c r="D19" s="548">
        <v>9.4918999999999993</v>
      </c>
      <c r="E19" s="548">
        <v>98.87</v>
      </c>
      <c r="F19" s="548"/>
      <c r="G19" s="548"/>
      <c r="H19" s="548"/>
      <c r="I19" s="548"/>
      <c r="J19" s="548"/>
      <c r="M19" s="480"/>
      <c r="N19" s="480"/>
      <c r="O19" s="504"/>
      <c r="P19" s="480"/>
      <c r="Q19" s="480"/>
      <c r="R19" s="480"/>
    </row>
    <row r="20" spans="1:37" ht="17.25" customHeight="1">
      <c r="A20" s="387">
        <v>5</v>
      </c>
      <c r="B20" s="548">
        <v>2.9923000000000002</v>
      </c>
      <c r="C20" s="548">
        <v>9.5290999999999997</v>
      </c>
      <c r="D20" s="548">
        <v>9.6561000000000003</v>
      </c>
      <c r="E20" s="548">
        <v>99.86</v>
      </c>
      <c r="F20" s="548"/>
      <c r="G20" s="548"/>
      <c r="H20" s="548"/>
      <c r="I20" s="548"/>
      <c r="J20" s="548"/>
      <c r="K20" s="810"/>
      <c r="L20" s="480"/>
      <c r="M20" s="480"/>
      <c r="N20" s="480"/>
      <c r="AE20" s="387"/>
    </row>
    <row r="21" spans="1:37" ht="17.25" customHeight="1">
      <c r="A21" s="387">
        <v>6</v>
      </c>
      <c r="B21" s="548">
        <v>2.9965999999999999</v>
      </c>
      <c r="C21" s="548">
        <v>9.5548999999999999</v>
      </c>
      <c r="D21" s="548">
        <v>9.8468</v>
      </c>
      <c r="E21" s="548">
        <v>100.1</v>
      </c>
      <c r="F21" s="548"/>
      <c r="G21" s="548"/>
      <c r="H21" s="548"/>
      <c r="I21" s="548"/>
      <c r="J21" s="548"/>
      <c r="K21" s="810"/>
      <c r="L21" s="319"/>
      <c r="M21" s="319"/>
      <c r="N21" s="488"/>
      <c r="O21" s="495"/>
      <c r="P21" s="495"/>
      <c r="Q21" s="495"/>
      <c r="R21" s="495"/>
      <c r="S21" s="495"/>
      <c r="T21" s="495"/>
      <c r="U21" s="495"/>
      <c r="V21" s="495"/>
      <c r="AE21" s="387"/>
    </row>
    <row r="22" spans="1:37" ht="17.25" customHeight="1">
      <c r="A22" s="387">
        <v>7</v>
      </c>
      <c r="B22" s="548">
        <v>2.9956999999999998</v>
      </c>
      <c r="C22" s="548">
        <v>9.375</v>
      </c>
      <c r="D22" s="548">
        <v>9.3966999999999992</v>
      </c>
      <c r="E22" s="548">
        <v>99.36</v>
      </c>
      <c r="F22" s="548"/>
      <c r="G22" s="548"/>
      <c r="H22" s="548"/>
      <c r="I22" s="548"/>
      <c r="J22" s="548"/>
      <c r="K22" s="810"/>
      <c r="L22" s="319"/>
      <c r="M22" s="319"/>
      <c r="N22" s="488"/>
      <c r="O22" s="495"/>
      <c r="P22" s="495"/>
      <c r="Q22" s="495"/>
      <c r="R22" s="495"/>
      <c r="S22" s="495"/>
      <c r="T22" s="495"/>
      <c r="U22" s="495"/>
      <c r="V22" s="495"/>
    </row>
    <row r="23" spans="1:37" ht="17.25" customHeight="1">
      <c r="A23" s="387">
        <v>8</v>
      </c>
      <c r="B23" s="548">
        <v>2.9758</v>
      </c>
      <c r="C23" s="548">
        <v>9.5122</v>
      </c>
      <c r="D23" s="548">
        <v>9.5531000000000006</v>
      </c>
      <c r="E23" s="548">
        <v>99.49</v>
      </c>
      <c r="F23" s="548"/>
      <c r="G23" s="548"/>
      <c r="H23" s="548"/>
      <c r="I23" s="548"/>
      <c r="J23" s="548"/>
      <c r="K23" s="810"/>
      <c r="L23" s="319"/>
      <c r="M23" s="319"/>
      <c r="N23" s="488"/>
      <c r="O23" s="495"/>
      <c r="P23" s="495"/>
      <c r="Q23" s="495"/>
      <c r="R23" s="495"/>
      <c r="S23" s="495"/>
      <c r="T23" s="495"/>
      <c r="U23" s="495"/>
      <c r="V23" s="495"/>
    </row>
    <row r="24" spans="1:37" ht="17.25" customHeight="1">
      <c r="A24" s="387">
        <v>9</v>
      </c>
      <c r="B24" s="548">
        <v>2.9986000000000002</v>
      </c>
      <c r="C24" s="548">
        <v>9.5162999999999993</v>
      </c>
      <c r="D24" s="548">
        <v>9.5470000000000006</v>
      </c>
      <c r="E24" s="548">
        <v>99.07</v>
      </c>
      <c r="F24" s="548"/>
      <c r="G24" s="548"/>
      <c r="H24" s="548"/>
      <c r="I24" s="548"/>
      <c r="J24" s="548"/>
      <c r="K24" s="810"/>
      <c r="L24" s="319"/>
      <c r="M24" s="319"/>
      <c r="N24" s="488"/>
      <c r="O24" s="495"/>
      <c r="P24" s="495"/>
      <c r="Q24" s="495"/>
      <c r="R24" s="495"/>
      <c r="S24" s="495"/>
      <c r="T24" s="495"/>
      <c r="U24" s="495"/>
      <c r="V24" s="495"/>
      <c r="AD24" s="300"/>
      <c r="AE24" s="507"/>
      <c r="AF24" s="507"/>
      <c r="AG24" s="507"/>
      <c r="AH24" s="507"/>
      <c r="AI24" s="507"/>
      <c r="AJ24" s="300"/>
      <c r="AK24" s="508"/>
    </row>
    <row r="25" spans="1:37" ht="17.25" customHeight="1">
      <c r="A25" s="387">
        <v>10</v>
      </c>
      <c r="B25" s="548">
        <v>2.9988999999999999</v>
      </c>
      <c r="C25" s="548">
        <v>9.5320999999999998</v>
      </c>
      <c r="D25" s="548">
        <v>9.548</v>
      </c>
      <c r="E25" s="548">
        <v>99.66</v>
      </c>
      <c r="F25" s="548"/>
      <c r="G25" s="548"/>
      <c r="H25" s="548"/>
      <c r="I25" s="548"/>
      <c r="J25" s="548"/>
      <c r="O25" s="495"/>
      <c r="P25" s="495"/>
      <c r="Q25" s="495"/>
      <c r="R25" s="495"/>
      <c r="S25" s="495"/>
      <c r="T25" s="495"/>
      <c r="U25" s="495"/>
      <c r="V25" s="495"/>
      <c r="AD25" s="300"/>
      <c r="AE25" s="387"/>
      <c r="AF25" s="387"/>
      <c r="AG25" s="387"/>
      <c r="AH25" s="387"/>
      <c r="AI25" s="387"/>
      <c r="AJ25" s="300"/>
      <c r="AK25" s="508"/>
    </row>
    <row r="26" spans="1:37" ht="17.25" customHeight="1">
      <c r="A26" s="387">
        <v>11</v>
      </c>
      <c r="B26" s="548">
        <v>2.9992000000000001</v>
      </c>
      <c r="C26" s="548">
        <v>9.5297999999999998</v>
      </c>
      <c r="D26" s="548">
        <v>9.5808</v>
      </c>
      <c r="E26" s="548">
        <v>99.37</v>
      </c>
      <c r="F26" s="548"/>
      <c r="G26" s="548"/>
      <c r="H26" s="548"/>
      <c r="I26" s="548"/>
      <c r="J26" s="548"/>
      <c r="N26" s="495"/>
      <c r="O26" s="495"/>
      <c r="P26" s="495"/>
      <c r="Q26" s="495"/>
      <c r="R26" s="495"/>
      <c r="S26" s="495"/>
      <c r="T26" s="495"/>
      <c r="U26" s="495"/>
      <c r="V26" s="495"/>
      <c r="AD26" s="300"/>
      <c r="AE26" s="300"/>
      <c r="AF26" s="300"/>
      <c r="AG26" s="300"/>
      <c r="AH26" s="300"/>
      <c r="AI26" s="300"/>
      <c r="AJ26" s="300"/>
      <c r="AK26" s="343"/>
    </row>
    <row r="27" spans="1:37" ht="17.25" customHeight="1">
      <c r="A27" s="387">
        <v>12</v>
      </c>
      <c r="B27" s="548">
        <v>2.9876</v>
      </c>
      <c r="C27" s="548">
        <v>9.5273000000000003</v>
      </c>
      <c r="D27" s="548">
        <v>9.6399000000000008</v>
      </c>
      <c r="E27" s="548">
        <v>99.76</v>
      </c>
      <c r="F27" s="548"/>
      <c r="G27" s="548"/>
      <c r="H27" s="548"/>
      <c r="I27" s="548"/>
      <c r="J27" s="548"/>
      <c r="U27" s="511"/>
      <c r="AD27" s="512"/>
      <c r="AE27" s="300"/>
      <c r="AF27" s="513"/>
      <c r="AG27" s="513"/>
      <c r="AH27" s="508"/>
      <c r="AI27" s="300"/>
      <c r="AJ27" s="513"/>
      <c r="AK27" s="300"/>
    </row>
    <row r="28" spans="1:37" ht="17.25" customHeight="1">
      <c r="A28" s="506"/>
      <c r="B28" s="480"/>
      <c r="C28" s="480"/>
      <c r="D28" s="480"/>
      <c r="E28" s="480"/>
      <c r="F28" s="480"/>
      <c r="G28" s="490"/>
      <c r="I28" s="509"/>
      <c r="U28" s="511"/>
      <c r="AD28" s="512"/>
      <c r="AE28" s="514"/>
      <c r="AF28" s="513"/>
      <c r="AG28" s="513"/>
      <c r="AH28" s="508"/>
      <c r="AI28" s="300"/>
      <c r="AJ28" s="513"/>
      <c r="AK28" s="300"/>
    </row>
    <row r="29" spans="1:37" ht="17.25" customHeight="1">
      <c r="A29" s="506"/>
      <c r="B29" s="480"/>
      <c r="C29" s="480"/>
      <c r="D29" s="480"/>
      <c r="E29" s="480"/>
      <c r="F29" s="480"/>
      <c r="G29" s="490"/>
      <c r="I29" s="515"/>
      <c r="U29" s="511"/>
      <c r="AD29" s="512"/>
      <c r="AE29" s="514"/>
      <c r="AF29" s="513"/>
      <c r="AG29" s="513"/>
      <c r="AH29" s="508"/>
      <c r="AI29" s="300"/>
      <c r="AJ29" s="513"/>
      <c r="AK29" s="300"/>
    </row>
    <row r="30" spans="1:37" ht="17.25" customHeight="1">
      <c r="A30" s="506"/>
      <c r="B30" s="480"/>
      <c r="C30" s="480"/>
      <c r="D30" s="480"/>
      <c r="E30" s="480"/>
      <c r="F30" s="480"/>
      <c r="G30" s="490"/>
      <c r="I30" s="387"/>
      <c r="K30" s="817"/>
      <c r="L30" s="505"/>
      <c r="M30" s="505"/>
      <c r="U30" s="511"/>
      <c r="AD30" s="512"/>
      <c r="AE30" s="514"/>
      <c r="AF30" s="513"/>
      <c r="AG30" s="513"/>
      <c r="AH30" s="508"/>
      <c r="AI30" s="300"/>
      <c r="AJ30" s="513"/>
      <c r="AK30" s="300"/>
    </row>
    <row r="31" spans="1:37" ht="17.25" customHeight="1">
      <c r="A31" s="495"/>
      <c r="B31" s="495"/>
      <c r="C31" s="495"/>
      <c r="D31" s="495"/>
      <c r="E31" s="495"/>
      <c r="F31" s="495"/>
      <c r="G31" s="495"/>
      <c r="I31" s="509"/>
      <c r="K31" s="817"/>
      <c r="L31" s="505"/>
      <c r="M31" s="505"/>
      <c r="U31" s="511"/>
      <c r="AD31" s="512"/>
      <c r="AE31" s="300"/>
      <c r="AF31" s="300"/>
      <c r="AG31" s="300"/>
      <c r="AH31" s="516"/>
      <c r="AI31" s="516"/>
      <c r="AJ31" s="514"/>
      <c r="AK31" s="517"/>
    </row>
    <row r="32" spans="1:37" ht="17.25" customHeight="1">
      <c r="A32" s="321"/>
      <c r="B32" s="321"/>
      <c r="C32" s="321"/>
      <c r="D32" s="321"/>
      <c r="E32" s="321"/>
      <c r="F32" s="321"/>
      <c r="G32" s="321"/>
      <c r="I32" s="509"/>
      <c r="K32" s="817"/>
      <c r="L32" s="505"/>
      <c r="M32" s="505"/>
      <c r="U32" s="511"/>
      <c r="AD32" s="512"/>
      <c r="AE32" s="514"/>
      <c r="AF32" s="514"/>
      <c r="AG32" s="300"/>
      <c r="AH32" s="518"/>
      <c r="AI32" s="516"/>
      <c r="AJ32" s="519"/>
      <c r="AK32" s="300"/>
    </row>
    <row r="33" spans="1:38" ht="17.25" customHeight="1">
      <c r="A33" s="321"/>
      <c r="B33" s="321"/>
      <c r="C33" s="321"/>
      <c r="D33" s="321"/>
      <c r="E33" s="321"/>
      <c r="F33" s="321"/>
      <c r="G33" s="321"/>
      <c r="I33" s="509"/>
      <c r="K33" s="817"/>
      <c r="L33" s="505"/>
      <c r="M33" s="505"/>
      <c r="U33" s="511"/>
      <c r="AC33" s="505"/>
      <c r="AD33" s="505"/>
      <c r="AE33" s="505"/>
      <c r="AF33" s="505"/>
      <c r="AG33" s="505"/>
      <c r="AH33" s="505"/>
      <c r="AI33" s="505"/>
      <c r="AJ33" s="505"/>
      <c r="AK33" s="505"/>
      <c r="AL33" s="505"/>
    </row>
    <row r="34" spans="1:38" ht="17.25" customHeight="1">
      <c r="A34" s="495"/>
      <c r="B34" s="495"/>
      <c r="C34" s="478"/>
      <c r="D34" s="321"/>
      <c r="G34" s="479"/>
      <c r="I34" s="509"/>
      <c r="K34" s="817"/>
      <c r="L34" s="505"/>
      <c r="M34" s="505"/>
      <c r="U34" s="511"/>
      <c r="AC34" s="505"/>
      <c r="AD34" s="300"/>
      <c r="AE34" s="507"/>
      <c r="AF34" s="507"/>
      <c r="AG34" s="507"/>
      <c r="AH34" s="507"/>
      <c r="AI34" s="507"/>
      <c r="AJ34" s="300"/>
      <c r="AK34" s="508"/>
      <c r="AL34" s="505"/>
    </row>
    <row r="35" spans="1:38" ht="17.25" customHeight="1">
      <c r="A35" s="321"/>
      <c r="B35" s="321"/>
      <c r="C35" s="321"/>
      <c r="D35" s="321"/>
      <c r="E35" s="321"/>
      <c r="F35" s="321"/>
      <c r="G35" s="321"/>
      <c r="I35" s="509"/>
      <c r="K35" s="817"/>
      <c r="L35" s="505"/>
      <c r="M35" s="505"/>
      <c r="U35" s="511"/>
      <c r="AC35" s="505"/>
      <c r="AD35" s="300"/>
      <c r="AE35" s="387"/>
      <c r="AF35" s="387"/>
      <c r="AG35" s="387"/>
      <c r="AH35" s="387"/>
      <c r="AI35" s="387"/>
      <c r="AJ35" s="300"/>
      <c r="AK35" s="508"/>
      <c r="AL35" s="505"/>
    </row>
    <row r="36" spans="1:38" ht="17.25" customHeight="1">
      <c r="A36" s="387"/>
      <c r="B36" s="476"/>
      <c r="C36" s="387"/>
      <c r="D36" s="476"/>
      <c r="E36" s="321"/>
      <c r="F36" s="321"/>
      <c r="G36" s="321"/>
      <c r="I36" s="509"/>
      <c r="K36" s="817"/>
      <c r="L36" s="505"/>
      <c r="M36" s="505"/>
      <c r="U36" s="511"/>
      <c r="AC36" s="505"/>
      <c r="AD36" s="300"/>
      <c r="AE36" s="300"/>
      <c r="AF36" s="300"/>
      <c r="AG36" s="300"/>
      <c r="AH36" s="300"/>
      <c r="AI36" s="300"/>
      <c r="AJ36" s="300"/>
      <c r="AK36" s="343"/>
      <c r="AL36" s="505"/>
    </row>
    <row r="37" spans="1:38" ht="17.25" customHeight="1">
      <c r="A37" s="387"/>
      <c r="B37" s="480"/>
      <c r="C37" s="387"/>
      <c r="D37" s="480"/>
      <c r="E37" s="321"/>
      <c r="F37" s="321"/>
      <c r="G37" s="321"/>
      <c r="I37" s="509"/>
      <c r="K37" s="817"/>
      <c r="L37" s="505"/>
      <c r="M37" s="505"/>
      <c r="U37" s="511"/>
      <c r="AC37" s="505"/>
      <c r="AD37" s="520"/>
      <c r="AE37" s="300"/>
      <c r="AF37" s="513"/>
      <c r="AG37" s="513"/>
      <c r="AH37" s="508"/>
      <c r="AI37" s="300"/>
      <c r="AJ37" s="513"/>
      <c r="AK37" s="300"/>
      <c r="AL37" s="505"/>
    </row>
    <row r="38" spans="1:38" ht="17.25" customHeight="1">
      <c r="A38" s="387"/>
      <c r="B38" s="480"/>
      <c r="C38" s="387"/>
      <c r="D38" s="480"/>
      <c r="E38" s="321"/>
      <c r="F38" s="321"/>
      <c r="G38" s="321"/>
      <c r="I38" s="509"/>
      <c r="K38" s="817"/>
      <c r="L38" s="505"/>
      <c r="M38" s="505"/>
      <c r="U38" s="511"/>
      <c r="AC38" s="505"/>
      <c r="AD38" s="520"/>
      <c r="AE38" s="514"/>
      <c r="AF38" s="513"/>
      <c r="AG38" s="513"/>
      <c r="AH38" s="508"/>
      <c r="AI38" s="300"/>
      <c r="AJ38" s="513"/>
      <c r="AK38" s="519"/>
      <c r="AL38" s="505"/>
    </row>
    <row r="39" spans="1:38" ht="17.25" customHeight="1">
      <c r="A39" s="481"/>
      <c r="B39" s="488"/>
      <c r="C39" s="481"/>
      <c r="D39" s="488"/>
      <c r="E39" s="321"/>
      <c r="F39" s="321"/>
      <c r="G39" s="321"/>
      <c r="I39" s="509"/>
      <c r="K39" s="817"/>
      <c r="L39" s="505"/>
      <c r="M39" s="505"/>
      <c r="U39" s="511"/>
      <c r="AC39" s="505"/>
      <c r="AD39" s="520"/>
      <c r="AE39" s="514"/>
      <c r="AF39" s="513"/>
      <c r="AG39" s="513"/>
      <c r="AH39" s="508"/>
      <c r="AI39" s="300"/>
      <c r="AJ39" s="513"/>
      <c r="AK39" s="300"/>
      <c r="AL39" s="505"/>
    </row>
    <row r="40" spans="1:38" ht="17.25" customHeight="1">
      <c r="A40" s="481"/>
      <c r="B40" s="481"/>
      <c r="C40" s="481"/>
      <c r="D40" s="481"/>
      <c r="F40" s="481"/>
      <c r="G40" s="521"/>
      <c r="I40" s="509"/>
      <c r="K40" s="817"/>
      <c r="L40" s="505"/>
      <c r="M40" s="505"/>
      <c r="U40" s="511"/>
      <c r="AC40" s="505"/>
      <c r="AD40" s="520"/>
      <c r="AE40" s="514"/>
      <c r="AF40" s="513"/>
      <c r="AG40" s="513"/>
      <c r="AH40" s="508"/>
      <c r="AI40" s="300"/>
      <c r="AJ40" s="513"/>
      <c r="AK40" s="300"/>
      <c r="AL40" s="505"/>
    </row>
    <row r="41" spans="1:38" ht="17.25" customHeight="1">
      <c r="A41" s="481"/>
      <c r="B41" s="481"/>
      <c r="C41" s="481"/>
      <c r="D41" s="481"/>
      <c r="F41" s="481"/>
      <c r="G41" s="481"/>
      <c r="I41" s="509"/>
      <c r="K41" s="817"/>
      <c r="L41" s="505"/>
      <c r="M41" s="505"/>
      <c r="U41" s="511"/>
      <c r="AC41" s="505"/>
      <c r="AD41" s="520"/>
      <c r="AE41" s="514"/>
      <c r="AF41" s="513"/>
      <c r="AG41" s="513"/>
      <c r="AH41" s="508"/>
      <c r="AI41" s="300"/>
      <c r="AJ41" s="513"/>
      <c r="AK41" s="300"/>
      <c r="AL41" s="505"/>
    </row>
    <row r="42" spans="1:38" ht="17.25" customHeight="1">
      <c r="A42" s="481"/>
      <c r="B42" s="522"/>
      <c r="C42" s="481"/>
      <c r="D42" s="522"/>
      <c r="E42" s="477"/>
      <c r="F42" s="476"/>
      <c r="G42" s="491"/>
      <c r="I42" s="509"/>
      <c r="K42" s="817"/>
      <c r="L42" s="505"/>
      <c r="M42" s="505"/>
      <c r="U42" s="511"/>
      <c r="AC42" s="505"/>
      <c r="AD42" s="512"/>
      <c r="AE42" s="300"/>
      <c r="AF42" s="300"/>
      <c r="AG42" s="300"/>
      <c r="AH42" s="516"/>
      <c r="AI42" s="516"/>
      <c r="AJ42" s="514"/>
      <c r="AK42" s="517"/>
      <c r="AL42" s="505"/>
    </row>
    <row r="43" spans="1:38" ht="17.25" customHeight="1">
      <c r="A43" s="495"/>
      <c r="B43" s="495"/>
      <c r="C43" s="495"/>
      <c r="D43" s="495"/>
      <c r="E43" s="495"/>
      <c r="F43" s="495"/>
      <c r="G43" s="495"/>
      <c r="I43" s="509"/>
      <c r="K43" s="817"/>
      <c r="L43" s="505"/>
      <c r="M43" s="505"/>
      <c r="U43" s="511"/>
      <c r="AC43" s="505"/>
      <c r="AD43" s="512"/>
      <c r="AE43" s="514"/>
      <c r="AF43" s="514"/>
      <c r="AG43" s="300"/>
      <c r="AH43" s="518"/>
      <c r="AI43" s="516"/>
      <c r="AJ43" s="519"/>
      <c r="AK43" s="300"/>
      <c r="AL43" s="505"/>
    </row>
    <row r="44" spans="1:38" ht="17.25" customHeight="1">
      <c r="A44" s="321"/>
      <c r="B44" s="321"/>
      <c r="C44" s="321"/>
      <c r="D44" s="321"/>
      <c r="E44" s="321"/>
      <c r="F44" s="321"/>
      <c r="G44" s="321"/>
      <c r="I44" s="509"/>
      <c r="K44" s="817"/>
      <c r="L44" s="505"/>
      <c r="M44" s="505"/>
      <c r="U44" s="511"/>
      <c r="AC44" s="505"/>
      <c r="AD44" s="505"/>
      <c r="AE44" s="505"/>
      <c r="AF44" s="505"/>
      <c r="AG44" s="505"/>
      <c r="AH44" s="505"/>
      <c r="AI44" s="505"/>
      <c r="AJ44" s="505"/>
      <c r="AK44" s="505"/>
      <c r="AL44" s="505"/>
    </row>
    <row r="45" spans="1:38" ht="17.25" customHeight="1">
      <c r="A45" s="495"/>
      <c r="B45" s="495"/>
      <c r="C45" s="495"/>
      <c r="D45" s="495"/>
      <c r="E45" s="495"/>
      <c r="F45" s="495"/>
      <c r="G45" s="495"/>
      <c r="I45" s="509"/>
      <c r="K45" s="817"/>
      <c r="L45" s="505"/>
      <c r="M45" s="505"/>
      <c r="U45" s="511"/>
      <c r="AC45" s="505"/>
      <c r="AD45" s="505"/>
      <c r="AE45" s="505"/>
      <c r="AF45" s="505"/>
      <c r="AG45" s="505"/>
      <c r="AH45" s="505"/>
      <c r="AI45" s="505"/>
      <c r="AJ45" s="505"/>
      <c r="AK45" s="505"/>
      <c r="AL45" s="505"/>
    </row>
    <row r="46" spans="1:38" ht="17.25" customHeight="1">
      <c r="B46" s="476"/>
      <c r="D46" s="387"/>
      <c r="F46" s="477"/>
      <c r="K46" s="817"/>
      <c r="L46" s="505"/>
      <c r="M46" s="505"/>
      <c r="U46" s="511"/>
      <c r="AC46" s="505"/>
      <c r="AD46" s="505"/>
      <c r="AE46" s="505"/>
      <c r="AF46" s="505"/>
      <c r="AG46" s="505"/>
      <c r="AH46" s="505"/>
      <c r="AI46" s="505"/>
      <c r="AJ46" s="505"/>
      <c r="AK46" s="505"/>
      <c r="AL46" s="505"/>
    </row>
    <row r="47" spans="1:38" ht="17.25" customHeight="1">
      <c r="A47" s="523"/>
      <c r="B47" s="478"/>
      <c r="C47" s="387"/>
      <c r="D47" s="479"/>
      <c r="F47" s="479"/>
      <c r="K47" s="817"/>
      <c r="L47" s="505"/>
      <c r="M47" s="505"/>
      <c r="U47" s="511"/>
      <c r="AC47" s="505"/>
      <c r="AD47" s="505"/>
      <c r="AE47" s="505"/>
      <c r="AF47" s="505"/>
      <c r="AG47" s="505"/>
      <c r="AH47" s="505"/>
      <c r="AI47" s="505"/>
      <c r="AJ47" s="505"/>
      <c r="AK47" s="505"/>
      <c r="AL47" s="505"/>
    </row>
    <row r="48" spans="1:38" ht="17.25" customHeight="1">
      <c r="A48" s="321"/>
      <c r="B48" s="321"/>
      <c r="G48" s="321"/>
      <c r="I48" s="509"/>
      <c r="K48" s="817"/>
      <c r="L48" s="505"/>
      <c r="M48" s="505"/>
      <c r="U48" s="511"/>
      <c r="AC48" s="505"/>
      <c r="AD48" s="505"/>
      <c r="AE48" s="505"/>
      <c r="AF48" s="505"/>
      <c r="AG48" s="505"/>
      <c r="AH48" s="505"/>
      <c r="AI48" s="505"/>
      <c r="AJ48" s="505"/>
      <c r="AK48" s="505"/>
      <c r="AL48" s="505"/>
    </row>
    <row r="49" spans="1:38" ht="17.25" customHeight="1">
      <c r="A49" s="387"/>
      <c r="B49" s="476"/>
      <c r="C49" s="387"/>
      <c r="D49" s="476"/>
      <c r="E49" s="321"/>
      <c r="F49" s="321"/>
      <c r="G49" s="321"/>
      <c r="I49" s="509"/>
      <c r="K49" s="817"/>
      <c r="L49" s="505"/>
      <c r="M49" s="505"/>
      <c r="U49" s="511"/>
      <c r="AC49" s="505"/>
      <c r="AD49" s="505"/>
      <c r="AE49" s="505"/>
      <c r="AF49" s="505"/>
      <c r="AG49" s="505"/>
      <c r="AH49" s="505"/>
      <c r="AI49" s="505"/>
      <c r="AJ49" s="505"/>
      <c r="AK49" s="505"/>
      <c r="AL49" s="505"/>
    </row>
    <row r="50" spans="1:38" ht="17.25" customHeight="1">
      <c r="A50" s="387"/>
      <c r="B50" s="480"/>
      <c r="C50" s="387"/>
      <c r="D50" s="480"/>
      <c r="E50" s="321"/>
      <c r="F50" s="321"/>
      <c r="G50" s="321"/>
      <c r="I50" s="509"/>
      <c r="K50" s="817"/>
      <c r="L50" s="505"/>
      <c r="M50" s="505"/>
      <c r="U50" s="511"/>
      <c r="AC50" s="505"/>
      <c r="AD50" s="505"/>
      <c r="AE50" s="505"/>
      <c r="AF50" s="505"/>
      <c r="AG50" s="505"/>
      <c r="AH50" s="505"/>
      <c r="AI50" s="505"/>
      <c r="AJ50" s="505"/>
      <c r="AK50" s="505"/>
      <c r="AL50" s="505"/>
    </row>
    <row r="51" spans="1:38" ht="17.25" customHeight="1">
      <c r="A51" s="387"/>
      <c r="B51" s="480"/>
      <c r="C51" s="387"/>
      <c r="D51" s="480"/>
      <c r="E51" s="321"/>
      <c r="F51" s="321"/>
      <c r="G51" s="321"/>
      <c r="I51" s="509"/>
      <c r="K51" s="817"/>
      <c r="L51" s="505"/>
      <c r="M51" s="505"/>
      <c r="U51" s="511"/>
      <c r="AC51" s="505"/>
      <c r="AD51" s="505"/>
      <c r="AE51" s="505"/>
      <c r="AF51" s="505"/>
      <c r="AG51" s="505"/>
      <c r="AH51" s="505"/>
      <c r="AI51" s="505"/>
      <c r="AJ51" s="505"/>
      <c r="AK51" s="505"/>
      <c r="AL51" s="505"/>
    </row>
    <row r="52" spans="1:38" ht="17.25" customHeight="1">
      <c r="A52" s="481"/>
      <c r="B52" s="488"/>
      <c r="C52" s="481"/>
      <c r="D52" s="488"/>
      <c r="E52" s="321"/>
      <c r="F52" s="321"/>
      <c r="G52" s="321"/>
      <c r="I52" s="509"/>
      <c r="K52" s="817"/>
      <c r="L52" s="505"/>
      <c r="M52" s="505"/>
      <c r="U52" s="511"/>
      <c r="AC52" s="505"/>
      <c r="AD52" s="505"/>
      <c r="AE52" s="505"/>
      <c r="AF52" s="505"/>
      <c r="AG52" s="505"/>
      <c r="AH52" s="505"/>
      <c r="AI52" s="505"/>
      <c r="AJ52" s="505"/>
      <c r="AK52" s="505"/>
      <c r="AL52" s="505"/>
    </row>
    <row r="53" spans="1:38" ht="17.25" customHeight="1">
      <c r="A53" s="481"/>
      <c r="B53" s="481"/>
      <c r="C53" s="481"/>
      <c r="D53" s="481"/>
      <c r="F53" s="481"/>
      <c r="G53" s="524"/>
      <c r="I53" s="509"/>
      <c r="K53" s="817"/>
      <c r="L53" s="505"/>
      <c r="M53" s="505"/>
      <c r="U53" s="511"/>
      <c r="AC53" s="505"/>
      <c r="AD53" s="505"/>
      <c r="AE53" s="505"/>
      <c r="AF53" s="505"/>
      <c r="AG53" s="505"/>
      <c r="AH53" s="505"/>
      <c r="AI53" s="505"/>
      <c r="AJ53" s="505"/>
      <c r="AK53" s="505"/>
      <c r="AL53" s="505"/>
    </row>
    <row r="54" spans="1:38" ht="17.25" customHeight="1">
      <c r="A54" s="481"/>
      <c r="B54" s="481"/>
      <c r="C54" s="481"/>
      <c r="D54" s="481"/>
      <c r="F54" s="481"/>
      <c r="G54" s="481"/>
      <c r="I54" s="509"/>
      <c r="K54" s="817"/>
      <c r="L54" s="505"/>
      <c r="M54" s="505"/>
      <c r="U54" s="511"/>
      <c r="AC54" s="505"/>
      <c r="AD54" s="505"/>
      <c r="AE54" s="505"/>
      <c r="AF54" s="505"/>
      <c r="AG54" s="505"/>
      <c r="AH54" s="505"/>
      <c r="AI54" s="505"/>
      <c r="AJ54" s="505"/>
      <c r="AK54" s="505"/>
      <c r="AL54" s="505"/>
    </row>
    <row r="55" spans="1:38" ht="17.25" customHeight="1">
      <c r="A55" s="481"/>
      <c r="B55" s="524"/>
      <c r="C55" s="481"/>
      <c r="D55" s="524"/>
      <c r="E55" s="477"/>
      <c r="F55" s="476"/>
      <c r="G55" s="413"/>
      <c r="I55" s="509"/>
      <c r="K55" s="817"/>
      <c r="L55" s="505"/>
      <c r="M55" s="505"/>
      <c r="U55" s="511"/>
      <c r="AC55" s="505"/>
      <c r="AD55" s="505"/>
      <c r="AE55" s="505"/>
      <c r="AF55" s="505"/>
      <c r="AG55" s="505"/>
      <c r="AH55" s="505"/>
      <c r="AI55" s="505"/>
      <c r="AJ55" s="505"/>
      <c r="AK55" s="505"/>
      <c r="AL55" s="505"/>
    </row>
    <row r="56" spans="1:38" ht="17.25" customHeight="1">
      <c r="A56" s="321"/>
      <c r="B56" s="321"/>
      <c r="C56" s="321"/>
      <c r="D56" s="321"/>
      <c r="E56" s="321"/>
      <c r="F56" s="321"/>
      <c r="G56" s="321"/>
      <c r="I56" s="509"/>
      <c r="K56" s="817"/>
      <c r="L56" s="505"/>
      <c r="M56" s="505"/>
      <c r="U56" s="511"/>
      <c r="AC56" s="505"/>
      <c r="AD56" s="505"/>
      <c r="AE56" s="505"/>
      <c r="AF56" s="505"/>
      <c r="AG56" s="505"/>
      <c r="AH56" s="505"/>
      <c r="AI56" s="505"/>
      <c r="AJ56" s="505"/>
      <c r="AK56" s="505"/>
      <c r="AL56" s="505"/>
    </row>
    <row r="57" spans="1:38" ht="17.25" customHeight="1">
      <c r="A57" s="495"/>
      <c r="B57" s="495"/>
      <c r="C57" s="495"/>
      <c r="D57" s="495"/>
      <c r="E57" s="495"/>
      <c r="F57" s="495"/>
      <c r="G57" s="495"/>
      <c r="I57" s="509"/>
      <c r="K57" s="817"/>
      <c r="L57" s="505"/>
      <c r="M57" s="505"/>
      <c r="U57" s="511"/>
      <c r="AC57" s="505"/>
      <c r="AD57" s="505"/>
      <c r="AE57" s="505"/>
      <c r="AF57" s="505"/>
      <c r="AG57" s="505"/>
      <c r="AH57" s="505"/>
      <c r="AI57" s="505"/>
      <c r="AJ57" s="505"/>
      <c r="AK57" s="505"/>
      <c r="AL57" s="505"/>
    </row>
    <row r="58" spans="1:38" ht="17.25" customHeight="1">
      <c r="A58" s="525"/>
      <c r="B58" s="525"/>
      <c r="C58" s="496"/>
      <c r="D58" s="525"/>
      <c r="G58" s="496"/>
      <c r="I58" s="509"/>
      <c r="K58" s="817"/>
      <c r="L58" s="505"/>
      <c r="M58" s="505"/>
      <c r="U58" s="511"/>
      <c r="AC58" s="505"/>
      <c r="AD58" s="505"/>
      <c r="AE58" s="505"/>
      <c r="AF58" s="505"/>
      <c r="AG58" s="505"/>
      <c r="AH58" s="505"/>
      <c r="AI58" s="505"/>
      <c r="AJ58" s="505"/>
      <c r="AK58" s="505"/>
      <c r="AL58" s="505"/>
    </row>
    <row r="59" spans="1:38" ht="17.25" customHeight="1">
      <c r="A59" s="526"/>
      <c r="B59" s="525"/>
      <c r="C59" s="496"/>
      <c r="D59" s="525"/>
      <c r="F59" s="321"/>
      <c r="G59" s="496"/>
      <c r="I59" s="509"/>
      <c r="K59" s="817"/>
      <c r="L59" s="505"/>
      <c r="M59" s="505"/>
      <c r="U59" s="511"/>
      <c r="AC59" s="505"/>
      <c r="AD59" s="505"/>
      <c r="AE59" s="505"/>
      <c r="AF59" s="505"/>
      <c r="AG59" s="505"/>
      <c r="AH59" s="505"/>
      <c r="AI59" s="505"/>
      <c r="AJ59" s="505"/>
      <c r="AK59" s="505"/>
      <c r="AL59" s="505"/>
    </row>
    <row r="60" spans="1:38" ht="17.25" customHeight="1">
      <c r="C60" s="496"/>
      <c r="G60" s="496"/>
      <c r="I60" s="509"/>
      <c r="K60" s="817"/>
      <c r="L60" s="505"/>
      <c r="M60" s="505"/>
      <c r="U60" s="511"/>
    </row>
    <row r="61" spans="1:38" ht="17.25" customHeight="1">
      <c r="C61" s="496"/>
      <c r="D61" s="525"/>
      <c r="G61" s="496"/>
      <c r="I61" s="509"/>
      <c r="K61" s="817"/>
      <c r="L61" s="505"/>
      <c r="M61" s="505"/>
      <c r="U61" s="511"/>
    </row>
    <row r="62" spans="1:38" ht="17.25" customHeight="1">
      <c r="D62" s="525"/>
      <c r="G62" s="496">
        <v>0.8</v>
      </c>
      <c r="I62" s="509"/>
      <c r="K62" s="817"/>
      <c r="L62" s="505"/>
      <c r="M62" s="505"/>
      <c r="U62" s="511"/>
    </row>
    <row r="63" spans="1:38" ht="17.25" customHeight="1">
      <c r="D63" s="525"/>
      <c r="E63" s="506"/>
      <c r="F63" s="525"/>
      <c r="G63" s="527"/>
      <c r="I63" s="509"/>
      <c r="K63" s="817"/>
      <c r="L63" s="505"/>
      <c r="M63" s="505"/>
      <c r="U63" s="511"/>
    </row>
    <row r="64" spans="1:38" ht="17.25" customHeight="1">
      <c r="K64" s="817"/>
      <c r="L64" s="505"/>
      <c r="M64" s="505"/>
      <c r="N64" s="495"/>
      <c r="O64" s="495"/>
      <c r="P64" s="495"/>
      <c r="Q64" s="495"/>
      <c r="R64" s="495"/>
      <c r="S64" s="495"/>
      <c r="T64" s="495"/>
      <c r="U64" s="495"/>
      <c r="AD64" s="300"/>
      <c r="AE64" s="507"/>
      <c r="AF64" s="507"/>
      <c r="AG64" s="507"/>
      <c r="AH64" s="507"/>
      <c r="AI64" s="507"/>
      <c r="AJ64" s="300"/>
      <c r="AK64" s="508"/>
    </row>
    <row r="65" spans="1:37" ht="17.25" customHeight="1">
      <c r="A65" s="510"/>
      <c r="B65" s="510"/>
      <c r="C65" s="510"/>
      <c r="D65" s="510"/>
      <c r="E65" s="510"/>
      <c r="F65" s="510"/>
      <c r="G65" s="510"/>
      <c r="K65" s="817"/>
      <c r="L65" s="505"/>
      <c r="M65" s="505"/>
      <c r="N65" s="495"/>
      <c r="O65" s="495"/>
      <c r="P65" s="495"/>
      <c r="Q65" s="495"/>
      <c r="R65" s="495"/>
      <c r="S65" s="495"/>
      <c r="T65" s="495"/>
      <c r="U65" s="495"/>
      <c r="AD65" s="300"/>
      <c r="AE65" s="387"/>
      <c r="AF65" s="387"/>
      <c r="AG65" s="387"/>
      <c r="AH65" s="387"/>
      <c r="AI65" s="387"/>
      <c r="AJ65" s="300"/>
      <c r="AK65" s="508"/>
    </row>
    <row r="66" spans="1:37" ht="17.25" customHeight="1">
      <c r="A66" s="387"/>
      <c r="B66" s="387"/>
      <c r="C66" s="510"/>
      <c r="D66" s="510"/>
      <c r="E66" s="510"/>
      <c r="F66" s="510"/>
      <c r="G66" s="510"/>
      <c r="M66" s="495"/>
      <c r="N66" s="495"/>
      <c r="O66" s="495"/>
      <c r="P66" s="495"/>
      <c r="Q66" s="495"/>
      <c r="R66" s="495"/>
      <c r="S66" s="495"/>
      <c r="T66" s="495"/>
      <c r="U66" s="495"/>
      <c r="AD66" s="300"/>
      <c r="AE66" s="300"/>
      <c r="AF66" s="300"/>
      <c r="AG66" s="300"/>
      <c r="AH66" s="300"/>
      <c r="AI66" s="300"/>
      <c r="AJ66" s="300"/>
      <c r="AK66" s="408"/>
    </row>
    <row r="67" spans="1:37" ht="17.25" customHeight="1">
      <c r="A67" s="528"/>
      <c r="B67" s="529"/>
      <c r="C67" s="413"/>
      <c r="D67" s="413"/>
      <c r="E67" s="413"/>
      <c r="F67" s="413"/>
      <c r="G67" s="413"/>
      <c r="K67" s="818"/>
      <c r="AD67" s="512"/>
      <c r="AE67" s="300"/>
      <c r="AF67" s="513"/>
      <c r="AG67" s="513"/>
      <c r="AH67" s="508"/>
      <c r="AI67" s="300"/>
      <c r="AJ67" s="513"/>
      <c r="AK67" s="300"/>
    </row>
    <row r="68" spans="1:37" ht="17.25" customHeight="1">
      <c r="A68" s="528"/>
      <c r="B68" s="529"/>
      <c r="C68" s="413"/>
      <c r="D68" s="413"/>
      <c r="E68" s="413"/>
      <c r="F68" s="413"/>
      <c r="G68" s="413"/>
      <c r="AD68" s="512"/>
      <c r="AE68" s="514"/>
      <c r="AF68" s="513"/>
      <c r="AG68" s="513"/>
      <c r="AH68" s="508"/>
      <c r="AI68" s="300"/>
      <c r="AJ68" s="513"/>
      <c r="AK68" s="300"/>
    </row>
    <row r="69" spans="1:37" ht="17.25" customHeight="1">
      <c r="A69" s="528"/>
      <c r="B69" s="529"/>
      <c r="C69" s="413"/>
      <c r="D69" s="413"/>
      <c r="E69" s="413"/>
      <c r="F69" s="413"/>
      <c r="G69" s="413"/>
      <c r="AD69" s="512"/>
      <c r="AE69" s="514"/>
      <c r="AF69" s="513"/>
      <c r="AG69" s="513"/>
      <c r="AH69" s="508"/>
      <c r="AI69" s="300"/>
      <c r="AJ69" s="513"/>
      <c r="AK69" s="300"/>
    </row>
    <row r="70" spans="1:37" ht="17.25" customHeight="1">
      <c r="A70" s="528"/>
      <c r="B70" s="529"/>
      <c r="C70" s="413"/>
      <c r="D70" s="413"/>
      <c r="E70" s="413"/>
      <c r="F70" s="413"/>
      <c r="G70" s="413"/>
      <c r="J70" s="480"/>
      <c r="K70" s="810"/>
      <c r="L70" s="480"/>
      <c r="AD70" s="512"/>
      <c r="AE70" s="514"/>
      <c r="AF70" s="513"/>
      <c r="AG70" s="513"/>
      <c r="AH70" s="508"/>
      <c r="AI70" s="300"/>
      <c r="AJ70" s="513"/>
      <c r="AK70" s="300"/>
    </row>
    <row r="71" spans="1:37" ht="17.25" customHeight="1">
      <c r="A71" s="528"/>
      <c r="B71" s="529"/>
      <c r="C71" s="413"/>
      <c r="D71" s="413"/>
      <c r="E71" s="413"/>
      <c r="F71" s="413"/>
      <c r="G71" s="413"/>
      <c r="K71" s="810"/>
      <c r="L71" s="480"/>
      <c r="AD71" s="512"/>
      <c r="AE71" s="514"/>
      <c r="AF71" s="513"/>
      <c r="AG71" s="513"/>
      <c r="AH71" s="519"/>
      <c r="AI71" s="300"/>
      <c r="AJ71" s="513"/>
      <c r="AK71" s="300"/>
    </row>
    <row r="72" spans="1:37" ht="17.25" customHeight="1">
      <c r="A72" s="528"/>
      <c r="B72" s="529"/>
      <c r="C72" s="413"/>
      <c r="D72" s="413"/>
      <c r="E72" s="413"/>
      <c r="F72" s="413"/>
      <c r="G72" s="413"/>
      <c r="J72" s="480"/>
      <c r="K72" s="810"/>
      <c r="L72" s="480"/>
      <c r="AD72" s="512"/>
      <c r="AE72" s="514"/>
      <c r="AF72" s="513"/>
      <c r="AG72" s="513"/>
      <c r="AH72" s="519"/>
      <c r="AI72" s="300"/>
      <c r="AJ72" s="513"/>
      <c r="AK72" s="300"/>
    </row>
    <row r="73" spans="1:37" ht="17.25" customHeight="1">
      <c r="A73" s="528"/>
      <c r="B73" s="529"/>
      <c r="C73" s="413"/>
      <c r="D73" s="413"/>
      <c r="E73" s="413"/>
      <c r="F73" s="413"/>
      <c r="G73" s="413"/>
      <c r="J73" s="319"/>
      <c r="K73" s="810"/>
      <c r="L73" s="319"/>
      <c r="AD73" s="512"/>
      <c r="AE73" s="300"/>
      <c r="AF73" s="513"/>
      <c r="AG73" s="513"/>
      <c r="AH73" s="519"/>
      <c r="AI73" s="300"/>
      <c r="AJ73" s="513"/>
      <c r="AK73" s="300"/>
    </row>
    <row r="74" spans="1:37" ht="17.25" customHeight="1">
      <c r="A74" s="528"/>
      <c r="B74" s="529"/>
      <c r="C74" s="413"/>
      <c r="D74" s="413"/>
      <c r="E74" s="413"/>
      <c r="F74" s="413"/>
      <c r="G74" s="413"/>
      <c r="K74" s="819"/>
      <c r="L74" s="495"/>
      <c r="M74" s="495"/>
      <c r="N74" s="495"/>
      <c r="O74" s="495"/>
      <c r="P74" s="495"/>
      <c r="Q74" s="495"/>
      <c r="R74" s="495"/>
      <c r="S74" s="495"/>
      <c r="T74" s="495"/>
      <c r="U74" s="495"/>
      <c r="AD74" s="512"/>
      <c r="AE74" s="300"/>
      <c r="AF74" s="519"/>
      <c r="AG74" s="513"/>
      <c r="AH74" s="519"/>
      <c r="AI74" s="300"/>
      <c r="AJ74" s="513"/>
      <c r="AK74" s="300"/>
    </row>
    <row r="75" spans="1:37" ht="17.25" customHeight="1">
      <c r="A75" s="528"/>
      <c r="B75" s="529"/>
      <c r="C75" s="413"/>
      <c r="D75" s="413"/>
      <c r="E75" s="413"/>
      <c r="F75" s="413"/>
      <c r="G75" s="413"/>
      <c r="K75" s="819"/>
      <c r="L75" s="495"/>
      <c r="M75" s="495"/>
      <c r="N75" s="495"/>
      <c r="O75" s="495"/>
      <c r="P75" s="495"/>
      <c r="Q75" s="495"/>
      <c r="R75" s="495"/>
      <c r="S75" s="495"/>
      <c r="T75" s="495"/>
      <c r="U75" s="495"/>
      <c r="AD75" s="512"/>
      <c r="AE75" s="300"/>
      <c r="AF75" s="300"/>
      <c r="AG75" s="300"/>
      <c r="AH75" s="516"/>
      <c r="AI75" s="516"/>
      <c r="AJ75" s="514"/>
      <c r="AK75" s="517"/>
    </row>
    <row r="76" spans="1:37" ht="17.25" customHeight="1">
      <c r="A76" s="528"/>
      <c r="B76" s="529"/>
      <c r="C76" s="413"/>
      <c r="D76" s="413"/>
      <c r="E76" s="413"/>
      <c r="F76" s="413"/>
      <c r="G76" s="413"/>
      <c r="K76" s="819"/>
      <c r="L76" s="495"/>
      <c r="M76" s="495"/>
      <c r="N76" s="495"/>
      <c r="O76" s="495"/>
      <c r="P76" s="495"/>
      <c r="Q76" s="495"/>
      <c r="R76" s="495"/>
      <c r="S76" s="495"/>
      <c r="T76" s="495"/>
      <c r="U76" s="495"/>
      <c r="AD76" s="512"/>
      <c r="AE76" s="514"/>
      <c r="AF76" s="300"/>
      <c r="AG76" s="300"/>
      <c r="AH76" s="518"/>
      <c r="AI76" s="516"/>
      <c r="AJ76" s="519"/>
      <c r="AK76" s="300"/>
    </row>
    <row r="77" spans="1:37" ht="17.25" customHeight="1">
      <c r="A77" s="528"/>
      <c r="B77" s="529"/>
      <c r="C77" s="413"/>
      <c r="D77" s="413"/>
      <c r="E77" s="413"/>
      <c r="F77" s="413"/>
      <c r="G77" s="413"/>
      <c r="J77" s="530"/>
      <c r="K77" s="819"/>
      <c r="M77" s="495"/>
      <c r="N77" s="480"/>
      <c r="O77" s="480"/>
      <c r="P77" s="480"/>
      <c r="Q77" s="480"/>
      <c r="R77" s="480"/>
      <c r="S77" s="495"/>
      <c r="T77" s="495"/>
      <c r="U77" s="495"/>
      <c r="AD77" s="505"/>
      <c r="AE77" s="505"/>
      <c r="AF77" s="505"/>
      <c r="AG77" s="505"/>
      <c r="AH77" s="505"/>
      <c r="AI77" s="505"/>
      <c r="AJ77" s="505"/>
      <c r="AK77" s="505"/>
    </row>
    <row r="78" spans="1:37" ht="17.25" customHeight="1">
      <c r="A78" s="528"/>
      <c r="B78" s="529"/>
      <c r="C78" s="413"/>
      <c r="D78" s="413"/>
      <c r="E78" s="413"/>
      <c r="F78" s="413"/>
      <c r="G78" s="413"/>
      <c r="I78" s="480"/>
      <c r="J78" s="480"/>
      <c r="K78" s="810"/>
      <c r="L78" s="480"/>
      <c r="M78" s="480"/>
      <c r="N78" s="480"/>
      <c r="O78" s="480"/>
      <c r="P78" s="480"/>
      <c r="Q78" s="480"/>
      <c r="R78" s="480"/>
      <c r="S78" s="495"/>
      <c r="T78" s="495"/>
      <c r="U78" s="495"/>
      <c r="V78" s="495"/>
      <c r="W78" s="495"/>
      <c r="X78" s="495"/>
      <c r="Y78" s="495"/>
      <c r="Z78" s="495"/>
      <c r="AA78" s="495"/>
      <c r="AB78" s="495"/>
      <c r="AC78" s="495"/>
      <c r="AD78" s="495"/>
    </row>
    <row r="79" spans="1:37" ht="17.25" customHeight="1">
      <c r="B79" s="529"/>
      <c r="C79" s="413"/>
      <c r="D79" s="414"/>
      <c r="F79" s="495"/>
      <c r="G79" s="495"/>
      <c r="J79" s="480"/>
      <c r="K79" s="810"/>
      <c r="L79" s="480"/>
      <c r="M79" s="478"/>
      <c r="N79" s="478"/>
      <c r="O79" s="478"/>
      <c r="P79" s="478"/>
      <c r="Q79" s="478"/>
      <c r="R79" s="478"/>
      <c r="S79" s="495"/>
      <c r="T79" s="495"/>
      <c r="U79" s="495"/>
      <c r="V79" s="495"/>
      <c r="W79" s="495"/>
      <c r="X79" s="495"/>
      <c r="Y79" s="495"/>
      <c r="Z79" s="495"/>
      <c r="AA79" s="495"/>
      <c r="AB79" s="495"/>
      <c r="AC79" s="495"/>
      <c r="AD79" s="300"/>
      <c r="AE79" s="507"/>
      <c r="AF79" s="507"/>
      <c r="AG79" s="507"/>
      <c r="AH79" s="507"/>
      <c r="AI79" s="507"/>
      <c r="AJ79" s="300"/>
      <c r="AK79" s="508"/>
    </row>
    <row r="80" spans="1:37" ht="17.25" customHeight="1">
      <c r="A80" s="495"/>
      <c r="C80" s="476"/>
      <c r="D80" s="476"/>
      <c r="E80" s="476"/>
      <c r="F80" s="476"/>
      <c r="G80" s="505"/>
      <c r="I80" s="480"/>
      <c r="J80" s="480"/>
      <c r="K80" s="820"/>
      <c r="L80" s="531"/>
      <c r="M80" s="478"/>
      <c r="N80" s="478"/>
      <c r="O80" s="478"/>
      <c r="P80" s="478"/>
      <c r="Q80" s="478"/>
      <c r="R80" s="478"/>
      <c r="S80" s="495"/>
      <c r="T80" s="495"/>
      <c r="U80" s="495"/>
      <c r="V80" s="495"/>
      <c r="W80" s="495"/>
      <c r="X80" s="495"/>
      <c r="Y80" s="495"/>
      <c r="Z80" s="495"/>
      <c r="AA80" s="495"/>
      <c r="AB80" s="495"/>
      <c r="AC80" s="495"/>
      <c r="AD80" s="300"/>
      <c r="AE80" s="387"/>
      <c r="AF80" s="387"/>
      <c r="AG80" s="387"/>
      <c r="AH80" s="387"/>
      <c r="AI80" s="387"/>
      <c r="AJ80" s="300"/>
      <c r="AK80" s="508"/>
    </row>
    <row r="81" spans="1:37" ht="17.25" customHeight="1">
      <c r="C81" s="532"/>
      <c r="D81" s="532"/>
      <c r="E81" s="532"/>
      <c r="F81" s="532"/>
      <c r="G81" s="505"/>
      <c r="J81" s="480"/>
      <c r="K81" s="820"/>
      <c r="L81" s="531"/>
      <c r="M81" s="478"/>
      <c r="N81" s="478"/>
      <c r="O81" s="478"/>
      <c r="P81" s="478"/>
      <c r="Q81" s="478"/>
      <c r="R81" s="478"/>
      <c r="S81" s="495"/>
      <c r="T81" s="495"/>
      <c r="U81" s="495"/>
      <c r="V81" s="495"/>
      <c r="W81" s="495"/>
      <c r="X81" s="495"/>
      <c r="Y81" s="495"/>
      <c r="Z81" s="495"/>
      <c r="AA81" s="495"/>
      <c r="AB81" s="495"/>
      <c r="AC81" s="495"/>
      <c r="AD81" s="300"/>
      <c r="AE81" s="300"/>
      <c r="AF81" s="300"/>
      <c r="AG81" s="300"/>
      <c r="AH81" s="300"/>
      <c r="AI81" s="300"/>
      <c r="AJ81" s="300"/>
      <c r="AK81" s="408"/>
    </row>
    <row r="82" spans="1:37" ht="17.25" customHeight="1">
      <c r="C82" s="476"/>
      <c r="D82" s="476"/>
      <c r="E82" s="476"/>
      <c r="F82" s="476"/>
      <c r="G82" s="505"/>
      <c r="J82" s="480"/>
      <c r="K82" s="820"/>
      <c r="L82" s="531"/>
      <c r="M82" s="478"/>
      <c r="N82" s="478"/>
      <c r="O82" s="478"/>
      <c r="P82" s="478"/>
      <c r="Q82" s="478"/>
      <c r="R82" s="478"/>
      <c r="S82" s="495"/>
      <c r="T82" s="495"/>
      <c r="U82" s="495"/>
      <c r="V82" s="495"/>
      <c r="W82" s="495"/>
      <c r="X82" s="495"/>
      <c r="Y82" s="495"/>
      <c r="Z82" s="495"/>
      <c r="AA82" s="495"/>
      <c r="AB82" s="495"/>
      <c r="AC82" s="495"/>
      <c r="AD82" s="512"/>
      <c r="AE82" s="300"/>
      <c r="AF82" s="513"/>
      <c r="AG82" s="513"/>
      <c r="AH82" s="508"/>
      <c r="AI82" s="300"/>
      <c r="AJ82" s="513"/>
      <c r="AK82" s="300"/>
    </row>
    <row r="83" spans="1:37" ht="17.25" customHeight="1">
      <c r="C83" s="532"/>
      <c r="D83" s="532"/>
      <c r="E83" s="532"/>
      <c r="F83" s="532"/>
      <c r="G83" s="505"/>
      <c r="I83" s="480"/>
      <c r="J83" s="480"/>
      <c r="K83" s="810"/>
      <c r="L83" s="480"/>
      <c r="M83" s="480"/>
      <c r="N83" s="480"/>
      <c r="O83" s="480"/>
      <c r="P83" s="480"/>
      <c r="Q83" s="480"/>
      <c r="R83" s="480"/>
      <c r="S83" s="495"/>
      <c r="T83" s="495"/>
      <c r="U83" s="495"/>
      <c r="V83" s="495"/>
      <c r="W83" s="495"/>
      <c r="X83" s="495"/>
      <c r="Y83" s="495"/>
      <c r="Z83" s="495"/>
      <c r="AA83" s="495"/>
      <c r="AB83" s="495"/>
      <c r="AC83" s="495"/>
      <c r="AD83" s="512"/>
      <c r="AE83" s="514"/>
      <c r="AF83" s="513"/>
      <c r="AG83" s="513"/>
      <c r="AH83" s="508"/>
      <c r="AI83" s="300"/>
      <c r="AJ83" s="513"/>
      <c r="AK83" s="300"/>
    </row>
    <row r="84" spans="1:37" ht="17.25" customHeight="1">
      <c r="K84" s="819"/>
      <c r="M84" s="495"/>
      <c r="N84" s="495"/>
      <c r="O84" s="495"/>
      <c r="P84" s="495"/>
      <c r="Q84" s="495"/>
      <c r="R84" s="495"/>
      <c r="S84" s="495"/>
      <c r="T84" s="495"/>
      <c r="U84" s="495"/>
      <c r="V84" s="495"/>
      <c r="W84" s="495"/>
      <c r="X84" s="495"/>
      <c r="Y84" s="495"/>
      <c r="Z84" s="495"/>
      <c r="AA84" s="495"/>
      <c r="AB84" s="495"/>
      <c r="AC84" s="495"/>
      <c r="AD84" s="512"/>
      <c r="AE84" s="514"/>
      <c r="AF84" s="513"/>
      <c r="AG84" s="513"/>
      <c r="AH84" s="508"/>
      <c r="AI84" s="300"/>
      <c r="AJ84" s="513"/>
      <c r="AK84" s="300"/>
    </row>
    <row r="85" spans="1:37" ht="17.25" customHeight="1">
      <c r="A85" s="495"/>
      <c r="B85" s="510"/>
      <c r="C85" s="510"/>
      <c r="D85" s="510"/>
      <c r="E85" s="510"/>
      <c r="F85" s="510"/>
      <c r="G85" s="495"/>
      <c r="J85" s="480"/>
      <c r="K85" s="821"/>
      <c r="L85" s="478"/>
      <c r="M85" s="478"/>
      <c r="N85" s="478"/>
      <c r="O85" s="478"/>
      <c r="P85" s="478"/>
      <c r="Q85" s="478"/>
      <c r="R85" s="478"/>
      <c r="S85" s="495"/>
      <c r="T85" s="495"/>
      <c r="U85" s="495"/>
      <c r="V85" s="495"/>
      <c r="W85" s="495"/>
      <c r="X85" s="495"/>
      <c r="Y85" s="495"/>
      <c r="Z85" s="495"/>
      <c r="AA85" s="495"/>
      <c r="AB85" s="495"/>
      <c r="AC85" s="495"/>
      <c r="AD85" s="512"/>
      <c r="AE85" s="514"/>
      <c r="AF85" s="513"/>
      <c r="AG85" s="513"/>
      <c r="AH85" s="508"/>
      <c r="AI85" s="300"/>
      <c r="AJ85" s="513"/>
      <c r="AK85" s="300"/>
    </row>
    <row r="86" spans="1:37" ht="17.25" customHeight="1">
      <c r="A86" s="495"/>
      <c r="B86" s="533"/>
      <c r="C86" s="413"/>
      <c r="D86" s="533"/>
      <c r="E86" s="534"/>
      <c r="F86" s="495"/>
      <c r="I86" s="480"/>
      <c r="J86" s="480"/>
      <c r="K86" s="821"/>
      <c r="L86" s="478"/>
      <c r="M86" s="478"/>
      <c r="N86" s="478"/>
      <c r="O86" s="478"/>
      <c r="P86" s="478"/>
      <c r="Q86" s="478"/>
      <c r="R86" s="478"/>
      <c r="S86" s="495"/>
      <c r="T86" s="495"/>
      <c r="U86" s="495"/>
      <c r="V86" s="495"/>
      <c r="W86" s="495"/>
      <c r="X86" s="495"/>
      <c r="Y86" s="495"/>
      <c r="Z86" s="495"/>
      <c r="AA86" s="495"/>
      <c r="AB86" s="495"/>
      <c r="AC86" s="495"/>
      <c r="AD86" s="512"/>
      <c r="AE86" s="514"/>
      <c r="AF86" s="513"/>
      <c r="AG86" s="513"/>
      <c r="AH86" s="519"/>
      <c r="AI86" s="300"/>
      <c r="AJ86" s="513"/>
      <c r="AK86" s="300"/>
    </row>
    <row r="87" spans="1:37" ht="17.25" customHeight="1">
      <c r="A87" s="495"/>
      <c r="B87" s="533"/>
      <c r="C87" s="413"/>
      <c r="D87" s="533"/>
      <c r="E87" s="534"/>
      <c r="J87" s="480"/>
      <c r="K87" s="821"/>
      <c r="L87" s="478"/>
      <c r="M87" s="478"/>
      <c r="N87" s="478"/>
      <c r="O87" s="478"/>
      <c r="P87" s="478"/>
      <c r="Q87" s="478"/>
      <c r="R87" s="478"/>
      <c r="S87" s="495"/>
      <c r="T87" s="495"/>
      <c r="U87" s="495"/>
      <c r="V87" s="495"/>
      <c r="W87" s="495"/>
      <c r="X87" s="495"/>
      <c r="Y87" s="495"/>
      <c r="Z87" s="495"/>
      <c r="AA87" s="495"/>
      <c r="AB87" s="495"/>
      <c r="AC87" s="495"/>
      <c r="AD87" s="512"/>
      <c r="AE87" s="514"/>
      <c r="AF87" s="513"/>
      <c r="AG87" s="513"/>
      <c r="AH87" s="519"/>
      <c r="AI87" s="300"/>
      <c r="AJ87" s="513"/>
      <c r="AK87" s="300"/>
    </row>
    <row r="88" spans="1:37" ht="17.25" customHeight="1">
      <c r="A88" s="495"/>
      <c r="B88" s="533"/>
      <c r="C88" s="413"/>
      <c r="D88" s="533"/>
      <c r="E88" s="534"/>
      <c r="G88" s="495"/>
      <c r="J88" s="480"/>
      <c r="K88" s="821"/>
      <c r="L88" s="478"/>
      <c r="M88" s="478"/>
      <c r="N88" s="478"/>
      <c r="O88" s="478"/>
      <c r="P88" s="505"/>
      <c r="Q88" s="505"/>
      <c r="R88" s="505"/>
      <c r="S88" s="495"/>
      <c r="T88" s="495"/>
      <c r="U88" s="495"/>
      <c r="V88" s="495"/>
      <c r="W88" s="495"/>
      <c r="X88" s="495"/>
      <c r="Y88" s="495"/>
      <c r="Z88" s="495"/>
      <c r="AA88" s="495"/>
      <c r="AB88" s="495"/>
      <c r="AC88" s="495"/>
      <c r="AD88" s="512"/>
      <c r="AE88" s="300"/>
      <c r="AF88" s="513"/>
      <c r="AG88" s="513"/>
      <c r="AH88" s="519"/>
      <c r="AI88" s="300"/>
      <c r="AJ88" s="513"/>
      <c r="AK88" s="300"/>
    </row>
    <row r="89" spans="1:37" ht="17.25" customHeight="1">
      <c r="A89" s="495"/>
      <c r="B89" s="533"/>
      <c r="C89" s="413"/>
      <c r="D89" s="533"/>
      <c r="E89" s="534"/>
      <c r="F89" s="495"/>
      <c r="G89" s="495"/>
      <c r="K89" s="819"/>
      <c r="L89" s="495"/>
      <c r="M89" s="495"/>
      <c r="N89" s="495"/>
      <c r="O89" s="495"/>
      <c r="P89" s="495"/>
      <c r="Q89" s="495"/>
      <c r="R89" s="495"/>
      <c r="S89" s="495"/>
      <c r="T89" s="495"/>
      <c r="U89" s="495"/>
      <c r="V89" s="495"/>
      <c r="W89" s="495"/>
      <c r="X89" s="495"/>
      <c r="Y89" s="495"/>
      <c r="Z89" s="495"/>
      <c r="AA89" s="495"/>
      <c r="AB89" s="495"/>
      <c r="AC89" s="495"/>
      <c r="AD89" s="512"/>
      <c r="AE89" s="300"/>
      <c r="AF89" s="519"/>
      <c r="AG89" s="513"/>
      <c r="AH89" s="519"/>
      <c r="AI89" s="300"/>
      <c r="AJ89" s="513"/>
      <c r="AK89" s="300"/>
    </row>
    <row r="90" spans="1:37" ht="17.25" customHeight="1">
      <c r="A90" s="495"/>
      <c r="B90" s="533"/>
      <c r="C90" s="495"/>
      <c r="D90" s="495"/>
      <c r="E90" s="495"/>
      <c r="F90" s="495"/>
      <c r="G90" s="495"/>
      <c r="K90" s="819"/>
      <c r="L90" s="495"/>
      <c r="M90" s="495"/>
      <c r="N90" s="505"/>
      <c r="O90" s="505"/>
      <c r="P90" s="505"/>
      <c r="Q90" s="495"/>
      <c r="R90" s="495"/>
      <c r="S90" s="495"/>
      <c r="T90" s="495"/>
      <c r="U90" s="495"/>
      <c r="V90" s="495"/>
      <c r="W90" s="495"/>
      <c r="X90" s="495"/>
      <c r="Y90" s="495"/>
      <c r="Z90" s="495"/>
      <c r="AA90" s="495"/>
      <c r="AB90" s="495"/>
      <c r="AC90" s="495"/>
      <c r="AD90" s="512"/>
      <c r="AE90" s="300"/>
      <c r="AF90" s="514"/>
      <c r="AG90" s="513"/>
      <c r="AH90" s="519"/>
      <c r="AI90" s="300"/>
      <c r="AJ90" s="514"/>
      <c r="AK90" s="300"/>
    </row>
    <row r="91" spans="1:37" ht="17.25" customHeight="1">
      <c r="A91" s="495"/>
      <c r="B91" s="495"/>
      <c r="C91" s="495"/>
      <c r="D91" s="495"/>
      <c r="E91" s="495"/>
      <c r="F91" s="495"/>
      <c r="G91" s="495"/>
      <c r="K91" s="819"/>
      <c r="L91" s="495"/>
      <c r="M91" s="495"/>
      <c r="N91" s="505"/>
      <c r="O91" s="505"/>
      <c r="P91" s="505"/>
      <c r="Q91" s="495"/>
      <c r="R91" s="495"/>
      <c r="S91" s="495"/>
      <c r="T91" s="495"/>
      <c r="U91" s="495"/>
      <c r="V91" s="495"/>
      <c r="W91" s="495"/>
      <c r="X91" s="495"/>
      <c r="Y91" s="495"/>
      <c r="Z91" s="495"/>
      <c r="AA91" s="495"/>
      <c r="AB91" s="495"/>
      <c r="AC91" s="495"/>
      <c r="AD91" s="512"/>
      <c r="AE91" s="300"/>
      <c r="AF91" s="300"/>
      <c r="AG91" s="300"/>
      <c r="AH91" s="516"/>
      <c r="AI91" s="516"/>
      <c r="AJ91" s="514"/>
      <c r="AK91" s="517"/>
    </row>
    <row r="92" spans="1:37" ht="17.25" customHeight="1">
      <c r="K92" s="819"/>
      <c r="L92" s="495"/>
      <c r="M92" s="495"/>
      <c r="N92" s="505"/>
      <c r="O92" s="505"/>
      <c r="P92" s="505"/>
      <c r="Q92" s="495"/>
      <c r="R92" s="495"/>
      <c r="S92" s="495"/>
      <c r="T92" s="495"/>
      <c r="U92" s="495"/>
      <c r="V92" s="495"/>
      <c r="W92" s="495"/>
      <c r="X92" s="495"/>
      <c r="Y92" s="495"/>
      <c r="Z92" s="495"/>
      <c r="AA92" s="495"/>
      <c r="AB92" s="495"/>
      <c r="AC92" s="495"/>
      <c r="AD92" s="512"/>
      <c r="AE92" s="514"/>
      <c r="AF92" s="300"/>
      <c r="AG92" s="300"/>
      <c r="AH92" s="518"/>
      <c r="AI92" s="516"/>
      <c r="AJ92" s="519"/>
      <c r="AK92" s="300"/>
    </row>
    <row r="93" spans="1:37" ht="17.25" customHeight="1">
      <c r="K93" s="819"/>
      <c r="L93" s="495"/>
      <c r="M93" s="495"/>
      <c r="N93" s="505"/>
      <c r="O93" s="505"/>
      <c r="P93" s="505"/>
      <c r="Q93" s="495"/>
      <c r="R93" s="495"/>
      <c r="S93" s="495"/>
      <c r="T93" s="495"/>
      <c r="U93" s="495"/>
      <c r="V93" s="495"/>
      <c r="W93" s="495"/>
      <c r="X93" s="495"/>
      <c r="Y93" s="495"/>
      <c r="Z93" s="495"/>
      <c r="AA93" s="495"/>
      <c r="AB93" s="495"/>
      <c r="AC93" s="495"/>
      <c r="AD93" s="495"/>
    </row>
    <row r="94" spans="1:37" ht="17.25" customHeight="1">
      <c r="K94" s="819"/>
      <c r="L94" s="495"/>
      <c r="M94" s="495"/>
      <c r="N94" s="505"/>
      <c r="O94" s="505"/>
      <c r="P94" s="505"/>
      <c r="Q94" s="495"/>
      <c r="R94" s="495"/>
      <c r="S94" s="495"/>
      <c r="T94" s="495"/>
      <c r="U94" s="495"/>
      <c r="V94" s="495"/>
      <c r="W94" s="495"/>
      <c r="X94" s="495"/>
      <c r="Y94" s="495"/>
      <c r="Z94" s="495"/>
      <c r="AA94" s="495"/>
      <c r="AB94" s="495"/>
      <c r="AC94" s="495"/>
      <c r="AD94" s="495"/>
    </row>
    <row r="95" spans="1:37" ht="17.25" customHeight="1">
      <c r="K95" s="819"/>
      <c r="L95" s="495"/>
      <c r="M95" s="495"/>
      <c r="N95" s="505"/>
      <c r="O95" s="505"/>
      <c r="P95" s="505"/>
      <c r="Q95" s="495"/>
      <c r="R95" s="495"/>
      <c r="S95" s="495"/>
      <c r="T95" s="495"/>
      <c r="U95" s="495"/>
      <c r="V95" s="495"/>
      <c r="W95" s="495"/>
      <c r="X95" s="495"/>
      <c r="Y95" s="495"/>
      <c r="Z95" s="495"/>
      <c r="AA95" s="495"/>
      <c r="AB95" s="495"/>
      <c r="AC95" s="495"/>
      <c r="AD95" s="495"/>
    </row>
    <row r="96" spans="1:37" ht="17.25" customHeight="1">
      <c r="K96" s="819"/>
      <c r="L96" s="495"/>
      <c r="M96" s="495"/>
      <c r="N96" s="505"/>
      <c r="O96" s="505"/>
      <c r="P96" s="505"/>
      <c r="Q96" s="495"/>
      <c r="R96" s="495"/>
      <c r="S96" s="495"/>
      <c r="T96" s="495"/>
      <c r="U96" s="495"/>
      <c r="V96" s="495"/>
      <c r="W96" s="495"/>
      <c r="X96" s="495"/>
      <c r="Y96" s="495"/>
      <c r="Z96" s="495"/>
      <c r="AA96" s="495"/>
      <c r="AB96" s="495"/>
      <c r="AC96" s="495"/>
      <c r="AD96" s="495"/>
    </row>
    <row r="97" spans="1:30" ht="17.25" customHeight="1">
      <c r="A97" s="321"/>
      <c r="B97" s="321"/>
      <c r="C97" s="321"/>
      <c r="D97" s="321"/>
      <c r="E97" s="321"/>
      <c r="F97" s="321"/>
      <c r="G97" s="321"/>
      <c r="K97" s="819"/>
      <c r="L97" s="495"/>
      <c r="M97" s="495"/>
      <c r="N97" s="505"/>
      <c r="O97" s="505"/>
      <c r="P97" s="505"/>
      <c r="Q97" s="495"/>
      <c r="R97" s="495"/>
      <c r="S97" s="495"/>
      <c r="T97" s="495"/>
      <c r="U97" s="495"/>
      <c r="V97" s="495"/>
      <c r="W97" s="495"/>
      <c r="X97" s="495"/>
      <c r="Y97" s="495"/>
      <c r="Z97" s="495"/>
      <c r="AA97" s="495"/>
      <c r="AB97" s="495"/>
      <c r="AC97" s="495"/>
      <c r="AD97" s="495"/>
    </row>
    <row r="98" spans="1:30" ht="17.25" customHeight="1">
      <c r="D98" s="495"/>
      <c r="E98" s="495"/>
      <c r="F98" s="495"/>
      <c r="G98" s="495"/>
      <c r="K98" s="819"/>
      <c r="L98" s="495"/>
      <c r="M98" s="495"/>
      <c r="N98" s="505"/>
      <c r="O98" s="505"/>
      <c r="P98" s="505"/>
      <c r="Q98" s="495"/>
      <c r="R98" s="495"/>
      <c r="S98" s="495"/>
      <c r="T98" s="495"/>
      <c r="U98" s="495"/>
      <c r="V98" s="495"/>
      <c r="W98" s="495"/>
      <c r="X98" s="495"/>
      <c r="Y98" s="495"/>
      <c r="Z98" s="495"/>
      <c r="AA98" s="495"/>
      <c r="AB98" s="495"/>
      <c r="AC98" s="495"/>
      <c r="AD98" s="495"/>
    </row>
    <row r="99" spans="1:30" ht="17.25" customHeight="1">
      <c r="C99" s="421"/>
      <c r="D99" s="525"/>
      <c r="G99" s="492"/>
      <c r="K99" s="819"/>
      <c r="L99" s="495"/>
      <c r="M99" s="495"/>
      <c r="N99" s="505"/>
      <c r="O99" s="505"/>
      <c r="P99" s="505"/>
      <c r="Q99" s="495"/>
      <c r="R99" s="495"/>
      <c r="S99" s="495"/>
      <c r="T99" s="495"/>
      <c r="U99" s="495"/>
      <c r="V99" s="495"/>
      <c r="W99" s="495"/>
      <c r="X99" s="495"/>
      <c r="Y99" s="495"/>
      <c r="Z99" s="495"/>
      <c r="AA99" s="495"/>
      <c r="AB99" s="495"/>
      <c r="AC99" s="495"/>
      <c r="AD99" s="495"/>
    </row>
    <row r="100" spans="1:30" ht="17.25" customHeight="1">
      <c r="C100" s="421"/>
      <c r="D100" s="525"/>
      <c r="F100" s="321"/>
      <c r="G100" s="492"/>
      <c r="K100" s="819"/>
      <c r="L100" s="495"/>
      <c r="M100" s="495"/>
      <c r="N100" s="505"/>
      <c r="O100" s="505"/>
      <c r="P100" s="505"/>
      <c r="Q100" s="495"/>
      <c r="R100" s="495"/>
      <c r="S100" s="495"/>
      <c r="T100" s="495"/>
      <c r="U100" s="495"/>
      <c r="V100" s="495"/>
      <c r="W100" s="495"/>
      <c r="X100" s="495"/>
      <c r="Y100" s="495"/>
      <c r="Z100" s="495"/>
      <c r="AA100" s="495"/>
      <c r="AB100" s="495"/>
      <c r="AC100" s="495"/>
      <c r="AD100" s="495"/>
    </row>
    <row r="101" spans="1:30" ht="17.25" customHeight="1">
      <c r="C101" s="421"/>
      <c r="E101" s="506"/>
      <c r="F101" s="525"/>
      <c r="G101" s="493"/>
      <c r="K101" s="819"/>
      <c r="L101" s="495"/>
      <c r="M101" s="495"/>
      <c r="N101" s="505"/>
      <c r="O101" s="505"/>
      <c r="P101" s="505"/>
      <c r="Q101" s="495"/>
      <c r="R101" s="495"/>
      <c r="S101" s="495"/>
      <c r="T101" s="495"/>
      <c r="U101" s="495"/>
      <c r="V101" s="495"/>
      <c r="W101" s="495"/>
      <c r="X101" s="495"/>
      <c r="Y101" s="495"/>
      <c r="Z101" s="495"/>
      <c r="AA101" s="495"/>
      <c r="AB101" s="495"/>
      <c r="AC101" s="495"/>
      <c r="AD101" s="495"/>
    </row>
    <row r="102" spans="1:30" ht="17.25" customHeight="1">
      <c r="D102" s="525"/>
      <c r="E102" s="505"/>
      <c r="F102" s="505"/>
      <c r="G102" s="505"/>
      <c r="K102" s="819"/>
      <c r="L102" s="495"/>
      <c r="M102" s="495"/>
      <c r="N102" s="495"/>
      <c r="O102" s="495"/>
      <c r="P102" s="495"/>
      <c r="Q102" s="495"/>
      <c r="R102" s="495"/>
      <c r="S102" s="495"/>
      <c r="T102" s="495"/>
      <c r="U102" s="495"/>
      <c r="V102" s="495"/>
      <c r="W102" s="495"/>
      <c r="X102" s="495"/>
      <c r="Y102" s="495"/>
      <c r="Z102" s="495"/>
      <c r="AA102" s="495"/>
      <c r="AB102" s="495"/>
      <c r="AC102" s="495"/>
      <c r="AD102" s="495"/>
    </row>
    <row r="103" spans="1:30" ht="17.25" customHeight="1">
      <c r="A103" s="387"/>
      <c r="B103" s="387"/>
      <c r="C103" s="387"/>
      <c r="D103" s="387"/>
      <c r="E103" s="387"/>
      <c r="F103" s="387"/>
      <c r="G103" s="387"/>
      <c r="K103" s="819"/>
      <c r="L103" s="495"/>
      <c r="M103" s="495"/>
      <c r="N103" s="495"/>
      <c r="O103" s="495"/>
      <c r="P103" s="495"/>
      <c r="Q103" s="495"/>
      <c r="R103" s="495"/>
      <c r="S103" s="495"/>
      <c r="T103" s="495"/>
      <c r="U103" s="495"/>
      <c r="V103" s="495"/>
      <c r="W103" s="495"/>
      <c r="X103" s="495"/>
      <c r="Y103" s="495"/>
      <c r="Z103" s="495"/>
      <c r="AA103" s="495"/>
      <c r="AB103" s="495"/>
      <c r="AC103" s="495"/>
      <c r="AD103" s="495"/>
    </row>
    <row r="104" spans="1:30" ht="17.25" customHeight="1">
      <c r="B104" s="387"/>
      <c r="C104" s="387"/>
      <c r="D104" s="535"/>
      <c r="E104" s="535"/>
      <c r="F104" s="505"/>
      <c r="G104" s="505"/>
      <c r="K104" s="819"/>
      <c r="L104" s="495"/>
      <c r="M104" s="495"/>
      <c r="N104" s="495"/>
      <c r="O104" s="495"/>
      <c r="P104" s="495"/>
      <c r="Q104" s="495"/>
      <c r="R104" s="495"/>
      <c r="S104" s="495"/>
      <c r="T104" s="495"/>
      <c r="U104" s="495"/>
      <c r="V104" s="495"/>
      <c r="W104" s="495"/>
      <c r="X104" s="495"/>
      <c r="Y104" s="495"/>
      <c r="Z104" s="495"/>
      <c r="AA104" s="495"/>
      <c r="AB104" s="495"/>
      <c r="AC104" s="495"/>
      <c r="AD104" s="495"/>
    </row>
    <row r="105" spans="1:30" ht="17.25" customHeight="1">
      <c r="A105" s="495"/>
      <c r="B105" s="536"/>
      <c r="C105" s="536"/>
      <c r="D105" s="536"/>
      <c r="E105" s="422"/>
      <c r="F105" s="495"/>
      <c r="G105" s="495"/>
      <c r="K105" s="819"/>
      <c r="L105" s="495"/>
      <c r="M105" s="495"/>
      <c r="N105" s="495"/>
      <c r="O105" s="495"/>
      <c r="P105" s="495"/>
      <c r="Q105" s="495"/>
      <c r="R105" s="495"/>
      <c r="S105" s="495"/>
      <c r="T105" s="495"/>
      <c r="U105" s="495"/>
      <c r="V105" s="495"/>
      <c r="W105" s="495"/>
      <c r="X105" s="495"/>
      <c r="Y105" s="495"/>
      <c r="Z105" s="495"/>
      <c r="AA105" s="495"/>
      <c r="AB105" s="495"/>
      <c r="AC105" s="495"/>
      <c r="AD105" s="495"/>
    </row>
    <row r="106" spans="1:30" ht="17.25" customHeight="1">
      <c r="K106" s="819"/>
      <c r="L106" s="495"/>
      <c r="M106" s="495"/>
      <c r="N106" s="495"/>
      <c r="O106" s="495"/>
      <c r="P106" s="495"/>
      <c r="Q106" s="495"/>
      <c r="R106" s="495"/>
      <c r="S106" s="495"/>
      <c r="T106" s="495"/>
      <c r="U106" s="495"/>
      <c r="V106" s="495"/>
      <c r="W106" s="495"/>
      <c r="X106" s="495"/>
      <c r="Y106" s="495"/>
      <c r="Z106" s="495"/>
      <c r="AA106" s="495"/>
      <c r="AB106" s="495"/>
      <c r="AC106" s="495"/>
      <c r="AD106" s="495"/>
    </row>
    <row r="107" spans="1:30" ht="17.25" customHeight="1">
      <c r="K107" s="819"/>
      <c r="L107" s="495"/>
      <c r="M107" s="495"/>
      <c r="N107" s="495"/>
      <c r="O107" s="495"/>
      <c r="P107" s="495"/>
      <c r="Q107" s="495"/>
      <c r="R107" s="495"/>
      <c r="S107" s="495"/>
      <c r="T107" s="495"/>
      <c r="U107" s="495"/>
      <c r="V107" s="495"/>
      <c r="W107" s="495"/>
      <c r="X107" s="495"/>
      <c r="Y107" s="495"/>
      <c r="Z107" s="495"/>
      <c r="AA107" s="495"/>
      <c r="AB107" s="495"/>
      <c r="AC107" s="495"/>
      <c r="AD107" s="495"/>
    </row>
    <row r="108" spans="1:30" ht="17.25" customHeight="1">
      <c r="A108" s="495"/>
      <c r="B108" s="495"/>
      <c r="C108" s="495"/>
      <c r="D108" s="495"/>
      <c r="E108" s="495"/>
      <c r="F108" s="495"/>
      <c r="G108" s="495"/>
      <c r="K108" s="819"/>
      <c r="L108" s="495"/>
      <c r="M108" s="495"/>
      <c r="N108" s="495"/>
      <c r="O108" s="495"/>
      <c r="P108" s="495"/>
      <c r="Q108" s="495"/>
      <c r="R108" s="495"/>
      <c r="S108" s="495"/>
      <c r="T108" s="495"/>
      <c r="U108" s="495"/>
      <c r="V108" s="495"/>
      <c r="W108" s="495"/>
      <c r="X108" s="495"/>
      <c r="Y108" s="495"/>
      <c r="Z108" s="495"/>
      <c r="AA108" s="495"/>
      <c r="AB108" s="495"/>
      <c r="AC108" s="495"/>
      <c r="AD108" s="495"/>
    </row>
    <row r="109" spans="1:30" ht="17.25" customHeight="1">
      <c r="A109" s="495"/>
      <c r="B109" s="495"/>
      <c r="C109" s="495"/>
      <c r="D109" s="495"/>
      <c r="E109" s="495"/>
      <c r="F109" s="495"/>
      <c r="G109" s="495"/>
      <c r="K109" s="819"/>
      <c r="L109" s="495"/>
      <c r="M109" s="495"/>
      <c r="N109" s="495"/>
      <c r="O109" s="495"/>
      <c r="P109" s="495"/>
      <c r="Q109" s="495"/>
      <c r="R109" s="495"/>
      <c r="S109" s="495"/>
      <c r="T109" s="495"/>
      <c r="U109" s="495"/>
      <c r="V109" s="495"/>
      <c r="W109" s="495"/>
      <c r="X109" s="495"/>
      <c r="Y109" s="495"/>
      <c r="Z109" s="495"/>
      <c r="AA109" s="495"/>
      <c r="AB109" s="495"/>
      <c r="AC109" s="495"/>
      <c r="AD109" s="495"/>
    </row>
    <row r="110" spans="1:30" ht="17.25" customHeight="1">
      <c r="A110" s="495"/>
      <c r="B110" s="495"/>
      <c r="C110" s="495"/>
      <c r="D110" s="495"/>
      <c r="E110" s="495"/>
      <c r="F110" s="495"/>
      <c r="G110" s="495"/>
      <c r="K110" s="819"/>
      <c r="L110" s="495"/>
      <c r="M110" s="495"/>
      <c r="N110" s="495"/>
      <c r="O110" s="495"/>
      <c r="P110" s="495"/>
      <c r="Q110" s="495"/>
      <c r="R110" s="495"/>
      <c r="S110" s="495"/>
      <c r="T110" s="495"/>
      <c r="U110" s="495"/>
      <c r="V110" s="495"/>
      <c r="W110" s="495"/>
      <c r="X110" s="495"/>
      <c r="Y110" s="495"/>
      <c r="Z110" s="495"/>
      <c r="AA110" s="495"/>
      <c r="AB110" s="495"/>
      <c r="AC110" s="495"/>
      <c r="AD110" s="495"/>
    </row>
    <row r="111" spans="1:30" ht="17.25" customHeight="1">
      <c r="A111" s="495"/>
      <c r="B111" s="495"/>
      <c r="C111" s="495"/>
      <c r="D111" s="495"/>
      <c r="E111" s="495"/>
      <c r="F111" s="495"/>
      <c r="G111" s="495"/>
      <c r="K111" s="819"/>
      <c r="L111" s="495"/>
      <c r="M111" s="495"/>
      <c r="N111" s="495"/>
      <c r="O111" s="495"/>
      <c r="P111" s="495"/>
      <c r="Q111" s="495"/>
      <c r="R111" s="495"/>
      <c r="S111" s="495"/>
      <c r="T111" s="495"/>
      <c r="U111" s="495"/>
      <c r="V111" s="495"/>
      <c r="W111" s="495"/>
      <c r="X111" s="495"/>
      <c r="Y111" s="495"/>
      <c r="Z111" s="495"/>
      <c r="AA111" s="495"/>
      <c r="AB111" s="495"/>
      <c r="AC111" s="495"/>
      <c r="AD111" s="495"/>
    </row>
    <row r="112" spans="1:30" ht="17.25" customHeight="1">
      <c r="A112" s="495"/>
      <c r="B112" s="495"/>
      <c r="C112" s="495"/>
      <c r="D112" s="495"/>
      <c r="E112" s="495"/>
      <c r="F112" s="495"/>
      <c r="G112" s="495"/>
      <c r="K112" s="819"/>
      <c r="L112" s="495"/>
      <c r="M112" s="495"/>
      <c r="N112" s="495"/>
      <c r="O112" s="495"/>
      <c r="P112" s="495"/>
      <c r="Q112" s="495"/>
      <c r="R112" s="495"/>
      <c r="S112" s="495"/>
      <c r="T112" s="495"/>
      <c r="U112" s="495"/>
      <c r="V112" s="495"/>
      <c r="W112" s="495"/>
      <c r="X112" s="495"/>
      <c r="Y112" s="495"/>
      <c r="Z112" s="495"/>
      <c r="AA112" s="495"/>
      <c r="AB112" s="495"/>
      <c r="AC112" s="495"/>
      <c r="AD112" s="495"/>
    </row>
    <row r="113" spans="1:30" ht="17.25" customHeight="1">
      <c r="A113" s="495"/>
      <c r="B113" s="495"/>
      <c r="C113" s="495"/>
      <c r="D113" s="495"/>
      <c r="E113" s="495"/>
      <c r="F113" s="495"/>
      <c r="G113" s="495"/>
      <c r="K113" s="819"/>
      <c r="L113" s="495"/>
      <c r="M113" s="495"/>
      <c r="N113" s="495"/>
      <c r="O113" s="495"/>
      <c r="P113" s="495"/>
      <c r="Q113" s="495"/>
      <c r="R113" s="495"/>
      <c r="S113" s="495"/>
      <c r="T113" s="495"/>
      <c r="U113" s="495"/>
      <c r="V113" s="495"/>
      <c r="W113" s="495"/>
      <c r="X113" s="495"/>
      <c r="Y113" s="495"/>
      <c r="Z113" s="495"/>
      <c r="AA113" s="495"/>
      <c r="AB113" s="495"/>
      <c r="AC113" s="495"/>
      <c r="AD113" s="495"/>
    </row>
    <row r="114" spans="1:30" ht="17.25" customHeight="1">
      <c r="A114" s="495"/>
      <c r="B114" s="495"/>
      <c r="C114" s="495"/>
      <c r="D114" s="495"/>
      <c r="E114" s="495"/>
      <c r="F114" s="495"/>
      <c r="G114" s="495"/>
      <c r="K114" s="819"/>
      <c r="L114" s="495"/>
      <c r="M114" s="495"/>
      <c r="N114" s="495"/>
      <c r="O114" s="495"/>
      <c r="P114" s="495"/>
      <c r="Q114" s="495"/>
      <c r="R114" s="495"/>
      <c r="S114" s="495"/>
      <c r="T114" s="495"/>
      <c r="U114" s="495"/>
      <c r="V114" s="495"/>
      <c r="W114" s="495"/>
      <c r="X114" s="495"/>
      <c r="Y114" s="495"/>
      <c r="Z114" s="495"/>
      <c r="AA114" s="495"/>
      <c r="AB114" s="495"/>
      <c r="AC114" s="495"/>
      <c r="AD114" s="495"/>
    </row>
    <row r="115" spans="1:30" ht="17.25" customHeight="1">
      <c r="A115" s="495"/>
      <c r="B115" s="495"/>
      <c r="C115" s="495"/>
      <c r="D115" s="495"/>
      <c r="E115" s="495"/>
      <c r="F115" s="495"/>
      <c r="G115" s="495"/>
      <c r="K115" s="819"/>
      <c r="L115" s="495"/>
      <c r="M115" s="495"/>
      <c r="N115" s="495"/>
      <c r="O115" s="495"/>
      <c r="P115" s="495"/>
      <c r="Q115" s="495"/>
      <c r="R115" s="495"/>
      <c r="S115" s="495"/>
      <c r="T115" s="495"/>
      <c r="U115" s="495"/>
      <c r="V115" s="495"/>
      <c r="W115" s="495"/>
      <c r="X115" s="495"/>
      <c r="Y115" s="495"/>
      <c r="Z115" s="495"/>
      <c r="AA115" s="495"/>
      <c r="AB115" s="495"/>
      <c r="AC115" s="495"/>
      <c r="AD115" s="495"/>
    </row>
    <row r="116" spans="1:30" ht="17.25" customHeight="1">
      <c r="A116" s="495"/>
      <c r="B116" s="495"/>
      <c r="C116" s="495"/>
      <c r="D116" s="495"/>
      <c r="E116" s="495"/>
      <c r="F116" s="495"/>
      <c r="G116" s="495"/>
      <c r="K116" s="819"/>
      <c r="L116" s="495"/>
      <c r="M116" s="495"/>
      <c r="N116" s="495"/>
      <c r="O116" s="495"/>
      <c r="P116" s="495"/>
      <c r="Q116" s="495"/>
      <c r="R116" s="495"/>
      <c r="S116" s="495"/>
      <c r="T116" s="495"/>
      <c r="U116" s="495"/>
      <c r="V116" s="495"/>
      <c r="W116" s="495"/>
      <c r="X116" s="495"/>
      <c r="Y116" s="495"/>
      <c r="Z116" s="495"/>
      <c r="AA116" s="495"/>
      <c r="AB116" s="495"/>
      <c r="AC116" s="495"/>
      <c r="AD116" s="495"/>
    </row>
    <row r="117" spans="1:30" ht="17.25" customHeight="1">
      <c r="A117" s="495"/>
      <c r="B117" s="495"/>
      <c r="C117" s="495"/>
      <c r="D117" s="495"/>
      <c r="E117" s="495"/>
      <c r="F117" s="495"/>
      <c r="G117" s="495"/>
      <c r="K117" s="819"/>
      <c r="L117" s="495"/>
      <c r="M117" s="495"/>
      <c r="N117" s="495"/>
      <c r="O117" s="495"/>
      <c r="P117" s="495"/>
      <c r="Q117" s="495"/>
      <c r="R117" s="495"/>
      <c r="S117" s="495"/>
      <c r="T117" s="495"/>
      <c r="U117" s="495"/>
      <c r="V117" s="495"/>
      <c r="W117" s="495"/>
      <c r="X117" s="495"/>
      <c r="Y117" s="495"/>
      <c r="Z117" s="495"/>
      <c r="AA117" s="495"/>
      <c r="AB117" s="495"/>
      <c r="AC117" s="495"/>
      <c r="AD117" s="495"/>
    </row>
    <row r="118" spans="1:30" ht="17.25" customHeight="1">
      <c r="A118" s="495"/>
      <c r="B118" s="495"/>
      <c r="C118" s="495"/>
      <c r="D118" s="495"/>
      <c r="E118" s="495"/>
      <c r="F118" s="495"/>
      <c r="G118" s="495"/>
      <c r="K118" s="819"/>
      <c r="L118" s="495"/>
      <c r="M118" s="495"/>
      <c r="N118" s="495"/>
      <c r="O118" s="495"/>
      <c r="P118" s="495"/>
      <c r="Q118" s="495"/>
      <c r="R118" s="495"/>
      <c r="S118" s="495"/>
      <c r="T118" s="495"/>
      <c r="U118" s="495"/>
      <c r="V118" s="495"/>
      <c r="W118" s="495"/>
      <c r="X118" s="495"/>
      <c r="Y118" s="495"/>
      <c r="Z118" s="495"/>
      <c r="AA118" s="495"/>
      <c r="AB118" s="495"/>
      <c r="AC118" s="495"/>
      <c r="AD118" s="495"/>
    </row>
    <row r="119" spans="1:30" ht="17.25" customHeight="1">
      <c r="A119" s="495"/>
      <c r="B119" s="495"/>
      <c r="C119" s="495"/>
      <c r="D119" s="495"/>
      <c r="E119" s="495"/>
      <c r="F119" s="495"/>
      <c r="G119" s="495"/>
      <c r="K119" s="819"/>
      <c r="L119" s="495"/>
      <c r="M119" s="495"/>
      <c r="N119" s="495"/>
      <c r="O119" s="495"/>
      <c r="P119" s="495"/>
      <c r="Q119" s="495"/>
      <c r="R119" s="495"/>
      <c r="S119" s="495"/>
      <c r="T119" s="495"/>
      <c r="U119" s="495"/>
      <c r="V119" s="495"/>
      <c r="W119" s="495"/>
      <c r="X119" s="495"/>
      <c r="Y119" s="495"/>
      <c r="Z119" s="495"/>
      <c r="AA119" s="495"/>
      <c r="AB119" s="495"/>
      <c r="AC119" s="495"/>
      <c r="AD119" s="495"/>
    </row>
    <row r="120" spans="1:30" ht="17.25" customHeight="1">
      <c r="A120" s="495"/>
      <c r="B120" s="495"/>
      <c r="C120" s="495"/>
      <c r="D120" s="495"/>
      <c r="E120" s="495"/>
      <c r="F120" s="495"/>
      <c r="G120" s="495"/>
      <c r="K120" s="819"/>
      <c r="L120" s="495"/>
      <c r="M120" s="495"/>
      <c r="N120" s="495"/>
      <c r="O120" s="495"/>
      <c r="P120" s="495"/>
      <c r="Q120" s="495"/>
      <c r="R120" s="495"/>
      <c r="S120" s="495"/>
      <c r="T120" s="495"/>
      <c r="U120" s="495"/>
      <c r="V120" s="495"/>
      <c r="W120" s="495"/>
      <c r="X120" s="495"/>
      <c r="Y120" s="495"/>
      <c r="Z120" s="495"/>
      <c r="AA120" s="495"/>
      <c r="AB120" s="495"/>
      <c r="AC120" s="495"/>
      <c r="AD120" s="495"/>
    </row>
    <row r="121" spans="1:30" ht="17.25" customHeight="1">
      <c r="K121" s="819"/>
      <c r="L121" s="495"/>
      <c r="M121" s="495"/>
      <c r="N121" s="495"/>
      <c r="O121" s="495"/>
      <c r="P121" s="495"/>
      <c r="Q121" s="495"/>
      <c r="R121" s="495"/>
      <c r="S121" s="495"/>
      <c r="T121" s="495"/>
      <c r="U121" s="495"/>
      <c r="V121" s="495"/>
      <c r="W121" s="495"/>
      <c r="X121" s="495"/>
      <c r="Y121" s="495"/>
      <c r="Z121" s="495"/>
      <c r="AA121" s="495"/>
      <c r="AB121" s="495"/>
      <c r="AC121" s="495"/>
      <c r="AD121" s="495"/>
    </row>
    <row r="122" spans="1:30" ht="17.25" customHeight="1">
      <c r="A122" s="495"/>
      <c r="B122" s="495"/>
      <c r="C122" s="495"/>
      <c r="D122" s="495"/>
      <c r="E122" s="495"/>
      <c r="F122" s="495"/>
      <c r="G122" s="495"/>
      <c r="K122" s="819"/>
      <c r="L122" s="495"/>
      <c r="M122" s="495"/>
      <c r="N122" s="495"/>
      <c r="O122" s="495"/>
      <c r="P122" s="495"/>
      <c r="Q122" s="495"/>
      <c r="R122" s="495"/>
      <c r="S122" s="495"/>
      <c r="T122" s="495"/>
      <c r="U122" s="495"/>
      <c r="V122" s="495"/>
      <c r="W122" s="495"/>
      <c r="X122" s="495"/>
      <c r="Y122" s="495"/>
      <c r="Z122" s="495"/>
      <c r="AA122" s="495"/>
      <c r="AB122" s="495"/>
      <c r="AC122" s="495"/>
      <c r="AD122" s="495"/>
    </row>
    <row r="123" spans="1:30" ht="17.25" customHeight="1">
      <c r="A123" s="495"/>
      <c r="B123" s="495"/>
      <c r="C123" s="495"/>
      <c r="D123" s="495"/>
      <c r="E123" s="495"/>
      <c r="F123" s="495"/>
      <c r="G123" s="495"/>
      <c r="K123" s="819"/>
      <c r="L123" s="495"/>
      <c r="M123" s="495"/>
      <c r="N123" s="495"/>
      <c r="O123" s="495"/>
      <c r="P123" s="495"/>
      <c r="Q123" s="495"/>
      <c r="R123" s="495"/>
      <c r="S123" s="495"/>
      <c r="T123" s="495"/>
      <c r="U123" s="495"/>
      <c r="V123" s="495"/>
      <c r="W123" s="495"/>
      <c r="X123" s="495"/>
      <c r="Y123" s="495"/>
      <c r="Z123" s="495"/>
      <c r="AA123" s="495"/>
      <c r="AB123" s="495"/>
      <c r="AC123" s="495"/>
      <c r="AD123" s="495"/>
    </row>
    <row r="124" spans="1:30" ht="17.25" customHeight="1">
      <c r="A124" s="495"/>
      <c r="B124" s="495"/>
      <c r="C124" s="495"/>
      <c r="D124" s="495"/>
      <c r="E124" s="495"/>
      <c r="F124" s="495"/>
      <c r="G124" s="495"/>
      <c r="K124" s="819"/>
      <c r="L124" s="495"/>
      <c r="M124" s="495"/>
      <c r="N124" s="495"/>
      <c r="O124" s="495"/>
      <c r="P124" s="495"/>
      <c r="Q124" s="495"/>
      <c r="R124" s="495"/>
      <c r="S124" s="495"/>
      <c r="T124" s="495"/>
      <c r="U124" s="495"/>
      <c r="V124" s="495"/>
      <c r="W124" s="495"/>
      <c r="X124" s="495"/>
      <c r="Y124" s="495"/>
      <c r="Z124" s="495"/>
      <c r="AA124" s="495"/>
      <c r="AB124" s="495"/>
      <c r="AC124" s="495"/>
      <c r="AD124" s="495"/>
    </row>
    <row r="125" spans="1:30" ht="17.25" customHeight="1">
      <c r="A125" s="495"/>
      <c r="B125" s="495"/>
      <c r="C125" s="495"/>
      <c r="D125" s="495"/>
      <c r="E125" s="495"/>
      <c r="F125" s="495"/>
      <c r="G125" s="495"/>
      <c r="K125" s="819"/>
      <c r="L125" s="495"/>
      <c r="M125" s="495"/>
      <c r="N125" s="495"/>
      <c r="O125" s="495"/>
      <c r="P125" s="495"/>
      <c r="Q125" s="495"/>
      <c r="R125" s="495"/>
      <c r="S125" s="495"/>
      <c r="T125" s="495"/>
      <c r="U125" s="495"/>
      <c r="V125" s="495"/>
      <c r="W125" s="495"/>
      <c r="X125" s="495"/>
      <c r="Y125" s="495"/>
      <c r="Z125" s="495"/>
      <c r="AA125" s="495"/>
      <c r="AB125" s="495"/>
      <c r="AC125" s="495"/>
      <c r="AD125" s="495"/>
    </row>
    <row r="126" spans="1:30" ht="17.25" customHeight="1">
      <c r="A126" s="495"/>
      <c r="B126" s="495"/>
      <c r="C126" s="488"/>
      <c r="D126" s="537"/>
      <c r="E126" s="495"/>
      <c r="F126" s="495"/>
      <c r="G126" s="488"/>
      <c r="K126" s="819"/>
      <c r="L126" s="495"/>
      <c r="M126" s="495"/>
      <c r="N126" s="495"/>
      <c r="O126" s="495"/>
      <c r="P126" s="495"/>
      <c r="Q126" s="495"/>
      <c r="R126" s="495"/>
      <c r="S126" s="495"/>
      <c r="T126" s="495"/>
      <c r="U126" s="495"/>
      <c r="V126" s="495"/>
      <c r="W126" s="495"/>
      <c r="X126" s="495"/>
      <c r="Y126" s="495"/>
      <c r="Z126" s="495"/>
      <c r="AA126" s="495"/>
      <c r="AB126" s="495"/>
      <c r="AC126" s="495"/>
      <c r="AD126" s="495"/>
    </row>
    <row r="127" spans="1:30" ht="17.25" customHeight="1">
      <c r="A127" s="495"/>
      <c r="B127" s="495"/>
      <c r="C127" s="495"/>
      <c r="D127" s="495"/>
      <c r="E127" s="495"/>
      <c r="F127" s="495"/>
      <c r="G127" s="495"/>
      <c r="K127" s="819"/>
      <c r="L127" s="495"/>
      <c r="M127" s="495"/>
      <c r="N127" s="495"/>
      <c r="O127" s="495"/>
      <c r="P127" s="495"/>
      <c r="Q127" s="495"/>
      <c r="R127" s="495"/>
      <c r="S127" s="495"/>
      <c r="T127" s="495"/>
      <c r="U127" s="495"/>
      <c r="V127" s="495"/>
      <c r="W127" s="495"/>
      <c r="X127" s="495"/>
      <c r="Y127" s="495"/>
      <c r="Z127" s="495"/>
      <c r="AA127" s="495"/>
      <c r="AB127" s="495"/>
      <c r="AC127" s="495"/>
      <c r="AD127" s="495"/>
    </row>
    <row r="128" spans="1:30" ht="17.25" customHeight="1">
      <c r="A128" s="495"/>
      <c r="B128" s="495"/>
      <c r="C128" s="495"/>
      <c r="D128" s="495"/>
      <c r="E128" s="495"/>
      <c r="F128" s="495"/>
      <c r="G128" s="495"/>
      <c r="K128" s="819"/>
      <c r="L128" s="495"/>
      <c r="M128" s="495"/>
      <c r="N128" s="495"/>
      <c r="O128" s="495"/>
      <c r="P128" s="495"/>
      <c r="Q128" s="495"/>
      <c r="R128" s="495"/>
      <c r="S128" s="495"/>
      <c r="T128" s="495"/>
      <c r="U128" s="495"/>
      <c r="V128" s="495"/>
      <c r="W128" s="495"/>
      <c r="X128" s="495"/>
      <c r="Y128" s="495"/>
      <c r="Z128" s="495"/>
      <c r="AA128" s="495"/>
      <c r="AB128" s="495"/>
      <c r="AC128" s="495"/>
      <c r="AD128" s="495"/>
    </row>
  </sheetData>
  <sheetProtection password="F7E3" sheet="1" objects="1" scenarios="1"/>
  <phoneticPr fontId="0" type="noConversion"/>
  <printOptions horizontalCentered="1"/>
  <pageMargins left="0.35433070866141736" right="0.39370078740157483" top="0.43307086614173229" bottom="0.47244094488188981" header="0.23622047244094491" footer="0.47244094488188981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A1:AL128"/>
  <sheetViews>
    <sheetView showGridLines="0" zoomScaleNormal="100" workbookViewId="0">
      <selection sqref="A1:J1"/>
    </sheetView>
  </sheetViews>
  <sheetFormatPr defaultColWidth="7.5546875" defaultRowHeight="17.25" customHeight="1"/>
  <cols>
    <col min="1" max="4" width="7.5546875" style="279" customWidth="1"/>
    <col min="5" max="5" width="9.109375" style="279" customWidth="1"/>
    <col min="6" max="10" width="7.5546875" style="279" customWidth="1"/>
    <col min="11" max="11" width="7.5546875" style="816" customWidth="1"/>
    <col min="12" max="12" width="9.5546875" style="279" bestFit="1" customWidth="1"/>
    <col min="13" max="22" width="7.5546875" style="279"/>
    <col min="23" max="23" width="12.5546875" style="279" customWidth="1"/>
    <col min="24" max="24" width="14" style="279" customWidth="1"/>
    <col min="25" max="16384" width="7.5546875" style="279"/>
  </cols>
  <sheetData>
    <row r="1" spans="1:24" ht="17.25" customHeight="1">
      <c r="A1" s="279" t="s">
        <v>275</v>
      </c>
      <c r="F1" s="494"/>
      <c r="G1" s="494"/>
      <c r="K1" s="810"/>
      <c r="L1" s="480"/>
      <c r="M1" s="480"/>
      <c r="N1" s="480"/>
      <c r="O1" s="480"/>
      <c r="S1" s="279" t="s">
        <v>443</v>
      </c>
      <c r="T1" s="279" t="s">
        <v>445</v>
      </c>
      <c r="U1" s="509" t="str">
        <f>IF(C3="","",_xlfn.STDEV.S(C3:C14))</f>
        <v/>
      </c>
      <c r="V1" s="279" t="s">
        <v>444</v>
      </c>
      <c r="W1" s="843" t="e">
        <f>MAX(MAX(C3:C14)-AVERAGE(C3:C14),AVERAGE(C3:C14)-MIN(C3:C14))</f>
        <v>#DIV/0!</v>
      </c>
      <c r="X1" s="279" t="str">
        <f>IF(C3="","OK",IF(W1&gt;3*U1,"Verificar","OK"))</f>
        <v>OK</v>
      </c>
    </row>
    <row r="2" spans="1:24" ht="17.25" customHeight="1">
      <c r="A2" s="547" t="s">
        <v>276</v>
      </c>
      <c r="B2" s="547" t="s">
        <v>162</v>
      </c>
      <c r="C2" s="547" t="s">
        <v>163</v>
      </c>
      <c r="D2" s="547" t="s">
        <v>277</v>
      </c>
      <c r="E2" s="547" t="s">
        <v>308</v>
      </c>
      <c r="F2" s="547" t="s">
        <v>162</v>
      </c>
      <c r="G2" s="547" t="s">
        <v>163</v>
      </c>
      <c r="H2" s="547" t="s">
        <v>277</v>
      </c>
      <c r="I2" s="279" t="s">
        <v>309</v>
      </c>
      <c r="J2" s="387" t="s">
        <v>251</v>
      </c>
      <c r="K2" s="811" t="s">
        <v>410</v>
      </c>
      <c r="L2" s="488"/>
      <c r="M2" s="480"/>
      <c r="N2" s="480"/>
      <c r="O2" s="480"/>
      <c r="T2" s="279" t="s">
        <v>445</v>
      </c>
      <c r="U2" s="509" t="str">
        <f>IF(C16="","",_xlfn.STDEV.S(C16:C27))</f>
        <v/>
      </c>
      <c r="V2" s="279" t="s">
        <v>444</v>
      </c>
      <c r="W2" s="843" t="str">
        <f>IF(C16="","",MAX(MAX(C16:C27)-AVERAGE(C16:C27),AVERAGE(C16:C27)-MIN(C16:C27)))</f>
        <v/>
      </c>
      <c r="X2" s="279" t="str">
        <f>IF(C16="","OK",IF(W2&gt;3*U2,"Verificar","OK"))</f>
        <v>OK</v>
      </c>
    </row>
    <row r="3" spans="1:24" ht="17.25" customHeight="1">
      <c r="A3" s="549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51"/>
      <c r="L3" s="551"/>
      <c r="M3" s="552"/>
      <c r="N3" s="550"/>
      <c r="O3" s="552"/>
      <c r="P3" s="300"/>
      <c r="Q3" s="300"/>
    </row>
    <row r="4" spans="1:24" ht="17.25" customHeight="1">
      <c r="A4" s="549">
        <v>2</v>
      </c>
      <c r="B4" s="548"/>
      <c r="C4" s="548"/>
      <c r="D4" s="548"/>
      <c r="E4" s="548"/>
      <c r="F4" s="548"/>
      <c r="G4" s="548"/>
      <c r="H4" s="548"/>
      <c r="I4" s="548"/>
      <c r="J4" s="548"/>
      <c r="K4" s="551"/>
      <c r="L4" s="551"/>
      <c r="M4" s="552"/>
      <c r="N4" s="550"/>
      <c r="O4" s="552"/>
      <c r="P4" s="558"/>
      <c r="Q4" s="558"/>
      <c r="R4" s="495"/>
      <c r="S4" s="495"/>
      <c r="T4" s="495"/>
      <c r="U4" s="281"/>
    </row>
    <row r="5" spans="1:24" ht="17.25" customHeight="1">
      <c r="A5" s="549">
        <v>3</v>
      </c>
      <c r="B5" s="548"/>
      <c r="C5" s="548"/>
      <c r="D5" s="548"/>
      <c r="E5" s="548"/>
      <c r="F5" s="548"/>
      <c r="G5" s="548"/>
      <c r="H5" s="548"/>
      <c r="I5" s="548"/>
      <c r="J5" s="548"/>
      <c r="K5" s="551"/>
      <c r="L5" s="551"/>
      <c r="M5" s="552"/>
      <c r="N5" s="550"/>
      <c r="O5" s="552"/>
      <c r="P5" s="558"/>
      <c r="Q5" s="558"/>
      <c r="R5" s="495"/>
      <c r="S5" s="495"/>
      <c r="T5" s="495"/>
      <c r="U5" s="281"/>
    </row>
    <row r="6" spans="1:24" ht="17.25" customHeight="1">
      <c r="A6" s="549">
        <v>4</v>
      </c>
      <c r="B6" s="548"/>
      <c r="C6" s="548"/>
      <c r="D6" s="548"/>
      <c r="E6" s="548"/>
      <c r="F6" s="548"/>
      <c r="G6" s="548"/>
      <c r="H6" s="548"/>
      <c r="I6" s="548"/>
      <c r="J6" s="548"/>
      <c r="K6" s="551"/>
      <c r="L6" s="551"/>
      <c r="M6" s="550"/>
      <c r="N6" s="550"/>
      <c r="O6" s="552"/>
      <c r="P6" s="558"/>
      <c r="Q6" s="558"/>
      <c r="R6" s="495"/>
      <c r="S6" s="495"/>
      <c r="T6" s="495"/>
      <c r="U6" s="281"/>
    </row>
    <row r="7" spans="1:24" ht="17.25" customHeight="1">
      <c r="A7" s="549">
        <v>5</v>
      </c>
      <c r="B7" s="548"/>
      <c r="C7" s="548"/>
      <c r="D7" s="548"/>
      <c r="E7" s="548"/>
      <c r="F7" s="548"/>
      <c r="G7" s="548"/>
      <c r="H7" s="548"/>
      <c r="I7" s="548"/>
      <c r="J7" s="548"/>
      <c r="K7" s="551"/>
      <c r="L7" s="551"/>
      <c r="M7" s="550"/>
      <c r="N7" s="550"/>
      <c r="O7" s="552"/>
      <c r="P7" s="558"/>
      <c r="Q7" s="558"/>
      <c r="R7" s="495"/>
      <c r="S7" s="495"/>
      <c r="T7" s="495"/>
      <c r="U7" s="281"/>
    </row>
    <row r="8" spans="1:24" ht="17.25" customHeight="1">
      <c r="A8" s="549">
        <v>6</v>
      </c>
      <c r="B8" s="548"/>
      <c r="C8" s="548"/>
      <c r="D8" s="548"/>
      <c r="E8" s="548"/>
      <c r="F8" s="548"/>
      <c r="G8" s="548"/>
      <c r="H8" s="548"/>
      <c r="I8" s="548"/>
      <c r="J8" s="548"/>
      <c r="K8" s="551"/>
      <c r="L8" s="551"/>
      <c r="M8" s="550"/>
      <c r="N8" s="550"/>
      <c r="O8" s="552"/>
      <c r="P8" s="558"/>
      <c r="Q8" s="558"/>
      <c r="R8" s="495"/>
      <c r="S8" s="495"/>
      <c r="T8" s="495"/>
      <c r="U8" s="300"/>
    </row>
    <row r="9" spans="1:24" ht="17.25" customHeight="1">
      <c r="A9" s="549">
        <v>7</v>
      </c>
      <c r="B9" s="548"/>
      <c r="C9" s="548"/>
      <c r="D9" s="548"/>
      <c r="E9" s="548"/>
      <c r="F9" s="548"/>
      <c r="G9" s="548"/>
      <c r="H9" s="548"/>
      <c r="I9" s="548"/>
      <c r="J9" s="548"/>
      <c r="K9" s="812"/>
      <c r="L9" s="558"/>
      <c r="M9" s="558"/>
      <c r="N9" s="558"/>
      <c r="O9" s="558"/>
      <c r="P9" s="558"/>
      <c r="Q9" s="558"/>
      <c r="R9" s="495"/>
      <c r="S9" s="495"/>
      <c r="T9" s="495"/>
      <c r="U9" s="281"/>
    </row>
    <row r="10" spans="1:24" ht="17.25" customHeight="1">
      <c r="A10" s="549">
        <v>8</v>
      </c>
      <c r="B10" s="548"/>
      <c r="C10" s="548"/>
      <c r="D10" s="548"/>
      <c r="E10" s="548"/>
      <c r="F10" s="548"/>
      <c r="G10" s="548"/>
      <c r="H10" s="548"/>
      <c r="I10" s="548"/>
      <c r="J10" s="548"/>
      <c r="K10" s="812"/>
      <c r="L10" s="558"/>
      <c r="M10" s="558"/>
      <c r="N10" s="558"/>
      <c r="O10" s="558"/>
      <c r="P10" s="558"/>
      <c r="Q10" s="558"/>
      <c r="R10" s="495"/>
      <c r="S10" s="495"/>
      <c r="T10" s="495"/>
      <c r="U10" s="281"/>
    </row>
    <row r="11" spans="1:24" ht="17.25" customHeight="1">
      <c r="A11" s="549">
        <v>9</v>
      </c>
      <c r="B11" s="548"/>
      <c r="C11" s="548"/>
      <c r="D11" s="548"/>
      <c r="E11" s="548"/>
      <c r="F11" s="548"/>
      <c r="G11" s="548"/>
      <c r="H11" s="548"/>
      <c r="I11" s="548"/>
      <c r="J11" s="548"/>
      <c r="K11" s="813"/>
      <c r="L11" s="558"/>
      <c r="M11" s="558"/>
      <c r="N11" s="558"/>
      <c r="O11" s="558"/>
      <c r="P11" s="558"/>
      <c r="Q11" s="558"/>
      <c r="R11" s="495"/>
      <c r="S11" s="495"/>
      <c r="T11" s="495"/>
      <c r="U11" s="281"/>
    </row>
    <row r="12" spans="1:24" ht="17.25" customHeight="1">
      <c r="A12" s="549">
        <v>10</v>
      </c>
      <c r="B12" s="548"/>
      <c r="C12" s="548"/>
      <c r="D12" s="548"/>
      <c r="E12" s="548"/>
      <c r="F12" s="548"/>
      <c r="G12" s="548"/>
      <c r="H12" s="548"/>
      <c r="I12" s="548"/>
      <c r="J12" s="548"/>
      <c r="K12" s="814"/>
      <c r="L12" s="300"/>
      <c r="M12" s="300"/>
      <c r="N12" s="300"/>
      <c r="O12" s="300"/>
      <c r="P12" s="300"/>
      <c r="Q12" s="300"/>
    </row>
    <row r="13" spans="1:24" ht="17.25" customHeight="1">
      <c r="A13" s="549">
        <v>11</v>
      </c>
      <c r="B13" s="548"/>
      <c r="C13" s="548"/>
      <c r="D13" s="548"/>
      <c r="E13" s="548"/>
      <c r="F13" s="548"/>
      <c r="G13" s="548"/>
      <c r="H13" s="548"/>
      <c r="I13" s="548"/>
      <c r="J13" s="548"/>
      <c r="K13" s="815"/>
      <c r="L13" s="550"/>
      <c r="M13" s="550"/>
      <c r="N13" s="550"/>
      <c r="O13" s="550"/>
      <c r="P13" s="553"/>
      <c r="Q13" s="550"/>
      <c r="R13" s="498"/>
      <c r="S13" s="499"/>
      <c r="T13" s="480"/>
      <c r="U13" s="480"/>
      <c r="V13" s="480"/>
    </row>
    <row r="14" spans="1:24" ht="17.25" customHeight="1">
      <c r="A14" s="549">
        <v>12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815"/>
      <c r="L14" s="554"/>
      <c r="M14" s="550"/>
      <c r="N14" s="552"/>
      <c r="O14" s="553"/>
      <c r="P14" s="555"/>
      <c r="Q14" s="556"/>
      <c r="R14" s="502"/>
      <c r="S14" s="319"/>
      <c r="T14" s="501"/>
      <c r="U14" s="316"/>
      <c r="V14" s="480"/>
    </row>
    <row r="15" spans="1:24" ht="17.25" customHeight="1">
      <c r="A15" s="649"/>
      <c r="B15" s="649"/>
      <c r="C15" s="649"/>
      <c r="D15" s="650"/>
      <c r="E15" s="649"/>
      <c r="F15" s="547"/>
      <c r="G15" s="550"/>
      <c r="H15" s="300"/>
      <c r="I15" s="300"/>
      <c r="J15" s="300"/>
      <c r="K15" s="815"/>
      <c r="L15" s="554"/>
      <c r="M15" s="550"/>
      <c r="N15" s="552"/>
      <c r="O15" s="557"/>
      <c r="P15" s="555"/>
      <c r="Q15" s="556"/>
      <c r="R15" s="502"/>
      <c r="S15" s="319"/>
      <c r="T15" s="501"/>
      <c r="U15" s="316"/>
      <c r="V15" s="480"/>
    </row>
    <row r="16" spans="1:24" ht="17.25" customHeight="1">
      <c r="A16" s="387">
        <v>1</v>
      </c>
      <c r="B16" s="548"/>
      <c r="C16" s="548"/>
      <c r="D16" s="548"/>
      <c r="E16" s="548"/>
      <c r="F16" s="548"/>
      <c r="G16" s="548"/>
      <c r="H16" s="548"/>
      <c r="I16" s="548"/>
      <c r="J16" s="548"/>
      <c r="K16" s="810"/>
      <c r="L16" s="319"/>
      <c r="M16" s="480"/>
      <c r="N16" s="489"/>
      <c r="O16" s="504"/>
      <c r="P16" s="500"/>
      <c r="Q16" s="501"/>
      <c r="R16" s="502"/>
      <c r="S16" s="319"/>
      <c r="T16" s="501"/>
      <c r="U16" s="316"/>
      <c r="V16" s="480"/>
    </row>
    <row r="17" spans="1:37" ht="17.25" customHeight="1">
      <c r="A17" s="387">
        <v>2</v>
      </c>
      <c r="B17" s="548"/>
      <c r="C17" s="548"/>
      <c r="D17" s="548"/>
      <c r="E17" s="548"/>
      <c r="F17" s="548"/>
      <c r="G17" s="548"/>
      <c r="H17" s="548"/>
      <c r="I17" s="548"/>
      <c r="J17" s="548"/>
      <c r="K17" s="810"/>
      <c r="L17" s="480"/>
      <c r="M17" s="480"/>
      <c r="N17" s="480"/>
      <c r="O17" s="497"/>
      <c r="P17" s="497"/>
      <c r="Q17" s="497"/>
      <c r="R17" s="480"/>
      <c r="S17" s="498"/>
      <c r="T17" s="499"/>
      <c r="U17" s="480"/>
      <c r="V17" s="480"/>
      <c r="W17" s="480"/>
    </row>
    <row r="18" spans="1:37" ht="17.25" customHeight="1">
      <c r="A18" s="387">
        <v>3</v>
      </c>
      <c r="B18" s="548"/>
      <c r="C18" s="548"/>
      <c r="D18" s="548"/>
      <c r="E18" s="548"/>
      <c r="F18" s="548"/>
      <c r="G18" s="548"/>
      <c r="H18" s="548"/>
      <c r="I18" s="548"/>
      <c r="J18" s="548"/>
      <c r="K18" s="810"/>
      <c r="L18" s="319"/>
      <c r="M18" s="480"/>
      <c r="N18" s="489"/>
      <c r="O18" s="500"/>
      <c r="P18" s="500"/>
      <c r="Q18" s="500"/>
      <c r="R18" s="501"/>
      <c r="S18" s="502"/>
      <c r="T18" s="319"/>
      <c r="U18" s="501"/>
      <c r="V18" s="319"/>
      <c r="W18" s="480"/>
      <c r="X18" s="505"/>
      <c r="Y18" s="505"/>
    </row>
    <row r="19" spans="1:37" ht="17.25" customHeight="1">
      <c r="A19" s="387">
        <v>4</v>
      </c>
      <c r="B19" s="548"/>
      <c r="C19" s="548"/>
      <c r="D19" s="548"/>
      <c r="E19" s="548"/>
      <c r="F19" s="548"/>
      <c r="G19" s="548"/>
      <c r="H19" s="548"/>
      <c r="I19" s="548"/>
      <c r="J19" s="548"/>
      <c r="M19" s="480"/>
      <c r="N19" s="480"/>
      <c r="O19" s="504"/>
      <c r="P19" s="480"/>
      <c r="Q19" s="480"/>
      <c r="R19" s="480"/>
    </row>
    <row r="20" spans="1:37" ht="17.25" customHeight="1">
      <c r="A20" s="387">
        <v>5</v>
      </c>
      <c r="B20" s="548"/>
      <c r="C20" s="548"/>
      <c r="D20" s="548"/>
      <c r="E20" s="548"/>
      <c r="F20" s="548"/>
      <c r="G20" s="548"/>
      <c r="H20" s="548"/>
      <c r="I20" s="548"/>
      <c r="J20" s="548"/>
      <c r="K20" s="810"/>
      <c r="L20" s="480"/>
      <c r="M20" s="480"/>
      <c r="N20" s="480"/>
      <c r="AE20" s="387"/>
    </row>
    <row r="21" spans="1:37" ht="17.25" customHeight="1">
      <c r="A21" s="387">
        <v>6</v>
      </c>
      <c r="B21" s="548"/>
      <c r="C21" s="548"/>
      <c r="D21" s="548"/>
      <c r="E21" s="548"/>
      <c r="F21" s="548"/>
      <c r="G21" s="548"/>
      <c r="H21" s="548"/>
      <c r="I21" s="548"/>
      <c r="J21" s="548"/>
      <c r="K21" s="810"/>
      <c r="L21" s="319"/>
      <c r="M21" s="319"/>
      <c r="N21" s="488"/>
      <c r="O21" s="495"/>
      <c r="P21" s="495"/>
      <c r="Q21" s="495"/>
      <c r="R21" s="495"/>
      <c r="S21" s="495"/>
      <c r="T21" s="495"/>
      <c r="U21" s="495"/>
      <c r="V21" s="495"/>
      <c r="AE21" s="387"/>
    </row>
    <row r="22" spans="1:37" ht="17.25" customHeight="1">
      <c r="A22" s="387">
        <v>7</v>
      </c>
      <c r="B22" s="548"/>
      <c r="C22" s="548"/>
      <c r="D22" s="548"/>
      <c r="E22" s="548"/>
      <c r="F22" s="548"/>
      <c r="G22" s="548"/>
      <c r="H22" s="548"/>
      <c r="I22" s="548"/>
      <c r="J22" s="548"/>
      <c r="K22" s="810"/>
      <c r="L22" s="319"/>
      <c r="M22" s="319"/>
      <c r="N22" s="488"/>
      <c r="O22" s="495"/>
      <c r="P22" s="495"/>
      <c r="Q22" s="495"/>
      <c r="R22" s="495"/>
      <c r="S22" s="495"/>
      <c r="T22" s="495"/>
      <c r="U22" s="495"/>
      <c r="V22" s="495"/>
    </row>
    <row r="23" spans="1:37" ht="17.25" customHeight="1">
      <c r="A23" s="387">
        <v>8</v>
      </c>
      <c r="B23" s="548"/>
      <c r="C23" s="548"/>
      <c r="D23" s="548"/>
      <c r="E23" s="548"/>
      <c r="F23" s="548"/>
      <c r="G23" s="548"/>
      <c r="H23" s="548"/>
      <c r="I23" s="548"/>
      <c r="J23" s="548"/>
      <c r="K23" s="810"/>
      <c r="L23" s="319"/>
      <c r="M23" s="319"/>
      <c r="N23" s="488"/>
      <c r="O23" s="495"/>
      <c r="P23" s="495"/>
      <c r="Q23" s="495"/>
      <c r="R23" s="495"/>
      <c r="S23" s="495"/>
      <c r="T23" s="495"/>
      <c r="U23" s="495"/>
      <c r="V23" s="495"/>
    </row>
    <row r="24" spans="1:37" ht="17.25" customHeight="1">
      <c r="A24" s="387">
        <v>9</v>
      </c>
      <c r="B24" s="548"/>
      <c r="C24" s="548"/>
      <c r="D24" s="548"/>
      <c r="E24" s="548"/>
      <c r="F24" s="548"/>
      <c r="G24" s="548"/>
      <c r="H24" s="548"/>
      <c r="I24" s="548"/>
      <c r="J24" s="548"/>
      <c r="K24" s="810"/>
      <c r="L24" s="319"/>
      <c r="M24" s="319"/>
      <c r="N24" s="488"/>
      <c r="O24" s="495"/>
      <c r="P24" s="495"/>
      <c r="Q24" s="495"/>
      <c r="R24" s="495"/>
      <c r="S24" s="495"/>
      <c r="T24" s="495"/>
      <c r="U24" s="495"/>
      <c r="V24" s="495"/>
      <c r="AD24" s="300"/>
      <c r="AE24" s="507"/>
      <c r="AF24" s="507"/>
      <c r="AG24" s="507"/>
      <c r="AH24" s="507"/>
      <c r="AI24" s="507"/>
      <c r="AJ24" s="300"/>
      <c r="AK24" s="508"/>
    </row>
    <row r="25" spans="1:37" ht="17.25" customHeight="1">
      <c r="A25" s="387">
        <v>10</v>
      </c>
      <c r="B25" s="548"/>
      <c r="C25" s="548"/>
      <c r="D25" s="548"/>
      <c r="E25" s="548"/>
      <c r="F25" s="548"/>
      <c r="G25" s="548"/>
      <c r="H25" s="548"/>
      <c r="I25" s="548"/>
      <c r="J25" s="548"/>
      <c r="O25" s="495"/>
      <c r="P25" s="495"/>
      <c r="Q25" s="495"/>
      <c r="R25" s="495"/>
      <c r="S25" s="495"/>
      <c r="T25" s="495"/>
      <c r="U25" s="495"/>
      <c r="V25" s="495"/>
      <c r="AD25" s="300"/>
      <c r="AE25" s="387"/>
      <c r="AF25" s="387"/>
      <c r="AG25" s="387"/>
      <c r="AH25" s="387"/>
      <c r="AI25" s="387"/>
      <c r="AJ25" s="300"/>
      <c r="AK25" s="508"/>
    </row>
    <row r="26" spans="1:37" ht="17.25" customHeight="1">
      <c r="A26" s="387">
        <v>11</v>
      </c>
      <c r="B26" s="548"/>
      <c r="C26" s="548"/>
      <c r="D26" s="548"/>
      <c r="E26" s="548"/>
      <c r="F26" s="548"/>
      <c r="G26" s="548"/>
      <c r="H26" s="548"/>
      <c r="I26" s="548"/>
      <c r="J26" s="548"/>
      <c r="N26" s="495"/>
      <c r="O26" s="495"/>
      <c r="P26" s="495"/>
      <c r="Q26" s="495"/>
      <c r="R26" s="495"/>
      <c r="S26" s="495"/>
      <c r="T26" s="495"/>
      <c r="U26" s="495"/>
      <c r="V26" s="495"/>
      <c r="AD26" s="300"/>
      <c r="AE26" s="300"/>
      <c r="AF26" s="300"/>
      <c r="AG26" s="300"/>
      <c r="AH26" s="300"/>
      <c r="AI26" s="300"/>
      <c r="AJ26" s="300"/>
      <c r="AK26" s="343"/>
    </row>
    <row r="27" spans="1:37" ht="17.25" customHeight="1">
      <c r="A27" s="387">
        <v>12</v>
      </c>
      <c r="B27" s="548"/>
      <c r="C27" s="548"/>
      <c r="D27" s="548"/>
      <c r="E27" s="548"/>
      <c r="F27" s="548"/>
      <c r="G27" s="548"/>
      <c r="H27" s="548"/>
      <c r="I27" s="548"/>
      <c r="J27" s="548"/>
      <c r="U27" s="511"/>
      <c r="AD27" s="512"/>
      <c r="AE27" s="300"/>
      <c r="AF27" s="513"/>
      <c r="AG27" s="513"/>
      <c r="AH27" s="508"/>
      <c r="AI27" s="300"/>
      <c r="AJ27" s="513"/>
      <c r="AK27" s="300"/>
    </row>
    <row r="28" spans="1:37" ht="17.25" customHeight="1">
      <c r="A28" s="506"/>
      <c r="B28" s="480"/>
      <c r="C28" s="480"/>
      <c r="D28" s="480"/>
      <c r="E28" s="480"/>
      <c r="F28" s="480"/>
      <c r="G28" s="490"/>
      <c r="I28" s="509"/>
      <c r="U28" s="511"/>
      <c r="AD28" s="512"/>
      <c r="AE28" s="514"/>
      <c r="AF28" s="513"/>
      <c r="AG28" s="513"/>
      <c r="AH28" s="508"/>
      <c r="AI28" s="300"/>
      <c r="AJ28" s="513"/>
      <c r="AK28" s="300"/>
    </row>
    <row r="29" spans="1:37" ht="17.25" customHeight="1">
      <c r="A29" s="506"/>
      <c r="B29" s="480"/>
      <c r="C29" s="480"/>
      <c r="D29" s="480"/>
      <c r="E29" s="480"/>
      <c r="F29" s="480"/>
      <c r="G29" s="490"/>
      <c r="I29" s="515"/>
      <c r="U29" s="511"/>
      <c r="AD29" s="512"/>
      <c r="AE29" s="514"/>
      <c r="AF29" s="513"/>
      <c r="AG29" s="513"/>
      <c r="AH29" s="508"/>
      <c r="AI29" s="300"/>
      <c r="AJ29" s="513"/>
      <c r="AK29" s="300"/>
    </row>
    <row r="30" spans="1:37" ht="17.25" customHeight="1">
      <c r="A30" s="506"/>
      <c r="B30" s="480"/>
      <c r="C30" s="480"/>
      <c r="D30" s="480"/>
      <c r="E30" s="480"/>
      <c r="F30" s="480"/>
      <c r="G30" s="490"/>
      <c r="I30" s="387"/>
      <c r="K30" s="817"/>
      <c r="L30" s="505"/>
      <c r="M30" s="505"/>
      <c r="U30" s="511"/>
      <c r="AD30" s="512"/>
      <c r="AE30" s="514"/>
      <c r="AF30" s="513"/>
      <c r="AG30" s="513"/>
      <c r="AH30" s="508"/>
      <c r="AI30" s="300"/>
      <c r="AJ30" s="513"/>
      <c r="AK30" s="300"/>
    </row>
    <row r="31" spans="1:37" ht="17.25" customHeight="1">
      <c r="A31" s="495"/>
      <c r="B31" s="495"/>
      <c r="C31" s="495"/>
      <c r="D31" s="495"/>
      <c r="E31" s="495"/>
      <c r="F31" s="495"/>
      <c r="G31" s="495"/>
      <c r="I31" s="509"/>
      <c r="K31" s="817"/>
      <c r="L31" s="505"/>
      <c r="M31" s="505"/>
      <c r="U31" s="511"/>
      <c r="AD31" s="512"/>
      <c r="AE31" s="300"/>
      <c r="AF31" s="300"/>
      <c r="AG31" s="300"/>
      <c r="AH31" s="516"/>
      <c r="AI31" s="516"/>
      <c r="AJ31" s="514"/>
      <c r="AK31" s="517"/>
    </row>
    <row r="32" spans="1:37" ht="17.25" customHeight="1">
      <c r="A32" s="321"/>
      <c r="B32" s="321"/>
      <c r="C32" s="321"/>
      <c r="D32" s="321"/>
      <c r="E32" s="321"/>
      <c r="F32" s="321"/>
      <c r="G32" s="321"/>
      <c r="I32" s="509"/>
      <c r="K32" s="817"/>
      <c r="L32" s="505"/>
      <c r="M32" s="505"/>
      <c r="U32" s="511"/>
      <c r="AD32" s="512"/>
      <c r="AE32" s="514"/>
      <c r="AF32" s="514"/>
      <c r="AG32" s="300"/>
      <c r="AH32" s="518"/>
      <c r="AI32" s="516"/>
      <c r="AJ32" s="519"/>
      <c r="AK32" s="300"/>
    </row>
    <row r="33" spans="1:38" ht="17.25" customHeight="1">
      <c r="A33" s="321"/>
      <c r="B33" s="321"/>
      <c r="C33" s="321"/>
      <c r="D33" s="321"/>
      <c r="E33" s="321"/>
      <c r="F33" s="321"/>
      <c r="G33" s="321"/>
      <c r="I33" s="509"/>
      <c r="K33" s="817"/>
      <c r="L33" s="505"/>
      <c r="M33" s="505"/>
      <c r="U33" s="511"/>
      <c r="AC33" s="505"/>
      <c r="AD33" s="505"/>
      <c r="AE33" s="505"/>
      <c r="AF33" s="505"/>
      <c r="AG33" s="505"/>
      <c r="AH33" s="505"/>
      <c r="AI33" s="505"/>
      <c r="AJ33" s="505"/>
      <c r="AK33" s="505"/>
      <c r="AL33" s="505"/>
    </row>
    <row r="34" spans="1:38" ht="17.25" customHeight="1">
      <c r="A34" s="495"/>
      <c r="B34" s="495"/>
      <c r="C34" s="478"/>
      <c r="D34" s="321"/>
      <c r="G34" s="479"/>
      <c r="I34" s="509"/>
      <c r="K34" s="817"/>
      <c r="L34" s="505"/>
      <c r="M34" s="505"/>
      <c r="U34" s="511"/>
      <c r="AC34" s="505"/>
      <c r="AD34" s="300"/>
      <c r="AE34" s="507"/>
      <c r="AF34" s="507"/>
      <c r="AG34" s="507"/>
      <c r="AH34" s="507"/>
      <c r="AI34" s="507"/>
      <c r="AJ34" s="300"/>
      <c r="AK34" s="508"/>
      <c r="AL34" s="505"/>
    </row>
    <row r="35" spans="1:38" ht="17.25" customHeight="1">
      <c r="A35" s="321"/>
      <c r="B35" s="321"/>
      <c r="C35" s="321"/>
      <c r="D35" s="321"/>
      <c r="E35" s="321"/>
      <c r="F35" s="321"/>
      <c r="G35" s="321"/>
      <c r="I35" s="509"/>
      <c r="K35" s="817"/>
      <c r="L35" s="505"/>
      <c r="M35" s="505"/>
      <c r="U35" s="511"/>
      <c r="AC35" s="505"/>
      <c r="AD35" s="300"/>
      <c r="AE35" s="387"/>
      <c r="AF35" s="387"/>
      <c r="AG35" s="387"/>
      <c r="AH35" s="387"/>
      <c r="AI35" s="387"/>
      <c r="AJ35" s="300"/>
      <c r="AK35" s="508"/>
      <c r="AL35" s="505"/>
    </row>
    <row r="36" spans="1:38" ht="17.25" customHeight="1">
      <c r="A36" s="387"/>
      <c r="B36" s="476"/>
      <c r="C36" s="387"/>
      <c r="D36" s="476"/>
      <c r="E36" s="321"/>
      <c r="F36" s="321"/>
      <c r="G36" s="321"/>
      <c r="I36" s="509"/>
      <c r="K36" s="817"/>
      <c r="L36" s="505"/>
      <c r="M36" s="505"/>
      <c r="U36" s="511"/>
      <c r="AC36" s="505"/>
      <c r="AD36" s="300"/>
      <c r="AE36" s="300"/>
      <c r="AF36" s="300"/>
      <c r="AG36" s="300"/>
      <c r="AH36" s="300"/>
      <c r="AI36" s="300"/>
      <c r="AJ36" s="300"/>
      <c r="AK36" s="343"/>
      <c r="AL36" s="505"/>
    </row>
    <row r="37" spans="1:38" ht="17.25" customHeight="1">
      <c r="A37" s="387"/>
      <c r="B37" s="480"/>
      <c r="C37" s="387"/>
      <c r="D37" s="480"/>
      <c r="E37" s="321"/>
      <c r="F37" s="321"/>
      <c r="G37" s="321"/>
      <c r="I37" s="509"/>
      <c r="K37" s="817"/>
      <c r="L37" s="505"/>
      <c r="M37" s="505"/>
      <c r="U37" s="511"/>
      <c r="AC37" s="505"/>
      <c r="AD37" s="520"/>
      <c r="AE37" s="300"/>
      <c r="AF37" s="513"/>
      <c r="AG37" s="513"/>
      <c r="AH37" s="508"/>
      <c r="AI37" s="300"/>
      <c r="AJ37" s="513"/>
      <c r="AK37" s="300"/>
      <c r="AL37" s="505"/>
    </row>
    <row r="38" spans="1:38" ht="17.25" customHeight="1">
      <c r="A38" s="387"/>
      <c r="B38" s="480"/>
      <c r="C38" s="387"/>
      <c r="D38" s="480"/>
      <c r="E38" s="321"/>
      <c r="F38" s="321"/>
      <c r="G38" s="321"/>
      <c r="I38" s="509"/>
      <c r="K38" s="817"/>
      <c r="L38" s="505"/>
      <c r="M38" s="505"/>
      <c r="U38" s="511"/>
      <c r="AC38" s="505"/>
      <c r="AD38" s="520"/>
      <c r="AE38" s="514"/>
      <c r="AF38" s="513"/>
      <c r="AG38" s="513"/>
      <c r="AH38" s="508"/>
      <c r="AI38" s="300"/>
      <c r="AJ38" s="513"/>
      <c r="AK38" s="519"/>
      <c r="AL38" s="505"/>
    </row>
    <row r="39" spans="1:38" ht="17.25" customHeight="1">
      <c r="A39" s="481"/>
      <c r="B39" s="488"/>
      <c r="C39" s="481"/>
      <c r="D39" s="488"/>
      <c r="E39" s="321"/>
      <c r="F39" s="321"/>
      <c r="G39" s="321"/>
      <c r="I39" s="509"/>
      <c r="K39" s="817"/>
      <c r="L39" s="505"/>
      <c r="M39" s="505"/>
      <c r="U39" s="511"/>
      <c r="AC39" s="505"/>
      <c r="AD39" s="520"/>
      <c r="AE39" s="514"/>
      <c r="AF39" s="513"/>
      <c r="AG39" s="513"/>
      <c r="AH39" s="508"/>
      <c r="AI39" s="300"/>
      <c r="AJ39" s="513"/>
      <c r="AK39" s="300"/>
      <c r="AL39" s="505"/>
    </row>
    <row r="40" spans="1:38" ht="17.25" customHeight="1">
      <c r="A40" s="481"/>
      <c r="B40" s="481"/>
      <c r="C40" s="481"/>
      <c r="D40" s="481"/>
      <c r="F40" s="481"/>
      <c r="G40" s="521"/>
      <c r="I40" s="509"/>
      <c r="K40" s="817"/>
      <c r="L40" s="505"/>
      <c r="M40" s="505"/>
      <c r="U40" s="511"/>
      <c r="AC40" s="505"/>
      <c r="AD40" s="520"/>
      <c r="AE40" s="514"/>
      <c r="AF40" s="513"/>
      <c r="AG40" s="513"/>
      <c r="AH40" s="508"/>
      <c r="AI40" s="300"/>
      <c r="AJ40" s="513"/>
      <c r="AK40" s="300"/>
      <c r="AL40" s="505"/>
    </row>
    <row r="41" spans="1:38" ht="17.25" customHeight="1">
      <c r="A41" s="481"/>
      <c r="B41" s="481"/>
      <c r="C41" s="481"/>
      <c r="D41" s="481"/>
      <c r="F41" s="481"/>
      <c r="G41" s="481"/>
      <c r="I41" s="509"/>
      <c r="K41" s="817"/>
      <c r="L41" s="505"/>
      <c r="M41" s="505"/>
      <c r="U41" s="511"/>
      <c r="AC41" s="505"/>
      <c r="AD41" s="520"/>
      <c r="AE41" s="514"/>
      <c r="AF41" s="513"/>
      <c r="AG41" s="513"/>
      <c r="AH41" s="508"/>
      <c r="AI41" s="300"/>
      <c r="AJ41" s="513"/>
      <c r="AK41" s="300"/>
      <c r="AL41" s="505"/>
    </row>
    <row r="42" spans="1:38" ht="17.25" customHeight="1">
      <c r="A42" s="481"/>
      <c r="B42" s="522"/>
      <c r="C42" s="481"/>
      <c r="D42" s="522"/>
      <c r="E42" s="477"/>
      <c r="F42" s="476"/>
      <c r="G42" s="491"/>
      <c r="I42" s="509"/>
      <c r="K42" s="817"/>
      <c r="L42" s="505"/>
      <c r="M42" s="505"/>
      <c r="U42" s="511"/>
      <c r="AC42" s="505"/>
      <c r="AD42" s="512"/>
      <c r="AE42" s="300"/>
      <c r="AF42" s="300"/>
      <c r="AG42" s="300"/>
      <c r="AH42" s="516"/>
      <c r="AI42" s="516"/>
      <c r="AJ42" s="514"/>
      <c r="AK42" s="517"/>
      <c r="AL42" s="505"/>
    </row>
    <row r="43" spans="1:38" ht="17.25" customHeight="1">
      <c r="A43" s="495"/>
      <c r="B43" s="495"/>
      <c r="C43" s="495"/>
      <c r="D43" s="495"/>
      <c r="E43" s="495"/>
      <c r="F43" s="495"/>
      <c r="G43" s="495"/>
      <c r="I43" s="509"/>
      <c r="K43" s="817"/>
      <c r="L43" s="505"/>
      <c r="M43" s="505"/>
      <c r="U43" s="511"/>
      <c r="AC43" s="505"/>
      <c r="AD43" s="512"/>
      <c r="AE43" s="514"/>
      <c r="AF43" s="514"/>
      <c r="AG43" s="300"/>
      <c r="AH43" s="518"/>
      <c r="AI43" s="516"/>
      <c r="AJ43" s="519"/>
      <c r="AK43" s="300"/>
      <c r="AL43" s="505"/>
    </row>
    <row r="44" spans="1:38" ht="17.25" customHeight="1">
      <c r="A44" s="321"/>
      <c r="B44" s="321"/>
      <c r="C44" s="321"/>
      <c r="D44" s="321"/>
      <c r="E44" s="321"/>
      <c r="F44" s="321"/>
      <c r="G44" s="321"/>
      <c r="I44" s="509"/>
      <c r="K44" s="817"/>
      <c r="L44" s="505"/>
      <c r="M44" s="505"/>
      <c r="U44" s="511"/>
      <c r="AC44" s="505"/>
      <c r="AD44" s="505"/>
      <c r="AE44" s="505"/>
      <c r="AF44" s="505"/>
      <c r="AG44" s="505"/>
      <c r="AH44" s="505"/>
      <c r="AI44" s="505"/>
      <c r="AJ44" s="505"/>
      <c r="AK44" s="505"/>
      <c r="AL44" s="505"/>
    </row>
    <row r="45" spans="1:38" ht="17.25" customHeight="1">
      <c r="A45" s="495"/>
      <c r="B45" s="495"/>
      <c r="C45" s="495"/>
      <c r="D45" s="495"/>
      <c r="E45" s="495"/>
      <c r="F45" s="495"/>
      <c r="G45" s="495"/>
      <c r="I45" s="509"/>
      <c r="K45" s="817"/>
      <c r="L45" s="505"/>
      <c r="M45" s="505"/>
      <c r="U45" s="511"/>
      <c r="AC45" s="505"/>
      <c r="AD45" s="505"/>
      <c r="AE45" s="505"/>
      <c r="AF45" s="505"/>
      <c r="AG45" s="505"/>
      <c r="AH45" s="505"/>
      <c r="AI45" s="505"/>
      <c r="AJ45" s="505"/>
      <c r="AK45" s="505"/>
      <c r="AL45" s="505"/>
    </row>
    <row r="46" spans="1:38" ht="17.25" customHeight="1">
      <c r="B46" s="476"/>
      <c r="D46" s="387"/>
      <c r="F46" s="477"/>
      <c r="K46" s="817"/>
      <c r="L46" s="505"/>
      <c r="M46" s="505"/>
      <c r="U46" s="511"/>
      <c r="AC46" s="505"/>
      <c r="AD46" s="505"/>
      <c r="AE46" s="505"/>
      <c r="AF46" s="505"/>
      <c r="AG46" s="505"/>
      <c r="AH46" s="505"/>
      <c r="AI46" s="505"/>
      <c r="AJ46" s="505"/>
      <c r="AK46" s="505"/>
      <c r="AL46" s="505"/>
    </row>
    <row r="47" spans="1:38" ht="17.25" customHeight="1">
      <c r="A47" s="523"/>
      <c r="B47" s="478"/>
      <c r="C47" s="387"/>
      <c r="D47" s="479"/>
      <c r="F47" s="479"/>
      <c r="K47" s="817"/>
      <c r="L47" s="505"/>
      <c r="M47" s="505"/>
      <c r="U47" s="511"/>
      <c r="AC47" s="505"/>
      <c r="AD47" s="505"/>
      <c r="AE47" s="505"/>
      <c r="AF47" s="505"/>
      <c r="AG47" s="505"/>
      <c r="AH47" s="505"/>
      <c r="AI47" s="505"/>
      <c r="AJ47" s="505"/>
      <c r="AK47" s="505"/>
      <c r="AL47" s="505"/>
    </row>
    <row r="48" spans="1:38" ht="17.25" customHeight="1">
      <c r="A48" s="321"/>
      <c r="B48" s="321"/>
      <c r="G48" s="321"/>
      <c r="I48" s="509"/>
      <c r="K48" s="817"/>
      <c r="L48" s="505"/>
      <c r="M48" s="505"/>
      <c r="U48" s="511"/>
      <c r="AC48" s="505"/>
      <c r="AD48" s="505"/>
      <c r="AE48" s="505"/>
      <c r="AF48" s="505"/>
      <c r="AG48" s="505"/>
      <c r="AH48" s="505"/>
      <c r="AI48" s="505"/>
      <c r="AJ48" s="505"/>
      <c r="AK48" s="505"/>
      <c r="AL48" s="505"/>
    </row>
    <row r="49" spans="1:38" ht="17.25" customHeight="1">
      <c r="A49" s="387"/>
      <c r="B49" s="476"/>
      <c r="C49" s="387"/>
      <c r="D49" s="476"/>
      <c r="E49" s="321"/>
      <c r="F49" s="321"/>
      <c r="G49" s="321"/>
      <c r="I49" s="509"/>
      <c r="K49" s="817"/>
      <c r="L49" s="505"/>
      <c r="M49" s="505"/>
      <c r="U49" s="511"/>
      <c r="AC49" s="505"/>
      <c r="AD49" s="505"/>
      <c r="AE49" s="505"/>
      <c r="AF49" s="505"/>
      <c r="AG49" s="505"/>
      <c r="AH49" s="505"/>
      <c r="AI49" s="505"/>
      <c r="AJ49" s="505"/>
      <c r="AK49" s="505"/>
      <c r="AL49" s="505"/>
    </row>
    <row r="50" spans="1:38" ht="17.25" customHeight="1">
      <c r="A50" s="387"/>
      <c r="B50" s="480"/>
      <c r="C50" s="387"/>
      <c r="D50" s="480"/>
      <c r="E50" s="321"/>
      <c r="F50" s="321"/>
      <c r="G50" s="321"/>
      <c r="I50" s="509"/>
      <c r="K50" s="817"/>
      <c r="L50" s="505"/>
      <c r="M50" s="505"/>
      <c r="U50" s="511"/>
      <c r="AC50" s="505"/>
      <c r="AD50" s="505"/>
      <c r="AE50" s="505"/>
      <c r="AF50" s="505"/>
      <c r="AG50" s="505"/>
      <c r="AH50" s="505"/>
      <c r="AI50" s="505"/>
      <c r="AJ50" s="505"/>
      <c r="AK50" s="505"/>
      <c r="AL50" s="505"/>
    </row>
    <row r="51" spans="1:38" ht="17.25" customHeight="1">
      <c r="A51" s="387"/>
      <c r="B51" s="480"/>
      <c r="C51" s="387"/>
      <c r="D51" s="480"/>
      <c r="E51" s="321"/>
      <c r="F51" s="321"/>
      <c r="G51" s="321"/>
      <c r="I51" s="509"/>
      <c r="K51" s="817"/>
      <c r="L51" s="505"/>
      <c r="M51" s="505"/>
      <c r="U51" s="511"/>
      <c r="AC51" s="505"/>
      <c r="AD51" s="505"/>
      <c r="AE51" s="505"/>
      <c r="AF51" s="505"/>
      <c r="AG51" s="505"/>
      <c r="AH51" s="505"/>
      <c r="AI51" s="505"/>
      <c r="AJ51" s="505"/>
      <c r="AK51" s="505"/>
      <c r="AL51" s="505"/>
    </row>
    <row r="52" spans="1:38" ht="17.25" customHeight="1">
      <c r="A52" s="481"/>
      <c r="B52" s="488"/>
      <c r="C52" s="481"/>
      <c r="D52" s="488"/>
      <c r="E52" s="321"/>
      <c r="F52" s="321"/>
      <c r="G52" s="321"/>
      <c r="I52" s="509"/>
      <c r="K52" s="817"/>
      <c r="L52" s="505"/>
      <c r="M52" s="505"/>
      <c r="U52" s="511"/>
      <c r="AC52" s="505"/>
      <c r="AD52" s="505"/>
      <c r="AE52" s="505"/>
      <c r="AF52" s="505"/>
      <c r="AG52" s="505"/>
      <c r="AH52" s="505"/>
      <c r="AI52" s="505"/>
      <c r="AJ52" s="505"/>
      <c r="AK52" s="505"/>
      <c r="AL52" s="505"/>
    </row>
    <row r="53" spans="1:38" ht="17.25" customHeight="1">
      <c r="A53" s="481"/>
      <c r="B53" s="481"/>
      <c r="C53" s="481"/>
      <c r="D53" s="481"/>
      <c r="F53" s="481"/>
      <c r="G53" s="524"/>
      <c r="I53" s="509"/>
      <c r="K53" s="817"/>
      <c r="L53" s="505"/>
      <c r="M53" s="505"/>
      <c r="U53" s="511"/>
      <c r="AC53" s="505"/>
      <c r="AD53" s="505"/>
      <c r="AE53" s="505"/>
      <c r="AF53" s="505"/>
      <c r="AG53" s="505"/>
      <c r="AH53" s="505"/>
      <c r="AI53" s="505"/>
      <c r="AJ53" s="505"/>
      <c r="AK53" s="505"/>
      <c r="AL53" s="505"/>
    </row>
    <row r="54" spans="1:38" ht="17.25" customHeight="1">
      <c r="A54" s="481"/>
      <c r="B54" s="481"/>
      <c r="C54" s="481"/>
      <c r="D54" s="481"/>
      <c r="F54" s="481"/>
      <c r="G54" s="481"/>
      <c r="I54" s="509"/>
      <c r="K54" s="817"/>
      <c r="L54" s="505"/>
      <c r="M54" s="505"/>
      <c r="U54" s="511"/>
      <c r="AC54" s="505"/>
      <c r="AD54" s="505"/>
      <c r="AE54" s="505"/>
      <c r="AF54" s="505"/>
      <c r="AG54" s="505"/>
      <c r="AH54" s="505"/>
      <c r="AI54" s="505"/>
      <c r="AJ54" s="505"/>
      <c r="AK54" s="505"/>
      <c r="AL54" s="505"/>
    </row>
    <row r="55" spans="1:38" ht="17.25" customHeight="1">
      <c r="A55" s="481"/>
      <c r="B55" s="524"/>
      <c r="C55" s="481"/>
      <c r="D55" s="524"/>
      <c r="E55" s="477"/>
      <c r="F55" s="476"/>
      <c r="G55" s="413"/>
      <c r="I55" s="509"/>
      <c r="K55" s="817"/>
      <c r="L55" s="505"/>
      <c r="M55" s="505"/>
      <c r="U55" s="511"/>
      <c r="AC55" s="505"/>
      <c r="AD55" s="505"/>
      <c r="AE55" s="505"/>
      <c r="AF55" s="505"/>
      <c r="AG55" s="505"/>
      <c r="AH55" s="505"/>
      <c r="AI55" s="505"/>
      <c r="AJ55" s="505"/>
      <c r="AK55" s="505"/>
      <c r="AL55" s="505"/>
    </row>
    <row r="56" spans="1:38" ht="17.25" customHeight="1">
      <c r="A56" s="321"/>
      <c r="B56" s="321"/>
      <c r="C56" s="321"/>
      <c r="D56" s="321"/>
      <c r="E56" s="321"/>
      <c r="F56" s="321"/>
      <c r="G56" s="321"/>
      <c r="I56" s="509"/>
      <c r="K56" s="817"/>
      <c r="L56" s="505"/>
      <c r="M56" s="505"/>
      <c r="U56" s="511"/>
      <c r="AC56" s="505"/>
      <c r="AD56" s="505"/>
      <c r="AE56" s="505"/>
      <c r="AF56" s="505"/>
      <c r="AG56" s="505"/>
      <c r="AH56" s="505"/>
      <c r="AI56" s="505"/>
      <c r="AJ56" s="505"/>
      <c r="AK56" s="505"/>
      <c r="AL56" s="505"/>
    </row>
    <row r="57" spans="1:38" ht="17.25" customHeight="1">
      <c r="A57" s="495"/>
      <c r="B57" s="495"/>
      <c r="C57" s="495"/>
      <c r="D57" s="495"/>
      <c r="E57" s="495"/>
      <c r="F57" s="495"/>
      <c r="G57" s="495"/>
      <c r="I57" s="509"/>
      <c r="K57" s="817"/>
      <c r="L57" s="505"/>
      <c r="M57" s="505"/>
      <c r="U57" s="511"/>
      <c r="AC57" s="505"/>
      <c r="AD57" s="505"/>
      <c r="AE57" s="505"/>
      <c r="AF57" s="505"/>
      <c r="AG57" s="505"/>
      <c r="AH57" s="505"/>
      <c r="AI57" s="505"/>
      <c r="AJ57" s="505"/>
      <c r="AK57" s="505"/>
      <c r="AL57" s="505"/>
    </row>
    <row r="58" spans="1:38" ht="17.25" customHeight="1">
      <c r="A58" s="525"/>
      <c r="B58" s="525"/>
      <c r="C58" s="496"/>
      <c r="D58" s="525"/>
      <c r="G58" s="496"/>
      <c r="I58" s="509"/>
      <c r="K58" s="817"/>
      <c r="L58" s="505"/>
      <c r="M58" s="505"/>
      <c r="U58" s="511"/>
      <c r="AC58" s="505"/>
      <c r="AD58" s="505"/>
      <c r="AE58" s="505"/>
      <c r="AF58" s="505"/>
      <c r="AG58" s="505"/>
      <c r="AH58" s="505"/>
      <c r="AI58" s="505"/>
      <c r="AJ58" s="505"/>
      <c r="AK58" s="505"/>
      <c r="AL58" s="505"/>
    </row>
    <row r="59" spans="1:38" ht="17.25" customHeight="1">
      <c r="A59" s="526"/>
      <c r="B59" s="525"/>
      <c r="C59" s="496"/>
      <c r="D59" s="525"/>
      <c r="F59" s="321"/>
      <c r="G59" s="496"/>
      <c r="I59" s="509"/>
      <c r="K59" s="817"/>
      <c r="L59" s="505"/>
      <c r="M59" s="505"/>
      <c r="U59" s="511"/>
      <c r="AC59" s="505"/>
      <c r="AD59" s="505"/>
      <c r="AE59" s="505"/>
      <c r="AF59" s="505"/>
      <c r="AG59" s="505"/>
      <c r="AH59" s="505"/>
      <c r="AI59" s="505"/>
      <c r="AJ59" s="505"/>
      <c r="AK59" s="505"/>
      <c r="AL59" s="505"/>
    </row>
    <row r="60" spans="1:38" ht="17.25" customHeight="1">
      <c r="C60" s="496"/>
      <c r="G60" s="496"/>
      <c r="I60" s="509"/>
      <c r="K60" s="817"/>
      <c r="L60" s="505"/>
      <c r="M60" s="505"/>
      <c r="U60" s="511"/>
    </row>
    <row r="61" spans="1:38" ht="17.25" customHeight="1">
      <c r="C61" s="496"/>
      <c r="D61" s="525"/>
      <c r="G61" s="496"/>
      <c r="I61" s="509"/>
      <c r="K61" s="817"/>
      <c r="L61" s="505"/>
      <c r="M61" s="505"/>
      <c r="U61" s="511"/>
    </row>
    <row r="62" spans="1:38" ht="17.25" customHeight="1">
      <c r="D62" s="525"/>
      <c r="G62" s="496"/>
      <c r="I62" s="509"/>
      <c r="K62" s="817"/>
      <c r="L62" s="505"/>
      <c r="M62" s="505"/>
      <c r="U62" s="511"/>
    </row>
    <row r="63" spans="1:38" ht="17.25" customHeight="1">
      <c r="D63" s="525"/>
      <c r="E63" s="506"/>
      <c r="F63" s="525"/>
      <c r="G63" s="527"/>
      <c r="I63" s="509"/>
      <c r="K63" s="817"/>
      <c r="L63" s="505"/>
      <c r="M63" s="505"/>
      <c r="U63" s="511"/>
    </row>
    <row r="64" spans="1:38" ht="17.25" customHeight="1">
      <c r="K64" s="817"/>
      <c r="L64" s="505"/>
      <c r="M64" s="505"/>
      <c r="N64" s="495"/>
      <c r="O64" s="495"/>
      <c r="P64" s="495"/>
      <c r="Q64" s="495"/>
      <c r="R64" s="495"/>
      <c r="S64" s="495"/>
      <c r="T64" s="495"/>
      <c r="U64" s="495"/>
      <c r="AD64" s="300"/>
      <c r="AE64" s="507"/>
      <c r="AF64" s="507"/>
      <c r="AG64" s="507"/>
      <c r="AH64" s="507"/>
      <c r="AI64" s="507"/>
      <c r="AJ64" s="300"/>
      <c r="AK64" s="508"/>
    </row>
    <row r="65" spans="1:37" ht="17.25" customHeight="1">
      <c r="A65" s="510"/>
      <c r="B65" s="510"/>
      <c r="C65" s="510"/>
      <c r="D65" s="510"/>
      <c r="E65" s="510"/>
      <c r="F65" s="510"/>
      <c r="G65" s="510"/>
      <c r="K65" s="817"/>
      <c r="L65" s="505"/>
      <c r="M65" s="505"/>
      <c r="N65" s="495"/>
      <c r="O65" s="495"/>
      <c r="P65" s="495"/>
      <c r="Q65" s="495"/>
      <c r="R65" s="495"/>
      <c r="S65" s="495"/>
      <c r="T65" s="495"/>
      <c r="U65" s="495"/>
      <c r="AD65" s="300"/>
      <c r="AE65" s="387"/>
      <c r="AF65" s="387"/>
      <c r="AG65" s="387"/>
      <c r="AH65" s="387"/>
      <c r="AI65" s="387"/>
      <c r="AJ65" s="300"/>
      <c r="AK65" s="508"/>
    </row>
    <row r="66" spans="1:37" ht="17.25" customHeight="1">
      <c r="A66" s="387"/>
      <c r="B66" s="387"/>
      <c r="C66" s="510"/>
      <c r="D66" s="510"/>
      <c r="E66" s="510"/>
      <c r="F66" s="510"/>
      <c r="G66" s="510"/>
      <c r="M66" s="495"/>
      <c r="N66" s="495"/>
      <c r="O66" s="495"/>
      <c r="P66" s="495"/>
      <c r="Q66" s="495"/>
      <c r="R66" s="495"/>
      <c r="S66" s="495"/>
      <c r="T66" s="495"/>
      <c r="U66" s="495"/>
      <c r="AD66" s="300"/>
      <c r="AE66" s="300"/>
      <c r="AF66" s="300"/>
      <c r="AG66" s="300"/>
      <c r="AH66" s="300"/>
      <c r="AI66" s="300"/>
      <c r="AJ66" s="300"/>
      <c r="AK66" s="408"/>
    </row>
    <row r="67" spans="1:37" ht="17.25" customHeight="1">
      <c r="A67" s="528"/>
      <c r="B67" s="529"/>
      <c r="C67" s="413"/>
      <c r="D67" s="413"/>
      <c r="E67" s="413"/>
      <c r="F67" s="413"/>
      <c r="G67" s="413"/>
      <c r="K67" s="818"/>
      <c r="AD67" s="512"/>
      <c r="AE67" s="300"/>
      <c r="AF67" s="513"/>
      <c r="AG67" s="513"/>
      <c r="AH67" s="508"/>
      <c r="AI67" s="300"/>
      <c r="AJ67" s="513"/>
      <c r="AK67" s="300"/>
    </row>
    <row r="68" spans="1:37" ht="17.25" customHeight="1">
      <c r="A68" s="528"/>
      <c r="B68" s="529"/>
      <c r="C68" s="413"/>
      <c r="D68" s="413"/>
      <c r="E68" s="413"/>
      <c r="F68" s="413"/>
      <c r="G68" s="413"/>
      <c r="AD68" s="512"/>
      <c r="AE68" s="514"/>
      <c r="AF68" s="513"/>
      <c r="AG68" s="513"/>
      <c r="AH68" s="508"/>
      <c r="AI68" s="300"/>
      <c r="AJ68" s="513"/>
      <c r="AK68" s="300"/>
    </row>
    <row r="69" spans="1:37" ht="17.25" customHeight="1">
      <c r="A69" s="528"/>
      <c r="B69" s="529"/>
      <c r="C69" s="413"/>
      <c r="D69" s="413"/>
      <c r="E69" s="413"/>
      <c r="F69" s="413"/>
      <c r="G69" s="413"/>
      <c r="AD69" s="512"/>
      <c r="AE69" s="514"/>
      <c r="AF69" s="513"/>
      <c r="AG69" s="513"/>
      <c r="AH69" s="508"/>
      <c r="AI69" s="300"/>
      <c r="AJ69" s="513"/>
      <c r="AK69" s="300"/>
    </row>
    <row r="70" spans="1:37" ht="17.25" customHeight="1">
      <c r="A70" s="528"/>
      <c r="B70" s="529"/>
      <c r="C70" s="413"/>
      <c r="D70" s="413"/>
      <c r="E70" s="413"/>
      <c r="F70" s="413"/>
      <c r="G70" s="413"/>
      <c r="J70" s="480"/>
      <c r="K70" s="810"/>
      <c r="L70" s="480"/>
      <c r="AD70" s="512"/>
      <c r="AE70" s="514"/>
      <c r="AF70" s="513"/>
      <c r="AG70" s="513"/>
      <c r="AH70" s="508"/>
      <c r="AI70" s="300"/>
      <c r="AJ70" s="513"/>
      <c r="AK70" s="300"/>
    </row>
    <row r="71" spans="1:37" ht="17.25" customHeight="1">
      <c r="A71" s="528"/>
      <c r="B71" s="529"/>
      <c r="C71" s="413"/>
      <c r="D71" s="413"/>
      <c r="E71" s="413"/>
      <c r="F71" s="413"/>
      <c r="G71" s="413"/>
      <c r="K71" s="810"/>
      <c r="L71" s="480"/>
      <c r="AD71" s="512"/>
      <c r="AE71" s="514"/>
      <c r="AF71" s="513"/>
      <c r="AG71" s="513"/>
      <c r="AH71" s="519"/>
      <c r="AI71" s="300"/>
      <c r="AJ71" s="513"/>
      <c r="AK71" s="300"/>
    </row>
    <row r="72" spans="1:37" ht="17.25" customHeight="1">
      <c r="A72" s="528"/>
      <c r="B72" s="529"/>
      <c r="C72" s="413"/>
      <c r="D72" s="413"/>
      <c r="E72" s="413"/>
      <c r="F72" s="413"/>
      <c r="G72" s="413"/>
      <c r="J72" s="480"/>
      <c r="K72" s="810"/>
      <c r="L72" s="480"/>
      <c r="AD72" s="512"/>
      <c r="AE72" s="514"/>
      <c r="AF72" s="513"/>
      <c r="AG72" s="513"/>
      <c r="AH72" s="519"/>
      <c r="AI72" s="300"/>
      <c r="AJ72" s="513"/>
      <c r="AK72" s="300"/>
    </row>
    <row r="73" spans="1:37" ht="17.25" customHeight="1">
      <c r="A73" s="528"/>
      <c r="B73" s="529"/>
      <c r="C73" s="413"/>
      <c r="D73" s="413"/>
      <c r="E73" s="413"/>
      <c r="F73" s="413"/>
      <c r="G73" s="413"/>
      <c r="J73" s="319"/>
      <c r="K73" s="810"/>
      <c r="L73" s="319"/>
      <c r="AD73" s="512"/>
      <c r="AE73" s="300"/>
      <c r="AF73" s="513"/>
      <c r="AG73" s="513"/>
      <c r="AH73" s="519"/>
      <c r="AI73" s="300"/>
      <c r="AJ73" s="513"/>
      <c r="AK73" s="300"/>
    </row>
    <row r="74" spans="1:37" ht="17.25" customHeight="1">
      <c r="A74" s="528"/>
      <c r="B74" s="529"/>
      <c r="C74" s="413"/>
      <c r="D74" s="413"/>
      <c r="E74" s="413"/>
      <c r="F74" s="413"/>
      <c r="G74" s="413"/>
      <c r="K74" s="819"/>
      <c r="L74" s="495"/>
      <c r="M74" s="495"/>
      <c r="N74" s="495"/>
      <c r="O74" s="495"/>
      <c r="P74" s="495"/>
      <c r="Q74" s="495"/>
      <c r="R74" s="495"/>
      <c r="S74" s="495"/>
      <c r="T74" s="495"/>
      <c r="U74" s="495"/>
      <c r="AD74" s="512"/>
      <c r="AE74" s="300"/>
      <c r="AF74" s="519"/>
      <c r="AG74" s="513"/>
      <c r="AH74" s="519"/>
      <c r="AI74" s="300"/>
      <c r="AJ74" s="513"/>
      <c r="AK74" s="300"/>
    </row>
    <row r="75" spans="1:37" ht="17.25" customHeight="1">
      <c r="A75" s="528"/>
      <c r="B75" s="529"/>
      <c r="C75" s="413"/>
      <c r="D75" s="413"/>
      <c r="E75" s="413"/>
      <c r="F75" s="413"/>
      <c r="G75" s="413"/>
      <c r="K75" s="819"/>
      <c r="L75" s="495"/>
      <c r="M75" s="495"/>
      <c r="N75" s="495"/>
      <c r="O75" s="495"/>
      <c r="P75" s="495"/>
      <c r="Q75" s="495"/>
      <c r="R75" s="495"/>
      <c r="S75" s="495"/>
      <c r="T75" s="495"/>
      <c r="U75" s="495"/>
      <c r="AD75" s="512"/>
      <c r="AE75" s="300"/>
      <c r="AF75" s="300"/>
      <c r="AG75" s="300"/>
      <c r="AH75" s="516"/>
      <c r="AI75" s="516"/>
      <c r="AJ75" s="514"/>
      <c r="AK75" s="517"/>
    </row>
    <row r="76" spans="1:37" ht="17.25" customHeight="1">
      <c r="A76" s="528"/>
      <c r="B76" s="529"/>
      <c r="C76" s="413"/>
      <c r="D76" s="413"/>
      <c r="E76" s="413"/>
      <c r="F76" s="413"/>
      <c r="G76" s="413"/>
      <c r="K76" s="819"/>
      <c r="L76" s="495"/>
      <c r="M76" s="495"/>
      <c r="N76" s="495"/>
      <c r="O76" s="495"/>
      <c r="P76" s="495"/>
      <c r="Q76" s="495"/>
      <c r="R76" s="495"/>
      <c r="S76" s="495"/>
      <c r="T76" s="495"/>
      <c r="U76" s="495"/>
      <c r="AD76" s="512"/>
      <c r="AE76" s="514"/>
      <c r="AF76" s="300"/>
      <c r="AG76" s="300"/>
      <c r="AH76" s="518"/>
      <c r="AI76" s="516"/>
      <c r="AJ76" s="519"/>
      <c r="AK76" s="300"/>
    </row>
    <row r="77" spans="1:37" ht="17.25" customHeight="1">
      <c r="A77" s="528"/>
      <c r="B77" s="529"/>
      <c r="C77" s="413"/>
      <c r="D77" s="413"/>
      <c r="E77" s="413"/>
      <c r="F77" s="413"/>
      <c r="G77" s="413"/>
      <c r="J77" s="530"/>
      <c r="K77" s="819"/>
      <c r="M77" s="495"/>
      <c r="N77" s="480"/>
      <c r="O77" s="480"/>
      <c r="P77" s="480"/>
      <c r="Q77" s="480"/>
      <c r="R77" s="480"/>
      <c r="S77" s="495"/>
      <c r="T77" s="495"/>
      <c r="U77" s="495"/>
      <c r="AD77" s="505"/>
      <c r="AE77" s="505"/>
      <c r="AF77" s="505"/>
      <c r="AG77" s="505"/>
      <c r="AH77" s="505"/>
      <c r="AI77" s="505"/>
      <c r="AJ77" s="505"/>
      <c r="AK77" s="505"/>
    </row>
    <row r="78" spans="1:37" ht="17.25" customHeight="1">
      <c r="A78" s="528"/>
      <c r="B78" s="529"/>
      <c r="C78" s="413"/>
      <c r="D78" s="413"/>
      <c r="E78" s="413"/>
      <c r="F78" s="413"/>
      <c r="G78" s="413"/>
      <c r="I78" s="480"/>
      <c r="J78" s="480"/>
      <c r="K78" s="810"/>
      <c r="L78" s="480"/>
      <c r="M78" s="480"/>
      <c r="N78" s="480"/>
      <c r="O78" s="480"/>
      <c r="P78" s="480"/>
      <c r="Q78" s="480"/>
      <c r="R78" s="480"/>
      <c r="S78" s="495"/>
      <c r="T78" s="495"/>
      <c r="U78" s="495"/>
      <c r="V78" s="495"/>
      <c r="W78" s="495"/>
      <c r="X78" s="495"/>
      <c r="Y78" s="495"/>
      <c r="Z78" s="495"/>
      <c r="AA78" s="495"/>
      <c r="AB78" s="495"/>
      <c r="AC78" s="495"/>
      <c r="AD78" s="495"/>
    </row>
    <row r="79" spans="1:37" ht="17.25" customHeight="1">
      <c r="B79" s="529"/>
      <c r="C79" s="413"/>
      <c r="D79" s="414"/>
      <c r="F79" s="495"/>
      <c r="G79" s="495"/>
      <c r="J79" s="480"/>
      <c r="K79" s="810"/>
      <c r="L79" s="480"/>
      <c r="M79" s="478"/>
      <c r="N79" s="478"/>
      <c r="O79" s="478"/>
      <c r="P79" s="478"/>
      <c r="Q79" s="478"/>
      <c r="R79" s="478"/>
      <c r="S79" s="495"/>
      <c r="T79" s="495"/>
      <c r="U79" s="495"/>
      <c r="V79" s="495"/>
      <c r="W79" s="495"/>
      <c r="X79" s="495"/>
      <c r="Y79" s="495"/>
      <c r="Z79" s="495"/>
      <c r="AA79" s="495"/>
      <c r="AB79" s="495"/>
      <c r="AC79" s="495"/>
      <c r="AD79" s="300"/>
      <c r="AE79" s="507"/>
      <c r="AF79" s="507"/>
      <c r="AG79" s="507"/>
      <c r="AH79" s="507"/>
      <c r="AI79" s="507"/>
      <c r="AJ79" s="300"/>
      <c r="AK79" s="508"/>
    </row>
    <row r="80" spans="1:37" ht="17.25" customHeight="1">
      <c r="A80" s="495"/>
      <c r="C80" s="476"/>
      <c r="D80" s="476"/>
      <c r="E80" s="476"/>
      <c r="F80" s="476"/>
      <c r="G80" s="505"/>
      <c r="I80" s="480"/>
      <c r="J80" s="480"/>
      <c r="K80" s="820"/>
      <c r="L80" s="531"/>
      <c r="M80" s="478"/>
      <c r="N80" s="478"/>
      <c r="O80" s="478"/>
      <c r="P80" s="478"/>
      <c r="Q80" s="478"/>
      <c r="R80" s="478"/>
      <c r="S80" s="495"/>
      <c r="T80" s="495"/>
      <c r="U80" s="495"/>
      <c r="V80" s="495"/>
      <c r="W80" s="495"/>
      <c r="X80" s="495"/>
      <c r="Y80" s="495"/>
      <c r="Z80" s="495"/>
      <c r="AA80" s="495"/>
      <c r="AB80" s="495"/>
      <c r="AC80" s="495"/>
      <c r="AD80" s="300"/>
      <c r="AE80" s="387"/>
      <c r="AF80" s="387"/>
      <c r="AG80" s="387"/>
      <c r="AH80" s="387"/>
      <c r="AI80" s="387"/>
      <c r="AJ80" s="300"/>
      <c r="AK80" s="508"/>
    </row>
    <row r="81" spans="1:37" ht="17.25" customHeight="1">
      <c r="C81" s="532"/>
      <c r="D81" s="532"/>
      <c r="E81" s="532"/>
      <c r="F81" s="532"/>
      <c r="G81" s="505"/>
      <c r="J81" s="480"/>
      <c r="K81" s="820"/>
      <c r="L81" s="531"/>
      <c r="M81" s="478"/>
      <c r="N81" s="478"/>
      <c r="O81" s="478"/>
      <c r="P81" s="478"/>
      <c r="Q81" s="478"/>
      <c r="R81" s="478"/>
      <c r="S81" s="495"/>
      <c r="T81" s="495"/>
      <c r="U81" s="495"/>
      <c r="V81" s="495"/>
      <c r="W81" s="495"/>
      <c r="X81" s="495"/>
      <c r="Y81" s="495"/>
      <c r="Z81" s="495"/>
      <c r="AA81" s="495"/>
      <c r="AB81" s="495"/>
      <c r="AC81" s="495"/>
      <c r="AD81" s="300"/>
      <c r="AE81" s="300"/>
      <c r="AF81" s="300"/>
      <c r="AG81" s="300"/>
      <c r="AH81" s="300"/>
      <c r="AI81" s="300"/>
      <c r="AJ81" s="300"/>
      <c r="AK81" s="408"/>
    </row>
    <row r="82" spans="1:37" ht="17.25" customHeight="1">
      <c r="C82" s="476"/>
      <c r="D82" s="476"/>
      <c r="E82" s="476"/>
      <c r="F82" s="476"/>
      <c r="G82" s="505"/>
      <c r="J82" s="480"/>
      <c r="K82" s="820"/>
      <c r="L82" s="531"/>
      <c r="M82" s="478"/>
      <c r="N82" s="478"/>
      <c r="O82" s="478"/>
      <c r="P82" s="478"/>
      <c r="Q82" s="478"/>
      <c r="R82" s="478"/>
      <c r="S82" s="495"/>
      <c r="T82" s="495"/>
      <c r="U82" s="495"/>
      <c r="V82" s="495"/>
      <c r="W82" s="495"/>
      <c r="X82" s="495"/>
      <c r="Y82" s="495"/>
      <c r="Z82" s="495"/>
      <c r="AA82" s="495"/>
      <c r="AB82" s="495"/>
      <c r="AC82" s="495"/>
      <c r="AD82" s="512"/>
      <c r="AE82" s="300"/>
      <c r="AF82" s="513"/>
      <c r="AG82" s="513"/>
      <c r="AH82" s="508"/>
      <c r="AI82" s="300"/>
      <c r="AJ82" s="513"/>
      <c r="AK82" s="300"/>
    </row>
    <row r="83" spans="1:37" ht="17.25" customHeight="1">
      <c r="C83" s="532"/>
      <c r="D83" s="532"/>
      <c r="E83" s="532"/>
      <c r="F83" s="532"/>
      <c r="G83" s="505"/>
      <c r="I83" s="480"/>
      <c r="J83" s="480"/>
      <c r="K83" s="810"/>
      <c r="L83" s="480"/>
      <c r="M83" s="480"/>
      <c r="N83" s="480"/>
      <c r="O83" s="480"/>
      <c r="P83" s="480"/>
      <c r="Q83" s="480"/>
      <c r="R83" s="480"/>
      <c r="S83" s="495"/>
      <c r="T83" s="495"/>
      <c r="U83" s="495"/>
      <c r="V83" s="495"/>
      <c r="W83" s="495"/>
      <c r="X83" s="495"/>
      <c r="Y83" s="495"/>
      <c r="Z83" s="495"/>
      <c r="AA83" s="495"/>
      <c r="AB83" s="495"/>
      <c r="AC83" s="495"/>
      <c r="AD83" s="512"/>
      <c r="AE83" s="514"/>
      <c r="AF83" s="513"/>
      <c r="AG83" s="513"/>
      <c r="AH83" s="508"/>
      <c r="AI83" s="300"/>
      <c r="AJ83" s="513"/>
      <c r="AK83" s="300"/>
    </row>
    <row r="84" spans="1:37" ht="17.25" customHeight="1">
      <c r="K84" s="819"/>
      <c r="M84" s="495"/>
      <c r="N84" s="495"/>
      <c r="O84" s="495"/>
      <c r="P84" s="495"/>
      <c r="Q84" s="495"/>
      <c r="R84" s="495"/>
      <c r="S84" s="495"/>
      <c r="T84" s="495"/>
      <c r="U84" s="495"/>
      <c r="V84" s="495"/>
      <c r="W84" s="495"/>
      <c r="X84" s="495"/>
      <c r="Y84" s="495"/>
      <c r="Z84" s="495"/>
      <c r="AA84" s="495"/>
      <c r="AB84" s="495"/>
      <c r="AC84" s="495"/>
      <c r="AD84" s="512"/>
      <c r="AE84" s="514"/>
      <c r="AF84" s="513"/>
      <c r="AG84" s="513"/>
      <c r="AH84" s="508"/>
      <c r="AI84" s="300"/>
      <c r="AJ84" s="513"/>
      <c r="AK84" s="300"/>
    </row>
    <row r="85" spans="1:37" ht="17.25" customHeight="1">
      <c r="A85" s="495"/>
      <c r="B85" s="510"/>
      <c r="C85" s="510"/>
      <c r="D85" s="510"/>
      <c r="E85" s="510"/>
      <c r="F85" s="510"/>
      <c r="G85" s="495"/>
      <c r="J85" s="480"/>
      <c r="K85" s="821"/>
      <c r="L85" s="478"/>
      <c r="M85" s="478"/>
      <c r="N85" s="478"/>
      <c r="O85" s="478"/>
      <c r="P85" s="478"/>
      <c r="Q85" s="478"/>
      <c r="R85" s="478"/>
      <c r="S85" s="495"/>
      <c r="T85" s="495"/>
      <c r="U85" s="495"/>
      <c r="V85" s="495"/>
      <c r="W85" s="495"/>
      <c r="X85" s="495"/>
      <c r="Y85" s="495"/>
      <c r="Z85" s="495"/>
      <c r="AA85" s="495"/>
      <c r="AB85" s="495"/>
      <c r="AC85" s="495"/>
      <c r="AD85" s="512"/>
      <c r="AE85" s="514"/>
      <c r="AF85" s="513"/>
      <c r="AG85" s="513"/>
      <c r="AH85" s="508"/>
      <c r="AI85" s="300"/>
      <c r="AJ85" s="513"/>
      <c r="AK85" s="300"/>
    </row>
    <row r="86" spans="1:37" ht="17.25" customHeight="1">
      <c r="A86" s="495"/>
      <c r="B86" s="533"/>
      <c r="C86" s="413"/>
      <c r="D86" s="533"/>
      <c r="E86" s="534"/>
      <c r="F86" s="495"/>
      <c r="I86" s="480"/>
      <c r="J86" s="480"/>
      <c r="K86" s="821"/>
      <c r="L86" s="478"/>
      <c r="M86" s="478"/>
      <c r="N86" s="478"/>
      <c r="O86" s="478"/>
      <c r="P86" s="478"/>
      <c r="Q86" s="478"/>
      <c r="R86" s="478"/>
      <c r="S86" s="495"/>
      <c r="T86" s="495"/>
      <c r="U86" s="495"/>
      <c r="V86" s="495"/>
      <c r="W86" s="495"/>
      <c r="X86" s="495"/>
      <c r="Y86" s="495"/>
      <c r="Z86" s="495"/>
      <c r="AA86" s="495"/>
      <c r="AB86" s="495"/>
      <c r="AC86" s="495"/>
      <c r="AD86" s="512"/>
      <c r="AE86" s="514"/>
      <c r="AF86" s="513"/>
      <c r="AG86" s="513"/>
      <c r="AH86" s="519"/>
      <c r="AI86" s="300"/>
      <c r="AJ86" s="513"/>
      <c r="AK86" s="300"/>
    </row>
    <row r="87" spans="1:37" ht="17.25" customHeight="1">
      <c r="A87" s="495"/>
      <c r="B87" s="533"/>
      <c r="C87" s="413"/>
      <c r="D87" s="533"/>
      <c r="E87" s="534"/>
      <c r="J87" s="480"/>
      <c r="K87" s="821"/>
      <c r="L87" s="478"/>
      <c r="M87" s="478"/>
      <c r="N87" s="478"/>
      <c r="O87" s="478"/>
      <c r="P87" s="478"/>
      <c r="Q87" s="478"/>
      <c r="R87" s="478"/>
      <c r="S87" s="495"/>
      <c r="T87" s="495"/>
      <c r="U87" s="495"/>
      <c r="V87" s="495"/>
      <c r="W87" s="495"/>
      <c r="X87" s="495"/>
      <c r="Y87" s="495"/>
      <c r="Z87" s="495"/>
      <c r="AA87" s="495"/>
      <c r="AB87" s="495"/>
      <c r="AC87" s="495"/>
      <c r="AD87" s="512"/>
      <c r="AE87" s="514"/>
      <c r="AF87" s="513"/>
      <c r="AG87" s="513"/>
      <c r="AH87" s="519"/>
      <c r="AI87" s="300"/>
      <c r="AJ87" s="513"/>
      <c r="AK87" s="300"/>
    </row>
    <row r="88" spans="1:37" ht="17.25" customHeight="1">
      <c r="A88" s="495"/>
      <c r="B88" s="533"/>
      <c r="C88" s="413"/>
      <c r="D88" s="533"/>
      <c r="E88" s="534"/>
      <c r="G88" s="495"/>
      <c r="J88" s="480"/>
      <c r="K88" s="821"/>
      <c r="L88" s="478"/>
      <c r="M88" s="478"/>
      <c r="N88" s="478"/>
      <c r="O88" s="478"/>
      <c r="P88" s="505"/>
      <c r="Q88" s="505"/>
      <c r="R88" s="505"/>
      <c r="S88" s="495"/>
      <c r="T88" s="495"/>
      <c r="U88" s="495"/>
      <c r="V88" s="495"/>
      <c r="W88" s="495"/>
      <c r="X88" s="495"/>
      <c r="Y88" s="495"/>
      <c r="Z88" s="495"/>
      <c r="AA88" s="495"/>
      <c r="AB88" s="495"/>
      <c r="AC88" s="495"/>
      <c r="AD88" s="512"/>
      <c r="AE88" s="300"/>
      <c r="AF88" s="513"/>
      <c r="AG88" s="513"/>
      <c r="AH88" s="519"/>
      <c r="AI88" s="300"/>
      <c r="AJ88" s="513"/>
      <c r="AK88" s="300"/>
    </row>
    <row r="89" spans="1:37" ht="17.25" customHeight="1">
      <c r="A89" s="495"/>
      <c r="B89" s="533"/>
      <c r="C89" s="413"/>
      <c r="D89" s="533"/>
      <c r="E89" s="534"/>
      <c r="F89" s="495"/>
      <c r="G89" s="495"/>
      <c r="K89" s="819"/>
      <c r="L89" s="495"/>
      <c r="M89" s="495"/>
      <c r="N89" s="495"/>
      <c r="O89" s="495"/>
      <c r="P89" s="495"/>
      <c r="Q89" s="495"/>
      <c r="R89" s="495"/>
      <c r="S89" s="495"/>
      <c r="T89" s="495"/>
      <c r="U89" s="495"/>
      <c r="V89" s="495"/>
      <c r="W89" s="495"/>
      <c r="X89" s="495"/>
      <c r="Y89" s="495"/>
      <c r="Z89" s="495"/>
      <c r="AA89" s="495"/>
      <c r="AB89" s="495"/>
      <c r="AC89" s="495"/>
      <c r="AD89" s="512"/>
      <c r="AE89" s="300"/>
      <c r="AF89" s="519"/>
      <c r="AG89" s="513"/>
      <c r="AH89" s="519"/>
      <c r="AI89" s="300"/>
      <c r="AJ89" s="513"/>
      <c r="AK89" s="300"/>
    </row>
    <row r="90" spans="1:37" ht="17.25" customHeight="1">
      <c r="A90" s="495"/>
      <c r="B90" s="533"/>
      <c r="C90" s="495"/>
      <c r="D90" s="495"/>
      <c r="E90" s="495"/>
      <c r="F90" s="495"/>
      <c r="G90" s="495"/>
      <c r="K90" s="819"/>
      <c r="L90" s="495"/>
      <c r="M90" s="495"/>
      <c r="N90" s="505"/>
      <c r="O90" s="505"/>
      <c r="P90" s="505"/>
      <c r="Q90" s="495"/>
      <c r="R90" s="495"/>
      <c r="S90" s="495"/>
      <c r="T90" s="495"/>
      <c r="U90" s="495"/>
      <c r="V90" s="495"/>
      <c r="W90" s="495"/>
      <c r="X90" s="495"/>
      <c r="Y90" s="495"/>
      <c r="Z90" s="495"/>
      <c r="AA90" s="495"/>
      <c r="AB90" s="495"/>
      <c r="AC90" s="495"/>
      <c r="AD90" s="512"/>
      <c r="AE90" s="300"/>
      <c r="AF90" s="514"/>
      <c r="AG90" s="513"/>
      <c r="AH90" s="519"/>
      <c r="AI90" s="300"/>
      <c r="AJ90" s="514"/>
      <c r="AK90" s="300"/>
    </row>
    <row r="91" spans="1:37" ht="17.25" customHeight="1">
      <c r="A91" s="495"/>
      <c r="B91" s="495"/>
      <c r="C91" s="495"/>
      <c r="D91" s="495"/>
      <c r="E91" s="495"/>
      <c r="F91" s="495"/>
      <c r="G91" s="495"/>
      <c r="K91" s="819"/>
      <c r="L91" s="495"/>
      <c r="M91" s="495"/>
      <c r="N91" s="505"/>
      <c r="O91" s="505"/>
      <c r="P91" s="505"/>
      <c r="Q91" s="495"/>
      <c r="R91" s="495"/>
      <c r="S91" s="495"/>
      <c r="T91" s="495"/>
      <c r="U91" s="495"/>
      <c r="V91" s="495"/>
      <c r="W91" s="495"/>
      <c r="X91" s="495"/>
      <c r="Y91" s="495"/>
      <c r="Z91" s="495"/>
      <c r="AA91" s="495"/>
      <c r="AB91" s="495"/>
      <c r="AC91" s="495"/>
      <c r="AD91" s="512"/>
      <c r="AE91" s="300"/>
      <c r="AF91" s="300"/>
      <c r="AG91" s="300"/>
      <c r="AH91" s="516"/>
      <c r="AI91" s="516"/>
      <c r="AJ91" s="514"/>
      <c r="AK91" s="517"/>
    </row>
    <row r="92" spans="1:37" ht="17.25" customHeight="1">
      <c r="K92" s="819"/>
      <c r="L92" s="495"/>
      <c r="M92" s="495"/>
      <c r="N92" s="505"/>
      <c r="O92" s="505"/>
      <c r="P92" s="505"/>
      <c r="Q92" s="495"/>
      <c r="R92" s="495"/>
      <c r="S92" s="495"/>
      <c r="T92" s="495"/>
      <c r="U92" s="495"/>
      <c r="V92" s="495"/>
      <c r="W92" s="495"/>
      <c r="X92" s="495"/>
      <c r="Y92" s="495"/>
      <c r="Z92" s="495"/>
      <c r="AA92" s="495"/>
      <c r="AB92" s="495"/>
      <c r="AC92" s="495"/>
      <c r="AD92" s="512"/>
      <c r="AE92" s="514"/>
      <c r="AF92" s="300"/>
      <c r="AG92" s="300"/>
      <c r="AH92" s="518"/>
      <c r="AI92" s="516"/>
      <c r="AJ92" s="519"/>
      <c r="AK92" s="300"/>
    </row>
    <row r="93" spans="1:37" ht="17.25" customHeight="1">
      <c r="K93" s="819"/>
      <c r="L93" s="495"/>
      <c r="M93" s="495"/>
      <c r="N93" s="505"/>
      <c r="O93" s="505"/>
      <c r="P93" s="505"/>
      <c r="Q93" s="495"/>
      <c r="R93" s="495"/>
      <c r="S93" s="495"/>
      <c r="T93" s="495"/>
      <c r="U93" s="495"/>
      <c r="V93" s="495"/>
      <c r="W93" s="495"/>
      <c r="X93" s="495"/>
      <c r="Y93" s="495"/>
      <c r="Z93" s="495"/>
      <c r="AA93" s="495"/>
      <c r="AB93" s="495"/>
      <c r="AC93" s="495"/>
      <c r="AD93" s="495"/>
    </row>
    <row r="94" spans="1:37" ht="17.25" customHeight="1">
      <c r="K94" s="819"/>
      <c r="L94" s="495"/>
      <c r="M94" s="495"/>
      <c r="N94" s="505"/>
      <c r="O94" s="505"/>
      <c r="P94" s="505"/>
      <c r="Q94" s="495"/>
      <c r="R94" s="495"/>
      <c r="S94" s="495"/>
      <c r="T94" s="495"/>
      <c r="U94" s="495"/>
      <c r="V94" s="495"/>
      <c r="W94" s="495"/>
      <c r="X94" s="495"/>
      <c r="Y94" s="495"/>
      <c r="Z94" s="495"/>
      <c r="AA94" s="495"/>
      <c r="AB94" s="495"/>
      <c r="AC94" s="495"/>
      <c r="AD94" s="495"/>
    </row>
    <row r="95" spans="1:37" ht="17.25" customHeight="1">
      <c r="K95" s="819"/>
      <c r="L95" s="495"/>
      <c r="M95" s="495"/>
      <c r="N95" s="505"/>
      <c r="O95" s="505"/>
      <c r="P95" s="505"/>
      <c r="Q95" s="495"/>
      <c r="R95" s="495"/>
      <c r="S95" s="495"/>
      <c r="T95" s="495"/>
      <c r="U95" s="495"/>
      <c r="V95" s="495"/>
      <c r="W95" s="495"/>
      <c r="X95" s="495"/>
      <c r="Y95" s="495"/>
      <c r="Z95" s="495"/>
      <c r="AA95" s="495"/>
      <c r="AB95" s="495"/>
      <c r="AC95" s="495"/>
      <c r="AD95" s="495"/>
    </row>
    <row r="96" spans="1:37" ht="17.25" customHeight="1">
      <c r="K96" s="819"/>
      <c r="L96" s="495"/>
      <c r="M96" s="495"/>
      <c r="N96" s="505"/>
      <c r="O96" s="505"/>
      <c r="P96" s="505"/>
      <c r="Q96" s="495"/>
      <c r="R96" s="495"/>
      <c r="S96" s="495"/>
      <c r="T96" s="495"/>
      <c r="U96" s="495"/>
      <c r="V96" s="495"/>
      <c r="W96" s="495"/>
      <c r="X96" s="495"/>
      <c r="Y96" s="495"/>
      <c r="Z96" s="495"/>
      <c r="AA96" s="495"/>
      <c r="AB96" s="495"/>
      <c r="AC96" s="495"/>
      <c r="AD96" s="495"/>
    </row>
    <row r="97" spans="1:30" ht="17.25" customHeight="1">
      <c r="A97" s="321"/>
      <c r="B97" s="321"/>
      <c r="C97" s="321"/>
      <c r="D97" s="321"/>
      <c r="E97" s="321"/>
      <c r="F97" s="321"/>
      <c r="G97" s="321"/>
      <c r="K97" s="819"/>
      <c r="L97" s="495"/>
      <c r="M97" s="495"/>
      <c r="N97" s="505"/>
      <c r="O97" s="505"/>
      <c r="P97" s="505"/>
      <c r="Q97" s="495"/>
      <c r="R97" s="495"/>
      <c r="S97" s="495"/>
      <c r="T97" s="495"/>
      <c r="U97" s="495"/>
      <c r="V97" s="495"/>
      <c r="W97" s="495"/>
      <c r="X97" s="495"/>
      <c r="Y97" s="495"/>
      <c r="Z97" s="495"/>
      <c r="AA97" s="495"/>
      <c r="AB97" s="495"/>
      <c r="AC97" s="495"/>
      <c r="AD97" s="495"/>
    </row>
    <row r="98" spans="1:30" ht="17.25" customHeight="1">
      <c r="D98" s="495"/>
      <c r="E98" s="495"/>
      <c r="F98" s="495"/>
      <c r="G98" s="495"/>
      <c r="K98" s="819"/>
      <c r="L98" s="495"/>
      <c r="M98" s="495"/>
      <c r="N98" s="505"/>
      <c r="O98" s="505"/>
      <c r="P98" s="505"/>
      <c r="Q98" s="495"/>
      <c r="R98" s="495"/>
      <c r="S98" s="495"/>
      <c r="T98" s="495"/>
      <c r="U98" s="495"/>
      <c r="V98" s="495"/>
      <c r="W98" s="495"/>
      <c r="X98" s="495"/>
      <c r="Y98" s="495"/>
      <c r="Z98" s="495"/>
      <c r="AA98" s="495"/>
      <c r="AB98" s="495"/>
      <c r="AC98" s="495"/>
      <c r="AD98" s="495"/>
    </row>
    <row r="99" spans="1:30" ht="17.25" customHeight="1">
      <c r="C99" s="421"/>
      <c r="D99" s="525"/>
      <c r="G99" s="492"/>
      <c r="K99" s="819"/>
      <c r="L99" s="495"/>
      <c r="M99" s="495"/>
      <c r="N99" s="505"/>
      <c r="O99" s="505"/>
      <c r="P99" s="505"/>
      <c r="Q99" s="495"/>
      <c r="R99" s="495"/>
      <c r="S99" s="495"/>
      <c r="T99" s="495"/>
      <c r="U99" s="495"/>
      <c r="V99" s="495"/>
      <c r="W99" s="495"/>
      <c r="X99" s="495"/>
      <c r="Y99" s="495"/>
      <c r="Z99" s="495"/>
      <c r="AA99" s="495"/>
      <c r="AB99" s="495"/>
      <c r="AC99" s="495"/>
      <c r="AD99" s="495"/>
    </row>
    <row r="100" spans="1:30" ht="17.25" customHeight="1">
      <c r="C100" s="421"/>
      <c r="D100" s="525"/>
      <c r="F100" s="321"/>
      <c r="G100" s="492"/>
      <c r="K100" s="819"/>
      <c r="L100" s="495"/>
      <c r="M100" s="495"/>
      <c r="N100" s="505"/>
      <c r="O100" s="505"/>
      <c r="P100" s="505"/>
      <c r="Q100" s="495"/>
      <c r="R100" s="495"/>
      <c r="S100" s="495"/>
      <c r="T100" s="495"/>
      <c r="U100" s="495"/>
      <c r="V100" s="495"/>
      <c r="W100" s="495"/>
      <c r="X100" s="495"/>
      <c r="Y100" s="495"/>
      <c r="Z100" s="495"/>
      <c r="AA100" s="495"/>
      <c r="AB100" s="495"/>
      <c r="AC100" s="495"/>
      <c r="AD100" s="495"/>
    </row>
    <row r="101" spans="1:30" ht="17.25" customHeight="1">
      <c r="C101" s="421"/>
      <c r="E101" s="506"/>
      <c r="F101" s="525"/>
      <c r="G101" s="493"/>
      <c r="K101" s="819"/>
      <c r="L101" s="495"/>
      <c r="M101" s="495"/>
      <c r="N101" s="505"/>
      <c r="O101" s="505"/>
      <c r="P101" s="505"/>
      <c r="Q101" s="495"/>
      <c r="R101" s="495"/>
      <c r="S101" s="495"/>
      <c r="T101" s="495"/>
      <c r="U101" s="495"/>
      <c r="V101" s="495"/>
      <c r="W101" s="495"/>
      <c r="X101" s="495"/>
      <c r="Y101" s="495"/>
      <c r="Z101" s="495"/>
      <c r="AA101" s="495"/>
      <c r="AB101" s="495"/>
      <c r="AC101" s="495"/>
      <c r="AD101" s="495"/>
    </row>
    <row r="102" spans="1:30" ht="17.25" customHeight="1">
      <c r="D102" s="525"/>
      <c r="E102" s="505"/>
      <c r="F102" s="505"/>
      <c r="G102" s="505"/>
      <c r="K102" s="819"/>
      <c r="L102" s="495"/>
      <c r="M102" s="495"/>
      <c r="N102" s="495"/>
      <c r="O102" s="495"/>
      <c r="P102" s="495"/>
      <c r="Q102" s="495"/>
      <c r="R102" s="495"/>
      <c r="S102" s="495"/>
      <c r="T102" s="495"/>
      <c r="U102" s="495"/>
      <c r="V102" s="495"/>
      <c r="W102" s="495"/>
      <c r="X102" s="495"/>
      <c r="Y102" s="495"/>
      <c r="Z102" s="495"/>
      <c r="AA102" s="495"/>
      <c r="AB102" s="495"/>
      <c r="AC102" s="495"/>
      <c r="AD102" s="495"/>
    </row>
    <row r="103" spans="1:30" ht="17.25" customHeight="1">
      <c r="A103" s="387"/>
      <c r="B103" s="387"/>
      <c r="C103" s="387"/>
      <c r="D103" s="387"/>
      <c r="E103" s="387"/>
      <c r="F103" s="387"/>
      <c r="G103" s="387"/>
      <c r="K103" s="819"/>
      <c r="L103" s="495"/>
      <c r="M103" s="495"/>
      <c r="N103" s="495"/>
      <c r="O103" s="495"/>
      <c r="P103" s="495"/>
      <c r="Q103" s="495"/>
      <c r="R103" s="495"/>
      <c r="S103" s="495"/>
      <c r="T103" s="495"/>
      <c r="U103" s="495"/>
      <c r="V103" s="495"/>
      <c r="W103" s="495"/>
      <c r="X103" s="495"/>
      <c r="Y103" s="495"/>
      <c r="Z103" s="495"/>
      <c r="AA103" s="495"/>
      <c r="AB103" s="495"/>
      <c r="AC103" s="495"/>
      <c r="AD103" s="495"/>
    </row>
    <row r="104" spans="1:30" ht="17.25" customHeight="1">
      <c r="B104" s="387"/>
      <c r="C104" s="387"/>
      <c r="D104" s="535"/>
      <c r="E104" s="535"/>
      <c r="F104" s="505"/>
      <c r="G104" s="505"/>
      <c r="K104" s="819"/>
      <c r="L104" s="495"/>
      <c r="M104" s="495"/>
      <c r="N104" s="495"/>
      <c r="O104" s="495"/>
      <c r="P104" s="495"/>
      <c r="Q104" s="495"/>
      <c r="R104" s="495"/>
      <c r="S104" s="495"/>
      <c r="T104" s="495"/>
      <c r="U104" s="495"/>
      <c r="V104" s="495"/>
      <c r="W104" s="495"/>
      <c r="X104" s="495"/>
      <c r="Y104" s="495"/>
      <c r="Z104" s="495"/>
      <c r="AA104" s="495"/>
      <c r="AB104" s="495"/>
      <c r="AC104" s="495"/>
      <c r="AD104" s="495"/>
    </row>
    <row r="105" spans="1:30" ht="17.25" customHeight="1">
      <c r="A105" s="495"/>
      <c r="B105" s="536"/>
      <c r="C105" s="536"/>
      <c r="D105" s="536"/>
      <c r="E105" s="422"/>
      <c r="F105" s="495"/>
      <c r="G105" s="495"/>
      <c r="K105" s="819"/>
      <c r="L105" s="495"/>
      <c r="M105" s="495"/>
      <c r="N105" s="495"/>
      <c r="O105" s="495"/>
      <c r="P105" s="495"/>
      <c r="Q105" s="495"/>
      <c r="R105" s="495"/>
      <c r="S105" s="495"/>
      <c r="T105" s="495"/>
      <c r="U105" s="495"/>
      <c r="V105" s="495"/>
      <c r="W105" s="495"/>
      <c r="X105" s="495"/>
      <c r="Y105" s="495"/>
      <c r="Z105" s="495"/>
      <c r="AA105" s="495"/>
      <c r="AB105" s="495"/>
      <c r="AC105" s="495"/>
      <c r="AD105" s="495"/>
    </row>
    <row r="106" spans="1:30" ht="17.25" customHeight="1">
      <c r="K106" s="819"/>
      <c r="L106" s="495"/>
      <c r="M106" s="495"/>
      <c r="N106" s="495"/>
      <c r="O106" s="495"/>
      <c r="P106" s="495"/>
      <c r="Q106" s="495"/>
      <c r="R106" s="495"/>
      <c r="S106" s="495"/>
      <c r="T106" s="495"/>
      <c r="U106" s="495"/>
      <c r="V106" s="495"/>
      <c r="W106" s="495"/>
      <c r="X106" s="495"/>
      <c r="Y106" s="495"/>
      <c r="Z106" s="495"/>
      <c r="AA106" s="495"/>
      <c r="AB106" s="495"/>
      <c r="AC106" s="495"/>
      <c r="AD106" s="495"/>
    </row>
    <row r="107" spans="1:30" ht="17.25" customHeight="1">
      <c r="K107" s="819"/>
      <c r="L107" s="495"/>
      <c r="M107" s="495"/>
      <c r="N107" s="495"/>
      <c r="O107" s="495"/>
      <c r="P107" s="495"/>
      <c r="Q107" s="495"/>
      <c r="R107" s="495"/>
      <c r="S107" s="495"/>
      <c r="T107" s="495"/>
      <c r="U107" s="495"/>
      <c r="V107" s="495"/>
      <c r="W107" s="495"/>
      <c r="X107" s="495"/>
      <c r="Y107" s="495"/>
      <c r="Z107" s="495"/>
      <c r="AA107" s="495"/>
      <c r="AB107" s="495"/>
      <c r="AC107" s="495"/>
      <c r="AD107" s="495"/>
    </row>
    <row r="108" spans="1:30" ht="17.25" customHeight="1">
      <c r="A108" s="495"/>
      <c r="B108" s="495"/>
      <c r="C108" s="495"/>
      <c r="D108" s="495"/>
      <c r="E108" s="495"/>
      <c r="F108" s="495"/>
      <c r="G108" s="495"/>
      <c r="K108" s="819"/>
      <c r="L108" s="495"/>
      <c r="M108" s="495"/>
      <c r="N108" s="495"/>
      <c r="O108" s="495"/>
      <c r="P108" s="495"/>
      <c r="Q108" s="495"/>
      <c r="R108" s="495"/>
      <c r="S108" s="495"/>
      <c r="T108" s="495"/>
      <c r="U108" s="495"/>
      <c r="V108" s="495"/>
      <c r="W108" s="495"/>
      <c r="X108" s="495"/>
      <c r="Y108" s="495"/>
      <c r="Z108" s="495"/>
      <c r="AA108" s="495"/>
      <c r="AB108" s="495"/>
      <c r="AC108" s="495"/>
      <c r="AD108" s="495"/>
    </row>
    <row r="109" spans="1:30" ht="17.25" customHeight="1">
      <c r="A109" s="495"/>
      <c r="B109" s="495"/>
      <c r="C109" s="495"/>
      <c r="D109" s="495"/>
      <c r="E109" s="495"/>
      <c r="F109" s="495"/>
      <c r="G109" s="495"/>
      <c r="K109" s="819"/>
      <c r="L109" s="495"/>
      <c r="M109" s="495"/>
      <c r="N109" s="495"/>
      <c r="O109" s="495"/>
      <c r="P109" s="495"/>
      <c r="Q109" s="495"/>
      <c r="R109" s="495"/>
      <c r="S109" s="495"/>
      <c r="T109" s="495"/>
      <c r="U109" s="495"/>
      <c r="V109" s="495"/>
      <c r="W109" s="495"/>
      <c r="X109" s="495"/>
      <c r="Y109" s="495"/>
      <c r="Z109" s="495"/>
      <c r="AA109" s="495"/>
      <c r="AB109" s="495"/>
      <c r="AC109" s="495"/>
      <c r="AD109" s="495"/>
    </row>
    <row r="110" spans="1:30" ht="17.25" customHeight="1">
      <c r="A110" s="495"/>
      <c r="B110" s="495"/>
      <c r="C110" s="495"/>
      <c r="D110" s="495"/>
      <c r="E110" s="495"/>
      <c r="F110" s="495"/>
      <c r="G110" s="495"/>
      <c r="K110" s="819"/>
      <c r="L110" s="495"/>
      <c r="M110" s="495"/>
      <c r="N110" s="495"/>
      <c r="O110" s="495"/>
      <c r="P110" s="495"/>
      <c r="Q110" s="495"/>
      <c r="R110" s="495"/>
      <c r="S110" s="495"/>
      <c r="T110" s="495"/>
      <c r="U110" s="495"/>
      <c r="V110" s="495"/>
      <c r="W110" s="495"/>
      <c r="X110" s="495"/>
      <c r="Y110" s="495"/>
      <c r="Z110" s="495"/>
      <c r="AA110" s="495"/>
      <c r="AB110" s="495"/>
      <c r="AC110" s="495"/>
      <c r="AD110" s="495"/>
    </row>
    <row r="111" spans="1:30" ht="17.25" customHeight="1">
      <c r="A111" s="495"/>
      <c r="B111" s="495"/>
      <c r="C111" s="495"/>
      <c r="D111" s="495"/>
      <c r="E111" s="495"/>
      <c r="F111" s="495"/>
      <c r="G111" s="495"/>
      <c r="K111" s="819"/>
      <c r="L111" s="495"/>
      <c r="M111" s="495"/>
      <c r="N111" s="495"/>
      <c r="O111" s="495"/>
      <c r="P111" s="495"/>
      <c r="Q111" s="495"/>
      <c r="R111" s="495"/>
      <c r="S111" s="495"/>
      <c r="T111" s="495"/>
      <c r="U111" s="495"/>
      <c r="V111" s="495"/>
      <c r="W111" s="495"/>
      <c r="X111" s="495"/>
      <c r="Y111" s="495"/>
      <c r="Z111" s="495"/>
      <c r="AA111" s="495"/>
      <c r="AB111" s="495"/>
      <c r="AC111" s="495"/>
      <c r="AD111" s="495"/>
    </row>
    <row r="112" spans="1:30" ht="17.25" customHeight="1">
      <c r="A112" s="495"/>
      <c r="B112" s="495"/>
      <c r="C112" s="495"/>
      <c r="D112" s="495"/>
      <c r="E112" s="495"/>
      <c r="F112" s="495"/>
      <c r="G112" s="495"/>
      <c r="K112" s="819"/>
      <c r="L112" s="495"/>
      <c r="M112" s="495"/>
      <c r="N112" s="495"/>
      <c r="O112" s="495"/>
      <c r="P112" s="495"/>
      <c r="Q112" s="495"/>
      <c r="R112" s="495"/>
      <c r="S112" s="495"/>
      <c r="T112" s="495"/>
      <c r="U112" s="495"/>
      <c r="V112" s="495"/>
      <c r="W112" s="495"/>
      <c r="X112" s="495"/>
      <c r="Y112" s="495"/>
      <c r="Z112" s="495"/>
      <c r="AA112" s="495"/>
      <c r="AB112" s="495"/>
      <c r="AC112" s="495"/>
      <c r="AD112" s="495"/>
    </row>
    <row r="113" spans="1:30" ht="17.25" customHeight="1">
      <c r="A113" s="495"/>
      <c r="B113" s="495"/>
      <c r="C113" s="495"/>
      <c r="D113" s="495"/>
      <c r="E113" s="495"/>
      <c r="F113" s="495"/>
      <c r="G113" s="495"/>
      <c r="K113" s="819"/>
      <c r="L113" s="495"/>
      <c r="M113" s="495"/>
      <c r="N113" s="495"/>
      <c r="O113" s="495"/>
      <c r="P113" s="495"/>
      <c r="Q113" s="495"/>
      <c r="R113" s="495"/>
      <c r="S113" s="495"/>
      <c r="T113" s="495"/>
      <c r="U113" s="495"/>
      <c r="V113" s="495"/>
      <c r="W113" s="495"/>
      <c r="X113" s="495"/>
      <c r="Y113" s="495"/>
      <c r="Z113" s="495"/>
      <c r="AA113" s="495"/>
      <c r="AB113" s="495"/>
      <c r="AC113" s="495"/>
      <c r="AD113" s="495"/>
    </row>
    <row r="114" spans="1:30" ht="17.25" customHeight="1">
      <c r="A114" s="495"/>
      <c r="B114" s="495"/>
      <c r="C114" s="495"/>
      <c r="D114" s="495"/>
      <c r="E114" s="495"/>
      <c r="F114" s="495"/>
      <c r="G114" s="495"/>
      <c r="K114" s="819"/>
      <c r="L114" s="495"/>
      <c r="M114" s="495"/>
      <c r="N114" s="495"/>
      <c r="O114" s="495"/>
      <c r="P114" s="495"/>
      <c r="Q114" s="495"/>
      <c r="R114" s="495"/>
      <c r="S114" s="495"/>
      <c r="T114" s="495"/>
      <c r="U114" s="495"/>
      <c r="V114" s="495"/>
      <c r="W114" s="495"/>
      <c r="X114" s="495"/>
      <c r="Y114" s="495"/>
      <c r="Z114" s="495"/>
      <c r="AA114" s="495"/>
      <c r="AB114" s="495"/>
      <c r="AC114" s="495"/>
      <c r="AD114" s="495"/>
    </row>
    <row r="115" spans="1:30" ht="17.25" customHeight="1">
      <c r="A115" s="495"/>
      <c r="B115" s="495"/>
      <c r="C115" s="495"/>
      <c r="D115" s="495"/>
      <c r="E115" s="495"/>
      <c r="F115" s="495"/>
      <c r="G115" s="495"/>
      <c r="K115" s="819"/>
      <c r="L115" s="495"/>
      <c r="M115" s="495"/>
      <c r="N115" s="495"/>
      <c r="O115" s="495"/>
      <c r="P115" s="495"/>
      <c r="Q115" s="495"/>
      <c r="R115" s="495"/>
      <c r="S115" s="495"/>
      <c r="T115" s="495"/>
      <c r="U115" s="495"/>
      <c r="V115" s="495"/>
      <c r="W115" s="495"/>
      <c r="X115" s="495"/>
      <c r="Y115" s="495"/>
      <c r="Z115" s="495"/>
      <c r="AA115" s="495"/>
      <c r="AB115" s="495"/>
      <c r="AC115" s="495"/>
      <c r="AD115" s="495"/>
    </row>
    <row r="116" spans="1:30" ht="17.25" customHeight="1">
      <c r="A116" s="495"/>
      <c r="B116" s="495"/>
      <c r="C116" s="495"/>
      <c r="D116" s="495"/>
      <c r="E116" s="495"/>
      <c r="F116" s="495"/>
      <c r="G116" s="495"/>
      <c r="K116" s="819"/>
      <c r="L116" s="495"/>
      <c r="M116" s="495"/>
      <c r="N116" s="495"/>
      <c r="O116" s="495"/>
      <c r="P116" s="495"/>
      <c r="Q116" s="495"/>
      <c r="R116" s="495"/>
      <c r="S116" s="495"/>
      <c r="T116" s="495"/>
      <c r="U116" s="495"/>
      <c r="V116" s="495"/>
      <c r="W116" s="495"/>
      <c r="X116" s="495"/>
      <c r="Y116" s="495"/>
      <c r="Z116" s="495"/>
      <c r="AA116" s="495"/>
      <c r="AB116" s="495"/>
      <c r="AC116" s="495"/>
      <c r="AD116" s="495"/>
    </row>
    <row r="117" spans="1:30" ht="17.25" customHeight="1">
      <c r="A117" s="495"/>
      <c r="B117" s="495"/>
      <c r="C117" s="495"/>
      <c r="D117" s="495"/>
      <c r="E117" s="495"/>
      <c r="F117" s="495"/>
      <c r="G117" s="495"/>
      <c r="K117" s="819"/>
      <c r="L117" s="495"/>
      <c r="M117" s="495"/>
      <c r="N117" s="495"/>
      <c r="O117" s="495"/>
      <c r="P117" s="495"/>
      <c r="Q117" s="495"/>
      <c r="R117" s="495"/>
      <c r="S117" s="495"/>
      <c r="T117" s="495"/>
      <c r="U117" s="495"/>
      <c r="V117" s="495"/>
      <c r="W117" s="495"/>
      <c r="X117" s="495"/>
      <c r="Y117" s="495"/>
      <c r="Z117" s="495"/>
      <c r="AA117" s="495"/>
      <c r="AB117" s="495"/>
      <c r="AC117" s="495"/>
      <c r="AD117" s="495"/>
    </row>
    <row r="118" spans="1:30" ht="17.25" customHeight="1">
      <c r="A118" s="495"/>
      <c r="B118" s="495"/>
      <c r="C118" s="495"/>
      <c r="D118" s="495"/>
      <c r="E118" s="495"/>
      <c r="F118" s="495"/>
      <c r="G118" s="495"/>
      <c r="K118" s="819"/>
      <c r="L118" s="495"/>
      <c r="M118" s="495"/>
      <c r="N118" s="495"/>
      <c r="O118" s="495"/>
      <c r="P118" s="495"/>
      <c r="Q118" s="495"/>
      <c r="R118" s="495"/>
      <c r="S118" s="495"/>
      <c r="T118" s="495"/>
      <c r="U118" s="495"/>
      <c r="V118" s="495"/>
      <c r="W118" s="495"/>
      <c r="X118" s="495"/>
      <c r="Y118" s="495"/>
      <c r="Z118" s="495"/>
      <c r="AA118" s="495"/>
      <c r="AB118" s="495"/>
      <c r="AC118" s="495"/>
      <c r="AD118" s="495"/>
    </row>
    <row r="119" spans="1:30" ht="17.25" customHeight="1">
      <c r="A119" s="495"/>
      <c r="B119" s="495"/>
      <c r="C119" s="495"/>
      <c r="D119" s="495"/>
      <c r="E119" s="495"/>
      <c r="F119" s="495"/>
      <c r="G119" s="495"/>
      <c r="K119" s="819"/>
      <c r="L119" s="495"/>
      <c r="M119" s="495"/>
      <c r="N119" s="495"/>
      <c r="O119" s="495"/>
      <c r="P119" s="495"/>
      <c r="Q119" s="495"/>
      <c r="R119" s="495"/>
      <c r="S119" s="495"/>
      <c r="T119" s="495"/>
      <c r="U119" s="495"/>
      <c r="V119" s="495"/>
      <c r="W119" s="495"/>
      <c r="X119" s="495"/>
      <c r="Y119" s="495"/>
      <c r="Z119" s="495"/>
      <c r="AA119" s="495"/>
      <c r="AB119" s="495"/>
      <c r="AC119" s="495"/>
      <c r="AD119" s="495"/>
    </row>
    <row r="120" spans="1:30" ht="17.25" customHeight="1">
      <c r="A120" s="495"/>
      <c r="B120" s="495"/>
      <c r="C120" s="495"/>
      <c r="D120" s="495"/>
      <c r="E120" s="495"/>
      <c r="F120" s="495"/>
      <c r="G120" s="495"/>
      <c r="K120" s="819"/>
      <c r="L120" s="495"/>
      <c r="M120" s="495"/>
      <c r="N120" s="495"/>
      <c r="O120" s="495"/>
      <c r="P120" s="495"/>
      <c r="Q120" s="495"/>
      <c r="R120" s="495"/>
      <c r="S120" s="495"/>
      <c r="T120" s="495"/>
      <c r="U120" s="495"/>
      <c r="V120" s="495"/>
      <c r="W120" s="495"/>
      <c r="X120" s="495"/>
      <c r="Y120" s="495"/>
      <c r="Z120" s="495"/>
      <c r="AA120" s="495"/>
      <c r="AB120" s="495"/>
      <c r="AC120" s="495"/>
      <c r="AD120" s="495"/>
    </row>
    <row r="121" spans="1:30" ht="17.25" customHeight="1">
      <c r="K121" s="819"/>
      <c r="L121" s="495"/>
      <c r="M121" s="495"/>
      <c r="N121" s="495"/>
      <c r="O121" s="495"/>
      <c r="P121" s="495"/>
      <c r="Q121" s="495"/>
      <c r="R121" s="495"/>
      <c r="S121" s="495"/>
      <c r="T121" s="495"/>
      <c r="U121" s="495"/>
      <c r="V121" s="495"/>
      <c r="W121" s="495"/>
      <c r="X121" s="495"/>
      <c r="Y121" s="495"/>
      <c r="Z121" s="495"/>
      <c r="AA121" s="495"/>
      <c r="AB121" s="495"/>
      <c r="AC121" s="495"/>
      <c r="AD121" s="495"/>
    </row>
    <row r="122" spans="1:30" ht="17.25" customHeight="1">
      <c r="A122" s="495"/>
      <c r="B122" s="495"/>
      <c r="C122" s="495"/>
      <c r="D122" s="495"/>
      <c r="E122" s="495"/>
      <c r="F122" s="495"/>
      <c r="G122" s="495"/>
      <c r="K122" s="819"/>
      <c r="L122" s="495"/>
      <c r="M122" s="495"/>
      <c r="N122" s="495"/>
      <c r="O122" s="495"/>
      <c r="P122" s="495"/>
      <c r="Q122" s="495"/>
      <c r="R122" s="495"/>
      <c r="S122" s="495"/>
      <c r="T122" s="495"/>
      <c r="U122" s="495"/>
      <c r="V122" s="495"/>
      <c r="W122" s="495"/>
      <c r="X122" s="495"/>
      <c r="Y122" s="495"/>
      <c r="Z122" s="495"/>
      <c r="AA122" s="495"/>
      <c r="AB122" s="495"/>
      <c r="AC122" s="495"/>
      <c r="AD122" s="495"/>
    </row>
    <row r="123" spans="1:30" ht="17.25" customHeight="1">
      <c r="A123" s="495"/>
      <c r="B123" s="495"/>
      <c r="C123" s="495"/>
      <c r="D123" s="495"/>
      <c r="E123" s="495"/>
      <c r="F123" s="495"/>
      <c r="G123" s="495"/>
      <c r="K123" s="819"/>
      <c r="L123" s="495"/>
      <c r="M123" s="495"/>
      <c r="N123" s="495"/>
      <c r="O123" s="495"/>
      <c r="P123" s="495"/>
      <c r="Q123" s="495"/>
      <c r="R123" s="495"/>
      <c r="S123" s="495"/>
      <c r="T123" s="495"/>
      <c r="U123" s="495"/>
      <c r="V123" s="495"/>
      <c r="W123" s="495"/>
      <c r="X123" s="495"/>
      <c r="Y123" s="495"/>
      <c r="Z123" s="495"/>
      <c r="AA123" s="495"/>
      <c r="AB123" s="495"/>
      <c r="AC123" s="495"/>
      <c r="AD123" s="495"/>
    </row>
    <row r="124" spans="1:30" ht="17.25" customHeight="1">
      <c r="A124" s="495"/>
      <c r="B124" s="495"/>
      <c r="C124" s="495"/>
      <c r="D124" s="495"/>
      <c r="E124" s="495"/>
      <c r="F124" s="495"/>
      <c r="G124" s="495"/>
      <c r="K124" s="819"/>
      <c r="L124" s="495"/>
      <c r="M124" s="495"/>
      <c r="N124" s="495"/>
      <c r="O124" s="495"/>
      <c r="P124" s="495"/>
      <c r="Q124" s="495"/>
      <c r="R124" s="495"/>
      <c r="S124" s="495"/>
      <c r="T124" s="495"/>
      <c r="U124" s="495"/>
      <c r="V124" s="495"/>
      <c r="W124" s="495"/>
      <c r="X124" s="495"/>
      <c r="Y124" s="495"/>
      <c r="Z124" s="495"/>
      <c r="AA124" s="495"/>
      <c r="AB124" s="495"/>
      <c r="AC124" s="495"/>
      <c r="AD124" s="495"/>
    </row>
    <row r="125" spans="1:30" ht="17.25" customHeight="1">
      <c r="A125" s="495"/>
      <c r="B125" s="495"/>
      <c r="C125" s="495"/>
      <c r="D125" s="495"/>
      <c r="E125" s="495"/>
      <c r="F125" s="495"/>
      <c r="G125" s="495"/>
      <c r="K125" s="819"/>
      <c r="L125" s="495"/>
      <c r="M125" s="495"/>
      <c r="N125" s="495"/>
      <c r="O125" s="495"/>
      <c r="P125" s="495"/>
      <c r="Q125" s="495"/>
      <c r="R125" s="495"/>
      <c r="S125" s="495"/>
      <c r="T125" s="495"/>
      <c r="U125" s="495"/>
      <c r="V125" s="495"/>
      <c r="W125" s="495"/>
      <c r="X125" s="495"/>
      <c r="Y125" s="495"/>
      <c r="Z125" s="495"/>
      <c r="AA125" s="495"/>
      <c r="AB125" s="495"/>
      <c r="AC125" s="495"/>
      <c r="AD125" s="495"/>
    </row>
    <row r="126" spans="1:30" ht="17.25" customHeight="1">
      <c r="A126" s="495"/>
      <c r="B126" s="495"/>
      <c r="C126" s="488"/>
      <c r="D126" s="537"/>
      <c r="E126" s="495"/>
      <c r="F126" s="495"/>
      <c r="G126" s="488"/>
      <c r="K126" s="819"/>
      <c r="L126" s="495"/>
      <c r="M126" s="495"/>
      <c r="N126" s="495"/>
      <c r="O126" s="495"/>
      <c r="P126" s="495"/>
      <c r="Q126" s="495"/>
      <c r="R126" s="495"/>
      <c r="S126" s="495"/>
      <c r="T126" s="495"/>
      <c r="U126" s="495"/>
      <c r="V126" s="495"/>
      <c r="W126" s="495"/>
      <c r="X126" s="495"/>
      <c r="Y126" s="495"/>
      <c r="Z126" s="495"/>
      <c r="AA126" s="495"/>
      <c r="AB126" s="495"/>
      <c r="AC126" s="495"/>
      <c r="AD126" s="495"/>
    </row>
    <row r="127" spans="1:30" ht="17.25" customHeight="1">
      <c r="A127" s="495"/>
      <c r="B127" s="495"/>
      <c r="C127" s="495"/>
      <c r="D127" s="495"/>
      <c r="E127" s="495"/>
      <c r="F127" s="495"/>
      <c r="G127" s="495"/>
      <c r="K127" s="819"/>
      <c r="L127" s="495"/>
      <c r="M127" s="495"/>
      <c r="N127" s="495"/>
      <c r="O127" s="495"/>
      <c r="P127" s="495"/>
      <c r="Q127" s="495"/>
      <c r="R127" s="495"/>
      <c r="S127" s="495"/>
      <c r="T127" s="495"/>
      <c r="U127" s="495"/>
      <c r="V127" s="495"/>
      <c r="W127" s="495"/>
      <c r="X127" s="495"/>
      <c r="Y127" s="495"/>
      <c r="Z127" s="495"/>
      <c r="AA127" s="495"/>
      <c r="AB127" s="495"/>
      <c r="AC127" s="495"/>
      <c r="AD127" s="495"/>
    </row>
    <row r="128" spans="1:30" ht="17.25" customHeight="1">
      <c r="A128" s="495"/>
      <c r="B128" s="495"/>
      <c r="C128" s="495"/>
      <c r="D128" s="495"/>
      <c r="E128" s="495"/>
      <c r="F128" s="495"/>
      <c r="G128" s="495"/>
      <c r="K128" s="819"/>
      <c r="L128" s="495"/>
      <c r="M128" s="495"/>
      <c r="N128" s="495"/>
      <c r="O128" s="495"/>
      <c r="P128" s="495"/>
      <c r="Q128" s="495"/>
      <c r="R128" s="495"/>
      <c r="S128" s="495"/>
      <c r="T128" s="495"/>
      <c r="U128" s="495"/>
      <c r="V128" s="495"/>
      <c r="W128" s="495"/>
      <c r="X128" s="495"/>
      <c r="Y128" s="495"/>
      <c r="Z128" s="495"/>
      <c r="AA128" s="495"/>
      <c r="AB128" s="495"/>
      <c r="AC128" s="495"/>
      <c r="AD128" s="495"/>
    </row>
  </sheetData>
  <sheetProtection password="F7E3" sheet="1" objects="1" scenarios="1"/>
  <printOptions horizontalCentered="1"/>
  <pageMargins left="0.35433070866141736" right="0.39370078740157483" top="0.43307086614173229" bottom="0.47244094488188981" header="0.23622047244094491" footer="0.47244094488188981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A1:AL242"/>
  <sheetViews>
    <sheetView zoomScale="90" zoomScaleNormal="90" workbookViewId="0">
      <selection sqref="A1:J1"/>
    </sheetView>
  </sheetViews>
  <sheetFormatPr defaultColWidth="9.109375" defaultRowHeight="20.100000000000001" customHeight="1"/>
  <cols>
    <col min="1" max="5" width="13.6640625" style="266" customWidth="1"/>
    <col min="6" max="6" width="13" style="266" customWidth="1"/>
    <col min="7" max="7" width="14.6640625" style="266" customWidth="1"/>
    <col min="8" max="8" width="11.44140625" style="266" customWidth="1"/>
    <col min="9" max="9" width="28.5546875" style="266" customWidth="1"/>
    <col min="10" max="10" width="42.6640625" style="266" customWidth="1"/>
    <col min="11" max="11" width="16.33203125" style="266" customWidth="1"/>
    <col min="12" max="12" width="37.44140625" style="266" customWidth="1"/>
    <col min="13" max="13" width="21.33203125" style="266" customWidth="1"/>
    <col min="14" max="14" width="20.5546875" style="266" customWidth="1"/>
    <col min="15" max="15" width="9.6640625" style="266" customWidth="1"/>
    <col min="16" max="16" width="9.5546875" style="266" customWidth="1"/>
    <col min="17" max="17" width="12.5546875" style="266" customWidth="1"/>
    <col min="18" max="18" width="11" style="266" customWidth="1"/>
    <col min="19" max="19" width="14" style="266" customWidth="1"/>
    <col min="20" max="20" width="22.44140625" style="266" customWidth="1"/>
    <col min="21" max="21" width="19.5546875" style="266" customWidth="1"/>
    <col min="22" max="22" width="16.88671875" style="266" customWidth="1"/>
    <col min="23" max="23" width="18.109375" style="266" customWidth="1"/>
    <col min="24" max="24" width="6.44140625" style="266" customWidth="1"/>
    <col min="25" max="25" width="5.33203125" style="266" customWidth="1"/>
    <col min="26" max="26" width="4.5546875" style="266" customWidth="1"/>
    <col min="27" max="27" width="5.33203125" style="266" customWidth="1"/>
    <col min="28" max="28" width="6.33203125" style="266" customWidth="1"/>
    <col min="29" max="29" width="6" style="266" customWidth="1"/>
    <col min="30" max="30" width="12.44140625" style="266" customWidth="1"/>
    <col min="31" max="31" width="38.6640625" style="266" customWidth="1"/>
    <col min="32" max="32" width="13.109375" style="266" customWidth="1"/>
    <col min="33" max="33" width="16.109375" style="266" customWidth="1"/>
    <col min="34" max="34" width="12.33203125" style="266" customWidth="1"/>
    <col min="35" max="35" width="9.109375" style="266"/>
    <col min="36" max="36" width="14" style="266" customWidth="1"/>
    <col min="37" max="37" width="18.88671875" style="266" customWidth="1"/>
    <col min="38" max="16384" width="9.109375" style="266"/>
  </cols>
  <sheetData>
    <row r="1" spans="1:23" ht="20.100000000000001" customHeight="1" thickBot="1">
      <c r="F1" s="267" t="s">
        <v>170</v>
      </c>
      <c r="G1" s="267" t="s">
        <v>171</v>
      </c>
      <c r="I1" s="315" t="s">
        <v>301</v>
      </c>
      <c r="J1" s="576"/>
      <c r="K1" s="254"/>
      <c r="L1" s="254"/>
      <c r="M1" s="268" t="s">
        <v>413</v>
      </c>
      <c r="N1" s="268"/>
      <c r="O1" s="254"/>
    </row>
    <row r="2" spans="1:23" ht="20.100000000000001" customHeight="1">
      <c r="B2" s="269" t="s">
        <v>172</v>
      </c>
      <c r="C2" s="270"/>
      <c r="D2" s="270"/>
      <c r="E2" s="271"/>
      <c r="F2" s="267" t="s">
        <v>173</v>
      </c>
      <c r="G2" s="272"/>
      <c r="I2" s="315" t="s">
        <v>302</v>
      </c>
      <c r="J2" s="568"/>
      <c r="K2" s="273"/>
      <c r="L2" s="273"/>
      <c r="M2" s="268" t="s">
        <v>317</v>
      </c>
      <c r="N2" s="268">
        <v>110</v>
      </c>
      <c r="O2" s="254"/>
      <c r="Q2" s="885" t="s">
        <v>325</v>
      </c>
      <c r="R2" s="886"/>
    </row>
    <row r="3" spans="1:23" ht="19.5" customHeight="1">
      <c r="E3" s="274"/>
      <c r="F3" s="275"/>
      <c r="G3" s="275"/>
      <c r="I3" s="315" t="s">
        <v>24</v>
      </c>
      <c r="J3" s="568" t="s">
        <v>488</v>
      </c>
      <c r="K3" s="560" t="s">
        <v>285</v>
      </c>
      <c r="L3" s="276"/>
      <c r="M3" s="277" t="s">
        <v>318</v>
      </c>
      <c r="N3" s="268">
        <v>120</v>
      </c>
      <c r="O3" s="278"/>
      <c r="Q3" s="873" t="s">
        <v>326</v>
      </c>
      <c r="R3" s="875"/>
      <c r="U3" s="279"/>
    </row>
    <row r="4" spans="1:23" ht="14.4" thickBot="1">
      <c r="E4" s="280"/>
      <c r="F4" s="280"/>
      <c r="I4" s="220"/>
      <c r="J4" s="220"/>
      <c r="K4" s="276"/>
      <c r="L4" s="276" t="s">
        <v>286</v>
      </c>
      <c r="M4" s="277" t="s">
        <v>319</v>
      </c>
      <c r="N4" s="268">
        <v>45</v>
      </c>
      <c r="O4" s="278"/>
      <c r="P4" s="220"/>
      <c r="Q4" s="381" t="s">
        <v>328</v>
      </c>
      <c r="R4" s="646" t="s">
        <v>329</v>
      </c>
      <c r="S4" s="220"/>
      <c r="T4" s="220"/>
      <c r="U4" s="281"/>
    </row>
    <row r="5" spans="1:23" ht="15" customHeight="1" thickBot="1">
      <c r="A5" s="282" t="s">
        <v>271</v>
      </c>
      <c r="B5" s="283"/>
      <c r="C5" s="283"/>
      <c r="D5" s="284"/>
      <c r="E5" s="284"/>
      <c r="F5" s="284"/>
      <c r="G5" s="285"/>
      <c r="I5" s="220"/>
      <c r="J5" s="220"/>
      <c r="K5" s="276" t="s">
        <v>278</v>
      </c>
      <c r="L5" s="562">
        <f>MAX(0,(G28-VLOOKUP("Vibração Ra",Padroes!$B$3:$N$28,5,FALSE)))</f>
        <v>6.1999999999999998E-3</v>
      </c>
      <c r="M5" s="561" t="s">
        <v>320</v>
      </c>
      <c r="N5" s="268">
        <v>50</v>
      </c>
      <c r="O5" s="278"/>
      <c r="P5" s="220"/>
      <c r="Q5" s="676">
        <v>0.08</v>
      </c>
      <c r="R5" s="677">
        <v>2.5000000000000001E-3</v>
      </c>
      <c r="S5" s="220"/>
      <c r="T5" s="220"/>
      <c r="U5" s="281"/>
    </row>
    <row r="6" spans="1:23" ht="15" customHeight="1">
      <c r="A6" s="286" t="s">
        <v>175</v>
      </c>
      <c r="B6" s="287">
        <f>Cola!B6</f>
        <v>2.9068999999999998</v>
      </c>
      <c r="C6" s="288"/>
      <c r="D6" s="289" t="s">
        <v>176</v>
      </c>
      <c r="E6" s="290" t="s">
        <v>177</v>
      </c>
      <c r="F6" s="290" t="s">
        <v>178</v>
      </c>
      <c r="G6" s="460" t="s">
        <v>179</v>
      </c>
      <c r="H6" s="462" t="s">
        <v>270</v>
      </c>
      <c r="I6" s="266" t="s">
        <v>406</v>
      </c>
      <c r="J6" s="802"/>
      <c r="K6" s="276" t="s">
        <v>279</v>
      </c>
      <c r="L6" s="562">
        <f>MAX(0,G29-(VLOOKUP("Vibração Rz",Padroes!$B$3:$N$28,5,FALSE)))</f>
        <v>0</v>
      </c>
      <c r="M6" s="561" t="s">
        <v>411</v>
      </c>
      <c r="N6" s="268">
        <v>0.8</v>
      </c>
      <c r="O6" s="278"/>
      <c r="P6" s="220"/>
      <c r="Q6" s="678">
        <v>0.8</v>
      </c>
      <c r="R6" s="679">
        <v>2.5000000000000001E-3</v>
      </c>
      <c r="S6" s="220"/>
      <c r="T6" s="220"/>
      <c r="U6" s="281"/>
    </row>
    <row r="7" spans="1:23" ht="15" customHeight="1" thickBot="1">
      <c r="A7" s="291" t="s">
        <v>180</v>
      </c>
      <c r="B7" s="292"/>
      <c r="C7" s="293"/>
      <c r="D7" s="440" t="str">
        <f>Geral!L3&amp;"/0"&amp;Geral!L4</f>
        <v>3733/023</v>
      </c>
      <c r="E7" s="294">
        <f>Cola!E7</f>
        <v>96.15</v>
      </c>
      <c r="F7" s="294">
        <f>Cola!F7</f>
        <v>6.1000000000000004E-3</v>
      </c>
      <c r="G7" s="461"/>
      <c r="H7" s="482"/>
      <c r="J7" s="220"/>
      <c r="K7" s="276" t="s">
        <v>280</v>
      </c>
      <c r="L7" s="562">
        <f>MAX(0,G30-VLOOKUP("Vibração Rz1max",Padroes!$B$3:$N$28,5,FALSE))</f>
        <v>6.7920000000000008E-2</v>
      </c>
      <c r="M7" s="561" t="s">
        <v>412</v>
      </c>
      <c r="N7" s="268"/>
      <c r="O7" s="278"/>
      <c r="P7" s="220"/>
      <c r="Q7" s="381"/>
      <c r="R7" s="646"/>
      <c r="S7" s="220"/>
      <c r="T7" s="220"/>
      <c r="U7" s="281"/>
    </row>
    <row r="8" spans="1:23" ht="15" customHeight="1">
      <c r="A8" s="291" t="s">
        <v>181</v>
      </c>
      <c r="B8" s="295"/>
      <c r="C8" s="296">
        <f>Cola!C8</f>
        <v>9.4387000000000008</v>
      </c>
      <c r="D8" s="297" t="s">
        <v>182</v>
      </c>
      <c r="E8" s="298"/>
      <c r="F8" s="298"/>
      <c r="G8" s="299"/>
      <c r="H8" s="266">
        <f>IF(J8="",0,1)</f>
        <v>1</v>
      </c>
      <c r="I8" s="290" t="s">
        <v>401</v>
      </c>
      <c r="J8" s="568">
        <v>2.97</v>
      </c>
      <c r="K8" s="276" t="s">
        <v>288</v>
      </c>
      <c r="L8" s="562">
        <f>MAX(0,C34-(ABS(VLOOKUP("Pt Esfera Calibração",Padroes!$B$3:$N$28,6,FALSE))))</f>
        <v>0</v>
      </c>
      <c r="M8" s="268"/>
      <c r="N8" s="268"/>
      <c r="O8" s="278"/>
      <c r="P8" s="220"/>
      <c r="Q8" s="873" t="s">
        <v>327</v>
      </c>
      <c r="R8" s="875"/>
      <c r="S8" s="220"/>
      <c r="T8" s="220"/>
      <c r="U8" s="300"/>
    </row>
    <row r="9" spans="1:23" ht="15" customHeight="1">
      <c r="A9" s="301" t="s">
        <v>183</v>
      </c>
      <c r="B9" s="302"/>
      <c r="C9" s="296">
        <f>Cola!C9</f>
        <v>9.1454000000000004</v>
      </c>
      <c r="D9" s="303" t="s">
        <v>184</v>
      </c>
      <c r="E9" s="290" t="s">
        <v>185</v>
      </c>
      <c r="F9" s="290" t="s">
        <v>186</v>
      </c>
      <c r="G9" s="304" t="s">
        <v>187</v>
      </c>
      <c r="H9" s="266" t="str">
        <f>IF(J9="","",MAX(H8)+1)</f>
        <v/>
      </c>
      <c r="I9" s="569" t="s">
        <v>402</v>
      </c>
      <c r="J9" s="568"/>
      <c r="K9" s="220"/>
      <c r="L9" s="220"/>
      <c r="M9" s="220"/>
      <c r="N9" s="220"/>
      <c r="O9" s="220"/>
      <c r="P9" s="220"/>
      <c r="Q9" s="381" t="s">
        <v>328</v>
      </c>
      <c r="R9" s="646" t="s">
        <v>329</v>
      </c>
      <c r="S9" s="220"/>
      <c r="T9" s="220"/>
      <c r="U9" s="281"/>
    </row>
    <row r="10" spans="1:23" ht="15" customHeight="1">
      <c r="A10" s="305" t="s">
        <v>188</v>
      </c>
      <c r="B10" s="306"/>
      <c r="C10" s="307" t="str">
        <f>Geral!L8</f>
        <v>(20,0 ± 0,5) ºC</v>
      </c>
      <c r="D10" s="308">
        <v>3</v>
      </c>
      <c r="E10" s="309" t="s">
        <v>487</v>
      </c>
      <c r="F10" s="310"/>
      <c r="G10" s="544">
        <f>Geral!L11</f>
        <v>45275.535162037035</v>
      </c>
      <c r="H10" s="266" t="str">
        <f>IF(J10="","",MAX(H8:H9)+1)</f>
        <v/>
      </c>
      <c r="I10" s="290" t="s">
        <v>403</v>
      </c>
      <c r="J10" s="568"/>
      <c r="K10" s="220"/>
      <c r="L10" s="220"/>
      <c r="M10" s="220"/>
      <c r="N10" s="220"/>
      <c r="O10" s="220"/>
      <c r="P10" s="220"/>
      <c r="Q10" s="676">
        <v>0.25</v>
      </c>
      <c r="R10" s="677">
        <v>2.5000000000000001E-3</v>
      </c>
      <c r="S10" s="220"/>
      <c r="T10" s="220"/>
      <c r="U10" s="281"/>
    </row>
    <row r="11" spans="1:23" ht="15" customHeight="1" thickBot="1">
      <c r="A11" s="291" t="s">
        <v>189</v>
      </c>
      <c r="B11" s="311"/>
      <c r="C11" s="543" t="str">
        <f>Geral!L9</f>
        <v>(50 ± 10) %ur</v>
      </c>
      <c r="D11" s="312" t="s">
        <v>294</v>
      </c>
      <c r="E11" s="313" t="s">
        <v>261</v>
      </c>
      <c r="F11" s="313"/>
      <c r="G11" s="457"/>
      <c r="H11" s="266" t="str">
        <f>IF(J11="","",MAX(H8:H10)+1)</f>
        <v/>
      </c>
      <c r="I11" s="290" t="s">
        <v>404</v>
      </c>
      <c r="J11" s="568"/>
      <c r="K11" s="314" t="s">
        <v>312</v>
      </c>
      <c r="L11" s="220"/>
      <c r="M11" s="220"/>
      <c r="N11" s="220"/>
      <c r="O11" s="220"/>
      <c r="P11" s="220"/>
      <c r="Q11" s="680">
        <v>0.8</v>
      </c>
      <c r="R11" s="681">
        <v>2.5000000000000001E-3</v>
      </c>
      <c r="S11" s="220"/>
      <c r="T11" s="220"/>
      <c r="U11" s="281"/>
    </row>
    <row r="12" spans="1:23" ht="15" customHeight="1">
      <c r="A12" s="880" t="s">
        <v>190</v>
      </c>
      <c r="B12" s="881"/>
      <c r="C12" s="881"/>
      <c r="D12" s="881"/>
      <c r="E12" s="881"/>
      <c r="F12" s="881"/>
      <c r="G12" s="882"/>
      <c r="I12"/>
      <c r="J12" s="458" t="str">
        <f>IF(J8="","","Ra: "&amp;J8&amp;" µm ")&amp;IF(J9="","","Rz: "&amp;J9&amp; " µm ")&amp;IF(J10="","","Rzmax: "&amp;J10&amp; " µm ")&amp;IF(J11="","","RSm: "&amp;J11&amp; " mm ")</f>
        <v xml:space="preserve">Ra: 2,97 µm </v>
      </c>
      <c r="K12"/>
      <c r="L12" t="s">
        <v>282</v>
      </c>
      <c r="M12" t="str">
        <f>LEFT(VLOOKUP("Incerteza Ra",Padroes!$B$3:$N$28,6,FALSE),SEARCH("+",VLOOKUP("Incerteza Ra",Padroes!$B$3:$N$28,6,FALSE))-1)</f>
        <v>0,003</v>
      </c>
      <c r="N12"/>
      <c r="P12"/>
      <c r="Q12"/>
      <c r="R12"/>
      <c r="S12"/>
      <c r="T12"/>
      <c r="U12"/>
      <c r="V12"/>
      <c r="W12"/>
    </row>
    <row r="13" spans="1:23" ht="15" customHeight="1">
      <c r="A13" s="291" t="s">
        <v>191</v>
      </c>
      <c r="B13" s="274"/>
      <c r="C13" s="274"/>
      <c r="D13" s="480">
        <v>0.5</v>
      </c>
      <c r="E13" s="274" t="s">
        <v>192</v>
      </c>
      <c r="F13" s="274"/>
      <c r="G13" s="539">
        <v>1</v>
      </c>
      <c r="I13"/>
      <c r="J13" s="458"/>
      <c r="K13"/>
      <c r="L13" t="s">
        <v>283</v>
      </c>
      <c r="M13" t="str">
        <f>RIGHT(VLOOKUP("Incerteza Ra",Padroes!$B$4:$N$29,6,FALSE),LEN(VLOOKUP("Incerteza Ra",Padroes!$B$4:$N$29,6,FALSE))-SEARCH("/",VLOOKUP("Incerteza Ra",Padroes!$B$4:$N$29,6,FALSE)))</f>
        <v>38</v>
      </c>
      <c r="O13"/>
      <c r="P13"/>
      <c r="Q13"/>
      <c r="R13"/>
      <c r="S13"/>
      <c r="T13"/>
      <c r="U13"/>
      <c r="V13"/>
      <c r="W13"/>
    </row>
    <row r="14" spans="1:23" ht="15" customHeight="1" thickBot="1">
      <c r="A14" s="291" t="s">
        <v>193</v>
      </c>
      <c r="B14" s="274"/>
      <c r="C14" s="274"/>
      <c r="D14" s="316">
        <v>2</v>
      </c>
      <c r="E14" s="274" t="s">
        <v>194</v>
      </c>
      <c r="F14" s="274"/>
      <c r="G14" s="540">
        <v>0.5</v>
      </c>
      <c r="I14" t="s">
        <v>414</v>
      </c>
      <c r="J14" s="458"/>
      <c r="K14"/>
      <c r="L14"/>
      <c r="M14"/>
      <c r="N14"/>
      <c r="O14"/>
      <c r="P14"/>
      <c r="Q14"/>
      <c r="R14"/>
      <c r="S14"/>
      <c r="T14" s="830" t="s">
        <v>421</v>
      </c>
      <c r="U14" s="830"/>
      <c r="V14" s="830"/>
      <c r="W14" s="830"/>
    </row>
    <row r="15" spans="1:23" ht="15" customHeight="1" thickBot="1">
      <c r="A15" s="291" t="s">
        <v>196</v>
      </c>
      <c r="B15" s="274"/>
      <c r="C15" s="274"/>
      <c r="D15" s="503">
        <v>66</v>
      </c>
      <c r="E15" s="274" t="s">
        <v>197</v>
      </c>
      <c r="F15" s="274"/>
      <c r="G15" s="540">
        <v>1.5</v>
      </c>
      <c r="I15"/>
      <c r="K15" s="329" t="s">
        <v>209</v>
      </c>
      <c r="L15" s="330" t="s">
        <v>210</v>
      </c>
      <c r="M15" s="331"/>
      <c r="N15" s="331"/>
      <c r="O15" s="331"/>
      <c r="P15" s="331"/>
      <c r="Q15" s="332"/>
      <c r="R15" s="333"/>
      <c r="S15"/>
      <c r="T15" s="830"/>
      <c r="U15" s="834" t="s">
        <v>422</v>
      </c>
      <c r="V15" s="834" t="s">
        <v>276</v>
      </c>
      <c r="W15" s="834" t="s">
        <v>264</v>
      </c>
    </row>
    <row r="16" spans="1:23" ht="15" customHeight="1" thickBot="1">
      <c r="A16" s="291" t="s">
        <v>199</v>
      </c>
      <c r="B16" s="274"/>
      <c r="C16" s="274"/>
      <c r="D16" s="480">
        <v>90</v>
      </c>
      <c r="E16" s="274" t="s">
        <v>200</v>
      </c>
      <c r="F16" s="274"/>
      <c r="G16" s="541">
        <v>3</v>
      </c>
      <c r="J16" s="458"/>
      <c r="K16" s="336">
        <f>SERV</f>
        <v>9.423</v>
      </c>
      <c r="L16" s="870" t="s">
        <v>162</v>
      </c>
      <c r="M16" s="871"/>
      <c r="N16" s="871"/>
      <c r="O16" s="871"/>
      <c r="P16" s="872"/>
      <c r="Q16" s="337"/>
      <c r="R16" s="338"/>
      <c r="S16"/>
      <c r="T16" s="830" t="s">
        <v>162</v>
      </c>
      <c r="U16" s="830">
        <v>2.97</v>
      </c>
      <c r="V16" s="831">
        <f>B127</f>
        <v>2.9907832999999999</v>
      </c>
      <c r="W16" s="832">
        <f>Q103</f>
        <v>3</v>
      </c>
    </row>
    <row r="17" spans="1:31" ht="15" customHeight="1" thickBot="1">
      <c r="A17" s="317" t="s">
        <v>265</v>
      </c>
      <c r="B17" s="318"/>
      <c r="C17" s="318"/>
      <c r="D17" s="538">
        <v>10</v>
      </c>
      <c r="E17" s="318" t="s">
        <v>202</v>
      </c>
      <c r="F17" s="318"/>
      <c r="G17" s="541">
        <v>3</v>
      </c>
      <c r="I17" s="315"/>
      <c r="K17" s="340" t="s">
        <v>212</v>
      </c>
      <c r="L17" s="340" t="s">
        <v>132</v>
      </c>
      <c r="M17" s="341" t="str">
        <f>"+/- µm"</f>
        <v>+/- µm</v>
      </c>
      <c r="N17" s="341" t="s">
        <v>213</v>
      </c>
      <c r="O17" s="342" t="s">
        <v>214</v>
      </c>
      <c r="P17" s="342" t="s">
        <v>215</v>
      </c>
      <c r="Q17" s="342" t="str">
        <f>"+/- u [µm]"</f>
        <v>+/- u [µm]</v>
      </c>
      <c r="R17" s="343" t="s">
        <v>252</v>
      </c>
      <c r="S17"/>
      <c r="T17" s="833" t="s">
        <v>163</v>
      </c>
      <c r="U17" s="830">
        <v>0</v>
      </c>
      <c r="V17" s="831">
        <f>B128</f>
        <v>9.5060833000000002</v>
      </c>
      <c r="W17" s="832">
        <f>Q118</f>
        <v>3</v>
      </c>
    </row>
    <row r="18" spans="1:31" ht="15" customHeight="1">
      <c r="A18" s="880" t="s">
        <v>203</v>
      </c>
      <c r="B18" s="881"/>
      <c r="C18" s="881"/>
      <c r="D18" s="881"/>
      <c r="E18" s="881"/>
      <c r="F18" s="881"/>
      <c r="G18" s="882"/>
      <c r="I18" s="315"/>
      <c r="K18" s="347"/>
      <c r="L18" s="348" t="s">
        <v>281</v>
      </c>
      <c r="M18" s="349">
        <f>M12+B86/M13</f>
        <v>8.0048902631578947E-2</v>
      </c>
      <c r="N18" s="349" t="s">
        <v>223</v>
      </c>
      <c r="O18" s="350">
        <v>2</v>
      </c>
      <c r="P18" s="348">
        <v>1</v>
      </c>
      <c r="Q18" s="349">
        <f>M18/O18*P18</f>
        <v>4.0024451315789474E-2</v>
      </c>
      <c r="R18" s="351" t="s">
        <v>226</v>
      </c>
      <c r="S18"/>
      <c r="T18" s="830" t="s">
        <v>164</v>
      </c>
      <c r="U18" s="830">
        <v>0</v>
      </c>
      <c r="V18" s="831">
        <f>B129</f>
        <v>9.5683000000000007</v>
      </c>
      <c r="W18" s="832">
        <f>Q135</f>
        <v>3</v>
      </c>
      <c r="X18"/>
      <c r="Y18"/>
    </row>
    <row r="19" spans="1:31" ht="11.1" customHeight="1">
      <c r="A19" s="320"/>
      <c r="B19" s="321"/>
      <c r="C19" s="321"/>
      <c r="D19" s="321"/>
      <c r="E19" s="321"/>
      <c r="F19" s="321"/>
      <c r="G19" s="322"/>
      <c r="I19" s="315"/>
      <c r="K19" s="353"/>
      <c r="L19" s="354" t="s">
        <v>287</v>
      </c>
      <c r="M19" s="355">
        <f>C79/SQRT(12)</f>
        <v>3.5230293940174831E-3</v>
      </c>
      <c r="N19" s="355" t="s">
        <v>223</v>
      </c>
      <c r="O19" s="356">
        <v>1</v>
      </c>
      <c r="P19" s="357">
        <v>1</v>
      </c>
      <c r="Q19" s="355">
        <f>M19/O19*P19</f>
        <v>3.5230293940174831E-3</v>
      </c>
      <c r="R19" s="358">
        <f>12-1</f>
        <v>11</v>
      </c>
      <c r="S19"/>
      <c r="T19"/>
      <c r="U19"/>
      <c r="V19"/>
      <c r="W19"/>
    </row>
    <row r="20" spans="1:31" ht="15" customHeight="1">
      <c r="A20" s="291" t="s">
        <v>204</v>
      </c>
      <c r="B20" s="274"/>
      <c r="C20" s="496">
        <v>20</v>
      </c>
      <c r="D20" s="274"/>
      <c r="E20" s="274" t="s">
        <v>267</v>
      </c>
      <c r="F20" s="274"/>
      <c r="G20" s="542" t="s">
        <v>272</v>
      </c>
      <c r="I20" s="315"/>
      <c r="K20" s="353"/>
      <c r="L20" s="354" t="s">
        <v>224</v>
      </c>
      <c r="M20" s="355">
        <f>L6</f>
        <v>0</v>
      </c>
      <c r="N20" s="355" t="s">
        <v>225</v>
      </c>
      <c r="O20" s="356">
        <f>SQRT(3)</f>
        <v>1.7320508075688772</v>
      </c>
      <c r="P20" s="357">
        <v>1</v>
      </c>
      <c r="Q20" s="355">
        <f>M20/O20*P20</f>
        <v>0</v>
      </c>
      <c r="R20" s="358" t="s">
        <v>226</v>
      </c>
      <c r="S20"/>
      <c r="T20"/>
      <c r="U20"/>
      <c r="V20"/>
      <c r="W20"/>
      <c r="AE20" s="315"/>
    </row>
    <row r="21" spans="1:31" ht="15" customHeight="1">
      <c r="A21" s="291" t="s">
        <v>205</v>
      </c>
      <c r="B21" s="274"/>
      <c r="C21" s="496">
        <f>G62</f>
        <v>1.25</v>
      </c>
      <c r="D21" s="311"/>
      <c r="E21" s="274" t="s">
        <v>206</v>
      </c>
      <c r="F21" s="325"/>
      <c r="G21" s="542" t="s">
        <v>273</v>
      </c>
      <c r="K21" s="353"/>
      <c r="L21" s="354" t="s">
        <v>289</v>
      </c>
      <c r="M21" s="355">
        <f>L8</f>
        <v>0</v>
      </c>
      <c r="N21" s="355" t="s">
        <v>225</v>
      </c>
      <c r="O21" s="356">
        <f>SQRT(3)</f>
        <v>1.7320508075688772</v>
      </c>
      <c r="P21" s="357">
        <v>1</v>
      </c>
      <c r="Q21" s="355">
        <f>M21/O21*P21</f>
        <v>0</v>
      </c>
      <c r="R21" s="662" t="s">
        <v>226</v>
      </c>
      <c r="S21"/>
      <c r="T21"/>
      <c r="U21"/>
      <c r="V21"/>
      <c r="W21"/>
      <c r="AE21" s="315"/>
    </row>
    <row r="22" spans="1:31" ht="15" customHeight="1">
      <c r="A22" s="326" t="s">
        <v>207</v>
      </c>
      <c r="B22" s="311"/>
      <c r="C22" s="276" t="str">
        <f>G63</f>
        <v>300:1</v>
      </c>
      <c r="D22" s="311"/>
      <c r="E22" s="274" t="s">
        <v>268</v>
      </c>
      <c r="F22" s="274"/>
      <c r="G22" s="542" t="str">
        <f>G60</f>
        <v>0,25</v>
      </c>
      <c r="K22" s="353"/>
      <c r="L22" s="354"/>
      <c r="M22" s="355"/>
      <c r="N22" s="355"/>
      <c r="O22" s="356"/>
      <c r="P22" s="357"/>
      <c r="Q22" s="355"/>
      <c r="R22" s="662"/>
      <c r="S22"/>
      <c r="T22"/>
      <c r="U22"/>
      <c r="V22"/>
      <c r="W22"/>
    </row>
    <row r="23" spans="1:31" ht="15" customHeight="1" thickBot="1">
      <c r="A23" s="327" t="s">
        <v>208</v>
      </c>
      <c r="B23" s="311"/>
      <c r="C23" s="496" t="s">
        <v>174</v>
      </c>
      <c r="D23" s="311"/>
      <c r="E23" s="274" t="s">
        <v>269</v>
      </c>
      <c r="F23" s="274"/>
      <c r="G23" s="542">
        <f>G61</f>
        <v>2.5000000000000001E-3</v>
      </c>
      <c r="K23" s="359"/>
      <c r="L23" s="360"/>
      <c r="M23" s="361"/>
      <c r="N23" s="361"/>
      <c r="O23" s="362"/>
      <c r="P23" s="363"/>
      <c r="Q23" s="361"/>
      <c r="R23" s="364"/>
      <c r="S23"/>
      <c r="T23"/>
      <c r="U23"/>
      <c r="V23"/>
      <c r="W23"/>
    </row>
    <row r="24" spans="1:31" ht="11.1" customHeight="1">
      <c r="A24" s="291"/>
      <c r="B24" s="274"/>
      <c r="C24" s="274"/>
      <c r="D24" s="274"/>
      <c r="E24" s="274"/>
      <c r="F24" s="274"/>
      <c r="G24" s="328"/>
      <c r="K24" s="368" t="s">
        <v>253</v>
      </c>
      <c r="L24" s="876" t="s">
        <v>227</v>
      </c>
      <c r="M24" s="877"/>
      <c r="N24" s="369" t="s">
        <v>223</v>
      </c>
      <c r="O24" s="370"/>
      <c r="P24" s="371"/>
      <c r="Q24" s="372">
        <f>SQRT(SUMSQ(Q18:Q21))</f>
        <v>4.0179204064305619E-2</v>
      </c>
      <c r="R24" s="373">
        <f>MIN(10000,ROUND(((Q24)^4)/(+(((Q19)^4)/R19)),0))</f>
        <v>10000</v>
      </c>
      <c r="S24"/>
      <c r="T24"/>
      <c r="U24"/>
      <c r="V24"/>
      <c r="W24"/>
    </row>
    <row r="25" spans="1:31" ht="15" customHeight="1" thickBot="1">
      <c r="A25" s="334"/>
      <c r="B25" s="274"/>
      <c r="C25" s="274"/>
      <c r="D25" s="335" t="s">
        <v>211</v>
      </c>
      <c r="E25" s="274"/>
      <c r="F25" s="274"/>
      <c r="G25" s="328"/>
      <c r="K25" s="374" t="s">
        <v>254</v>
      </c>
      <c r="L25" s="878" t="s">
        <v>229</v>
      </c>
      <c r="M25" s="879"/>
      <c r="N25" s="375" t="str">
        <f>"k = " &amp; O25</f>
        <v>k = 2</v>
      </c>
      <c r="O25" s="376">
        <f>ROUND(TINV(1-0.9545,R24),2)</f>
        <v>2</v>
      </c>
      <c r="P25" s="377"/>
      <c r="Q25" s="378">
        <f>IF(TRUNC(Q24*O25,4)-TRUNC((Q24*O25),3)&lt;=0.0001,ROUND((Q24*O25),3),ROUNDUP((Q24*O25),3))</f>
        <v>8.1000000000000003E-2</v>
      </c>
      <c r="R25" s="379"/>
      <c r="S25" s="220"/>
      <c r="T25" s="220"/>
      <c r="U25" s="220"/>
      <c r="V25" s="220"/>
    </row>
    <row r="26" spans="1:31" ht="11.1" customHeight="1">
      <c r="A26" s="334"/>
      <c r="B26" s="274"/>
      <c r="C26" s="274"/>
      <c r="D26" s="335"/>
      <c r="E26" s="274"/>
      <c r="F26" s="274"/>
      <c r="G26" s="328"/>
      <c r="I26" s="339"/>
      <c r="P26" s="266" t="s">
        <v>290</v>
      </c>
      <c r="Q26" s="315">
        <f>ROUND(Q25*100/B86,0)</f>
        <v>3</v>
      </c>
      <c r="S26" s="220"/>
      <c r="T26" s="220"/>
      <c r="U26" s="220"/>
      <c r="V26" s="220"/>
    </row>
    <row r="27" spans="1:31" ht="15" customHeight="1">
      <c r="A27" s="326" t="s">
        <v>216</v>
      </c>
      <c r="B27" s="344" t="s">
        <v>217</v>
      </c>
      <c r="C27" s="344" t="s">
        <v>218</v>
      </c>
      <c r="D27" s="344" t="s">
        <v>219</v>
      </c>
      <c r="E27" s="344" t="s">
        <v>220</v>
      </c>
      <c r="F27" s="344" t="s">
        <v>221</v>
      </c>
      <c r="G27" s="345" t="s">
        <v>222</v>
      </c>
      <c r="I27" s="339"/>
      <c r="P27" s="266" t="s">
        <v>291</v>
      </c>
      <c r="Q27" s="564">
        <f>MAX(3,ROUND(Q25*100/B86,0))</f>
        <v>3</v>
      </c>
    </row>
    <row r="28" spans="1:31" ht="15" customHeight="1">
      <c r="A28" s="326" t="s">
        <v>162</v>
      </c>
      <c r="B28" s="480">
        <f>Cola!F3</f>
        <v>6.4000000000000003E-3</v>
      </c>
      <c r="C28" s="480">
        <f>Cola!F4</f>
        <v>6.1999999999999998E-3</v>
      </c>
      <c r="D28" s="480">
        <f>Cola!F5</f>
        <v>6.3E-3</v>
      </c>
      <c r="E28" s="480">
        <f>Cola!F6</f>
        <v>6.0000000000000001E-3</v>
      </c>
      <c r="F28" s="480">
        <f>Cola!F7</f>
        <v>6.1000000000000004E-3</v>
      </c>
      <c r="G28" s="352">
        <f>AVERAGE(B28:F28)</f>
        <v>6.1999999999999998E-3</v>
      </c>
      <c r="I28" s="339"/>
      <c r="L28" t="s">
        <v>417</v>
      </c>
      <c r="M28" t="str">
        <f>LEFT(VLOOKUP("Incerteza Rz",Padroes!$B$3:$N$28,6,FALSE),SEARCH("+",VLOOKUP("Incerteza Rz",Padroes!$B$3:$N$28,6,FALSE))-1)</f>
        <v>0,008</v>
      </c>
      <c r="P28" s="266" t="s">
        <v>292</v>
      </c>
      <c r="Q28" s="651">
        <f>Q27*B86/100</f>
        <v>8.7835748999999991E-2</v>
      </c>
      <c r="R28" s="563"/>
      <c r="S28" s="563"/>
      <c r="T28" s="563"/>
      <c r="U28" s="567"/>
    </row>
    <row r="29" spans="1:31" ht="15" customHeight="1">
      <c r="A29" s="326" t="s">
        <v>163</v>
      </c>
      <c r="B29" s="480">
        <f>Cola!G3</f>
        <v>5.8599999999999999E-2</v>
      </c>
      <c r="C29" s="480">
        <f>Cola!G4</f>
        <v>5.5E-2</v>
      </c>
      <c r="D29" s="480">
        <f>Cola!G5</f>
        <v>5.8400000000000001E-2</v>
      </c>
      <c r="E29" s="480">
        <f>Cola!G6</f>
        <v>5.7799999999999997E-2</v>
      </c>
      <c r="F29" s="480">
        <f>Cola!G7</f>
        <v>5.5899999999999998E-2</v>
      </c>
      <c r="G29" s="352">
        <f>AVERAGE(B29:F29)</f>
        <v>5.7140000000000003E-2</v>
      </c>
      <c r="I29" s="339"/>
      <c r="L29" t="s">
        <v>418</v>
      </c>
      <c r="M29" t="str">
        <f>RIGHT(VLOOKUP("Incerteza Rz",Padroes!$B$4:$N$29,6,FALSE),LEN(VLOOKUP("Incerteza Rz",Padroes!$B$4:$N$29,6,FALSE))-SEARCH("/",VLOOKUP("Incerteza Rz",Padroes!$B$4:$N$29,6,FALSE)))</f>
        <v>33</v>
      </c>
      <c r="P29" s="266" t="s">
        <v>293</v>
      </c>
      <c r="Q29" s="315">
        <f>IF(FLOOR(Q28,1)&lt;&gt;0,1,IF(FLOOR(Q28,0.1)&lt;&gt;0,2,IF(FLOOR(Q28,0.01)&lt;&gt;0,3,IF(FLOOR(Q28,0.001)&lt;&gt;0,4,5))))</f>
        <v>3</v>
      </c>
    </row>
    <row r="30" spans="1:31" ht="15" customHeight="1" thickBot="1">
      <c r="A30" s="326" t="s">
        <v>164</v>
      </c>
      <c r="B30" s="480">
        <f>Cola!H3</f>
        <v>7.7299999999999994E-2</v>
      </c>
      <c r="C30" s="480">
        <f>Cola!H4</f>
        <v>5.6800000000000003E-2</v>
      </c>
      <c r="D30" s="480">
        <f>Cola!H5</f>
        <v>7.4099999999999999E-2</v>
      </c>
      <c r="E30" s="480">
        <f>Cola!H6</f>
        <v>6.8699999999999997E-2</v>
      </c>
      <c r="F30" s="480">
        <f>Cola!H7</f>
        <v>6.2700000000000006E-2</v>
      </c>
      <c r="G30" s="352">
        <f>AVERAGE(B30:F30)</f>
        <v>6.7920000000000008E-2</v>
      </c>
      <c r="I30" s="339" t="e">
        <f>MAX(FIXED(ROUND(STDEV(B30:F30),3),3),#REF!)</f>
        <v>#REF!</v>
      </c>
      <c r="Q30" s="315"/>
      <c r="U30" s="346"/>
    </row>
    <row r="31" spans="1:31" ht="11.1" customHeight="1" thickBot="1">
      <c r="A31" s="365"/>
      <c r="B31" s="366"/>
      <c r="C31" s="366"/>
      <c r="D31" s="366"/>
      <c r="E31" s="366"/>
      <c r="F31" s="366"/>
      <c r="G31" s="367"/>
      <c r="I31" s="339"/>
      <c r="K31" s="329" t="s">
        <v>209</v>
      </c>
      <c r="L31" s="330" t="s">
        <v>303</v>
      </c>
      <c r="M31" s="331"/>
      <c r="N31" s="331"/>
      <c r="O31" s="331"/>
      <c r="P31" s="331"/>
      <c r="Q31" s="332"/>
      <c r="R31" s="333"/>
      <c r="U31" s="346"/>
    </row>
    <row r="32" spans="1:31" ht="15" customHeight="1" thickBot="1">
      <c r="A32" s="880" t="s">
        <v>228</v>
      </c>
      <c r="B32" s="881"/>
      <c r="C32" s="881"/>
      <c r="D32" s="881"/>
      <c r="E32" s="881"/>
      <c r="F32" s="881"/>
      <c r="G32" s="882"/>
      <c r="I32" s="339"/>
      <c r="K32" s="380">
        <f>SERV</f>
        <v>9.423</v>
      </c>
      <c r="L32" s="873" t="s">
        <v>163</v>
      </c>
      <c r="M32" s="874"/>
      <c r="N32" s="874"/>
      <c r="O32" s="874"/>
      <c r="P32" s="875"/>
      <c r="Q32" s="383"/>
      <c r="R32" s="384"/>
      <c r="U32" s="346"/>
    </row>
    <row r="33" spans="1:38" ht="11.1" customHeight="1">
      <c r="A33" s="320"/>
      <c r="B33" s="321"/>
      <c r="C33" s="321"/>
      <c r="D33" s="321"/>
      <c r="E33" s="321"/>
      <c r="F33" s="321"/>
      <c r="G33" s="322"/>
      <c r="I33" s="339"/>
      <c r="K33" s="347"/>
      <c r="L33" s="348" t="s">
        <v>281</v>
      </c>
      <c r="M33" s="349">
        <f>IF(ISERROR(M28)=TRUE,0,M28)+B87/M29</f>
        <v>0.28947929393939392</v>
      </c>
      <c r="N33" s="349" t="s">
        <v>223</v>
      </c>
      <c r="O33" s="350">
        <v>2</v>
      </c>
      <c r="P33" s="348">
        <v>1</v>
      </c>
      <c r="Q33" s="349">
        <f>M33/O33*P33</f>
        <v>0.14473964696969696</v>
      </c>
      <c r="R33" s="351" t="s">
        <v>226</v>
      </c>
      <c r="U33" s="346"/>
      <c r="AC33"/>
      <c r="AL33"/>
    </row>
    <row r="34" spans="1:38" ht="15" customHeight="1">
      <c r="A34" s="327" t="s">
        <v>426</v>
      </c>
      <c r="B34" s="311"/>
      <c r="C34" s="838">
        <v>6.2799999999999995E-2</v>
      </c>
      <c r="D34" s="321"/>
      <c r="E34"/>
      <c r="F34"/>
      <c r="G34"/>
      <c r="I34" s="339"/>
      <c r="K34" s="353"/>
      <c r="L34" s="354" t="s">
        <v>287</v>
      </c>
      <c r="M34" s="355">
        <f>D79/SQRT(12)</f>
        <v>2.2521225117832298E-2</v>
      </c>
      <c r="N34" s="355" t="s">
        <v>223</v>
      </c>
      <c r="O34" s="356">
        <v>1</v>
      </c>
      <c r="P34" s="357">
        <v>1</v>
      </c>
      <c r="Q34" s="355">
        <f>M34/O34*P34</f>
        <v>2.2521225117832298E-2</v>
      </c>
      <c r="R34" s="358">
        <f>12-1</f>
        <v>11</v>
      </c>
      <c r="U34" s="346"/>
      <c r="AC34"/>
      <c r="AL34"/>
    </row>
    <row r="35" spans="1:38" ht="11.1" customHeight="1">
      <c r="A35" s="320"/>
      <c r="B35" s="321"/>
      <c r="C35" s="321"/>
      <c r="D35" s="321"/>
      <c r="E35" s="321"/>
      <c r="F35" s="321"/>
      <c r="G35" s="322"/>
      <c r="I35" s="339"/>
      <c r="K35" s="353"/>
      <c r="L35" s="354" t="s">
        <v>224</v>
      </c>
      <c r="M35" s="355">
        <f>L6</f>
        <v>0</v>
      </c>
      <c r="N35" s="355" t="s">
        <v>225</v>
      </c>
      <c r="O35" s="356">
        <f>SQRT(3)</f>
        <v>1.7320508075688772</v>
      </c>
      <c r="P35" s="357">
        <v>1</v>
      </c>
      <c r="Q35" s="355">
        <f>M35/O35*P35</f>
        <v>0</v>
      </c>
      <c r="R35" s="358" t="s">
        <v>226</v>
      </c>
      <c r="U35" s="346"/>
      <c r="AC35"/>
      <c r="AL35"/>
    </row>
    <row r="36" spans="1:38" ht="15" customHeight="1">
      <c r="A36" s="385"/>
      <c r="B36" s="386"/>
      <c r="C36" s="387"/>
      <c r="D36" s="386"/>
      <c r="E36" s="321"/>
      <c r="F36" s="321"/>
      <c r="G36" s="322"/>
      <c r="I36" s="339"/>
      <c r="K36" s="353"/>
      <c r="L36" s="354" t="s">
        <v>289</v>
      </c>
      <c r="M36" s="355">
        <f>$L$8</f>
        <v>0</v>
      </c>
      <c r="N36" s="355" t="s">
        <v>225</v>
      </c>
      <c r="O36" s="356">
        <f>SQRT(3)</f>
        <v>1.7320508075688772</v>
      </c>
      <c r="P36" s="357">
        <v>1</v>
      </c>
      <c r="Q36" s="355">
        <f>M36/O36*P36</f>
        <v>0</v>
      </c>
      <c r="R36" s="662" t="s">
        <v>226</v>
      </c>
      <c r="U36" s="346"/>
      <c r="AC36"/>
      <c r="AL36"/>
    </row>
    <row r="37" spans="1:38" ht="15" customHeight="1">
      <c r="A37" s="385"/>
      <c r="B37" s="480"/>
      <c r="C37" s="387"/>
      <c r="D37" s="480"/>
      <c r="E37" s="321"/>
      <c r="F37" s="321"/>
      <c r="G37" s="322"/>
      <c r="I37" s="339"/>
      <c r="K37" s="353"/>
      <c r="L37" s="354"/>
      <c r="M37" s="355"/>
      <c r="N37" s="355"/>
      <c r="O37" s="356"/>
      <c r="P37" s="357"/>
      <c r="Q37" s="355"/>
      <c r="R37" s="662"/>
      <c r="U37" s="346"/>
      <c r="AC37"/>
      <c r="AL37"/>
    </row>
    <row r="38" spans="1:38" ht="15" customHeight="1" thickBot="1">
      <c r="A38" s="385"/>
      <c r="B38" s="480"/>
      <c r="C38" s="387"/>
      <c r="D38" s="480"/>
      <c r="E38" s="321"/>
      <c r="F38" s="321"/>
      <c r="G38" s="322"/>
      <c r="I38" s="339"/>
      <c r="K38" s="359"/>
      <c r="L38" s="360"/>
      <c r="M38" s="361"/>
      <c r="N38" s="361"/>
      <c r="O38" s="362"/>
      <c r="P38" s="363"/>
      <c r="Q38" s="361"/>
      <c r="R38" s="364"/>
      <c r="U38" s="346"/>
      <c r="AC38"/>
      <c r="AL38"/>
    </row>
    <row r="39" spans="1:38" ht="15" customHeight="1">
      <c r="A39" s="388"/>
      <c r="B39" s="480"/>
      <c r="C39" s="389"/>
      <c r="D39" s="480"/>
      <c r="E39" s="321"/>
      <c r="F39" s="321"/>
      <c r="G39" s="322"/>
      <c r="I39" s="339"/>
      <c r="K39" s="368" t="s">
        <v>253</v>
      </c>
      <c r="L39" s="876" t="s">
        <v>227</v>
      </c>
      <c r="M39" s="877"/>
      <c r="N39" s="369" t="s">
        <v>223</v>
      </c>
      <c r="O39" s="370"/>
      <c r="P39" s="371"/>
      <c r="Q39" s="372">
        <f>SQRT(SUMSQ(Q33:Q36))</f>
        <v>0.14648129909896548</v>
      </c>
      <c r="R39" s="373">
        <f>MIN(10000,ROUND(((Q39)^4)/(+(((Q34)^4)/R34)),0))</f>
        <v>10000</v>
      </c>
      <c r="U39" s="346"/>
      <c r="AC39"/>
      <c r="AL39"/>
    </row>
    <row r="40" spans="1:38" ht="15" customHeight="1" thickBot="1">
      <c r="A40" s="388"/>
      <c r="B40" s="389"/>
      <c r="C40" s="389"/>
      <c r="D40" s="389"/>
      <c r="E40" s="274"/>
      <c r="F40" s="389"/>
      <c r="G40" s="390"/>
      <c r="I40" s="339"/>
      <c r="K40" s="374" t="s">
        <v>254</v>
      </c>
      <c r="L40" s="878" t="s">
        <v>229</v>
      </c>
      <c r="M40" s="879"/>
      <c r="N40" s="375" t="str">
        <f>"k = " &amp; O40</f>
        <v>k = 2</v>
      </c>
      <c r="O40" s="376">
        <f>ROUND(TINV(1-0.9545,R39),2)</f>
        <v>2</v>
      </c>
      <c r="P40" s="377"/>
      <c r="Q40" s="378">
        <f>IF(TRUNC(Q39*O40,4)-TRUNC((Q39*O40),3)&lt;=0.0001,ROUND((Q39*O40),3),ROUNDUP((Q39*O40),3))</f>
        <v>0.29299999999999998</v>
      </c>
      <c r="R40" s="379"/>
      <c r="U40" s="346"/>
      <c r="AC40"/>
      <c r="AL40"/>
    </row>
    <row r="41" spans="1:38" ht="11.1" customHeight="1">
      <c r="A41" s="388"/>
      <c r="B41" s="389"/>
      <c r="C41" s="389"/>
      <c r="D41" s="389"/>
      <c r="E41" s="274"/>
      <c r="F41" s="389"/>
      <c r="G41" s="390"/>
      <c r="I41" s="339"/>
      <c r="P41" s="266" t="s">
        <v>290</v>
      </c>
      <c r="Q41" s="315">
        <f>ROUND(Q40*100/B87,0)</f>
        <v>3</v>
      </c>
      <c r="U41" s="346"/>
      <c r="AC41"/>
      <c r="AL41"/>
    </row>
    <row r="42" spans="1:38" ht="15" customHeight="1">
      <c r="A42" s="388"/>
      <c r="B42" s="392"/>
      <c r="C42" s="389"/>
      <c r="D42" s="392"/>
      <c r="E42" s="393"/>
      <c r="F42" s="386"/>
      <c r="G42" s="394"/>
      <c r="I42" s="339"/>
      <c r="K42"/>
      <c r="L42"/>
      <c r="M42"/>
      <c r="P42" s="266" t="s">
        <v>291</v>
      </c>
      <c r="Q42" s="564">
        <f>MAX(3,ROUND(Q40*100/B87,0))</f>
        <v>3</v>
      </c>
      <c r="U42" s="346"/>
      <c r="AC42"/>
      <c r="AL42"/>
    </row>
    <row r="43" spans="1:38" ht="11.1" customHeight="1" thickBot="1">
      <c r="A43" s="365"/>
      <c r="B43" s="366"/>
      <c r="C43" s="366"/>
      <c r="D43" s="366"/>
      <c r="E43" s="366"/>
      <c r="F43" s="366"/>
      <c r="G43" s="367"/>
      <c r="I43" s="339"/>
      <c r="K43"/>
      <c r="L43"/>
      <c r="M43"/>
      <c r="P43" s="266" t="s">
        <v>292</v>
      </c>
      <c r="Q43" s="651">
        <f>Q42*B87/100</f>
        <v>0.27866450100000001</v>
      </c>
      <c r="U43" s="346"/>
      <c r="AC43"/>
      <c r="AL43"/>
    </row>
    <row r="44" spans="1:38" ht="15" customHeight="1">
      <c r="A44" s="880"/>
      <c r="B44" s="881"/>
      <c r="C44" s="881"/>
      <c r="D44" s="881"/>
      <c r="E44" s="881"/>
      <c r="F44" s="881"/>
      <c r="G44" s="882"/>
      <c r="I44" s="339"/>
      <c r="K44"/>
      <c r="L44"/>
      <c r="M44"/>
      <c r="P44" s="266" t="s">
        <v>293</v>
      </c>
      <c r="Q44" s="315">
        <f>IF(FLOOR(Q43,1)&lt;&gt;0,1,IF(FLOOR(Q43,0.1)&lt;&gt;0,2,IF(FLOOR(Q43,0.01)&lt;&gt;0,3,IF(FLOOR(Q43,0.001)&lt;&gt;0,4,5))))</f>
        <v>2</v>
      </c>
      <c r="U44" s="346"/>
      <c r="AC44"/>
      <c r="AD44"/>
      <c r="AE44"/>
      <c r="AF44"/>
      <c r="AG44"/>
      <c r="AH44"/>
      <c r="AI44"/>
      <c r="AJ44"/>
      <c r="AK44"/>
      <c r="AL44"/>
    </row>
    <row r="45" spans="1:38" ht="11.1" customHeight="1">
      <c r="A45" s="327"/>
      <c r="B45" s="311"/>
      <c r="C45" s="311"/>
      <c r="D45" s="311"/>
      <c r="E45" s="311"/>
      <c r="F45" s="311"/>
      <c r="G45" s="395"/>
      <c r="I45" s="339"/>
      <c r="L45" t="s">
        <v>419</v>
      </c>
      <c r="M45" t="str">
        <f>LEFT(VLOOKUP("Incerteza Rz1max",Padroes!$B$3:$N$28,6,FALSE),SEARCH("+",VLOOKUP("Incerteza Rz1max",Padroes!$B$3:$N$28,6,FALSE))-1)</f>
        <v>0,008</v>
      </c>
      <c r="Q45" s="315"/>
      <c r="U45" s="346"/>
      <c r="AC45"/>
      <c r="AD45"/>
      <c r="AE45"/>
      <c r="AF45"/>
      <c r="AG45"/>
      <c r="AH45"/>
      <c r="AI45"/>
      <c r="AJ45"/>
      <c r="AK45"/>
      <c r="AL45"/>
    </row>
    <row r="46" spans="1:38" ht="15" customHeight="1">
      <c r="A46" s="291"/>
      <c r="B46" s="476"/>
      <c r="C46" s="279"/>
      <c r="D46" s="387"/>
      <c r="E46" s="279"/>
      <c r="F46" s="477"/>
      <c r="G46" s="328"/>
      <c r="L46" t="s">
        <v>420</v>
      </c>
      <c r="M46" t="str">
        <f>RIGHT(VLOOKUP("Incerteza Rz1max",Padroes!$B$4:$N$29,6,FALSE),LEN(VLOOKUP("Incerteza Rz1max",Padroes!$B$4:$N$29,6,FALSE))-SEARCH("/",VLOOKUP("Incerteza Rz1max",Padroes!$B$4:$N$29,6,FALSE)))</f>
        <v>33</v>
      </c>
      <c r="U46" s="346"/>
      <c r="AC46"/>
      <c r="AD46"/>
      <c r="AE46"/>
      <c r="AF46"/>
      <c r="AG46"/>
      <c r="AH46"/>
      <c r="AI46"/>
      <c r="AJ46"/>
      <c r="AK46"/>
      <c r="AL46"/>
    </row>
    <row r="47" spans="1:38" ht="15" customHeight="1" thickBot="1">
      <c r="A47" s="396"/>
      <c r="B47" s="478"/>
      <c r="C47" s="387"/>
      <c r="D47" s="479"/>
      <c r="E47" s="279"/>
      <c r="F47" s="479"/>
      <c r="G47" s="328"/>
      <c r="U47" s="346"/>
      <c r="AC47"/>
      <c r="AD47"/>
      <c r="AE47"/>
      <c r="AF47"/>
      <c r="AG47"/>
      <c r="AH47"/>
      <c r="AI47"/>
      <c r="AJ47"/>
      <c r="AK47"/>
      <c r="AL47"/>
    </row>
    <row r="48" spans="1:38" ht="11.1" customHeight="1" thickBot="1">
      <c r="A48" s="320"/>
      <c r="B48" s="321"/>
      <c r="C48" s="279"/>
      <c r="D48" s="279"/>
      <c r="E48" s="279"/>
      <c r="F48" s="279"/>
      <c r="G48" s="322"/>
      <c r="I48" s="339"/>
      <c r="K48" s="329" t="s">
        <v>209</v>
      </c>
      <c r="L48" s="330" t="s">
        <v>304</v>
      </c>
      <c r="M48" s="331"/>
      <c r="N48" s="331"/>
      <c r="O48" s="331"/>
      <c r="P48" s="331"/>
      <c r="Q48" s="332"/>
      <c r="R48" s="333"/>
      <c r="U48" s="346"/>
      <c r="AC48"/>
      <c r="AD48"/>
      <c r="AE48"/>
      <c r="AF48"/>
      <c r="AG48"/>
      <c r="AH48"/>
      <c r="AI48"/>
      <c r="AJ48"/>
      <c r="AK48"/>
      <c r="AL48"/>
    </row>
    <row r="49" spans="1:38" ht="15" customHeight="1" thickBot="1">
      <c r="A49" s="385"/>
      <c r="B49" s="476"/>
      <c r="C49" s="387"/>
      <c r="D49" s="476"/>
      <c r="E49" s="321"/>
      <c r="F49" s="321"/>
      <c r="G49" s="322"/>
      <c r="I49" s="339"/>
      <c r="K49" s="380">
        <f>SERV</f>
        <v>9.423</v>
      </c>
      <c r="L49" s="873" t="s">
        <v>164</v>
      </c>
      <c r="M49" s="874"/>
      <c r="N49" s="874"/>
      <c r="O49" s="874"/>
      <c r="P49" s="875"/>
      <c r="Q49" s="383"/>
      <c r="R49" s="384"/>
      <c r="U49" s="346"/>
      <c r="AC49"/>
      <c r="AD49"/>
      <c r="AE49"/>
      <c r="AF49"/>
      <c r="AG49"/>
      <c r="AH49"/>
      <c r="AI49"/>
      <c r="AJ49"/>
      <c r="AK49"/>
      <c r="AL49"/>
    </row>
    <row r="50" spans="1:38" ht="15" customHeight="1">
      <c r="A50" s="385"/>
      <c r="B50" s="480"/>
      <c r="C50" s="387"/>
      <c r="D50" s="480"/>
      <c r="E50" s="321"/>
      <c r="F50" s="321"/>
      <c r="G50" s="322"/>
      <c r="I50" s="339"/>
      <c r="K50" s="347"/>
      <c r="L50" s="348" t="s">
        <v>281</v>
      </c>
      <c r="M50" s="349">
        <f>IF(ISERROR(M45)=TRUE,0,M45)+B88/M46</f>
        <v>0.29207247575757578</v>
      </c>
      <c r="N50" s="349" t="s">
        <v>223</v>
      </c>
      <c r="O50" s="350">
        <v>2</v>
      </c>
      <c r="P50" s="348">
        <v>1</v>
      </c>
      <c r="Q50" s="349">
        <f>M50/O50*P50</f>
        <v>0.14603623787878789</v>
      </c>
      <c r="R50" s="351" t="s">
        <v>226</v>
      </c>
      <c r="U50" s="346"/>
      <c r="AC50"/>
      <c r="AD50"/>
      <c r="AE50"/>
      <c r="AF50"/>
      <c r="AG50"/>
      <c r="AH50"/>
      <c r="AI50"/>
      <c r="AJ50"/>
      <c r="AK50"/>
      <c r="AL50"/>
    </row>
    <row r="51" spans="1:38" ht="15" customHeight="1">
      <c r="A51" s="385"/>
      <c r="B51" s="480"/>
      <c r="C51" s="387"/>
      <c r="D51" s="480"/>
      <c r="E51" s="321"/>
      <c r="F51" s="321"/>
      <c r="G51" s="322"/>
      <c r="I51" s="339"/>
      <c r="K51" s="353"/>
      <c r="L51" s="354" t="s">
        <v>287</v>
      </c>
      <c r="M51" s="355">
        <f>E79/SQRT(12)</f>
        <v>4.9782532317971716E-2</v>
      </c>
      <c r="N51" s="355" t="s">
        <v>223</v>
      </c>
      <c r="O51" s="356">
        <v>1</v>
      </c>
      <c r="P51" s="357">
        <v>1</v>
      </c>
      <c r="Q51" s="355">
        <f>M51/O51*P51</f>
        <v>4.9782532317971716E-2</v>
      </c>
      <c r="R51" s="358">
        <f>12-1</f>
        <v>11</v>
      </c>
      <c r="U51" s="346"/>
      <c r="AC51"/>
      <c r="AD51"/>
      <c r="AE51"/>
      <c r="AF51"/>
      <c r="AG51"/>
      <c r="AH51"/>
      <c r="AI51"/>
      <c r="AJ51"/>
      <c r="AK51"/>
      <c r="AL51"/>
    </row>
    <row r="52" spans="1:38" ht="15" customHeight="1">
      <c r="A52" s="388"/>
      <c r="B52" s="480"/>
      <c r="C52" s="481"/>
      <c r="D52" s="480"/>
      <c r="E52" s="321"/>
      <c r="F52" s="321"/>
      <c r="G52" s="322"/>
      <c r="I52" s="339"/>
      <c r="K52" s="353"/>
      <c r="L52" s="354" t="s">
        <v>224</v>
      </c>
      <c r="M52" s="355">
        <f>L6</f>
        <v>0</v>
      </c>
      <c r="N52" s="355" t="s">
        <v>225</v>
      </c>
      <c r="O52" s="356">
        <f>SQRT(3)</f>
        <v>1.7320508075688772</v>
      </c>
      <c r="P52" s="357">
        <v>1</v>
      </c>
      <c r="Q52" s="355">
        <f>M52/O52*P52</f>
        <v>0</v>
      </c>
      <c r="R52" s="358" t="s">
        <v>226</v>
      </c>
      <c r="U52" s="346"/>
      <c r="AC52"/>
      <c r="AD52"/>
      <c r="AE52"/>
      <c r="AF52"/>
      <c r="AG52"/>
      <c r="AH52"/>
      <c r="AI52"/>
      <c r="AJ52"/>
      <c r="AK52"/>
      <c r="AL52"/>
    </row>
    <row r="53" spans="1:38" ht="15" customHeight="1">
      <c r="A53" s="388"/>
      <c r="B53" s="389"/>
      <c r="C53" s="389"/>
      <c r="D53" s="389"/>
      <c r="E53" s="274"/>
      <c r="F53" s="389"/>
      <c r="G53" s="397"/>
      <c r="I53" s="339"/>
      <c r="K53" s="353"/>
      <c r="L53" s="354" t="s">
        <v>289</v>
      </c>
      <c r="M53" s="355">
        <f>$L$8</f>
        <v>0</v>
      </c>
      <c r="N53" s="355" t="s">
        <v>225</v>
      </c>
      <c r="O53" s="356">
        <f>SQRT(3)</f>
        <v>1.7320508075688772</v>
      </c>
      <c r="P53" s="357">
        <v>1</v>
      </c>
      <c r="Q53" s="355">
        <f>M53/O53*P53</f>
        <v>0</v>
      </c>
      <c r="R53" s="662" t="s">
        <v>226</v>
      </c>
      <c r="U53" s="346"/>
      <c r="AC53"/>
      <c r="AD53"/>
      <c r="AE53"/>
      <c r="AF53"/>
      <c r="AG53"/>
      <c r="AH53"/>
      <c r="AI53"/>
      <c r="AJ53"/>
      <c r="AK53"/>
      <c r="AL53"/>
    </row>
    <row r="54" spans="1:38" ht="11.1" customHeight="1">
      <c r="A54" s="388"/>
      <c r="B54" s="389"/>
      <c r="C54" s="389"/>
      <c r="D54" s="389"/>
      <c r="E54" s="274"/>
      <c r="F54" s="389"/>
      <c r="G54" s="391"/>
      <c r="I54" s="339"/>
      <c r="K54" s="353"/>
      <c r="L54" s="354"/>
      <c r="M54" s="355"/>
      <c r="N54" s="355"/>
      <c r="O54" s="356"/>
      <c r="P54" s="357"/>
      <c r="Q54" s="355"/>
      <c r="R54" s="662"/>
      <c r="U54" s="346"/>
      <c r="AC54"/>
      <c r="AD54"/>
      <c r="AE54"/>
      <c r="AF54"/>
      <c r="AG54"/>
      <c r="AH54"/>
      <c r="AI54"/>
      <c r="AJ54"/>
      <c r="AK54"/>
      <c r="AL54"/>
    </row>
    <row r="55" spans="1:38" ht="15" customHeight="1" thickBot="1">
      <c r="A55" s="398"/>
      <c r="B55" s="399"/>
      <c r="C55" s="400"/>
      <c r="D55" s="399"/>
      <c r="E55" s="401"/>
      <c r="F55" s="402"/>
      <c r="G55" s="403"/>
      <c r="I55" s="339"/>
      <c r="K55" s="359"/>
      <c r="L55" s="360"/>
      <c r="M55" s="361"/>
      <c r="N55" s="361"/>
      <c r="O55" s="362"/>
      <c r="P55" s="363"/>
      <c r="Q55" s="361"/>
      <c r="R55" s="364"/>
      <c r="U55" s="346"/>
      <c r="AC55"/>
      <c r="AD55"/>
      <c r="AE55"/>
      <c r="AF55"/>
      <c r="AG55"/>
      <c r="AH55"/>
      <c r="AI55"/>
      <c r="AJ55"/>
      <c r="AK55"/>
      <c r="AL55"/>
    </row>
    <row r="56" spans="1:38" ht="15" customHeight="1">
      <c r="A56" s="880" t="s">
        <v>230</v>
      </c>
      <c r="B56" s="881"/>
      <c r="C56" s="881"/>
      <c r="D56" s="881"/>
      <c r="E56" s="881"/>
      <c r="F56" s="881"/>
      <c r="G56" s="882"/>
      <c r="I56" s="339"/>
      <c r="K56" s="368" t="s">
        <v>253</v>
      </c>
      <c r="L56" s="876" t="s">
        <v>227</v>
      </c>
      <c r="M56" s="877"/>
      <c r="N56" s="369" t="s">
        <v>223</v>
      </c>
      <c r="O56" s="370"/>
      <c r="P56" s="371"/>
      <c r="Q56" s="372">
        <f>SQRT(SUMSQ(Q50:Q53))</f>
        <v>0.15428831225267783</v>
      </c>
      <c r="R56" s="373">
        <f>MIN(10000,ROUND(((Q56)^4)/(+(((Q51)^4)/R51)),0))</f>
        <v>1015</v>
      </c>
      <c r="U56" s="346"/>
      <c r="AC56"/>
      <c r="AD56"/>
      <c r="AE56"/>
      <c r="AF56"/>
      <c r="AG56"/>
      <c r="AH56"/>
      <c r="AI56"/>
      <c r="AJ56"/>
      <c r="AK56"/>
      <c r="AL56"/>
    </row>
    <row r="57" spans="1:38" ht="15" customHeight="1" thickBot="1">
      <c r="A57" s="327"/>
      <c r="B57" s="311"/>
      <c r="C57" s="311"/>
      <c r="D57" s="311"/>
      <c r="E57" s="311"/>
      <c r="F57" s="311"/>
      <c r="G57" s="395"/>
      <c r="I57" s="339"/>
      <c r="K57" s="374" t="s">
        <v>254</v>
      </c>
      <c r="L57" s="878" t="s">
        <v>229</v>
      </c>
      <c r="M57" s="879"/>
      <c r="N57" s="375" t="str">
        <f>"k = " &amp; O57</f>
        <v>k = 2</v>
      </c>
      <c r="O57" s="376">
        <f>ROUND(TINV(1-0.9545,R56),2)</f>
        <v>2</v>
      </c>
      <c r="P57" s="377"/>
      <c r="Q57" s="378">
        <f>IF(TRUNC(Q56*O57,4)-TRUNC((Q56*O57),3)&lt;=0.0001,ROUND((Q56*O57),3),ROUNDUP((Q56*O57),3))</f>
        <v>0.309</v>
      </c>
      <c r="R57" s="379"/>
      <c r="U57" s="346"/>
      <c r="AC57"/>
      <c r="AD57"/>
      <c r="AE57"/>
      <c r="AF57"/>
      <c r="AG57"/>
      <c r="AH57"/>
      <c r="AI57"/>
      <c r="AJ57"/>
      <c r="AK57"/>
      <c r="AL57"/>
    </row>
    <row r="58" spans="1:38" ht="15" customHeight="1">
      <c r="A58" s="404" t="s">
        <v>231</v>
      </c>
      <c r="B58" s="405"/>
      <c r="C58" s="323">
        <v>24</v>
      </c>
      <c r="D58" s="405"/>
      <c r="E58" s="274" t="s">
        <v>232</v>
      </c>
      <c r="F58" s="274"/>
      <c r="G58" s="542" t="s">
        <v>272</v>
      </c>
      <c r="I58" s="339"/>
      <c r="P58" s="266" t="s">
        <v>290</v>
      </c>
      <c r="Q58" s="315">
        <f>ROUND(Q57*100/B88,0)</f>
        <v>3</v>
      </c>
      <c r="U58" s="346"/>
      <c r="AC58"/>
      <c r="AD58"/>
      <c r="AE58"/>
      <c r="AF58"/>
      <c r="AG58"/>
      <c r="AH58"/>
      <c r="AI58"/>
      <c r="AJ58"/>
      <c r="AK58"/>
      <c r="AL58"/>
    </row>
    <row r="59" spans="1:38" ht="15" customHeight="1">
      <c r="A59" s="406" t="s">
        <v>233</v>
      </c>
      <c r="B59" s="405"/>
      <c r="C59" s="323">
        <v>22</v>
      </c>
      <c r="D59" s="405"/>
      <c r="E59" s="274" t="s">
        <v>206</v>
      </c>
      <c r="F59" s="321"/>
      <c r="G59" s="542" t="s">
        <v>273</v>
      </c>
      <c r="I59" s="339"/>
      <c r="K59"/>
      <c r="L59"/>
      <c r="M59"/>
      <c r="P59" s="266" t="s">
        <v>291</v>
      </c>
      <c r="Q59" s="564">
        <f>MAX(3,ROUND(Q57*100/B88,0))</f>
        <v>3</v>
      </c>
      <c r="U59" s="346"/>
      <c r="AC59"/>
      <c r="AD59"/>
      <c r="AE59"/>
      <c r="AF59"/>
      <c r="AG59"/>
      <c r="AH59"/>
      <c r="AI59"/>
      <c r="AJ59"/>
      <c r="AK59"/>
      <c r="AL59"/>
    </row>
    <row r="60" spans="1:38" ht="15" customHeight="1" thickBot="1">
      <c r="A60" s="291" t="s">
        <v>204</v>
      </c>
      <c r="B60" s="274"/>
      <c r="C60" s="496" t="str">
        <f>Tabelle1!E20</f>
        <v>1,5 mm</v>
      </c>
      <c r="D60" s="274"/>
      <c r="E60" s="274" t="s">
        <v>268</v>
      </c>
      <c r="F60" s="274"/>
      <c r="G60" s="324" t="str">
        <f>CONCATENATE(LEFT(Cola!K3,1),",",RIGHT(Cola!K3,2))</f>
        <v>0,25</v>
      </c>
      <c r="H60" s="675">
        <v>0.8</v>
      </c>
      <c r="I60" s="339" t="str">
        <f>LEFT(Cola!K3,1)</f>
        <v>0</v>
      </c>
      <c r="K60"/>
      <c r="L60"/>
      <c r="M60"/>
      <c r="P60" s="266" t="s">
        <v>292</v>
      </c>
      <c r="Q60" s="651">
        <f>Q59*B88/100</f>
        <v>0.28123175100000003</v>
      </c>
      <c r="U60" s="346"/>
    </row>
    <row r="61" spans="1:38" ht="15" customHeight="1">
      <c r="A61" s="291" t="s">
        <v>234</v>
      </c>
      <c r="B61" s="274"/>
      <c r="C61" s="496" t="str">
        <f>Tabelle1!E21</f>
        <v>1,7 mm</v>
      </c>
      <c r="D61" s="405"/>
      <c r="E61" s="274" t="s">
        <v>269</v>
      </c>
      <c r="F61" s="274"/>
      <c r="G61" s="324">
        <f>R5</f>
        <v>2.5000000000000001E-3</v>
      </c>
      <c r="H61" s="675">
        <v>2.5000000000000001E-3</v>
      </c>
      <c r="I61" s="339" t="str">
        <f>RIGHT(Cola!K3,2)</f>
        <v>25</v>
      </c>
      <c r="K61"/>
      <c r="L61" s="33"/>
      <c r="M61" s="34"/>
      <c r="N61" s="34"/>
      <c r="P61" s="266" t="s">
        <v>293</v>
      </c>
      <c r="Q61" s="315">
        <f>IF(FLOOR(Q60,1)&lt;&gt;0,1,IF(FLOOR(Q60,0.1)&lt;&gt;0,2,IF(FLOOR(Q60,0.01)&lt;&gt;0,3,IF(FLOOR(Q60,0.001)&lt;&gt;0,4,5))))</f>
        <v>2</v>
      </c>
      <c r="U61" s="346"/>
    </row>
    <row r="62" spans="1:38" ht="15" customHeight="1">
      <c r="A62" s="291"/>
      <c r="B62" s="274"/>
      <c r="C62" s="274"/>
      <c r="D62" s="405"/>
      <c r="E62" s="274" t="s">
        <v>205</v>
      </c>
      <c r="F62" s="274"/>
      <c r="G62" s="542">
        <f>(G60*5)</f>
        <v>1.25</v>
      </c>
      <c r="I62" s="339" t="str">
        <f>CONCATENATE(LEFT(Cola!K3,1),",",RIGHT(Cola!K3,2))</f>
        <v>0,25</v>
      </c>
      <c r="K62"/>
      <c r="L62" s="37"/>
      <c r="M62" s="41"/>
      <c r="Q62" s="315"/>
      <c r="U62" s="346"/>
    </row>
    <row r="63" spans="1:38" ht="15" customHeight="1" thickBot="1">
      <c r="A63" s="291"/>
      <c r="B63" s="274"/>
      <c r="C63" s="274"/>
      <c r="D63" s="405"/>
      <c r="E63" s="407" t="s">
        <v>207</v>
      </c>
      <c r="F63" s="405"/>
      <c r="G63" s="545" t="s">
        <v>274</v>
      </c>
      <c r="I63" s="339"/>
      <c r="K63"/>
      <c r="L63"/>
      <c r="M63"/>
      <c r="U63" s="346"/>
    </row>
    <row r="64" spans="1:38" ht="15" customHeight="1" thickBot="1">
      <c r="A64" s="291"/>
      <c r="B64" s="274"/>
      <c r="C64" s="274"/>
      <c r="D64" s="274"/>
      <c r="E64" s="274"/>
      <c r="F64" s="274"/>
      <c r="G64" s="328"/>
      <c r="K64" s="329" t="s">
        <v>209</v>
      </c>
      <c r="L64" s="330" t="s">
        <v>304</v>
      </c>
      <c r="M64" s="331"/>
      <c r="N64" s="331"/>
      <c r="O64" s="331"/>
      <c r="P64" s="331"/>
      <c r="Q64" s="332"/>
      <c r="R64" s="333"/>
      <c r="S64" s="220"/>
      <c r="T64" s="220"/>
      <c r="U64" s="220"/>
      <c r="AD64" s="300"/>
      <c r="AE64" s="507"/>
      <c r="AF64" s="507"/>
      <c r="AG64" s="507"/>
      <c r="AH64" s="507"/>
      <c r="AI64" s="507"/>
      <c r="AJ64" s="300"/>
      <c r="AK64" s="508"/>
    </row>
    <row r="65" spans="1:37" ht="15" customHeight="1" thickBot="1">
      <c r="A65" s="884" t="s">
        <v>235</v>
      </c>
      <c r="B65" s="868"/>
      <c r="C65" s="868" t="s">
        <v>236</v>
      </c>
      <c r="D65" s="868"/>
      <c r="E65" s="868"/>
      <c r="F65" s="868"/>
      <c r="G65" s="869"/>
      <c r="K65" s="380">
        <f>SERV</f>
        <v>9.423</v>
      </c>
      <c r="L65" s="873" t="s">
        <v>308</v>
      </c>
      <c r="M65" s="874"/>
      <c r="N65" s="874"/>
      <c r="O65" s="874"/>
      <c r="P65" s="875"/>
      <c r="Q65" s="383"/>
      <c r="R65" s="384"/>
      <c r="S65" s="220"/>
      <c r="T65" s="220"/>
      <c r="U65" s="220"/>
      <c r="AD65" s="300"/>
      <c r="AE65" s="387"/>
      <c r="AF65" s="387"/>
      <c r="AG65" s="387"/>
      <c r="AH65" s="387"/>
      <c r="AI65" s="387"/>
      <c r="AJ65" s="300"/>
      <c r="AK65" s="508"/>
    </row>
    <row r="66" spans="1:37" ht="15" customHeight="1">
      <c r="A66" s="381" t="s">
        <v>237</v>
      </c>
      <c r="B66" s="382" t="s">
        <v>238</v>
      </c>
      <c r="C66" s="344" t="s">
        <v>195</v>
      </c>
      <c r="D66" s="344" t="s">
        <v>198</v>
      </c>
      <c r="E66" s="344" t="s">
        <v>201</v>
      </c>
      <c r="F66" s="344" t="s">
        <v>300</v>
      </c>
      <c r="G66" s="345" t="s">
        <v>266</v>
      </c>
      <c r="K66" s="347"/>
      <c r="L66" s="348" t="s">
        <v>281</v>
      </c>
      <c r="M66" s="349" t="str">
        <f>VLOOKUP("Incerteza Rsm",Padroes!B3:N100,6,FALSE)</f>
        <v>0,05</v>
      </c>
      <c r="N66" s="349" t="s">
        <v>223</v>
      </c>
      <c r="O66" s="350">
        <v>2</v>
      </c>
      <c r="P66" s="348">
        <v>1</v>
      </c>
      <c r="Q66" s="349">
        <f>M66/O66*P66</f>
        <v>2.5000000000000001E-2</v>
      </c>
      <c r="R66" s="351" t="s">
        <v>226</v>
      </c>
      <c r="S66" s="220"/>
      <c r="T66" s="220"/>
      <c r="U66" s="220"/>
      <c r="AD66" s="300"/>
      <c r="AE66" s="300"/>
      <c r="AF66" s="565"/>
      <c r="AG66" s="565"/>
      <c r="AH66" s="300"/>
      <c r="AI66" s="300"/>
      <c r="AJ66" s="300"/>
      <c r="AK66" s="408"/>
    </row>
    <row r="67" spans="1:37" ht="15" customHeight="1">
      <c r="A67" s="409">
        <f>Tabelle1!B27</f>
        <v>1.8</v>
      </c>
      <c r="B67" s="410">
        <f>Tabelle1!C27</f>
        <v>1.7</v>
      </c>
      <c r="C67" s="413">
        <f>Cola!B3</f>
        <v>2.9230999999999998</v>
      </c>
      <c r="D67" s="413">
        <f>Cola!C3</f>
        <v>9.3018999999999998</v>
      </c>
      <c r="E67" s="413">
        <f>Cola!D3</f>
        <v>9.3156999999999996</v>
      </c>
      <c r="F67" s="413">
        <f>Cola!E3</f>
        <v>96.15</v>
      </c>
      <c r="G67" s="413" t="str">
        <f>IF(Cola!G67="","",Cola!G67)</f>
        <v/>
      </c>
      <c r="K67" s="353"/>
      <c r="L67" s="354" t="s">
        <v>287</v>
      </c>
      <c r="M67" s="355">
        <f>(F79/SQRT(12))/B89*100</f>
        <v>0.5975862136665574</v>
      </c>
      <c r="N67" s="355" t="s">
        <v>223</v>
      </c>
      <c r="O67" s="356">
        <v>1</v>
      </c>
      <c r="P67" s="357">
        <v>1</v>
      </c>
      <c r="Q67" s="355">
        <f>M67/O67*P67</f>
        <v>0.5975862136665574</v>
      </c>
      <c r="R67" s="358">
        <f>12-1</f>
        <v>11</v>
      </c>
      <c r="AD67" s="512"/>
      <c r="AE67" s="300"/>
      <c r="AF67" s="513"/>
      <c r="AG67" s="513"/>
      <c r="AH67" s="508"/>
      <c r="AI67" s="300"/>
      <c r="AJ67" s="513"/>
      <c r="AK67" s="300"/>
    </row>
    <row r="68" spans="1:37" ht="15" customHeight="1">
      <c r="A68" s="409">
        <f>Tabelle1!B28</f>
        <v>3.6</v>
      </c>
      <c r="B68" s="410">
        <f>Tabelle1!C28</f>
        <v>3.4</v>
      </c>
      <c r="C68" s="413">
        <f>Cola!B4</f>
        <v>2.9213</v>
      </c>
      <c r="D68" s="413">
        <f>Cola!C4</f>
        <v>9.2678999999999991</v>
      </c>
      <c r="E68" s="413">
        <f>Cola!D4</f>
        <v>9.2786000000000008</v>
      </c>
      <c r="F68" s="413">
        <f>Cola!E4</f>
        <v>96.15</v>
      </c>
      <c r="G68" s="413" t="str">
        <f>IF(Cola!G68="","",Cola!G68)</f>
        <v/>
      </c>
      <c r="K68" s="353"/>
      <c r="L68" s="354"/>
      <c r="M68" s="355"/>
      <c r="N68" s="355"/>
      <c r="O68" s="356"/>
      <c r="P68" s="357"/>
      <c r="Q68" s="355"/>
      <c r="R68" s="358"/>
      <c r="AD68" s="512"/>
      <c r="AE68" s="514"/>
      <c r="AF68" s="513"/>
      <c r="AG68" s="513"/>
      <c r="AH68" s="508"/>
      <c r="AI68" s="300"/>
      <c r="AJ68" s="513"/>
      <c r="AK68" s="300"/>
    </row>
    <row r="69" spans="1:37" ht="15" customHeight="1">
      <c r="A69" s="409">
        <f>Tabelle1!B29</f>
        <v>5.4</v>
      </c>
      <c r="B69" s="410">
        <f>Tabelle1!C29</f>
        <v>5.0999999999999996</v>
      </c>
      <c r="C69" s="413">
        <f>Cola!B5</f>
        <v>2.9224999999999999</v>
      </c>
      <c r="D69" s="413">
        <f>Cola!C5</f>
        <v>9.2685999999999993</v>
      </c>
      <c r="E69" s="413">
        <f>Cola!D5</f>
        <v>9.3203999999999994</v>
      </c>
      <c r="F69" s="413">
        <f>Cola!E5</f>
        <v>96.15</v>
      </c>
      <c r="G69" s="413" t="str">
        <f>IF(Cola!G69="","",Cola!G69)</f>
        <v/>
      </c>
      <c r="K69" s="353"/>
      <c r="L69" s="354"/>
      <c r="M69" s="355"/>
      <c r="N69" s="355"/>
      <c r="O69" s="356"/>
      <c r="P69" s="357"/>
      <c r="Q69" s="355"/>
      <c r="R69" s="662"/>
      <c r="AD69" s="512"/>
      <c r="AE69" s="514"/>
      <c r="AF69" s="513"/>
      <c r="AG69" s="513"/>
      <c r="AH69" s="508"/>
      <c r="AI69" s="300"/>
      <c r="AJ69" s="513"/>
      <c r="AK69" s="300"/>
    </row>
    <row r="70" spans="1:37" ht="15" customHeight="1">
      <c r="A70" s="409">
        <f>Tabelle1!B30</f>
        <v>7.2</v>
      </c>
      <c r="B70" s="410">
        <f>Tabelle1!C30</f>
        <v>6.8</v>
      </c>
      <c r="C70" s="413">
        <f>Cola!B6</f>
        <v>2.9068999999999998</v>
      </c>
      <c r="D70" s="413">
        <f>Cola!C6</f>
        <v>9.2111000000000001</v>
      </c>
      <c r="E70" s="413">
        <f>Cola!D6</f>
        <v>9.282</v>
      </c>
      <c r="F70" s="413">
        <f>Cola!E6</f>
        <v>100</v>
      </c>
      <c r="G70" s="413" t="str">
        <f>IF(Cola!G70="","",Cola!G70)</f>
        <v/>
      </c>
      <c r="I70"/>
      <c r="J70"/>
      <c r="K70" s="353"/>
      <c r="L70" s="354"/>
      <c r="M70" s="355"/>
      <c r="N70" s="355"/>
      <c r="O70" s="356"/>
      <c r="P70" s="357"/>
      <c r="Q70" s="355"/>
      <c r="R70" s="662"/>
      <c r="S70"/>
      <c r="AD70" s="512"/>
      <c r="AE70" s="514"/>
      <c r="AF70" s="513"/>
      <c r="AG70" s="513"/>
      <c r="AH70" s="508"/>
      <c r="AI70" s="300"/>
      <c r="AJ70" s="513"/>
      <c r="AK70" s="300"/>
    </row>
    <row r="71" spans="1:37" ht="15" customHeight="1" thickBot="1">
      <c r="A71" s="409">
        <f>Tabelle1!B31</f>
        <v>9</v>
      </c>
      <c r="B71" s="410">
        <f>Tabelle1!C31</f>
        <v>8.5</v>
      </c>
      <c r="C71" s="413">
        <f>Cola!B7</f>
        <v>2.9339</v>
      </c>
      <c r="D71" s="413">
        <f>Cola!C7</f>
        <v>9.2837999999999994</v>
      </c>
      <c r="E71" s="413">
        <f>Cola!D7</f>
        <v>9.423</v>
      </c>
      <c r="F71" s="413">
        <f>Cola!E7</f>
        <v>96.15</v>
      </c>
      <c r="G71" s="413" t="str">
        <f>IF(Cola!G71="","",Cola!G71)</f>
        <v/>
      </c>
      <c r="I71"/>
      <c r="J71"/>
      <c r="K71" s="359"/>
      <c r="L71" s="360"/>
      <c r="M71" s="361"/>
      <c r="N71" s="361"/>
      <c r="O71" s="362"/>
      <c r="P71" s="363"/>
      <c r="Q71" s="361"/>
      <c r="R71" s="364"/>
      <c r="S71"/>
      <c r="AD71" s="512"/>
      <c r="AE71" s="514"/>
      <c r="AF71" s="513"/>
      <c r="AG71" s="513"/>
      <c r="AH71" s="519"/>
      <c r="AI71" s="300"/>
      <c r="AJ71" s="513"/>
      <c r="AK71" s="300"/>
    </row>
    <row r="72" spans="1:37" ht="15" customHeight="1">
      <c r="A72" s="409">
        <f>Tabelle1!B32</f>
        <v>10.8</v>
      </c>
      <c r="B72" s="410">
        <f>Tabelle1!C32</f>
        <v>10.199999999999999</v>
      </c>
      <c r="C72" s="413">
        <f>Cola!B8</f>
        <v>2.9445999999999999</v>
      </c>
      <c r="D72" s="413">
        <f>Cola!C8</f>
        <v>9.4387000000000008</v>
      </c>
      <c r="E72" s="413">
        <f>Cola!D8</f>
        <v>9.6125000000000007</v>
      </c>
      <c r="F72" s="413">
        <f>Cola!E8</f>
        <v>100</v>
      </c>
      <c r="G72" s="413" t="str">
        <f>IF(Cola!G72="","",Cola!G72)</f>
        <v/>
      </c>
      <c r="I72"/>
      <c r="J72"/>
      <c r="K72" s="368" t="s">
        <v>253</v>
      </c>
      <c r="L72" s="876" t="s">
        <v>227</v>
      </c>
      <c r="M72" s="877"/>
      <c r="N72" s="369" t="s">
        <v>223</v>
      </c>
      <c r="O72" s="370"/>
      <c r="P72" s="371"/>
      <c r="Q72" s="372">
        <f>SQRT(SUMSQ(Q66:Q70))</f>
        <v>0.59810892215743816</v>
      </c>
      <c r="R72" s="373">
        <f>MIN(10000,ROUND(((Q72)^4)/(+(((Q67)^4)/R67)),0))</f>
        <v>11</v>
      </c>
      <c r="S72"/>
      <c r="AD72" s="512"/>
      <c r="AE72" s="514"/>
      <c r="AF72" s="513"/>
      <c r="AG72" s="513"/>
      <c r="AH72" s="519"/>
      <c r="AI72" s="300"/>
      <c r="AJ72" s="513"/>
      <c r="AK72" s="300"/>
    </row>
    <row r="73" spans="1:37" ht="15" customHeight="1" thickBot="1">
      <c r="A73" s="409">
        <f>Tabelle1!B33</f>
        <v>12.600000000000001</v>
      </c>
      <c r="B73" s="410">
        <f>Tabelle1!C33</f>
        <v>11.899999999999999</v>
      </c>
      <c r="C73" s="413">
        <f>Cola!B9</f>
        <v>2.9338000000000002</v>
      </c>
      <c r="D73" s="413">
        <f>Cola!C9</f>
        <v>9.1454000000000004</v>
      </c>
      <c r="E73" s="413">
        <f>Cola!D9</f>
        <v>9.1531000000000002</v>
      </c>
      <c r="F73" s="413">
        <f>Cola!E9</f>
        <v>100.1</v>
      </c>
      <c r="G73" s="413" t="str">
        <f>IF(Cola!G73="","",Cola!G73)</f>
        <v/>
      </c>
      <c r="I73"/>
      <c r="J73"/>
      <c r="K73" s="374" t="s">
        <v>254</v>
      </c>
      <c r="L73" s="878" t="s">
        <v>229</v>
      </c>
      <c r="M73" s="879"/>
      <c r="N73" s="375" t="str">
        <f>"k = " &amp; O73</f>
        <v>k = 2,25</v>
      </c>
      <c r="O73" s="376">
        <f>ROUND(TINV(1-0.9545,R72),2)</f>
        <v>2.25</v>
      </c>
      <c r="P73" s="377"/>
      <c r="Q73" s="378">
        <f>IF(TRUNC(Q72*O73,4)-TRUNC((Q72*O73),3)&lt;=0.0001,ROUND((Q72*O73),3),ROUNDUP((Q72*O73),3))</f>
        <v>1.3459999999999999</v>
      </c>
      <c r="R73" s="379"/>
      <c r="S73"/>
      <c r="AD73" s="512"/>
      <c r="AE73" s="300"/>
      <c r="AF73" s="513"/>
      <c r="AG73" s="513"/>
      <c r="AH73" s="519"/>
      <c r="AI73" s="300"/>
      <c r="AJ73" s="513"/>
      <c r="AK73" s="300"/>
    </row>
    <row r="74" spans="1:37" ht="15" customHeight="1">
      <c r="A74" s="409">
        <f>Tabelle1!B34</f>
        <v>14.400000000000002</v>
      </c>
      <c r="B74" s="410">
        <f>Tabelle1!C34</f>
        <v>13.599999999999998</v>
      </c>
      <c r="C74" s="413">
        <f>Cola!B10</f>
        <v>2.9317000000000002</v>
      </c>
      <c r="D74" s="413">
        <f>Cola!C10</f>
        <v>9.2530999999999999</v>
      </c>
      <c r="E74" s="413">
        <f>Cola!D10</f>
        <v>9.2911000000000001</v>
      </c>
      <c r="F74" s="413">
        <f>Cola!E10</f>
        <v>96.15</v>
      </c>
      <c r="G74" s="413" t="str">
        <f>IF(Cola!G74="","",Cola!G74)</f>
        <v/>
      </c>
      <c r="I74"/>
      <c r="J74"/>
      <c r="P74" s="266" t="s">
        <v>293</v>
      </c>
      <c r="Q74" s="315">
        <f>IF(FLOOR(Q73,1)&lt;&gt;0,0,IF(FLOOR(Q73,0.1)&lt;&gt;0,1,IF(FLOOR(Q73,0.01)&lt;&gt;0,2,IF(FLOOR(Q73,0.001)&lt;&gt;0,2,4))))</f>
        <v>0</v>
      </c>
      <c r="S74"/>
      <c r="T74" s="220"/>
      <c r="U74" s="220"/>
      <c r="AD74" s="512"/>
      <c r="AE74" s="300"/>
      <c r="AF74" s="519"/>
      <c r="AG74" s="513"/>
      <c r="AH74" s="519"/>
      <c r="AI74" s="300"/>
      <c r="AJ74" s="513"/>
      <c r="AK74" s="300"/>
    </row>
    <row r="75" spans="1:37" ht="15" customHeight="1">
      <c r="A75" s="409">
        <f>Tabelle1!B35</f>
        <v>16.200000000000003</v>
      </c>
      <c r="B75" s="410">
        <f>Tabelle1!C35</f>
        <v>15.299999999999997</v>
      </c>
      <c r="C75" s="413">
        <f>Cola!B11</f>
        <v>2.9287999999999998</v>
      </c>
      <c r="D75" s="413">
        <f>Cola!C11</f>
        <v>9.2940000000000005</v>
      </c>
      <c r="E75" s="413">
        <f>Cola!D11</f>
        <v>9.3476999999999997</v>
      </c>
      <c r="F75" s="413">
        <f>Cola!E11</f>
        <v>100.1</v>
      </c>
      <c r="G75" s="413" t="str">
        <f>IF(Cola!G75="","",Cola!G75)</f>
        <v/>
      </c>
      <c r="I75"/>
      <c r="J75"/>
      <c r="K75"/>
      <c r="L75"/>
      <c r="M75"/>
      <c r="P75" s="266" t="s">
        <v>290</v>
      </c>
      <c r="Q75" s="651">
        <f>ROUND(Q73,Q74)</f>
        <v>1</v>
      </c>
      <c r="S75"/>
      <c r="T75" s="220"/>
      <c r="U75" s="220"/>
      <c r="AD75" s="512"/>
      <c r="AE75" s="300"/>
      <c r="AF75" s="300"/>
      <c r="AG75" s="300"/>
      <c r="AH75" s="516"/>
      <c r="AI75" s="516"/>
      <c r="AJ75" s="514"/>
      <c r="AK75" s="517"/>
    </row>
    <row r="76" spans="1:37" ht="15" customHeight="1">
      <c r="A76" s="409">
        <f>Tabelle1!B36</f>
        <v>18.000000000000004</v>
      </c>
      <c r="B76" s="410">
        <f>Tabelle1!C36</f>
        <v>16.999999999999996</v>
      </c>
      <c r="C76" s="413">
        <f>Cola!B12</f>
        <v>2.9415</v>
      </c>
      <c r="D76" s="413">
        <f>Cola!C12</f>
        <v>9.3104999999999993</v>
      </c>
      <c r="E76" s="413">
        <f>Cola!D12</f>
        <v>9.3488000000000007</v>
      </c>
      <c r="F76" s="413">
        <f>Cola!E12</f>
        <v>96.15</v>
      </c>
      <c r="G76" s="413" t="str">
        <f>IF(Cola!G76="","",Cola!G76)</f>
        <v/>
      </c>
      <c r="I76"/>
      <c r="J76"/>
      <c r="K76"/>
      <c r="L76"/>
      <c r="M76"/>
      <c r="P76" s="266" t="s">
        <v>291</v>
      </c>
      <c r="Q76" s="841">
        <f>MAX(0.05,Q75)</f>
        <v>1</v>
      </c>
      <c r="S76"/>
      <c r="T76" s="220"/>
      <c r="U76" s="220"/>
      <c r="AD76" s="512"/>
      <c r="AE76" s="514"/>
      <c r="AF76" s="300"/>
      <c r="AG76" s="565"/>
      <c r="AH76" s="518"/>
      <c r="AI76" s="516"/>
      <c r="AJ76" s="519"/>
      <c r="AK76" s="300"/>
    </row>
    <row r="77" spans="1:37" ht="15" customHeight="1">
      <c r="A77" s="409">
        <f>Tabelle1!B37</f>
        <v>19.800000000000004</v>
      </c>
      <c r="B77" s="410">
        <f>Tabelle1!C37</f>
        <v>18.699999999999996</v>
      </c>
      <c r="C77" s="413">
        <f>Cola!B13</f>
        <v>2.9390000000000001</v>
      </c>
      <c r="D77" s="413">
        <f>Cola!C13</f>
        <v>9.2796000000000003</v>
      </c>
      <c r="E77" s="413">
        <f>Cola!D13</f>
        <v>9.3170999999999999</v>
      </c>
      <c r="F77" s="413">
        <f>Cola!E13</f>
        <v>100.2</v>
      </c>
      <c r="G77" s="413" t="str">
        <f>IF(Cola!G77="","",Cola!G77)</f>
        <v/>
      </c>
      <c r="I77"/>
      <c r="J77"/>
      <c r="K77"/>
      <c r="L77"/>
      <c r="M77"/>
      <c r="P77" s="266" t="s">
        <v>292</v>
      </c>
      <c r="Q77" s="651">
        <f>Q76*B89/100</f>
        <v>0.97787499999999994</v>
      </c>
      <c r="S77"/>
      <c r="T77" s="220"/>
      <c r="U77" s="220"/>
      <c r="AD77" s="566"/>
      <c r="AE77" s="566"/>
      <c r="AF77" s="566"/>
      <c r="AG77" s="566"/>
      <c r="AH77" s="566"/>
      <c r="AI77" s="566"/>
      <c r="AJ77" s="566"/>
      <c r="AK77" s="566"/>
    </row>
    <row r="78" spans="1:37" ht="15" customHeight="1">
      <c r="A78" s="409">
        <f>Tabelle1!B38</f>
        <v>21.600000000000005</v>
      </c>
      <c r="B78" s="410">
        <f>Tabelle1!C38</f>
        <v>20.399999999999995</v>
      </c>
      <c r="C78" s="413">
        <f>Cola!B14</f>
        <v>2.9072</v>
      </c>
      <c r="D78" s="413">
        <f>Cola!C14</f>
        <v>9.4111999999999991</v>
      </c>
      <c r="E78" s="413">
        <f>Cola!D14</f>
        <v>9.8026999999999997</v>
      </c>
      <c r="F78" s="413">
        <f>Cola!E14</f>
        <v>96.15</v>
      </c>
      <c r="G78" s="413" t="str">
        <f>IF(Cola!G78="","",Cola!G78)</f>
        <v/>
      </c>
      <c r="I78"/>
      <c r="J78"/>
      <c r="K78"/>
      <c r="L78"/>
      <c r="M78"/>
      <c r="P78" s="266" t="s">
        <v>293</v>
      </c>
      <c r="Q78" s="315">
        <f>Q74</f>
        <v>0</v>
      </c>
      <c r="S78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495"/>
      <c r="AE78" s="279"/>
      <c r="AF78" s="279"/>
      <c r="AG78" s="279"/>
      <c r="AH78" s="279"/>
      <c r="AI78" s="279"/>
      <c r="AJ78" s="279"/>
      <c r="AK78" s="279"/>
    </row>
    <row r="79" spans="1:37" ht="15" customHeight="1">
      <c r="A79" s="654" t="s">
        <v>284</v>
      </c>
      <c r="B79" s="655"/>
      <c r="C79" s="659">
        <f>STDEV(C67:C78)</f>
        <v>1.2204131813993747E-2</v>
      </c>
      <c r="D79" s="659">
        <f>STDEV(D67:D78)</f>
        <v>7.8015812305563828E-2</v>
      </c>
      <c r="E79" s="660">
        <f>STDEV(E67:E78)</f>
        <v>0.17245175060833329</v>
      </c>
      <c r="F79" s="661">
        <f>STDEV(F67:F78)</f>
        <v>2.0242984194305631</v>
      </c>
      <c r="G79" s="395"/>
      <c r="I79"/>
      <c r="J79"/>
      <c r="S79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300"/>
      <c r="AE79" s="507"/>
      <c r="AF79" s="507"/>
      <c r="AG79" s="507"/>
      <c r="AH79" s="507"/>
      <c r="AI79" s="507"/>
      <c r="AJ79" s="300"/>
      <c r="AK79" s="508"/>
    </row>
    <row r="80" spans="1:37" ht="15" customHeight="1">
      <c r="A80" s="327"/>
      <c r="B80" s="274"/>
      <c r="C80" s="386" t="s">
        <v>239</v>
      </c>
      <c r="D80" s="386" t="s">
        <v>240</v>
      </c>
      <c r="E80" s="386" t="s">
        <v>241</v>
      </c>
      <c r="F80" s="386" t="s">
        <v>242</v>
      </c>
      <c r="G80" s="415"/>
      <c r="I80"/>
      <c r="J80"/>
      <c r="S8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300"/>
      <c r="AE80" s="387"/>
      <c r="AF80" s="387"/>
      <c r="AG80" s="387"/>
      <c r="AH80" s="387"/>
      <c r="AI80" s="387"/>
      <c r="AJ80" s="300"/>
      <c r="AK80" s="508"/>
    </row>
    <row r="81" spans="1:37" ht="15" customHeight="1">
      <c r="A81" s="291"/>
      <c r="B81" s="274"/>
      <c r="C81" s="416">
        <f>MAX(C67:C78)</f>
        <v>2.9445999999999999</v>
      </c>
      <c r="D81" s="416">
        <f>MAX(D67:D78)</f>
        <v>9.4387000000000008</v>
      </c>
      <c r="E81" s="416">
        <f>MAX(E67:E78)</f>
        <v>9.8026999999999997</v>
      </c>
      <c r="F81" s="416">
        <f>MAX(F67:F78)</f>
        <v>100.2</v>
      </c>
      <c r="G81" s="415"/>
      <c r="I81"/>
      <c r="J81"/>
      <c r="S81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300"/>
      <c r="AE81" s="300"/>
      <c r="AF81" s="565"/>
      <c r="AG81" s="565"/>
      <c r="AH81" s="300"/>
      <c r="AI81" s="300"/>
      <c r="AJ81" s="300"/>
      <c r="AK81" s="408"/>
    </row>
    <row r="82" spans="1:37" ht="15" customHeight="1">
      <c r="A82" s="291"/>
      <c r="B82" s="274"/>
      <c r="C82" s="386" t="s">
        <v>243</v>
      </c>
      <c r="D82" s="386" t="s">
        <v>244</v>
      </c>
      <c r="E82" s="386" t="s">
        <v>245</v>
      </c>
      <c r="F82" s="386" t="s">
        <v>246</v>
      </c>
      <c r="G82" s="415"/>
      <c r="I82"/>
      <c r="J82"/>
      <c r="S82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512"/>
      <c r="AE82" s="300"/>
      <c r="AF82" s="513"/>
      <c r="AG82" s="513"/>
      <c r="AH82" s="508"/>
      <c r="AI82" s="300"/>
      <c r="AJ82" s="513"/>
      <c r="AK82" s="300"/>
    </row>
    <row r="83" spans="1:37" ht="15" customHeight="1">
      <c r="A83" s="291"/>
      <c r="B83" s="274"/>
      <c r="C83" s="417">
        <f>MIN(C67:C78)</f>
        <v>2.9068999999999998</v>
      </c>
      <c r="D83" s="417">
        <f>MIN(D67:D78)</f>
        <v>9.1454000000000004</v>
      </c>
      <c r="E83" s="417">
        <f>MIN(E67:E78)</f>
        <v>9.1531000000000002</v>
      </c>
      <c r="F83" s="417">
        <f>MIN(F67:F78)</f>
        <v>96.15</v>
      </c>
      <c r="G83" s="415"/>
      <c r="I83"/>
      <c r="J83"/>
      <c r="S83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512"/>
      <c r="AE83" s="514"/>
      <c r="AF83" s="513"/>
      <c r="AG83" s="513"/>
      <c r="AH83" s="508"/>
      <c r="AI83" s="300"/>
      <c r="AJ83" s="513"/>
      <c r="AK83" s="300"/>
    </row>
    <row r="84" spans="1:37" ht="15" customHeight="1">
      <c r="A84" s="291"/>
      <c r="B84" s="274"/>
      <c r="C84" s="274"/>
      <c r="D84" s="274"/>
      <c r="E84" s="274"/>
      <c r="F84" s="274"/>
      <c r="G84" s="328"/>
      <c r="I84"/>
      <c r="J84"/>
      <c r="S84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512"/>
      <c r="AE84" s="514"/>
      <c r="AF84" s="513"/>
      <c r="AG84" s="513"/>
      <c r="AH84" s="508"/>
      <c r="AI84" s="300"/>
      <c r="AJ84" s="513"/>
      <c r="AK84" s="300"/>
    </row>
    <row r="85" spans="1:37" ht="15" customHeight="1">
      <c r="A85" s="327" t="s">
        <v>216</v>
      </c>
      <c r="B85" s="344" t="s">
        <v>247</v>
      </c>
      <c r="C85" s="344" t="s">
        <v>248</v>
      </c>
      <c r="D85" s="344" t="s">
        <v>249</v>
      </c>
      <c r="E85" s="344" t="s">
        <v>250</v>
      </c>
      <c r="F85" s="344"/>
      <c r="G85" s="395"/>
      <c r="I85"/>
      <c r="J85"/>
      <c r="S85"/>
      <c r="T85" s="220"/>
      <c r="U85" s="220"/>
      <c r="V85" s="220"/>
      <c r="W85" s="220"/>
      <c r="X85" s="220"/>
      <c r="Y85" s="220"/>
      <c r="Z85" s="220"/>
      <c r="AA85" s="220"/>
      <c r="AB85" s="220"/>
      <c r="AC85" s="220"/>
      <c r="AD85" s="512"/>
      <c r="AE85" s="514"/>
      <c r="AF85" s="513"/>
      <c r="AG85" s="513"/>
      <c r="AH85" s="508"/>
      <c r="AI85" s="300"/>
      <c r="AJ85" s="513"/>
      <c r="AK85" s="300"/>
    </row>
    <row r="86" spans="1:37" ht="15" customHeight="1">
      <c r="A86" s="327" t="s">
        <v>162</v>
      </c>
      <c r="B86" s="418">
        <f>ROUND(AVERAGE(C67:C78),7)</f>
        <v>2.9278583</v>
      </c>
      <c r="C86" s="411"/>
      <c r="D86" s="418">
        <f>B86-C86</f>
        <v>2.9278583</v>
      </c>
      <c r="E86" s="419" t="e">
        <f>ROUND((D86/C86)*100,2)</f>
        <v>#DIV/0!</v>
      </c>
      <c r="F86" s="311"/>
      <c r="G86" s="328"/>
      <c r="I86"/>
      <c r="J86"/>
      <c r="S86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512"/>
      <c r="AE86" s="514"/>
      <c r="AF86" s="513"/>
      <c r="AG86" s="513"/>
      <c r="AH86" s="519"/>
      <c r="AI86" s="300"/>
      <c r="AJ86" s="513"/>
      <c r="AK86" s="300"/>
    </row>
    <row r="87" spans="1:37" ht="15" customHeight="1">
      <c r="A87" s="327" t="s">
        <v>163</v>
      </c>
      <c r="B87" s="418">
        <f>ROUND(AVERAGE(D67:D78),7)</f>
        <v>9.2888166999999999</v>
      </c>
      <c r="C87" s="411"/>
      <c r="D87" s="418">
        <f>B87-C87</f>
        <v>9.2888166999999999</v>
      </c>
      <c r="E87" s="419" t="e">
        <f>ROUND((D87/C87)*100,2)</f>
        <v>#DIV/0!</v>
      </c>
      <c r="F87" s="274"/>
      <c r="G87" s="328"/>
      <c r="I87"/>
      <c r="J87"/>
      <c r="K87" s="314" t="s">
        <v>313</v>
      </c>
      <c r="L87" s="220"/>
      <c r="M87" s="220"/>
      <c r="N87" s="220"/>
      <c r="O87" s="220"/>
      <c r="P87" s="220"/>
      <c r="Q87" s="220"/>
      <c r="R87" s="220"/>
      <c r="S87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512"/>
      <c r="AE87" s="514"/>
      <c r="AF87" s="513"/>
      <c r="AG87" s="513"/>
      <c r="AH87" s="519"/>
      <c r="AI87" s="300"/>
      <c r="AJ87" s="513"/>
      <c r="AK87" s="300"/>
    </row>
    <row r="88" spans="1:37" ht="15" customHeight="1">
      <c r="A88" s="327" t="s">
        <v>164</v>
      </c>
      <c r="B88" s="418">
        <f>ROUND(AVERAGE(E67:E78),7)</f>
        <v>9.3743917000000003</v>
      </c>
      <c r="C88" s="411"/>
      <c r="D88" s="418">
        <f>B88-C88</f>
        <v>9.3743917000000003</v>
      </c>
      <c r="E88" s="419" t="e">
        <f>ROUND((D88/C88)*100,2)</f>
        <v>#DIV/0!</v>
      </c>
      <c r="F88" s="274"/>
      <c r="G88" s="395"/>
      <c r="I88"/>
      <c r="J88"/>
      <c r="K88"/>
      <c r="L88" t="s">
        <v>282</v>
      </c>
      <c r="M88" t="str">
        <f>LEFT(VLOOKUP("Incerteza Ra",Padroes!$B$3:$N$28,6,FALSE),SEARCH("+",VLOOKUP("Incerteza Ra",Padroes!$B$3:$N$28,6,FALSE))-1)</f>
        <v>0,003</v>
      </c>
      <c r="N88"/>
      <c r="P88"/>
      <c r="Q88"/>
      <c r="R88"/>
      <c r="S88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512"/>
      <c r="AE88" s="300"/>
      <c r="AF88" s="513"/>
      <c r="AG88" s="513"/>
      <c r="AH88" s="519"/>
      <c r="AI88" s="300"/>
      <c r="AJ88" s="513"/>
      <c r="AK88" s="300"/>
    </row>
    <row r="89" spans="1:37" ht="15" customHeight="1">
      <c r="A89" s="327" t="str">
        <f>F66</f>
        <v>RSm</v>
      </c>
      <c r="B89" s="418">
        <f>ROUND(AVERAGE(F67:F78),7)</f>
        <v>97.787499999999994</v>
      </c>
      <c r="C89" s="411"/>
      <c r="D89" s="418">
        <f>B89-C89</f>
        <v>97.787499999999994</v>
      </c>
      <c r="E89" s="419" t="e">
        <f>ROUND((D89/C89)*100,2)</f>
        <v>#DIV/0!</v>
      </c>
      <c r="F89" s="311"/>
      <c r="G89" s="395"/>
      <c r="I89"/>
      <c r="J89"/>
      <c r="K89"/>
      <c r="L89" t="s">
        <v>283</v>
      </c>
      <c r="M89" t="str">
        <f>RIGHT(VLOOKUP("Incerteza Ra",Padroes!$B$4:$N$29,6,FALSE),LEN(VLOOKUP("Incerteza Ra",Padroes!$B$4:$N$29,6,FALSE))-SEARCH("/",VLOOKUP("Incerteza Ra",Padroes!$B$4:$N$29,6,FALSE)))</f>
        <v>38</v>
      </c>
      <c r="O89"/>
      <c r="P89"/>
      <c r="Q89"/>
      <c r="R89"/>
      <c r="S89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512"/>
      <c r="AE89" s="300"/>
      <c r="AF89" s="519"/>
      <c r="AG89" s="513"/>
      <c r="AH89" s="519"/>
      <c r="AI89" s="300"/>
      <c r="AJ89" s="513"/>
      <c r="AK89" s="300"/>
    </row>
    <row r="90" spans="1:37" ht="15" customHeight="1" thickBot="1">
      <c r="A90" s="327" t="s">
        <v>251</v>
      </c>
      <c r="B90" s="418" t="e">
        <f>ROUND(AVERAGE(G67:G78),7)*G42</f>
        <v>#DIV/0!</v>
      </c>
      <c r="C90" s="311"/>
      <c r="D90" s="311"/>
      <c r="E90" s="311"/>
      <c r="F90" s="311"/>
      <c r="G90" s="395"/>
      <c r="I90"/>
      <c r="J90"/>
      <c r="K90"/>
      <c r="L90"/>
      <c r="M90"/>
      <c r="N90"/>
      <c r="O90"/>
      <c r="P90"/>
      <c r="Q90"/>
      <c r="R90"/>
      <c r="S9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512"/>
      <c r="AE90" s="300"/>
      <c r="AF90" s="514"/>
      <c r="AG90" s="513"/>
      <c r="AH90" s="519"/>
      <c r="AI90" s="300"/>
      <c r="AJ90" s="514"/>
      <c r="AK90" s="300"/>
    </row>
    <row r="91" spans="1:37" ht="15" customHeight="1" thickBot="1">
      <c r="A91" s="327"/>
      <c r="B91" s="311"/>
      <c r="C91" s="311"/>
      <c r="D91" s="311"/>
      <c r="E91" s="311"/>
      <c r="F91" s="311"/>
      <c r="G91" s="395"/>
      <c r="I91"/>
      <c r="J91"/>
      <c r="K91" s="329" t="s">
        <v>209</v>
      </c>
      <c r="L91" s="330" t="s">
        <v>210</v>
      </c>
      <c r="M91" s="331"/>
      <c r="N91" s="331"/>
      <c r="O91" s="331"/>
      <c r="P91" s="331"/>
      <c r="Q91" s="332"/>
      <c r="R91" s="333"/>
      <c r="S91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512"/>
      <c r="AE91" s="300"/>
      <c r="AF91" s="300"/>
      <c r="AG91" s="300"/>
      <c r="AH91" s="516"/>
      <c r="AI91" s="516"/>
      <c r="AJ91" s="514"/>
      <c r="AK91" s="517"/>
    </row>
    <row r="92" spans="1:37" ht="15" customHeight="1" thickBot="1">
      <c r="A92" s="291"/>
      <c r="B92" s="274"/>
      <c r="C92" s="274"/>
      <c r="D92" s="274"/>
      <c r="E92" s="274"/>
      <c r="F92" s="274"/>
      <c r="G92" s="328"/>
      <c r="I92"/>
      <c r="J92"/>
      <c r="K92" s="336">
        <f>SERV</f>
        <v>9.423</v>
      </c>
      <c r="L92" s="870" t="s">
        <v>162</v>
      </c>
      <c r="M92" s="871"/>
      <c r="N92" s="871"/>
      <c r="O92" s="871"/>
      <c r="P92" s="872"/>
      <c r="Q92" s="337"/>
      <c r="R92" s="338"/>
      <c r="S92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512"/>
      <c r="AE92" s="514"/>
      <c r="AF92" s="300"/>
      <c r="AG92" s="565"/>
      <c r="AH92" s="518"/>
      <c r="AI92" s="516"/>
      <c r="AJ92" s="519"/>
      <c r="AK92" s="300"/>
    </row>
    <row r="93" spans="1:37" ht="15" customHeight="1" thickBot="1">
      <c r="A93" s="291"/>
      <c r="B93" s="274"/>
      <c r="C93" s="274"/>
      <c r="D93" s="274"/>
      <c r="E93" s="274"/>
      <c r="F93" s="274"/>
      <c r="G93" s="328"/>
      <c r="I93"/>
      <c r="J93"/>
      <c r="K93" s="340" t="s">
        <v>212</v>
      </c>
      <c r="L93" s="340" t="s">
        <v>132</v>
      </c>
      <c r="M93" s="341" t="str">
        <f>"+/- µm"</f>
        <v>+/- µm</v>
      </c>
      <c r="N93" s="341" t="s">
        <v>213</v>
      </c>
      <c r="O93" s="342" t="s">
        <v>214</v>
      </c>
      <c r="P93" s="342" t="s">
        <v>215</v>
      </c>
      <c r="Q93" s="342" t="str">
        <f>"+/- u [µm]"</f>
        <v>+/- u [µm]</v>
      </c>
      <c r="R93" s="343" t="s">
        <v>252</v>
      </c>
      <c r="S93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</row>
    <row r="94" spans="1:37" ht="15" customHeight="1">
      <c r="A94" s="291"/>
      <c r="B94" s="274"/>
      <c r="C94" s="274"/>
      <c r="D94" s="274"/>
      <c r="E94" s="274"/>
      <c r="F94" s="274"/>
      <c r="G94" s="328"/>
      <c r="I94"/>
      <c r="J94"/>
      <c r="K94" s="347"/>
      <c r="L94" s="348" t="s">
        <v>281</v>
      </c>
      <c r="M94" s="349">
        <f>M88+B127/M89</f>
        <v>8.1704823684210531E-2</v>
      </c>
      <c r="N94" s="349" t="s">
        <v>223</v>
      </c>
      <c r="O94" s="350">
        <v>2</v>
      </c>
      <c r="P94" s="348">
        <v>1</v>
      </c>
      <c r="Q94" s="349">
        <f>M94/O94*P94</f>
        <v>4.0852411842105266E-2</v>
      </c>
      <c r="R94" s="351" t="s">
        <v>226</v>
      </c>
      <c r="S94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</row>
    <row r="95" spans="1:37" ht="15" customHeight="1">
      <c r="A95" s="291"/>
      <c r="B95" s="274"/>
      <c r="C95" s="274"/>
      <c r="D95" s="274"/>
      <c r="E95" s="274"/>
      <c r="F95" s="274"/>
      <c r="G95" s="328"/>
      <c r="I95"/>
      <c r="J95"/>
      <c r="K95" s="353"/>
      <c r="L95" s="354" t="s">
        <v>287</v>
      </c>
      <c r="M95" s="355">
        <f>C120/SQRT(12)</f>
        <v>2.0997775254930429E-3</v>
      </c>
      <c r="N95" s="355" t="s">
        <v>223</v>
      </c>
      <c r="O95" s="356">
        <v>1</v>
      </c>
      <c r="P95" s="357">
        <v>1</v>
      </c>
      <c r="Q95" s="355">
        <f>M95/O95*P95</f>
        <v>2.0997775254930429E-3</v>
      </c>
      <c r="R95" s="358">
        <f>12-1</f>
        <v>11</v>
      </c>
      <c r="S95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</row>
    <row r="96" spans="1:37" ht="15" customHeight="1" thickBot="1">
      <c r="A96" s="317"/>
      <c r="B96" s="318"/>
      <c r="C96" s="318"/>
      <c r="D96" s="318"/>
      <c r="E96" s="318"/>
      <c r="F96" s="318"/>
      <c r="G96" s="420"/>
      <c r="I96"/>
      <c r="J96"/>
      <c r="K96" s="353"/>
      <c r="L96" s="354" t="s">
        <v>224</v>
      </c>
      <c r="M96" s="355">
        <f>L6</f>
        <v>0</v>
      </c>
      <c r="N96" s="355" t="s">
        <v>225</v>
      </c>
      <c r="O96" s="356">
        <f>SQRT(3)</f>
        <v>1.7320508075688772</v>
      </c>
      <c r="P96" s="357">
        <v>1</v>
      </c>
      <c r="Q96" s="355">
        <f>M96/O96*P96</f>
        <v>0</v>
      </c>
      <c r="R96" s="358" t="s">
        <v>226</v>
      </c>
      <c r="S96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</row>
    <row r="97" spans="1:30" ht="15" customHeight="1">
      <c r="A97" s="880" t="s">
        <v>230</v>
      </c>
      <c r="B97" s="881"/>
      <c r="C97" s="881"/>
      <c r="D97" s="881"/>
      <c r="E97" s="881"/>
      <c r="F97" s="881"/>
      <c r="G97" s="882"/>
      <c r="I97"/>
      <c r="J97"/>
      <c r="K97" s="353"/>
      <c r="L97" s="354" t="s">
        <v>289</v>
      </c>
      <c r="M97" s="355">
        <f>L8</f>
        <v>0</v>
      </c>
      <c r="N97" s="355" t="s">
        <v>225</v>
      </c>
      <c r="O97" s="356">
        <f>SQRT(3)</f>
        <v>1.7320508075688772</v>
      </c>
      <c r="P97" s="357">
        <v>1</v>
      </c>
      <c r="Q97" s="355">
        <f>M97/O97*P97</f>
        <v>0</v>
      </c>
      <c r="R97" s="662" t="s">
        <v>226</v>
      </c>
      <c r="S97"/>
      <c r="T97" s="220"/>
      <c r="U97" s="220"/>
      <c r="V97" s="220"/>
      <c r="W97" s="220"/>
      <c r="X97" s="220"/>
      <c r="Y97" s="220"/>
      <c r="Z97" s="220"/>
      <c r="AA97" s="220"/>
      <c r="AB97" s="220"/>
      <c r="AC97" s="220"/>
      <c r="AD97" s="220"/>
    </row>
    <row r="98" spans="1:30" ht="15" customHeight="1">
      <c r="A98" s="327"/>
      <c r="B98" s="311"/>
      <c r="C98" s="311"/>
      <c r="D98" s="311"/>
      <c r="E98" s="311"/>
      <c r="F98" s="311"/>
      <c r="G98" s="395"/>
      <c r="I98"/>
      <c r="J98"/>
      <c r="K98" s="353"/>
      <c r="L98" s="354"/>
      <c r="M98" s="355"/>
      <c r="N98" s="355"/>
      <c r="O98" s="356"/>
      <c r="P98" s="357"/>
      <c r="Q98" s="355"/>
      <c r="R98" s="662"/>
      <c r="S98"/>
      <c r="T98" s="220"/>
      <c r="U98" s="220"/>
      <c r="V98" s="220"/>
      <c r="W98" s="220"/>
      <c r="X98" s="220"/>
      <c r="Y98" s="220"/>
      <c r="Z98" s="220"/>
      <c r="AA98" s="220"/>
      <c r="AB98" s="220"/>
      <c r="AC98" s="220"/>
      <c r="AD98" s="220"/>
    </row>
    <row r="99" spans="1:30" ht="15" customHeight="1" thickBot="1">
      <c r="A99" s="404" t="s">
        <v>231</v>
      </c>
      <c r="B99" s="405"/>
      <c r="C99" s="323">
        <f>C58</f>
        <v>24</v>
      </c>
      <c r="D99" s="405"/>
      <c r="E99" s="274" t="s">
        <v>232</v>
      </c>
      <c r="F99" s="274"/>
      <c r="G99" s="542" t="s">
        <v>272</v>
      </c>
      <c r="I99"/>
      <c r="J99"/>
      <c r="K99" s="359"/>
      <c r="L99" s="360"/>
      <c r="M99" s="361"/>
      <c r="N99" s="361"/>
      <c r="O99" s="362"/>
      <c r="P99" s="363"/>
      <c r="Q99" s="361"/>
      <c r="R99" s="364"/>
      <c r="S99"/>
      <c r="T99" s="220"/>
      <c r="U99" s="220"/>
      <c r="V99" s="220"/>
      <c r="W99" s="220"/>
      <c r="X99" s="220"/>
      <c r="Y99" s="220"/>
      <c r="Z99" s="220"/>
      <c r="AA99" s="220"/>
      <c r="AB99" s="220"/>
      <c r="AC99" s="220"/>
      <c r="AD99" s="220"/>
    </row>
    <row r="100" spans="1:30" ht="15" customHeight="1">
      <c r="A100" s="406" t="s">
        <v>233</v>
      </c>
      <c r="B100" s="405"/>
      <c r="C100" s="323">
        <f>C59</f>
        <v>22</v>
      </c>
      <c r="D100" s="405"/>
      <c r="E100" s="274" t="s">
        <v>206</v>
      </c>
      <c r="F100" s="321"/>
      <c r="G100" s="542" t="s">
        <v>273</v>
      </c>
      <c r="I100"/>
      <c r="J100"/>
      <c r="K100" s="368" t="s">
        <v>253</v>
      </c>
      <c r="L100" s="383" t="s">
        <v>227</v>
      </c>
      <c r="M100" s="663"/>
      <c r="N100" s="369" t="s">
        <v>223</v>
      </c>
      <c r="O100" s="370"/>
      <c r="P100" s="371"/>
      <c r="Q100" s="372">
        <f>SQRT(SUMSQ(Q94:Q97))</f>
        <v>4.0906339593925395E-2</v>
      </c>
      <c r="R100" s="373">
        <f>MIN(10000,ROUND(((Q100)^4)/(+(((Q95)^4)/R95)),0))</f>
        <v>10000</v>
      </c>
      <c r="S100"/>
      <c r="T100" s="220"/>
      <c r="U100" s="220"/>
      <c r="V100" s="220"/>
      <c r="W100" s="220"/>
      <c r="X100" s="220"/>
      <c r="Y100" s="220"/>
      <c r="Z100" s="220"/>
      <c r="AA100" s="220"/>
      <c r="AB100" s="220"/>
      <c r="AC100" s="220"/>
      <c r="AD100" s="220"/>
    </row>
    <row r="101" spans="1:30" ht="15" customHeight="1" thickBot="1">
      <c r="A101" s="291" t="s">
        <v>204</v>
      </c>
      <c r="B101" s="274"/>
      <c r="C101" s="496" t="str">
        <f>C60</f>
        <v>1,5 mm</v>
      </c>
      <c r="D101" s="274"/>
      <c r="E101" s="274" t="s">
        <v>268</v>
      </c>
      <c r="F101" s="274"/>
      <c r="G101" s="324" t="str">
        <f>IF(Cola!K16="",CONCATENATE(LEFT(Cola!K3,1),",",RIGHT(Cola!K3,2)),CONCATENATE(LEFT(Cola!K16,1),",",RIGHT(Cola!K16,2)))</f>
        <v>0,80</v>
      </c>
      <c r="I101"/>
      <c r="J101"/>
      <c r="K101" s="374" t="s">
        <v>254</v>
      </c>
      <c r="L101" s="647" t="s">
        <v>229</v>
      </c>
      <c r="M101" s="648"/>
      <c r="N101" s="375" t="str">
        <f>"k = " &amp; O101</f>
        <v>k = 2</v>
      </c>
      <c r="O101" s="376">
        <f>ROUND(TINV(1-0.9545,R100),2)</f>
        <v>2</v>
      </c>
      <c r="P101" s="377"/>
      <c r="Q101" s="378">
        <f>IF(TRUNC(Q100*O101,4)-TRUNC((Q100*O101),3)&lt;=0.0001,ROUND((Q100*O101),3),ROUNDUP((Q100*O101),3))</f>
        <v>8.2000000000000003E-2</v>
      </c>
      <c r="R101" s="379"/>
      <c r="S101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</row>
    <row r="102" spans="1:30" ht="15" customHeight="1">
      <c r="A102" s="291" t="s">
        <v>234</v>
      </c>
      <c r="B102" s="274"/>
      <c r="C102" s="496" t="str">
        <f>C61</f>
        <v>1,7 mm</v>
      </c>
      <c r="D102" s="405"/>
      <c r="E102" s="274" t="s">
        <v>269</v>
      </c>
      <c r="F102" s="274"/>
      <c r="G102" s="324">
        <f>R6</f>
        <v>2.5000000000000001E-3</v>
      </c>
      <c r="I102"/>
      <c r="J102"/>
      <c r="P102" s="266" t="s">
        <v>290</v>
      </c>
      <c r="Q102" s="315">
        <f>ROUND(Q101*100/B127,0)</f>
        <v>3</v>
      </c>
      <c r="S102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</row>
    <row r="103" spans="1:30" ht="15" customHeight="1">
      <c r="A103" s="291"/>
      <c r="B103" s="274"/>
      <c r="C103" s="274"/>
      <c r="D103" s="405"/>
      <c r="E103" s="274" t="s">
        <v>205</v>
      </c>
      <c r="F103" s="274"/>
      <c r="G103" s="542">
        <f>(G101*5)</f>
        <v>4</v>
      </c>
      <c r="I103"/>
      <c r="J103"/>
      <c r="P103" s="266" t="s">
        <v>291</v>
      </c>
      <c r="Q103" s="564">
        <f>MAX(3,ROUND(Q101*100/B127,0))</f>
        <v>3</v>
      </c>
      <c r="S103"/>
      <c r="T103" s="220"/>
      <c r="U103" s="220"/>
      <c r="V103" s="220"/>
      <c r="W103" s="220"/>
      <c r="X103" s="220"/>
      <c r="Y103" s="220"/>
      <c r="Z103" s="220"/>
      <c r="AA103" s="220"/>
      <c r="AB103" s="220"/>
      <c r="AC103" s="220"/>
      <c r="AD103" s="220"/>
    </row>
    <row r="104" spans="1:30" ht="15" customHeight="1">
      <c r="A104" s="291"/>
      <c r="B104" s="274"/>
      <c r="C104" s="274"/>
      <c r="D104" s="405"/>
      <c r="E104" s="407" t="s">
        <v>207</v>
      </c>
      <c r="F104" s="405"/>
      <c r="G104" s="545" t="s">
        <v>274</v>
      </c>
      <c r="I104"/>
      <c r="J104"/>
      <c r="L104" t="s">
        <v>417</v>
      </c>
      <c r="M104" t="str">
        <f>LEFT(VLOOKUP("Incerteza Rz",Padroes!$B$3:$N$28,6,FALSE),SEARCH("+",VLOOKUP("Incerteza Rz",Padroes!$B$3:$N$28,6,FALSE))-1)</f>
        <v>0,008</v>
      </c>
      <c r="P104" s="266" t="s">
        <v>292</v>
      </c>
      <c r="Q104" s="651">
        <f>Q103*B127/100</f>
        <v>8.9723498999999998E-2</v>
      </c>
      <c r="R104" s="563"/>
      <c r="S104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</row>
    <row r="105" spans="1:30" ht="15" customHeight="1">
      <c r="A105" s="291"/>
      <c r="B105" s="274"/>
      <c r="C105" s="274"/>
      <c r="D105" s="274"/>
      <c r="E105" s="274"/>
      <c r="F105" s="274"/>
      <c r="G105" s="328"/>
      <c r="I105"/>
      <c r="J105"/>
      <c r="L105" t="s">
        <v>418</v>
      </c>
      <c r="M105" t="str">
        <f>RIGHT(VLOOKUP("Incerteza Rz",Padroes!$B$4:$N$29,6,FALSE),LEN(VLOOKUP("Incerteza Rz",Padroes!$B$4:$N$29,6,FALSE))-SEARCH("/",VLOOKUP("Incerteza Rz",Padroes!$B$4:$N$29,6,FALSE)))</f>
        <v>33</v>
      </c>
      <c r="P105" s="266" t="s">
        <v>293</v>
      </c>
      <c r="Q105" s="315">
        <f>IF(FLOOR(Q104,1)&lt;&gt;0,1,IF(FLOOR(Q104,0.1)&lt;&gt;0,2,IF(FLOOR(Q104,0.01)&lt;&gt;0,3,IF(FLOOR(Q104,0.001)&lt;&gt;0,4,5))))</f>
        <v>3</v>
      </c>
      <c r="S105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</row>
    <row r="106" spans="1:30" ht="15" customHeight="1" thickBot="1">
      <c r="A106" s="884" t="s">
        <v>235</v>
      </c>
      <c r="B106" s="868"/>
      <c r="C106" s="868" t="s">
        <v>236</v>
      </c>
      <c r="D106" s="868"/>
      <c r="E106" s="868"/>
      <c r="F106" s="868"/>
      <c r="G106" s="869"/>
      <c r="I106"/>
      <c r="J106"/>
      <c r="Q106" s="315"/>
      <c r="S106"/>
      <c r="T106" s="220"/>
      <c r="U106" s="220"/>
      <c r="V106" s="220"/>
      <c r="W106" s="220"/>
      <c r="X106" s="220"/>
      <c r="Y106" s="220"/>
      <c r="Z106" s="220"/>
      <c r="AA106" s="220"/>
      <c r="AB106" s="220"/>
      <c r="AC106" s="220"/>
      <c r="AD106" s="220"/>
    </row>
    <row r="107" spans="1:30" ht="20.100000000000001" customHeight="1" thickBot="1">
      <c r="A107" s="381" t="s">
        <v>237</v>
      </c>
      <c r="B107" s="382" t="s">
        <v>238</v>
      </c>
      <c r="C107" s="344" t="s">
        <v>195</v>
      </c>
      <c r="D107" s="344" t="s">
        <v>198</v>
      </c>
      <c r="E107" s="344" t="s">
        <v>201</v>
      </c>
      <c r="F107" s="344" t="s">
        <v>300</v>
      </c>
      <c r="G107" s="345" t="s">
        <v>266</v>
      </c>
      <c r="I107"/>
      <c r="J107"/>
      <c r="K107" s="329" t="s">
        <v>209</v>
      </c>
      <c r="L107" s="332" t="s">
        <v>303</v>
      </c>
      <c r="M107" s="652"/>
      <c r="N107" s="652"/>
      <c r="O107" s="652"/>
      <c r="P107" s="652"/>
      <c r="Q107" s="332"/>
      <c r="R107" s="333"/>
      <c r="S107"/>
      <c r="T107" s="220"/>
      <c r="U107" s="220"/>
      <c r="V107" s="220"/>
      <c r="W107" s="220"/>
      <c r="X107" s="220"/>
      <c r="Y107" s="220"/>
      <c r="Z107" s="220"/>
      <c r="AA107" s="220"/>
      <c r="AB107" s="220"/>
      <c r="AC107" s="220"/>
      <c r="AD107" s="220"/>
    </row>
    <row r="108" spans="1:30" ht="20.100000000000001" customHeight="1" thickBot="1">
      <c r="A108" s="409">
        <f t="shared" ref="A108:B119" si="0">A67</f>
        <v>1.8</v>
      </c>
      <c r="B108" s="410">
        <f t="shared" si="0"/>
        <v>1.7</v>
      </c>
      <c r="C108" s="413">
        <f>Cola!B16</f>
        <v>2.9853999999999998</v>
      </c>
      <c r="D108" s="413">
        <f>Cola!C16</f>
        <v>9.5137</v>
      </c>
      <c r="E108" s="413">
        <f>Cola!D16</f>
        <v>9.5216999999999992</v>
      </c>
      <c r="F108" s="413">
        <f>Cola!E16</f>
        <v>99.59</v>
      </c>
      <c r="G108" s="413" t="str">
        <f>IF(Cola!G108="","",Cola!G108)</f>
        <v/>
      </c>
      <c r="I108"/>
      <c r="J108"/>
      <c r="K108" s="380">
        <f>SERV</f>
        <v>9.423</v>
      </c>
      <c r="L108" s="381" t="s">
        <v>163</v>
      </c>
      <c r="M108" s="382"/>
      <c r="N108" s="382"/>
      <c r="O108" s="382"/>
      <c r="P108" s="646"/>
      <c r="Q108" s="383"/>
      <c r="R108" s="384"/>
      <c r="S108"/>
      <c r="T108" s="220"/>
      <c r="U108" s="220"/>
      <c r="V108" s="220"/>
      <c r="W108" s="220"/>
      <c r="X108" s="220"/>
      <c r="Y108" s="220"/>
      <c r="Z108" s="220"/>
      <c r="AA108" s="220"/>
      <c r="AB108" s="220"/>
      <c r="AC108" s="220"/>
      <c r="AD108" s="220"/>
    </row>
    <row r="109" spans="1:30" ht="20.100000000000001" customHeight="1">
      <c r="A109" s="409">
        <f t="shared" si="0"/>
        <v>3.6</v>
      </c>
      <c r="B109" s="410">
        <f t="shared" si="0"/>
        <v>3.4</v>
      </c>
      <c r="C109" s="413">
        <f>Cola!B17</f>
        <v>2.9876</v>
      </c>
      <c r="D109" s="413">
        <f>Cola!C17</f>
        <v>9.4984999999999999</v>
      </c>
      <c r="E109" s="413">
        <f>Cola!D17</f>
        <v>9.5206</v>
      </c>
      <c r="F109" s="413">
        <f>Cola!E17</f>
        <v>99.83</v>
      </c>
      <c r="G109" s="413" t="str">
        <f>IF(Cola!G109="","",Cola!G109)</f>
        <v/>
      </c>
      <c r="I109"/>
      <c r="J109"/>
      <c r="K109" s="347"/>
      <c r="L109" s="348" t="s">
        <v>281</v>
      </c>
      <c r="M109" s="349">
        <f>IF(ISERROR(M104)=TRUE,0,M104)+B128/M105</f>
        <v>0.29606313030303033</v>
      </c>
      <c r="N109" s="349" t="s">
        <v>223</v>
      </c>
      <c r="O109" s="350">
        <v>2</v>
      </c>
      <c r="P109" s="348">
        <v>1</v>
      </c>
      <c r="Q109" s="349">
        <f>M109/O109*P109</f>
        <v>0.14803156515151517</v>
      </c>
      <c r="R109" s="351" t="s">
        <v>226</v>
      </c>
      <c r="S109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</row>
    <row r="110" spans="1:30" ht="20.100000000000001" customHeight="1">
      <c r="A110" s="409">
        <f t="shared" si="0"/>
        <v>5.4</v>
      </c>
      <c r="B110" s="410">
        <f t="shared" si="0"/>
        <v>5.0999999999999996</v>
      </c>
      <c r="C110" s="413">
        <f>Cola!B18</f>
        <v>2.9866999999999999</v>
      </c>
      <c r="D110" s="413">
        <f>Cola!C18</f>
        <v>9.5012000000000008</v>
      </c>
      <c r="E110" s="413">
        <f>Cola!D18</f>
        <v>9.5169999999999995</v>
      </c>
      <c r="F110" s="413">
        <f>Cola!E18</f>
        <v>99.57</v>
      </c>
      <c r="G110" s="413" t="str">
        <f>IF(Cola!G110="","",Cola!G110)</f>
        <v/>
      </c>
      <c r="I110"/>
      <c r="J110"/>
      <c r="K110" s="353"/>
      <c r="L110" s="354" t="s">
        <v>287</v>
      </c>
      <c r="M110" s="355">
        <f>D120/SQRT(12)</f>
        <v>1.3085904013035676E-2</v>
      </c>
      <c r="N110" s="355" t="s">
        <v>223</v>
      </c>
      <c r="O110" s="356">
        <v>1</v>
      </c>
      <c r="P110" s="357">
        <v>1</v>
      </c>
      <c r="Q110" s="355">
        <f>M110/O110*P110</f>
        <v>1.3085904013035676E-2</v>
      </c>
      <c r="R110" s="358">
        <f>12-1</f>
        <v>11</v>
      </c>
      <c r="S110"/>
      <c r="T110" s="220"/>
      <c r="U110" s="220"/>
      <c r="V110" s="220"/>
      <c r="W110" s="220"/>
      <c r="X110" s="220"/>
      <c r="Y110" s="220"/>
      <c r="Z110" s="220"/>
      <c r="AA110" s="220"/>
      <c r="AB110" s="220"/>
      <c r="AC110" s="220"/>
      <c r="AD110" s="220"/>
    </row>
    <row r="111" spans="1:30" ht="20.100000000000001" customHeight="1">
      <c r="A111" s="409">
        <f t="shared" si="0"/>
        <v>7.2</v>
      </c>
      <c r="B111" s="410">
        <f t="shared" si="0"/>
        <v>6.8</v>
      </c>
      <c r="C111" s="413">
        <f>Cola!B19</f>
        <v>2.9849999999999999</v>
      </c>
      <c r="D111" s="413">
        <f>Cola!C19</f>
        <v>9.4829000000000008</v>
      </c>
      <c r="E111" s="413">
        <f>Cola!D19</f>
        <v>9.4918999999999993</v>
      </c>
      <c r="F111" s="413">
        <f>Cola!E19</f>
        <v>98.87</v>
      </c>
      <c r="G111" s="413" t="str">
        <f>IF(Cola!G111="","",Cola!G111)</f>
        <v/>
      </c>
      <c r="I111"/>
      <c r="J111"/>
      <c r="K111" s="353"/>
      <c r="L111" s="354" t="s">
        <v>224</v>
      </c>
      <c r="M111" s="355">
        <f>L6</f>
        <v>0</v>
      </c>
      <c r="N111" s="355" t="s">
        <v>225</v>
      </c>
      <c r="O111" s="356">
        <f>SQRT(3)</f>
        <v>1.7320508075688772</v>
      </c>
      <c r="P111" s="357">
        <v>1</v>
      </c>
      <c r="Q111" s="355">
        <f>M111/O111*P111</f>
        <v>0</v>
      </c>
      <c r="R111" s="358" t="s">
        <v>226</v>
      </c>
      <c r="S111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20"/>
      <c r="AD111" s="220"/>
    </row>
    <row r="112" spans="1:30" ht="20.100000000000001" customHeight="1">
      <c r="A112" s="409">
        <f t="shared" si="0"/>
        <v>9</v>
      </c>
      <c r="B112" s="410">
        <f t="shared" si="0"/>
        <v>8.5</v>
      </c>
      <c r="C112" s="413">
        <f>Cola!B20</f>
        <v>2.9923000000000002</v>
      </c>
      <c r="D112" s="413">
        <f>Cola!C20</f>
        <v>9.5290999999999997</v>
      </c>
      <c r="E112" s="413">
        <f>Cola!D20</f>
        <v>9.6561000000000003</v>
      </c>
      <c r="F112" s="413">
        <f>Cola!E20</f>
        <v>99.86</v>
      </c>
      <c r="G112" s="413" t="str">
        <f>IF(Cola!G112="","",Cola!G112)</f>
        <v/>
      </c>
      <c r="I112"/>
      <c r="J112"/>
      <c r="K112" s="353"/>
      <c r="L112" s="354" t="s">
        <v>289</v>
      </c>
      <c r="M112" s="355">
        <f>$L$8</f>
        <v>0</v>
      </c>
      <c r="N112" s="355" t="s">
        <v>225</v>
      </c>
      <c r="O112" s="356">
        <f>SQRT(3)</f>
        <v>1.7320508075688772</v>
      </c>
      <c r="P112" s="357">
        <v>1</v>
      </c>
      <c r="Q112" s="355">
        <f>M112/O112*P112</f>
        <v>0</v>
      </c>
      <c r="R112" s="662" t="s">
        <v>226</v>
      </c>
      <c r="S112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</row>
    <row r="113" spans="1:30" ht="20.100000000000001" customHeight="1">
      <c r="A113" s="409">
        <f t="shared" si="0"/>
        <v>10.8</v>
      </c>
      <c r="B113" s="410">
        <f t="shared" si="0"/>
        <v>10.199999999999999</v>
      </c>
      <c r="C113" s="413">
        <f>Cola!B21</f>
        <v>2.9965999999999999</v>
      </c>
      <c r="D113" s="413">
        <f>Cola!C21</f>
        <v>9.5548999999999999</v>
      </c>
      <c r="E113" s="413">
        <f>Cola!D21</f>
        <v>9.8468</v>
      </c>
      <c r="F113" s="413">
        <f>Cola!E21</f>
        <v>100.1</v>
      </c>
      <c r="G113" s="413" t="str">
        <f>IF(Cola!G113="","",Cola!G113)</f>
        <v/>
      </c>
      <c r="I113"/>
      <c r="J113"/>
      <c r="K113" s="353"/>
      <c r="L113" s="354"/>
      <c r="M113" s="355"/>
      <c r="N113" s="355"/>
      <c r="O113" s="356"/>
      <c r="P113" s="357"/>
      <c r="Q113" s="355"/>
      <c r="R113" s="662"/>
      <c r="S113"/>
      <c r="T113" s="220"/>
      <c r="U113" s="220"/>
      <c r="V113" s="220"/>
      <c r="W113" s="220"/>
      <c r="X113" s="220"/>
      <c r="Y113" s="220"/>
      <c r="Z113" s="220"/>
      <c r="AA113" s="220"/>
      <c r="AB113" s="220"/>
      <c r="AC113" s="220"/>
      <c r="AD113" s="220"/>
    </row>
    <row r="114" spans="1:30" ht="20.100000000000001" customHeight="1" thickBot="1">
      <c r="A114" s="409">
        <f t="shared" si="0"/>
        <v>12.600000000000001</v>
      </c>
      <c r="B114" s="410">
        <f t="shared" si="0"/>
        <v>11.899999999999999</v>
      </c>
      <c r="C114" s="413">
        <f>Cola!B22</f>
        <v>2.9956999999999998</v>
      </c>
      <c r="D114" s="413">
        <f>Cola!C22</f>
        <v>9.375</v>
      </c>
      <c r="E114" s="413">
        <f>Cola!D22</f>
        <v>9.3966999999999992</v>
      </c>
      <c r="F114" s="413">
        <f>Cola!E22</f>
        <v>99.36</v>
      </c>
      <c r="G114" s="413" t="str">
        <f>IF(Cola!G114="","",Cola!G114)</f>
        <v/>
      </c>
      <c r="K114" s="359"/>
      <c r="L114" s="360"/>
      <c r="M114" s="361"/>
      <c r="N114" s="361"/>
      <c r="O114" s="362"/>
      <c r="P114" s="363"/>
      <c r="Q114" s="361"/>
      <c r="R114" s="364"/>
      <c r="S114" s="220"/>
      <c r="T114" s="220"/>
      <c r="U114" s="220"/>
      <c r="V114" s="220"/>
      <c r="W114" s="220"/>
      <c r="X114" s="220"/>
      <c r="Y114" s="220"/>
      <c r="Z114" s="220"/>
      <c r="AA114" s="220"/>
      <c r="AB114" s="220"/>
      <c r="AC114" s="220"/>
      <c r="AD114" s="220"/>
    </row>
    <row r="115" spans="1:30" ht="20.100000000000001" customHeight="1">
      <c r="A115" s="409">
        <f t="shared" si="0"/>
        <v>14.400000000000002</v>
      </c>
      <c r="B115" s="410">
        <f t="shared" si="0"/>
        <v>13.599999999999998</v>
      </c>
      <c r="C115" s="413">
        <f>Cola!B23</f>
        <v>2.9758</v>
      </c>
      <c r="D115" s="413">
        <f>Cola!C23</f>
        <v>9.5122</v>
      </c>
      <c r="E115" s="413">
        <f>Cola!D23</f>
        <v>9.5531000000000006</v>
      </c>
      <c r="F115" s="413">
        <f>Cola!E23</f>
        <v>99.49</v>
      </c>
      <c r="G115" s="413" t="str">
        <f>IF(Cola!G115="","",Cola!G115)</f>
        <v/>
      </c>
      <c r="K115" s="368" t="s">
        <v>253</v>
      </c>
      <c r="L115" s="383" t="s">
        <v>227</v>
      </c>
      <c r="M115" s="663"/>
      <c r="N115" s="369" t="s">
        <v>223</v>
      </c>
      <c r="O115" s="370"/>
      <c r="P115" s="371"/>
      <c r="Q115" s="372">
        <f>SQRT(SUMSQ(Q109:Q112))</f>
        <v>0.14860883272889824</v>
      </c>
      <c r="R115" s="373">
        <f>MIN(10000,ROUND(((Q115)^4)/(+(((Q110)^4)/R110)),0))</f>
        <v>10000</v>
      </c>
      <c r="S115" s="220"/>
      <c r="T115" s="220"/>
      <c r="U115" s="220"/>
      <c r="V115" s="220"/>
      <c r="W115" s="220"/>
      <c r="X115" s="220"/>
      <c r="Y115" s="220"/>
      <c r="Z115" s="220"/>
      <c r="AA115" s="220"/>
      <c r="AB115" s="220"/>
      <c r="AC115" s="220"/>
      <c r="AD115" s="220"/>
    </row>
    <row r="116" spans="1:30" ht="20.100000000000001" customHeight="1" thickBot="1">
      <c r="A116" s="409">
        <f t="shared" si="0"/>
        <v>16.200000000000003</v>
      </c>
      <c r="B116" s="410">
        <f t="shared" si="0"/>
        <v>15.299999999999997</v>
      </c>
      <c r="C116" s="413">
        <f>Cola!B24</f>
        <v>2.9986000000000002</v>
      </c>
      <c r="D116" s="413">
        <f>Cola!C24</f>
        <v>9.5162999999999993</v>
      </c>
      <c r="E116" s="413">
        <f>Cola!D24</f>
        <v>9.5470000000000006</v>
      </c>
      <c r="F116" s="413">
        <f>Cola!E24</f>
        <v>99.07</v>
      </c>
      <c r="G116" s="413" t="str">
        <f>IF(Cola!G116="","",Cola!G116)</f>
        <v/>
      </c>
      <c r="K116" s="374" t="s">
        <v>254</v>
      </c>
      <c r="L116" s="647" t="s">
        <v>229</v>
      </c>
      <c r="M116" s="648"/>
      <c r="N116" s="375" t="str">
        <f>"k = " &amp; O116</f>
        <v>k = 2</v>
      </c>
      <c r="O116" s="376">
        <f>ROUND(TINV(1-0.9545,R115),2)</f>
        <v>2</v>
      </c>
      <c r="P116" s="377"/>
      <c r="Q116" s="378">
        <f>IF(TRUNC(Q115*O116,4)-TRUNC((Q115*O116),3)&lt;=0.0001,ROUND((Q115*O116),3),ROUNDUP((Q115*O116),3))</f>
        <v>0.29799999999999999</v>
      </c>
      <c r="R116" s="379"/>
      <c r="S116" s="220"/>
      <c r="T116" s="220"/>
      <c r="U116" s="220"/>
      <c r="V116" s="220"/>
      <c r="W116" s="220"/>
      <c r="X116" s="220"/>
      <c r="Y116" s="220"/>
      <c r="Z116" s="220"/>
      <c r="AA116" s="220"/>
      <c r="AB116" s="220"/>
      <c r="AC116" s="220"/>
      <c r="AD116" s="220"/>
    </row>
    <row r="117" spans="1:30" ht="20.100000000000001" customHeight="1">
      <c r="A117" s="409">
        <f t="shared" si="0"/>
        <v>18.000000000000004</v>
      </c>
      <c r="B117" s="410">
        <f t="shared" si="0"/>
        <v>16.999999999999996</v>
      </c>
      <c r="C117" s="413">
        <f>Cola!B25</f>
        <v>2.9988999999999999</v>
      </c>
      <c r="D117" s="413">
        <f>Cola!C25</f>
        <v>9.5320999999999998</v>
      </c>
      <c r="E117" s="413">
        <f>Cola!D25</f>
        <v>9.548</v>
      </c>
      <c r="F117" s="413">
        <f>Cola!E25</f>
        <v>99.66</v>
      </c>
      <c r="G117" s="413" t="str">
        <f>IF(Cola!G117="","",Cola!G117)</f>
        <v/>
      </c>
      <c r="P117" s="266" t="s">
        <v>290</v>
      </c>
      <c r="Q117" s="315">
        <f>ROUND(Q116*100/B128,0)</f>
        <v>3</v>
      </c>
      <c r="S117" s="220"/>
      <c r="T117" s="220"/>
      <c r="U117" s="220"/>
      <c r="V117" s="220"/>
      <c r="W117" s="220"/>
      <c r="X117" s="220"/>
      <c r="Y117" s="220"/>
      <c r="Z117" s="220"/>
      <c r="AA117" s="220"/>
      <c r="AB117" s="220"/>
      <c r="AC117" s="220"/>
      <c r="AD117" s="220"/>
    </row>
    <row r="118" spans="1:30" ht="20.100000000000001" customHeight="1">
      <c r="A118" s="409">
        <f t="shared" si="0"/>
        <v>19.800000000000004</v>
      </c>
      <c r="B118" s="410">
        <f t="shared" si="0"/>
        <v>18.699999999999996</v>
      </c>
      <c r="C118" s="413">
        <f>Cola!B26</f>
        <v>2.9992000000000001</v>
      </c>
      <c r="D118" s="413">
        <f>Cola!C26</f>
        <v>9.5297999999999998</v>
      </c>
      <c r="E118" s="413">
        <f>Cola!D26</f>
        <v>9.5808</v>
      </c>
      <c r="F118" s="413">
        <f>Cola!E26</f>
        <v>99.37</v>
      </c>
      <c r="G118" s="413" t="str">
        <f>IF(Cola!G118="","",Cola!G118)</f>
        <v/>
      </c>
      <c r="K118"/>
      <c r="L118"/>
      <c r="M118"/>
      <c r="P118" s="266" t="s">
        <v>291</v>
      </c>
      <c r="Q118" s="564">
        <f>MAX(3,ROUND(Q116*100/B128,0))</f>
        <v>3</v>
      </c>
      <c r="S118" s="220"/>
      <c r="T118" s="220"/>
      <c r="U118" s="220"/>
      <c r="V118" s="220"/>
      <c r="W118" s="220"/>
      <c r="X118" s="220"/>
      <c r="Y118" s="220"/>
      <c r="Z118" s="220"/>
      <c r="AA118" s="220"/>
      <c r="AB118" s="220"/>
      <c r="AC118" s="220"/>
      <c r="AD118" s="220"/>
    </row>
    <row r="119" spans="1:30" ht="20.100000000000001" customHeight="1">
      <c r="A119" s="409">
        <f t="shared" si="0"/>
        <v>21.600000000000005</v>
      </c>
      <c r="B119" s="410">
        <f t="shared" si="0"/>
        <v>20.399999999999995</v>
      </c>
      <c r="C119" s="413">
        <f>Cola!B27</f>
        <v>2.9876</v>
      </c>
      <c r="D119" s="413">
        <f>Cola!C27</f>
        <v>9.5273000000000003</v>
      </c>
      <c r="E119" s="413">
        <f>Cola!D27</f>
        <v>9.6399000000000008</v>
      </c>
      <c r="F119" s="413">
        <f>Cola!E27</f>
        <v>99.76</v>
      </c>
      <c r="G119" s="413" t="str">
        <f>IF(Cola!G119="","",Cola!G119)</f>
        <v/>
      </c>
      <c r="K119"/>
      <c r="L119"/>
      <c r="M119"/>
      <c r="P119" s="266" t="s">
        <v>292</v>
      </c>
      <c r="Q119" s="651">
        <f>Q118*B128/100</f>
        <v>0.28518249900000003</v>
      </c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</row>
    <row r="120" spans="1:30" ht="20.100000000000001" customHeight="1">
      <c r="A120" s="654" t="s">
        <v>284</v>
      </c>
      <c r="B120" s="655"/>
      <c r="C120" s="656">
        <f>STDEV(C108:C119)</f>
        <v>7.2738427174904065E-3</v>
      </c>
      <c r="D120" s="656">
        <f>STDEV(D108:D119)</f>
        <v>4.5330901227094503E-2</v>
      </c>
      <c r="E120" s="657">
        <f>STDEV(E108:E119)</f>
        <v>0.1103765373618871</v>
      </c>
      <c r="F120" s="658">
        <f>STDEV(F108:F119)</f>
        <v>0.34373505477153077</v>
      </c>
      <c r="G120" s="395"/>
      <c r="K120"/>
      <c r="L120"/>
      <c r="M120"/>
      <c r="P120" s="266" t="s">
        <v>293</v>
      </c>
      <c r="Q120" s="315">
        <f>IF(FLOOR(Q119,1)&lt;&gt;0,1,IF(FLOOR(Q119,0.1)&lt;&gt;0,2,IF(FLOOR(Q119,0.01)&lt;&gt;0,3,IF(FLOOR(Q119,0.001)&lt;&gt;0,4,5))))</f>
        <v>2</v>
      </c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  <c r="AC120" s="220"/>
      <c r="AD120" s="220"/>
    </row>
    <row r="121" spans="1:30" ht="20.100000000000001" customHeight="1">
      <c r="A121" s="327"/>
      <c r="B121" s="274"/>
      <c r="C121" s="386" t="s">
        <v>239</v>
      </c>
      <c r="D121" s="386" t="s">
        <v>240</v>
      </c>
      <c r="E121" s="386" t="s">
        <v>241</v>
      </c>
      <c r="F121" s="386" t="s">
        <v>242</v>
      </c>
      <c r="G121" s="415"/>
      <c r="L121" t="s">
        <v>419</v>
      </c>
      <c r="M121" t="str">
        <f>LEFT(VLOOKUP("Incerteza Rz1max",Padroes!$B$3:$N$28,6,FALSE),SEARCH("+",VLOOKUP("Incerteza Rz1max",Padroes!$B$3:$N$28,6,FALSE))-1)</f>
        <v>0,008</v>
      </c>
      <c r="Q121" s="315"/>
      <c r="S121" s="220"/>
      <c r="T121" s="220"/>
      <c r="U121" s="220"/>
      <c r="V121" s="220"/>
      <c r="W121" s="220"/>
      <c r="X121" s="220"/>
      <c r="Y121" s="220"/>
      <c r="Z121" s="220"/>
      <c r="AA121" s="220"/>
      <c r="AB121" s="220"/>
      <c r="AC121" s="220"/>
      <c r="AD121" s="220"/>
    </row>
    <row r="122" spans="1:30" ht="20.100000000000001" customHeight="1">
      <c r="A122" s="291"/>
      <c r="B122" s="274"/>
      <c r="C122" s="416">
        <f>MAX(C108:C119)</f>
        <v>2.9992000000000001</v>
      </c>
      <c r="D122" s="416">
        <f>MAX(D108:D119)</f>
        <v>9.5548999999999999</v>
      </c>
      <c r="E122" s="416">
        <f>MAX(E108:E119)</f>
        <v>9.8468</v>
      </c>
      <c r="F122" s="416">
        <f>MAX(F108:F119)</f>
        <v>100.1</v>
      </c>
      <c r="G122" s="415"/>
      <c r="L122" t="s">
        <v>420</v>
      </c>
      <c r="M122" t="str">
        <f>RIGHT(VLOOKUP("Incerteza Rz1max",Padroes!$B$4:$N$29,6,FALSE),LEN(VLOOKUP("Incerteza Rz1max",Padroes!$B$4:$N$29,6,FALSE))-SEARCH("/",VLOOKUP("Incerteza Rz1max",Padroes!$B$4:$N$29,6,FALSE)))</f>
        <v>33</v>
      </c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  <c r="AC122" s="220"/>
      <c r="AD122" s="220"/>
    </row>
    <row r="123" spans="1:30" ht="20.100000000000001" customHeight="1" thickBot="1">
      <c r="A123" s="291"/>
      <c r="B123" s="274"/>
      <c r="C123" s="386" t="s">
        <v>243</v>
      </c>
      <c r="D123" s="386" t="s">
        <v>244</v>
      </c>
      <c r="E123" s="386" t="s">
        <v>245</v>
      </c>
      <c r="F123" s="386" t="s">
        <v>246</v>
      </c>
      <c r="G123" s="415"/>
      <c r="S123" s="220"/>
      <c r="T123" s="220"/>
      <c r="U123" s="220"/>
      <c r="V123" s="220"/>
      <c r="W123" s="220"/>
      <c r="X123" s="220"/>
      <c r="Y123" s="220"/>
      <c r="Z123" s="220"/>
      <c r="AA123" s="220"/>
      <c r="AB123" s="220"/>
      <c r="AC123" s="220"/>
      <c r="AD123" s="220"/>
    </row>
    <row r="124" spans="1:30" ht="20.100000000000001" customHeight="1" thickBot="1">
      <c r="A124" s="291"/>
      <c r="B124" s="274"/>
      <c r="C124" s="417">
        <f>MIN(C108:C119)</f>
        <v>2.9758</v>
      </c>
      <c r="D124" s="417">
        <f>MIN(D108:D119)</f>
        <v>9.375</v>
      </c>
      <c r="E124" s="417">
        <f>MIN(E108:E119)</f>
        <v>9.3966999999999992</v>
      </c>
      <c r="F124" s="417">
        <f>MIN(F108:F119)</f>
        <v>98.87</v>
      </c>
      <c r="G124" s="415"/>
      <c r="K124" s="329" t="s">
        <v>209</v>
      </c>
      <c r="L124" s="332" t="s">
        <v>304</v>
      </c>
      <c r="M124" s="652"/>
      <c r="N124" s="652"/>
      <c r="O124" s="652"/>
      <c r="P124" s="652"/>
      <c r="Q124" s="332"/>
      <c r="R124" s="333"/>
      <c r="S124" s="220"/>
      <c r="T124" s="220"/>
      <c r="U124" s="220"/>
      <c r="V124" s="220"/>
      <c r="W124" s="220"/>
      <c r="X124" s="220"/>
      <c r="Y124" s="220"/>
      <c r="Z124" s="220"/>
      <c r="AA124" s="220"/>
      <c r="AB124" s="220"/>
      <c r="AC124" s="220"/>
      <c r="AD124" s="220"/>
    </row>
    <row r="125" spans="1:30" ht="20.100000000000001" customHeight="1" thickBot="1">
      <c r="A125" s="291"/>
      <c r="B125" s="274"/>
      <c r="C125" s="274"/>
      <c r="D125" s="274"/>
      <c r="E125" s="274"/>
      <c r="F125" s="274"/>
      <c r="G125" s="328"/>
      <c r="K125" s="380">
        <f>SERV</f>
        <v>9.423</v>
      </c>
      <c r="L125" s="381" t="s">
        <v>164</v>
      </c>
      <c r="M125" s="382"/>
      <c r="N125" s="382"/>
      <c r="O125" s="382"/>
      <c r="P125" s="646"/>
      <c r="Q125" s="383"/>
      <c r="R125" s="384"/>
      <c r="S125" s="220"/>
      <c r="T125" s="220"/>
      <c r="U125" s="220"/>
      <c r="V125" s="220"/>
      <c r="W125" s="220"/>
      <c r="X125" s="220"/>
      <c r="Y125" s="220"/>
      <c r="Z125" s="220"/>
      <c r="AA125" s="220"/>
      <c r="AB125" s="220"/>
      <c r="AC125" s="220"/>
      <c r="AD125" s="220"/>
    </row>
    <row r="126" spans="1:30" ht="20.100000000000001" customHeight="1">
      <c r="A126" s="327" t="s">
        <v>216</v>
      </c>
      <c r="B126" s="344" t="s">
        <v>247</v>
      </c>
      <c r="C126" s="344" t="s">
        <v>248</v>
      </c>
      <c r="D126" s="344" t="s">
        <v>249</v>
      </c>
      <c r="E126" s="344" t="s">
        <v>250</v>
      </c>
      <c r="F126" s="344"/>
      <c r="G126" s="395"/>
      <c r="K126" s="347"/>
      <c r="L126" s="348" t="s">
        <v>281</v>
      </c>
      <c r="M126" s="349">
        <f>IF(ISERROR(M121)=TRUE,0,M121)+B129/M122</f>
        <v>0.29794848484848485</v>
      </c>
      <c r="N126" s="349" t="s">
        <v>223</v>
      </c>
      <c r="O126" s="350">
        <v>2</v>
      </c>
      <c r="P126" s="348">
        <v>1</v>
      </c>
      <c r="Q126" s="349">
        <f>M126/O126*P126</f>
        <v>0.14897424242424243</v>
      </c>
      <c r="R126" s="351" t="s">
        <v>226</v>
      </c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  <c r="AC126" s="220"/>
      <c r="AD126" s="220"/>
    </row>
    <row r="127" spans="1:30" ht="20.100000000000001" customHeight="1">
      <c r="A127" s="327" t="s">
        <v>162</v>
      </c>
      <c r="B127" s="418">
        <f>ROUND(AVERAGE(C108:C119),7)</f>
        <v>2.9907832999999999</v>
      </c>
      <c r="C127" s="411"/>
      <c r="D127" s="418">
        <f>B127-C127</f>
        <v>2.9907832999999999</v>
      </c>
      <c r="E127" s="419" t="e">
        <f>ROUND((D127/C127)*100,2)</f>
        <v>#DIV/0!</v>
      </c>
      <c r="F127" s="311"/>
      <c r="G127" s="328"/>
      <c r="I127" s="559">
        <f>(LEFT(RIGHT(B127,16),4))*1</f>
        <v>2.99</v>
      </c>
      <c r="K127" s="353"/>
      <c r="L127" s="354" t="s">
        <v>287</v>
      </c>
      <c r="M127" s="355">
        <f>E120/SQRT(12)</f>
        <v>3.1862961779052151E-2</v>
      </c>
      <c r="N127" s="355" t="s">
        <v>223</v>
      </c>
      <c r="O127" s="356">
        <v>1</v>
      </c>
      <c r="P127" s="357">
        <v>1</v>
      </c>
      <c r="Q127" s="355">
        <f>M127/O127*P127</f>
        <v>3.1862961779052151E-2</v>
      </c>
      <c r="R127" s="358">
        <f>12-1</f>
        <v>11</v>
      </c>
      <c r="S127" s="220"/>
      <c r="T127" s="220"/>
      <c r="U127" s="220"/>
      <c r="V127" s="220"/>
      <c r="W127" s="220"/>
      <c r="X127" s="220"/>
      <c r="Y127" s="220"/>
      <c r="Z127" s="220"/>
      <c r="AA127" s="220"/>
      <c r="AB127" s="220"/>
      <c r="AC127" s="220"/>
      <c r="AD127" s="220"/>
    </row>
    <row r="128" spans="1:30" ht="20.100000000000001" customHeight="1">
      <c r="A128" s="327" t="s">
        <v>163</v>
      </c>
      <c r="B128" s="418">
        <f>ROUND(AVERAGE(D108:D119),7)</f>
        <v>9.5060833000000002</v>
      </c>
      <c r="C128" s="411"/>
      <c r="D128" s="418">
        <f>B128-C128</f>
        <v>9.5060833000000002</v>
      </c>
      <c r="E128" s="419" t="e">
        <f>ROUND((D128/C128)*100,2)</f>
        <v>#DIV/0!</v>
      </c>
      <c r="F128" s="274"/>
      <c r="G128" s="328"/>
      <c r="K128" s="353"/>
      <c r="L128" s="354" t="s">
        <v>224</v>
      </c>
      <c r="M128" s="355">
        <f>L6</f>
        <v>0</v>
      </c>
      <c r="N128" s="355" t="s">
        <v>225</v>
      </c>
      <c r="O128" s="356">
        <f>SQRT(3)</f>
        <v>1.7320508075688772</v>
      </c>
      <c r="P128" s="357">
        <v>1</v>
      </c>
      <c r="Q128" s="355">
        <f>M128/O128*P128</f>
        <v>0</v>
      </c>
      <c r="R128" s="358" t="s">
        <v>226</v>
      </c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  <c r="AC128" s="220"/>
      <c r="AD128" s="220"/>
    </row>
    <row r="129" spans="1:30" ht="20.100000000000001" customHeight="1">
      <c r="A129" s="327" t="s">
        <v>164</v>
      </c>
      <c r="B129" s="418">
        <f>ROUND(AVERAGE(E108:E119),7)</f>
        <v>9.5683000000000007</v>
      </c>
      <c r="C129" s="411"/>
      <c r="D129" s="418">
        <f>B129-C129</f>
        <v>9.5683000000000007</v>
      </c>
      <c r="E129" s="419" t="e">
        <f>ROUND((D129/C129)*100,2)</f>
        <v>#DIV/0!</v>
      </c>
      <c r="F129" s="274"/>
      <c r="G129" s="395"/>
      <c r="K129" s="353"/>
      <c r="L129" s="354" t="s">
        <v>289</v>
      </c>
      <c r="M129" s="355">
        <f>$L$8</f>
        <v>0</v>
      </c>
      <c r="N129" s="355" t="s">
        <v>225</v>
      </c>
      <c r="O129" s="356">
        <f>SQRT(3)</f>
        <v>1.7320508075688772</v>
      </c>
      <c r="P129" s="357">
        <v>1</v>
      </c>
      <c r="Q129" s="355">
        <f>M129/O129*P129</f>
        <v>0</v>
      </c>
      <c r="R129" s="662" t="s">
        <v>226</v>
      </c>
      <c r="S129" s="220"/>
      <c r="T129" s="220"/>
      <c r="U129" s="220"/>
      <c r="V129" s="220"/>
      <c r="W129" s="220"/>
      <c r="X129" s="220"/>
      <c r="Y129" s="220"/>
      <c r="Z129" s="220"/>
      <c r="AA129" s="220"/>
      <c r="AB129" s="220"/>
      <c r="AC129" s="220"/>
      <c r="AD129" s="220"/>
    </row>
    <row r="130" spans="1:30" ht="20.100000000000001" customHeight="1">
      <c r="A130" s="327" t="str">
        <f>F107</f>
        <v>RSm</v>
      </c>
      <c r="B130" s="418">
        <f>ROUND(AVERAGE(F108:F119),7)</f>
        <v>99.544166700000005</v>
      </c>
      <c r="C130" s="411"/>
      <c r="D130" s="418">
        <f>B130-C130</f>
        <v>99.544166700000005</v>
      </c>
      <c r="E130" s="419" t="e">
        <f>ROUND((D130/C130)*100,2)</f>
        <v>#DIV/0!</v>
      </c>
      <c r="F130" s="311"/>
      <c r="G130" s="395"/>
      <c r="I130" s="883"/>
      <c r="J130" s="883"/>
      <c r="K130" s="353"/>
      <c r="L130" s="354"/>
      <c r="M130" s="355"/>
      <c r="N130" s="355"/>
      <c r="O130" s="356"/>
      <c r="P130" s="357"/>
      <c r="Q130" s="355"/>
      <c r="R130" s="662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</row>
    <row r="131" spans="1:30" ht="20.100000000000001" customHeight="1" thickBot="1">
      <c r="A131" s="327"/>
      <c r="B131" s="418"/>
      <c r="C131" s="311"/>
      <c r="D131" s="311"/>
      <c r="E131" s="311"/>
      <c r="F131" s="311"/>
      <c r="G131" s="395"/>
      <c r="I131" s="274"/>
      <c r="J131" s="274"/>
      <c r="K131" s="359"/>
      <c r="L131" s="360"/>
      <c r="M131" s="361"/>
      <c r="N131" s="361"/>
      <c r="O131" s="362"/>
      <c r="P131" s="363"/>
      <c r="Q131" s="361"/>
      <c r="R131" s="364"/>
      <c r="S131" s="220"/>
      <c r="T131" s="220"/>
      <c r="U131" s="220"/>
      <c r="V131" s="220"/>
      <c r="W131" s="220"/>
      <c r="X131" s="220"/>
      <c r="Y131" s="220"/>
      <c r="Z131" s="220"/>
      <c r="AA131" s="220"/>
      <c r="AB131" s="220"/>
      <c r="AC131" s="220"/>
      <c r="AD131" s="220"/>
    </row>
    <row r="132" spans="1:30" ht="20.100000000000001" customHeight="1">
      <c r="A132" s="220"/>
      <c r="B132" s="220"/>
      <c r="C132" s="220"/>
      <c r="D132" s="220"/>
      <c r="E132" s="220"/>
      <c r="F132" s="220"/>
      <c r="G132" s="220"/>
      <c r="I132" s="274"/>
      <c r="J132" s="274"/>
      <c r="K132" s="368" t="s">
        <v>253</v>
      </c>
      <c r="L132" s="383" t="s">
        <v>227</v>
      </c>
      <c r="M132" s="663"/>
      <c r="N132" s="369" t="s">
        <v>223</v>
      </c>
      <c r="O132" s="370"/>
      <c r="P132" s="371"/>
      <c r="Q132" s="372">
        <f>SQRT(SUMSQ(Q126:Q129))</f>
        <v>0.15234360255425985</v>
      </c>
      <c r="R132" s="373">
        <f>MIN(10000,ROUND(((Q132)^4)/(+(((Q127)^4)/R127)),0))</f>
        <v>5748</v>
      </c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  <c r="AC132" s="220"/>
      <c r="AD132" s="220"/>
    </row>
    <row r="133" spans="1:30" ht="20.100000000000001" customHeight="1" thickBot="1">
      <c r="A133" s="667" t="s">
        <v>314</v>
      </c>
      <c r="B133" s="666" t="s">
        <v>489</v>
      </c>
      <c r="C133" s="666"/>
      <c r="D133" s="666"/>
      <c r="E133" s="220"/>
      <c r="F133" s="220"/>
      <c r="G133" s="220"/>
      <c r="K133" s="374" t="s">
        <v>254</v>
      </c>
      <c r="L133" s="647" t="s">
        <v>229</v>
      </c>
      <c r="M133" s="648"/>
      <c r="N133" s="375" t="str">
        <f>"k = " &amp; O133</f>
        <v>k = 2</v>
      </c>
      <c r="O133" s="376">
        <f>ROUND(TINV(1-0.9545,R132),2)</f>
        <v>2</v>
      </c>
      <c r="P133" s="377"/>
      <c r="Q133" s="378">
        <f>IF(TRUNC(Q132*O133,4)-TRUNC((Q132*O133),3)&lt;=0.0001,ROUND((Q132*O133),3),ROUNDUP((Q132*O133),3))</f>
        <v>0.30499999999999999</v>
      </c>
      <c r="R133" s="379"/>
      <c r="S133" s="220"/>
      <c r="T133" s="220"/>
      <c r="U133" s="220"/>
      <c r="V133" s="220"/>
      <c r="W133" s="220"/>
      <c r="X133" s="220"/>
      <c r="Y133" s="220"/>
      <c r="Z133" s="220"/>
      <c r="AA133" s="220"/>
      <c r="AB133" s="220"/>
      <c r="AC133" s="220"/>
      <c r="AD133" s="220"/>
    </row>
    <row r="134" spans="1:30" ht="20.100000000000001" customHeight="1">
      <c r="A134" s="220"/>
      <c r="B134" s="220"/>
      <c r="C134" s="220"/>
      <c r="D134" s="220"/>
      <c r="E134" s="220"/>
      <c r="F134" s="220"/>
      <c r="G134" s="220"/>
      <c r="P134" s="266" t="s">
        <v>290</v>
      </c>
      <c r="Q134" s="315">
        <f>ROUND(Q133*100/B129,0)</f>
        <v>3</v>
      </c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220"/>
    </row>
    <row r="135" spans="1:30" ht="20.100000000000001" customHeight="1">
      <c r="A135" s="220"/>
      <c r="B135" s="220"/>
      <c r="C135" s="220"/>
      <c r="D135" s="220"/>
      <c r="E135" s="220"/>
      <c r="F135" s="220"/>
      <c r="G135" s="220"/>
      <c r="K135"/>
      <c r="L135"/>
      <c r="M135"/>
      <c r="P135" s="266" t="s">
        <v>291</v>
      </c>
      <c r="Q135" s="564">
        <f>MAX(3,ROUND(Q133*100/B129,0))</f>
        <v>3</v>
      </c>
      <c r="S135" s="220"/>
      <c r="T135" s="220"/>
      <c r="U135" s="220"/>
      <c r="V135" s="220"/>
      <c r="W135" s="220"/>
      <c r="X135" s="220"/>
      <c r="Y135" s="220"/>
      <c r="Z135" s="220"/>
      <c r="AA135" s="220"/>
      <c r="AB135" s="220"/>
      <c r="AC135" s="220"/>
      <c r="AD135" s="220"/>
    </row>
    <row r="136" spans="1:30" ht="20.100000000000001" customHeight="1">
      <c r="A136" s="220"/>
      <c r="B136" s="220"/>
      <c r="C136" s="220"/>
      <c r="D136" s="220"/>
      <c r="E136" s="220"/>
      <c r="F136" s="220"/>
      <c r="G136" s="220"/>
      <c r="K136"/>
      <c r="L136"/>
      <c r="M136"/>
      <c r="P136" s="266" t="s">
        <v>292</v>
      </c>
      <c r="Q136" s="651">
        <f>Q135*B129/100</f>
        <v>0.287049</v>
      </c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  <c r="AC136" s="220"/>
      <c r="AD136" s="220"/>
    </row>
    <row r="137" spans="1:30" ht="20.100000000000001" customHeight="1">
      <c r="A137" s="220"/>
      <c r="B137" s="220"/>
      <c r="C137" s="220"/>
      <c r="D137" s="220"/>
      <c r="E137" s="220"/>
      <c r="F137" s="220"/>
      <c r="G137" s="220"/>
      <c r="K137"/>
      <c r="L137"/>
      <c r="M137"/>
      <c r="P137" s="266" t="s">
        <v>293</v>
      </c>
      <c r="Q137" s="315">
        <f>IF(FLOOR(Q136,1)&lt;&gt;0,1,IF(FLOOR(Q136,0.1)&lt;&gt;0,2,IF(FLOOR(Q136,0.01)&lt;&gt;0,3,IF(FLOOR(Q136,0.001)&lt;&gt;0,4,5))))</f>
        <v>2</v>
      </c>
      <c r="S137" s="220"/>
      <c r="T137" s="220"/>
      <c r="U137" s="220"/>
      <c r="V137" s="220"/>
      <c r="W137" s="220"/>
      <c r="X137" s="220"/>
      <c r="Y137" s="220"/>
      <c r="Z137" s="220"/>
      <c r="AA137" s="220"/>
      <c r="AB137" s="220"/>
      <c r="AC137" s="220"/>
      <c r="AD137" s="220"/>
    </row>
    <row r="138" spans="1:30" ht="20.100000000000001" customHeight="1" thickBot="1">
      <c r="A138" s="220"/>
      <c r="B138" s="220"/>
      <c r="C138" s="220"/>
      <c r="D138" s="220"/>
      <c r="E138" s="220"/>
      <c r="F138" s="220"/>
      <c r="G138" s="220"/>
      <c r="K138"/>
      <c r="L138"/>
      <c r="M138"/>
      <c r="Q138" s="315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  <c r="AC138" s="220"/>
      <c r="AD138" s="220"/>
    </row>
    <row r="139" spans="1:30" ht="20.100000000000001" customHeight="1" thickBot="1">
      <c r="A139" s="220"/>
      <c r="B139" s="220"/>
      <c r="C139" s="220"/>
      <c r="D139" s="220"/>
      <c r="E139" s="220"/>
      <c r="F139" s="220"/>
      <c r="G139" s="220"/>
      <c r="K139" s="329" t="s">
        <v>209</v>
      </c>
      <c r="L139" s="330" t="s">
        <v>304</v>
      </c>
      <c r="M139" s="331"/>
      <c r="N139" s="331"/>
      <c r="O139" s="331"/>
      <c r="P139" s="331"/>
      <c r="Q139" s="332"/>
      <c r="R139" s="333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  <c r="AC139" s="220"/>
      <c r="AD139" s="220"/>
    </row>
    <row r="140" spans="1:30" ht="20.100000000000001" customHeight="1" thickBot="1">
      <c r="A140" s="220"/>
      <c r="B140" s="220"/>
      <c r="C140" s="220"/>
      <c r="D140" s="220"/>
      <c r="E140" s="220"/>
      <c r="F140" s="220"/>
      <c r="G140" s="220"/>
      <c r="K140" s="380">
        <f>SERV</f>
        <v>9.423</v>
      </c>
      <c r="L140" s="873" t="s">
        <v>308</v>
      </c>
      <c r="M140" s="874"/>
      <c r="N140" s="874"/>
      <c r="O140" s="874"/>
      <c r="P140" s="875"/>
      <c r="Q140" s="383"/>
      <c r="R140" s="384"/>
      <c r="S140" s="220"/>
      <c r="T140" s="220"/>
      <c r="U140" s="220"/>
      <c r="V140" s="220"/>
      <c r="W140" s="220"/>
      <c r="X140" s="220"/>
      <c r="Y140" s="220"/>
      <c r="Z140" s="220"/>
      <c r="AA140" s="220"/>
      <c r="AB140" s="220"/>
      <c r="AC140" s="220"/>
      <c r="AD140" s="220"/>
    </row>
    <row r="141" spans="1:30" ht="20.100000000000001" customHeight="1">
      <c r="A141" s="220"/>
      <c r="B141" s="220"/>
      <c r="C141" s="220"/>
      <c r="D141" s="220"/>
      <c r="E141" s="220"/>
      <c r="F141" s="220"/>
      <c r="G141" s="220"/>
      <c r="K141" s="347"/>
      <c r="L141" s="348" t="s">
        <v>281</v>
      </c>
      <c r="M141" s="349" t="str">
        <f>VLOOKUP("Incerteza Rsm",Padroes!B3:N100,6,FALSE)</f>
        <v>0,05</v>
      </c>
      <c r="N141" s="349" t="s">
        <v>223</v>
      </c>
      <c r="O141" s="350">
        <v>2</v>
      </c>
      <c r="P141" s="348">
        <v>1</v>
      </c>
      <c r="Q141" s="349">
        <f>M141/O141*P141</f>
        <v>2.5000000000000001E-2</v>
      </c>
      <c r="R141" s="351" t="s">
        <v>226</v>
      </c>
      <c r="S141" s="220"/>
      <c r="T141" s="220"/>
      <c r="U141" s="220"/>
      <c r="V141" s="220"/>
      <c r="W141" s="220"/>
      <c r="X141" s="220"/>
      <c r="Y141" s="220"/>
      <c r="Z141" s="220"/>
      <c r="AA141" s="220"/>
      <c r="AB141" s="220"/>
      <c r="AC141" s="220"/>
      <c r="AD141" s="220"/>
    </row>
    <row r="142" spans="1:30" ht="20.100000000000001" customHeight="1">
      <c r="A142" s="220"/>
      <c r="B142" s="220"/>
      <c r="C142" s="220"/>
      <c r="D142" s="220"/>
      <c r="E142" s="220"/>
      <c r="F142" s="220"/>
      <c r="G142" s="220"/>
      <c r="K142" s="353"/>
      <c r="L142" s="354" t="s">
        <v>287</v>
      </c>
      <c r="M142" s="355">
        <f>(F120/SQRT(12))/B130*100</f>
        <v>9.9682147624153075E-2</v>
      </c>
      <c r="N142" s="355" t="s">
        <v>223</v>
      </c>
      <c r="O142" s="356">
        <v>1</v>
      </c>
      <c r="P142" s="357">
        <v>1</v>
      </c>
      <c r="Q142" s="355">
        <f>M142/O142*P142</f>
        <v>9.9682147624153075E-2</v>
      </c>
      <c r="R142" s="358">
        <f>12-1</f>
        <v>11</v>
      </c>
      <c r="S142" s="220"/>
      <c r="T142" s="220"/>
      <c r="U142" s="220"/>
      <c r="V142" s="220"/>
      <c r="W142" s="220"/>
      <c r="X142" s="220"/>
      <c r="Y142" s="220"/>
      <c r="Z142" s="220"/>
      <c r="AA142" s="220"/>
      <c r="AB142" s="220"/>
      <c r="AC142" s="220"/>
      <c r="AD142" s="220"/>
    </row>
    <row r="143" spans="1:30" ht="20.100000000000001" customHeight="1">
      <c r="A143" s="220"/>
      <c r="B143" s="220"/>
      <c r="C143" s="220"/>
      <c r="D143" s="220"/>
      <c r="E143" s="220"/>
      <c r="F143" s="220"/>
      <c r="G143" s="220"/>
      <c r="K143" s="353"/>
      <c r="L143" s="354"/>
      <c r="M143" s="355"/>
      <c r="N143" s="355"/>
      <c r="O143" s="356"/>
      <c r="P143" s="357"/>
      <c r="Q143" s="355"/>
      <c r="R143" s="358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</row>
    <row r="144" spans="1:30" ht="20.100000000000001" customHeight="1">
      <c r="A144" s="220"/>
      <c r="B144" s="220"/>
      <c r="C144" s="220"/>
      <c r="D144" s="220"/>
      <c r="E144" s="220"/>
      <c r="F144" s="220"/>
      <c r="G144" s="220"/>
      <c r="K144" s="353"/>
      <c r="L144" s="354"/>
      <c r="M144" s="355"/>
      <c r="N144" s="355"/>
      <c r="O144" s="356"/>
      <c r="P144" s="357"/>
      <c r="Q144" s="355"/>
      <c r="R144" s="662"/>
      <c r="S144" s="220"/>
      <c r="T144" s="220"/>
      <c r="U144" s="220"/>
      <c r="V144" s="220"/>
      <c r="W144" s="220"/>
      <c r="X144" s="220"/>
      <c r="Y144" s="220"/>
      <c r="Z144" s="220"/>
      <c r="AA144" s="220"/>
      <c r="AB144" s="220"/>
      <c r="AC144" s="220"/>
      <c r="AD144" s="220"/>
    </row>
    <row r="145" spans="1:30" ht="20.100000000000001" customHeight="1">
      <c r="A145" s="220"/>
      <c r="B145" s="220"/>
      <c r="C145" s="220"/>
      <c r="D145" s="220"/>
      <c r="E145" s="220"/>
      <c r="F145" s="220"/>
      <c r="G145" s="220"/>
      <c r="K145" s="353"/>
      <c r="L145" s="354"/>
      <c r="M145" s="355"/>
      <c r="N145" s="355"/>
      <c r="O145" s="356"/>
      <c r="P145" s="357"/>
      <c r="Q145" s="355"/>
      <c r="R145" s="662"/>
      <c r="S145" s="220"/>
      <c r="T145" s="220"/>
      <c r="U145" s="220"/>
      <c r="V145" s="220"/>
      <c r="W145" s="220"/>
      <c r="X145" s="220"/>
      <c r="Y145" s="220"/>
      <c r="Z145" s="220"/>
      <c r="AA145" s="220"/>
      <c r="AB145" s="220"/>
      <c r="AC145" s="220"/>
      <c r="AD145" s="220"/>
    </row>
    <row r="146" spans="1:30" ht="20.100000000000001" customHeight="1" thickBot="1">
      <c r="A146" s="220"/>
      <c r="B146" s="220"/>
      <c r="C146" s="220"/>
      <c r="D146" s="220"/>
      <c r="E146" s="220"/>
      <c r="F146" s="220"/>
      <c r="G146" s="220"/>
      <c r="K146" s="359"/>
      <c r="L146" s="360"/>
      <c r="M146" s="361"/>
      <c r="N146" s="361"/>
      <c r="O146" s="362"/>
      <c r="P146" s="363"/>
      <c r="Q146" s="361"/>
      <c r="R146" s="364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</row>
    <row r="147" spans="1:30" ht="20.100000000000001" customHeight="1">
      <c r="A147" s="220"/>
      <c r="B147" s="220"/>
      <c r="C147" s="220"/>
      <c r="D147" s="220"/>
      <c r="E147" s="220"/>
      <c r="F147" s="220"/>
      <c r="G147" s="220"/>
      <c r="K147" s="368" t="s">
        <v>253</v>
      </c>
      <c r="L147" s="876" t="s">
        <v>227</v>
      </c>
      <c r="M147" s="877"/>
      <c r="N147" s="369" t="s">
        <v>223</v>
      </c>
      <c r="O147" s="370"/>
      <c r="P147" s="371"/>
      <c r="Q147" s="372">
        <f>SQRT(SUMSQ(Q141:Q145))</f>
        <v>0.10276930745589097</v>
      </c>
      <c r="R147" s="373">
        <f>MIN(10000,ROUND(((Q147)^4)/(+(((Q142)^4)/R142)),0))</f>
        <v>12</v>
      </c>
      <c r="S147" s="220"/>
      <c r="T147" s="220"/>
      <c r="U147" s="220"/>
      <c r="V147" s="220"/>
      <c r="W147" s="220"/>
      <c r="X147" s="220"/>
      <c r="Y147" s="220"/>
      <c r="Z147" s="220"/>
      <c r="AA147" s="220"/>
      <c r="AB147" s="220"/>
      <c r="AC147" s="220"/>
      <c r="AD147" s="220"/>
    </row>
    <row r="148" spans="1:30" ht="20.100000000000001" customHeight="1" thickBot="1">
      <c r="A148" s="220"/>
      <c r="B148" s="220"/>
      <c r="C148" s="220"/>
      <c r="D148" s="220"/>
      <c r="E148" s="220"/>
      <c r="F148" s="220"/>
      <c r="G148" s="220"/>
      <c r="K148" s="374" t="s">
        <v>254</v>
      </c>
      <c r="L148" s="878" t="s">
        <v>229</v>
      </c>
      <c r="M148" s="879"/>
      <c r="N148" s="375" t="str">
        <f>"k = " &amp; O148</f>
        <v>k = 2,23</v>
      </c>
      <c r="O148" s="376">
        <f>ROUND(TINV(1-0.9545,R147),2)</f>
        <v>2.23</v>
      </c>
      <c r="P148" s="377"/>
      <c r="Q148" s="378">
        <f>IF(TRUNC(Q147*O148,4)-TRUNC((Q147*O148),3)&lt;=0.0001,ROUND((Q147*O148),3),ROUNDUP((Q147*O148),3))</f>
        <v>0.22900000000000001</v>
      </c>
      <c r="R148" s="379"/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  <c r="AC148" s="220"/>
      <c r="AD148" s="220"/>
    </row>
    <row r="149" spans="1:30" ht="20.100000000000001" customHeight="1">
      <c r="A149" s="220"/>
      <c r="B149" s="220"/>
      <c r="C149" s="220"/>
      <c r="D149" s="220"/>
      <c r="E149" s="220"/>
      <c r="F149" s="220"/>
      <c r="G149" s="220"/>
      <c r="P149" s="266" t="s">
        <v>293</v>
      </c>
      <c r="Q149" s="315">
        <f>IF(FLOOR(Q148,1)&lt;&gt;0,0,IF(FLOOR(Q148,0.1)&lt;&gt;0,1,IF(FLOOR(Q148,0.01)&lt;&gt;0,2,IF(FLOOR(Q148,0.001)&lt;&gt;0,3,4))))</f>
        <v>1</v>
      </c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  <c r="AC149" s="220"/>
      <c r="AD149" s="220"/>
    </row>
    <row r="150" spans="1:30" ht="20.100000000000001" customHeight="1">
      <c r="A150" s="220"/>
      <c r="B150" s="220"/>
      <c r="C150" s="220"/>
      <c r="D150" s="220"/>
      <c r="E150" s="220"/>
      <c r="F150" s="220"/>
      <c r="G150" s="220"/>
      <c r="K150"/>
      <c r="L150"/>
      <c r="M150"/>
      <c r="P150" s="266" t="s">
        <v>290</v>
      </c>
      <c r="Q150" s="651">
        <f>ROUND(Q148,Q149)</f>
        <v>0.2</v>
      </c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  <c r="AC150" s="220"/>
      <c r="AD150" s="220"/>
    </row>
    <row r="151" spans="1:30" ht="20.100000000000001" customHeight="1">
      <c r="A151" s="220"/>
      <c r="B151" s="220"/>
      <c r="C151" s="220"/>
      <c r="D151" s="220"/>
      <c r="E151" s="220"/>
      <c r="F151" s="220"/>
      <c r="G151" s="220"/>
      <c r="K151"/>
      <c r="L151"/>
      <c r="M151"/>
      <c r="P151" s="266" t="s">
        <v>291</v>
      </c>
      <c r="Q151" s="841">
        <f>MAX(0.05,Q150)</f>
        <v>0.2</v>
      </c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  <c r="AC151" s="220"/>
      <c r="AD151" s="220"/>
    </row>
    <row r="152" spans="1:30" ht="20.100000000000001" customHeight="1">
      <c r="A152" s="220"/>
      <c r="B152" s="220"/>
      <c r="C152" s="220"/>
      <c r="D152" s="220"/>
      <c r="E152" s="220"/>
      <c r="F152" s="220"/>
      <c r="G152" s="220"/>
      <c r="K152"/>
      <c r="L152"/>
      <c r="M152"/>
      <c r="P152" s="266" t="s">
        <v>292</v>
      </c>
      <c r="Q152" s="651">
        <f>Q151*B130/100</f>
        <v>0.19908833340000001</v>
      </c>
      <c r="S152" s="220"/>
      <c r="T152" s="220"/>
      <c r="U152" s="220"/>
      <c r="V152" s="220"/>
      <c r="W152" s="220"/>
      <c r="X152" s="220"/>
      <c r="Y152" s="220"/>
      <c r="Z152" s="220"/>
      <c r="AA152" s="220"/>
      <c r="AB152" s="220"/>
      <c r="AC152" s="220"/>
      <c r="AD152" s="220"/>
    </row>
    <row r="153" spans="1:30" ht="20.100000000000001" customHeight="1">
      <c r="A153" s="220"/>
      <c r="B153" s="220"/>
      <c r="C153" s="220"/>
      <c r="D153" s="220"/>
      <c r="E153" s="220"/>
      <c r="F153" s="220"/>
      <c r="G153" s="220"/>
      <c r="K153" s="220"/>
      <c r="L153" s="220"/>
      <c r="M153" s="220"/>
      <c r="N153" s="220"/>
      <c r="O153" s="220"/>
      <c r="P153" s="266" t="s">
        <v>293</v>
      </c>
      <c r="Q153" s="315">
        <f>Q149</f>
        <v>1</v>
      </c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  <c r="AC153" s="220"/>
      <c r="AD153" s="220"/>
    </row>
    <row r="154" spans="1:30" ht="20.100000000000001" customHeight="1">
      <c r="A154" s="220"/>
      <c r="B154" s="220"/>
      <c r="C154" s="220"/>
      <c r="D154" s="220"/>
      <c r="E154" s="220"/>
      <c r="F154" s="220"/>
      <c r="G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</row>
    <row r="155" spans="1:30" ht="20.100000000000001" customHeight="1">
      <c r="A155" s="220"/>
      <c r="B155" s="220"/>
      <c r="C155" s="220"/>
      <c r="D155" s="220"/>
      <c r="E155" s="220"/>
      <c r="F155" s="220"/>
      <c r="G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  <c r="AA155" s="220"/>
      <c r="AB155" s="220"/>
      <c r="AC155" s="220"/>
      <c r="AD155" s="220"/>
    </row>
    <row r="156" spans="1:30" ht="20.100000000000001" customHeight="1">
      <c r="A156" s="220"/>
      <c r="B156" s="220"/>
      <c r="C156" s="220"/>
      <c r="D156" s="220"/>
      <c r="E156" s="220"/>
      <c r="F156" s="220"/>
      <c r="G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  <c r="AA156" s="220"/>
      <c r="AB156" s="220"/>
      <c r="AC156" s="220"/>
      <c r="AD156" s="220"/>
    </row>
    <row r="157" spans="1:30" ht="20.100000000000001" customHeight="1">
      <c r="A157" s="220"/>
      <c r="B157" s="220"/>
      <c r="C157" s="220"/>
      <c r="D157" s="220"/>
      <c r="E157" s="220"/>
      <c r="F157" s="220"/>
      <c r="G157" s="220"/>
      <c r="H157" s="412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  <c r="AA157" s="220"/>
      <c r="AB157" s="220"/>
      <c r="AC157" s="220"/>
      <c r="AD157" s="220"/>
    </row>
    <row r="158" spans="1:30" ht="20.100000000000001" customHeight="1">
      <c r="A158" s="220"/>
      <c r="B158" s="220"/>
      <c r="C158" s="220"/>
      <c r="D158" s="220"/>
      <c r="E158" s="220"/>
      <c r="F158" s="220"/>
      <c r="G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  <c r="AA158" s="220"/>
      <c r="AB158" s="220"/>
      <c r="AC158" s="220"/>
      <c r="AD158" s="220"/>
    </row>
    <row r="159" spans="1:30" ht="20.100000000000001" customHeight="1">
      <c r="A159" s="220"/>
      <c r="B159" s="220"/>
      <c r="C159" s="220"/>
      <c r="D159" s="220"/>
      <c r="E159" s="220"/>
      <c r="F159" s="220"/>
      <c r="G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  <c r="AA159" s="220"/>
      <c r="AB159" s="220"/>
      <c r="AC159" s="220"/>
      <c r="AD159" s="220"/>
    </row>
    <row r="160" spans="1:30" ht="20.100000000000001" customHeight="1">
      <c r="A160" s="220"/>
      <c r="B160" s="220"/>
      <c r="C160" s="220"/>
      <c r="D160" s="220"/>
      <c r="E160" s="220"/>
      <c r="F160" s="220"/>
      <c r="G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  <c r="AA160" s="220"/>
      <c r="AB160" s="220"/>
      <c r="AC160" s="220"/>
      <c r="AD160" s="220"/>
    </row>
    <row r="161" spans="1:30" ht="20.100000000000001" customHeight="1">
      <c r="A161" s="220"/>
      <c r="B161" s="220"/>
      <c r="C161" s="220"/>
      <c r="D161" s="220"/>
      <c r="E161" s="220"/>
      <c r="F161" s="220"/>
      <c r="G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  <c r="AC161" s="220"/>
      <c r="AD161" s="220"/>
    </row>
    <row r="162" spans="1:30" ht="20.100000000000001" customHeight="1">
      <c r="A162" s="220"/>
      <c r="B162" s="220"/>
      <c r="C162" s="220"/>
      <c r="D162" s="220"/>
      <c r="E162" s="220"/>
      <c r="F162" s="220"/>
      <c r="G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  <c r="AA162" s="220"/>
      <c r="AB162" s="220"/>
      <c r="AC162" s="220"/>
      <c r="AD162" s="220"/>
    </row>
    <row r="163" spans="1:30" ht="20.100000000000001" customHeight="1">
      <c r="A163" s="220"/>
      <c r="B163" s="220"/>
      <c r="C163" s="220"/>
      <c r="D163" s="220"/>
      <c r="E163" s="220"/>
      <c r="F163" s="220"/>
      <c r="G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  <c r="AC163" s="220"/>
      <c r="AD163" s="220"/>
    </row>
    <row r="164" spans="1:30" ht="20.100000000000001" customHeight="1">
      <c r="A164" s="220"/>
      <c r="B164" s="220"/>
      <c r="C164" s="220"/>
      <c r="D164" s="220"/>
      <c r="E164" s="220"/>
      <c r="F164" s="220"/>
      <c r="G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  <c r="AA164" s="220"/>
      <c r="AB164" s="220"/>
      <c r="AC164" s="220"/>
      <c r="AD164" s="220"/>
    </row>
    <row r="165" spans="1:30" ht="20.100000000000001" customHeight="1">
      <c r="A165" s="220"/>
      <c r="B165" s="220"/>
      <c r="C165" s="220"/>
      <c r="D165" s="220"/>
      <c r="E165" s="220"/>
      <c r="F165" s="220"/>
      <c r="G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  <c r="AA165" s="220"/>
      <c r="AB165" s="220"/>
      <c r="AC165" s="220"/>
      <c r="AD165" s="220"/>
    </row>
    <row r="166" spans="1:30" ht="20.100000000000001" customHeight="1">
      <c r="A166" s="220"/>
      <c r="B166" s="220"/>
      <c r="C166" s="220"/>
      <c r="D166" s="220"/>
      <c r="E166" s="220"/>
      <c r="F166" s="220"/>
      <c r="G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</row>
    <row r="167" spans="1:30" ht="20.100000000000001" customHeight="1">
      <c r="A167" s="220"/>
      <c r="B167" s="220"/>
      <c r="C167" s="220"/>
      <c r="D167" s="220"/>
      <c r="E167" s="220"/>
      <c r="F167" s="220"/>
      <c r="G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  <c r="AA167" s="220"/>
      <c r="AB167" s="220"/>
      <c r="AC167" s="220"/>
      <c r="AD167" s="220"/>
    </row>
    <row r="168" spans="1:30" ht="20.100000000000001" customHeight="1">
      <c r="A168" s="220"/>
      <c r="B168" s="220"/>
      <c r="C168" s="220"/>
      <c r="D168" s="220"/>
      <c r="E168" s="220"/>
      <c r="F168" s="220"/>
      <c r="G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  <c r="AA168" s="220"/>
      <c r="AB168" s="220"/>
      <c r="AC168" s="220"/>
      <c r="AD168" s="220"/>
    </row>
    <row r="169" spans="1:30" ht="20.100000000000001" customHeight="1">
      <c r="A169" s="220"/>
      <c r="B169" s="220"/>
      <c r="C169" s="220"/>
      <c r="D169" s="220"/>
      <c r="E169" s="220"/>
      <c r="F169" s="220"/>
      <c r="G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  <c r="AC169" s="220"/>
      <c r="AD169" s="220"/>
    </row>
    <row r="170" spans="1:30" ht="20.100000000000001" customHeight="1">
      <c r="A170" s="220"/>
      <c r="B170" s="220"/>
      <c r="C170" s="220"/>
      <c r="D170" s="220"/>
      <c r="E170" s="220"/>
      <c r="F170" s="220"/>
      <c r="G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  <c r="AA170" s="220"/>
      <c r="AB170" s="220"/>
      <c r="AC170" s="220"/>
      <c r="AD170" s="220"/>
    </row>
    <row r="171" spans="1:30" ht="20.100000000000001" customHeight="1">
      <c r="A171" s="220"/>
      <c r="B171" s="220"/>
      <c r="C171" s="220"/>
      <c r="D171" s="220"/>
      <c r="E171" s="220"/>
      <c r="F171" s="220"/>
      <c r="G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  <c r="AA171" s="220"/>
      <c r="AB171" s="220"/>
      <c r="AC171" s="220"/>
      <c r="AD171" s="220"/>
    </row>
    <row r="172" spans="1:30" ht="20.100000000000001" customHeight="1">
      <c r="A172" s="220"/>
      <c r="B172" s="220"/>
      <c r="C172" s="220"/>
      <c r="D172" s="220"/>
      <c r="E172" s="220"/>
      <c r="F172" s="220"/>
      <c r="G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  <c r="AA172" s="220"/>
      <c r="AB172" s="220"/>
      <c r="AC172" s="220"/>
      <c r="AD172" s="220"/>
    </row>
    <row r="173" spans="1:30" ht="20.100000000000001" customHeight="1">
      <c r="A173" s="220"/>
      <c r="B173" s="220"/>
      <c r="C173" s="220"/>
      <c r="D173" s="220"/>
      <c r="E173" s="220"/>
      <c r="F173" s="220"/>
      <c r="G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  <c r="AA173" s="220"/>
      <c r="AB173" s="220"/>
      <c r="AC173" s="220"/>
      <c r="AD173" s="220"/>
    </row>
    <row r="174" spans="1:30" ht="20.100000000000001" customHeight="1">
      <c r="A174" s="220"/>
      <c r="B174" s="220"/>
      <c r="C174" s="220"/>
      <c r="D174" s="220"/>
      <c r="E174" s="220"/>
      <c r="F174" s="220"/>
      <c r="G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  <c r="AA174" s="220"/>
      <c r="AB174" s="220"/>
      <c r="AC174" s="220"/>
      <c r="AD174" s="220"/>
    </row>
    <row r="175" spans="1:30" ht="20.100000000000001" customHeight="1">
      <c r="A175" s="220"/>
      <c r="B175" s="220"/>
      <c r="C175" s="220"/>
      <c r="D175" s="220"/>
      <c r="E175" s="220"/>
      <c r="F175" s="220"/>
      <c r="G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  <c r="AA175" s="220"/>
      <c r="AB175" s="220"/>
      <c r="AC175" s="220"/>
      <c r="AD175" s="220"/>
    </row>
    <row r="176" spans="1:30" ht="20.100000000000001" customHeight="1">
      <c r="A176" s="220"/>
      <c r="B176" s="220"/>
      <c r="C176" s="220"/>
      <c r="D176" s="220"/>
      <c r="E176" s="220"/>
      <c r="F176" s="220"/>
      <c r="G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  <c r="AA176" s="220"/>
      <c r="AB176" s="220"/>
      <c r="AC176" s="220"/>
      <c r="AD176" s="220"/>
    </row>
    <row r="177" spans="1:30" ht="20.100000000000001" customHeight="1">
      <c r="A177" s="220"/>
      <c r="B177" s="220"/>
      <c r="C177" s="220"/>
      <c r="D177" s="220"/>
      <c r="E177" s="220"/>
      <c r="F177" s="220"/>
      <c r="G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  <c r="AA177" s="220"/>
      <c r="AB177" s="220"/>
      <c r="AC177" s="220"/>
      <c r="AD177" s="220"/>
    </row>
    <row r="178" spans="1:30" ht="20.100000000000001" customHeight="1">
      <c r="A178" s="220"/>
      <c r="B178" s="220"/>
      <c r="C178" s="220"/>
      <c r="D178" s="220"/>
      <c r="E178" s="220"/>
      <c r="F178" s="220"/>
      <c r="G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  <c r="AA178" s="220"/>
      <c r="AB178" s="220"/>
      <c r="AC178" s="220"/>
      <c r="AD178" s="220"/>
    </row>
    <row r="179" spans="1:30" ht="20.100000000000001" customHeight="1">
      <c r="A179" s="220"/>
      <c r="B179" s="220"/>
      <c r="C179" s="220"/>
      <c r="D179" s="220"/>
      <c r="E179" s="220"/>
      <c r="F179" s="220"/>
      <c r="G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  <c r="AA179" s="220"/>
      <c r="AB179" s="220"/>
      <c r="AC179" s="220"/>
      <c r="AD179" s="220"/>
    </row>
    <row r="180" spans="1:30" ht="20.100000000000001" customHeight="1">
      <c r="A180" s="220"/>
      <c r="B180" s="220"/>
      <c r="C180" s="220"/>
      <c r="D180" s="220"/>
      <c r="E180" s="220"/>
      <c r="F180" s="220"/>
      <c r="G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  <c r="AA180" s="220"/>
      <c r="AB180" s="220"/>
      <c r="AC180" s="220"/>
      <c r="AD180" s="220"/>
    </row>
    <row r="181" spans="1:30" ht="20.100000000000001" customHeight="1">
      <c r="A181" s="220"/>
      <c r="B181" s="220"/>
      <c r="C181" s="220"/>
      <c r="D181" s="220"/>
      <c r="E181" s="220"/>
      <c r="F181" s="220"/>
      <c r="G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  <c r="AA181" s="220"/>
      <c r="AB181" s="220"/>
      <c r="AC181" s="220"/>
      <c r="AD181" s="220"/>
    </row>
    <row r="182" spans="1:30" ht="20.100000000000001" customHeight="1">
      <c r="A182" s="220"/>
      <c r="B182" s="220"/>
      <c r="C182" s="220"/>
      <c r="D182" s="220"/>
      <c r="E182" s="220"/>
      <c r="F182" s="220"/>
      <c r="G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  <c r="AA182" s="220"/>
      <c r="AB182" s="220"/>
      <c r="AC182" s="220"/>
      <c r="AD182" s="220"/>
    </row>
    <row r="183" spans="1:30" ht="20.100000000000001" customHeight="1">
      <c r="A183" s="220"/>
      <c r="B183" s="220"/>
      <c r="C183" s="220"/>
      <c r="D183" s="220"/>
      <c r="E183" s="220"/>
      <c r="F183" s="220"/>
      <c r="G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  <c r="AC183" s="220"/>
      <c r="AD183" s="220"/>
    </row>
    <row r="184" spans="1:30" ht="20.100000000000001" customHeight="1">
      <c r="A184" s="220"/>
      <c r="B184" s="220"/>
      <c r="C184" s="220"/>
      <c r="D184" s="220"/>
      <c r="E184" s="220"/>
      <c r="F184" s="220"/>
      <c r="G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  <c r="AA184" s="220"/>
      <c r="AB184" s="220"/>
      <c r="AC184" s="220"/>
      <c r="AD184" s="220"/>
    </row>
    <row r="185" spans="1:30" ht="20.100000000000001" customHeight="1">
      <c r="A185" s="220"/>
      <c r="B185" s="220"/>
      <c r="C185" s="220"/>
      <c r="D185" s="220"/>
      <c r="E185" s="220"/>
      <c r="F185" s="220"/>
      <c r="G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  <c r="Y185" s="220"/>
      <c r="Z185" s="220"/>
      <c r="AA185" s="220"/>
      <c r="AB185" s="220"/>
      <c r="AC185" s="220"/>
      <c r="AD185" s="220"/>
    </row>
    <row r="186" spans="1:30" ht="20.100000000000001" customHeight="1">
      <c r="A186" s="220"/>
      <c r="B186" s="220"/>
      <c r="C186" s="220"/>
      <c r="D186" s="220"/>
      <c r="E186" s="220"/>
      <c r="F186" s="220"/>
      <c r="G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  <c r="AA186" s="220"/>
      <c r="AB186" s="220"/>
      <c r="AC186" s="220"/>
      <c r="AD186" s="220"/>
    </row>
    <row r="187" spans="1:30" ht="20.100000000000001" customHeight="1">
      <c r="A187" s="220"/>
      <c r="B187" s="220"/>
      <c r="C187" s="220"/>
      <c r="D187" s="220"/>
      <c r="E187" s="220"/>
      <c r="F187" s="220"/>
      <c r="G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  <c r="AA187" s="220"/>
      <c r="AB187" s="220"/>
      <c r="AC187" s="220"/>
      <c r="AD187" s="220"/>
    </row>
    <row r="188" spans="1:30" ht="20.100000000000001" customHeight="1">
      <c r="A188" s="220"/>
      <c r="B188" s="220"/>
      <c r="C188" s="220"/>
      <c r="D188" s="220"/>
      <c r="E188" s="220"/>
      <c r="F188" s="220"/>
      <c r="G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  <c r="AA188" s="220"/>
      <c r="AB188" s="220"/>
      <c r="AC188" s="220"/>
      <c r="AD188" s="220"/>
    </row>
    <row r="189" spans="1:30" ht="20.100000000000001" customHeight="1">
      <c r="A189" s="220"/>
      <c r="B189" s="220"/>
      <c r="C189" s="220"/>
      <c r="D189" s="220"/>
      <c r="E189" s="220"/>
      <c r="F189" s="220"/>
      <c r="G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  <c r="AA189" s="220"/>
      <c r="AB189" s="220"/>
      <c r="AC189" s="220"/>
      <c r="AD189" s="220"/>
    </row>
    <row r="190" spans="1:30" ht="20.100000000000001" customHeight="1">
      <c r="A190" s="220"/>
      <c r="B190" s="220"/>
      <c r="C190" s="220"/>
      <c r="D190" s="220"/>
      <c r="E190" s="220"/>
      <c r="F190" s="220"/>
      <c r="G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</row>
    <row r="191" spans="1:30" ht="20.100000000000001" customHeight="1">
      <c r="A191" s="220"/>
      <c r="B191" s="220"/>
      <c r="C191" s="220"/>
      <c r="D191" s="220"/>
      <c r="E191" s="220"/>
      <c r="F191" s="220"/>
      <c r="G191" s="220"/>
    </row>
    <row r="192" spans="1:30" ht="20.100000000000001" customHeight="1">
      <c r="A192" s="220"/>
      <c r="B192" s="220"/>
      <c r="C192" s="220"/>
      <c r="D192" s="220"/>
      <c r="E192" s="220"/>
      <c r="F192" s="220"/>
      <c r="G192" s="220"/>
    </row>
    <row r="193" spans="1:7" ht="20.100000000000001" customHeight="1">
      <c r="A193" s="220"/>
      <c r="B193" s="220"/>
      <c r="C193" s="220"/>
      <c r="D193" s="220"/>
      <c r="E193" s="220"/>
      <c r="F193" s="220"/>
      <c r="G193" s="220"/>
    </row>
    <row r="194" spans="1:7" ht="20.100000000000001" customHeight="1">
      <c r="A194" s="220"/>
      <c r="B194" s="220"/>
      <c r="C194" s="220"/>
      <c r="D194" s="220"/>
      <c r="E194" s="220"/>
      <c r="F194" s="220"/>
      <c r="G194" s="220"/>
    </row>
    <row r="195" spans="1:7" ht="20.100000000000001" customHeight="1">
      <c r="A195" s="220"/>
      <c r="B195" s="220"/>
      <c r="C195" s="220"/>
      <c r="D195" s="220"/>
      <c r="E195" s="220"/>
      <c r="F195" s="220"/>
      <c r="G195" s="220"/>
    </row>
    <row r="196" spans="1:7" ht="20.100000000000001" customHeight="1">
      <c r="A196" s="220"/>
      <c r="B196" s="220"/>
      <c r="C196" s="220"/>
      <c r="D196" s="220"/>
      <c r="E196" s="220"/>
      <c r="F196" s="220"/>
      <c r="G196" s="220"/>
    </row>
    <row r="197" spans="1:7" ht="20.100000000000001" customHeight="1">
      <c r="A197" s="220"/>
      <c r="B197" s="220"/>
      <c r="C197" s="220"/>
      <c r="D197" s="220"/>
      <c r="E197" s="220"/>
      <c r="F197" s="220"/>
      <c r="G197" s="220"/>
    </row>
    <row r="198" spans="1:7" ht="20.100000000000001" customHeight="1">
      <c r="A198" s="220"/>
      <c r="B198" s="220"/>
      <c r="C198" s="220"/>
      <c r="D198" s="220"/>
      <c r="E198" s="220"/>
      <c r="F198" s="220"/>
      <c r="G198" s="220"/>
    </row>
    <row r="199" spans="1:7" ht="20.100000000000001" customHeight="1">
      <c r="A199" s="220"/>
      <c r="B199" s="220"/>
      <c r="C199" s="220"/>
      <c r="D199" s="220"/>
      <c r="E199" s="220"/>
      <c r="F199" s="220"/>
      <c r="G199" s="220"/>
    </row>
    <row r="200" spans="1:7" ht="20.100000000000001" customHeight="1">
      <c r="A200" s="220"/>
      <c r="B200" s="220"/>
      <c r="C200" s="220"/>
      <c r="D200" s="220"/>
      <c r="E200" s="220"/>
      <c r="F200" s="220"/>
      <c r="G200" s="220"/>
    </row>
    <row r="201" spans="1:7" ht="20.100000000000001" customHeight="1">
      <c r="A201" s="220"/>
      <c r="B201" s="220"/>
      <c r="C201" s="220"/>
      <c r="D201" s="220"/>
      <c r="E201" s="220"/>
      <c r="F201" s="220"/>
      <c r="G201" s="220"/>
    </row>
    <row r="202" spans="1:7" ht="20.100000000000001" customHeight="1">
      <c r="A202" s="220"/>
      <c r="B202" s="220"/>
      <c r="C202" s="220"/>
      <c r="D202" s="220"/>
      <c r="E202" s="220"/>
      <c r="F202" s="220"/>
      <c r="G202" s="220"/>
    </row>
    <row r="203" spans="1:7" ht="20.100000000000001" customHeight="1">
      <c r="A203" s="220"/>
      <c r="B203" s="220"/>
      <c r="C203" s="220"/>
      <c r="D203" s="220"/>
      <c r="E203" s="220"/>
      <c r="F203" s="220"/>
      <c r="G203" s="220"/>
    </row>
    <row r="204" spans="1:7" ht="20.100000000000001" customHeight="1">
      <c r="A204" s="220"/>
      <c r="B204" s="220"/>
      <c r="C204" s="220"/>
      <c r="D204" s="220"/>
      <c r="E204" s="220"/>
      <c r="F204" s="220"/>
      <c r="G204" s="220"/>
    </row>
    <row r="205" spans="1:7" ht="20.100000000000001" customHeight="1">
      <c r="A205" s="220"/>
      <c r="B205" s="220"/>
      <c r="C205" s="220"/>
      <c r="D205" s="220"/>
      <c r="E205" s="220"/>
      <c r="F205" s="220"/>
      <c r="G205" s="220"/>
    </row>
    <row r="206" spans="1:7" ht="20.100000000000001" customHeight="1">
      <c r="A206" s="220"/>
      <c r="B206" s="220"/>
      <c r="C206" s="220"/>
      <c r="D206" s="220"/>
      <c r="E206" s="220"/>
      <c r="F206" s="220"/>
      <c r="G206" s="220"/>
    </row>
    <row r="207" spans="1:7" ht="20.100000000000001" customHeight="1">
      <c r="A207" s="220"/>
      <c r="B207" s="220"/>
      <c r="C207" s="220"/>
      <c r="D207" s="220"/>
      <c r="E207" s="220"/>
      <c r="F207" s="220"/>
      <c r="G207" s="220"/>
    </row>
    <row r="208" spans="1:7" ht="20.100000000000001" customHeight="1">
      <c r="A208" s="220"/>
      <c r="B208" s="220"/>
      <c r="C208" s="220"/>
      <c r="D208" s="220"/>
      <c r="E208" s="220"/>
      <c r="F208" s="220"/>
      <c r="G208" s="220"/>
    </row>
    <row r="209" spans="1:7" ht="20.100000000000001" customHeight="1">
      <c r="A209" s="220"/>
      <c r="B209" s="220"/>
      <c r="C209" s="220"/>
      <c r="D209" s="220"/>
      <c r="E209" s="220"/>
      <c r="F209" s="220"/>
      <c r="G209" s="220"/>
    </row>
    <row r="210" spans="1:7" ht="20.100000000000001" customHeight="1">
      <c r="A210" s="220"/>
      <c r="B210" s="220"/>
      <c r="C210" s="220"/>
      <c r="D210" s="220"/>
      <c r="E210" s="220"/>
      <c r="F210" s="220"/>
      <c r="G210" s="220"/>
    </row>
    <row r="211" spans="1:7" ht="20.100000000000001" customHeight="1">
      <c r="A211" s="220"/>
      <c r="B211" s="220"/>
      <c r="C211" s="220"/>
      <c r="D211" s="220"/>
      <c r="E211" s="220"/>
      <c r="F211" s="220"/>
      <c r="G211" s="220"/>
    </row>
    <row r="212" spans="1:7" ht="20.100000000000001" customHeight="1">
      <c r="A212" s="220"/>
      <c r="B212" s="220"/>
      <c r="C212" s="220"/>
      <c r="D212" s="220"/>
      <c r="E212" s="220"/>
      <c r="F212" s="220"/>
      <c r="G212" s="220"/>
    </row>
    <row r="213" spans="1:7" ht="20.100000000000001" customHeight="1">
      <c r="A213" s="220"/>
      <c r="B213" s="220"/>
      <c r="C213" s="220"/>
      <c r="D213" s="220"/>
      <c r="E213" s="220"/>
      <c r="F213" s="220"/>
      <c r="G213" s="220"/>
    </row>
    <row r="214" spans="1:7" ht="20.100000000000001" customHeight="1">
      <c r="A214" s="220"/>
      <c r="B214" s="220"/>
      <c r="C214" s="220"/>
      <c r="D214" s="220"/>
      <c r="E214" s="220"/>
      <c r="F214" s="220"/>
      <c r="G214" s="220"/>
    </row>
    <row r="215" spans="1:7" ht="20.100000000000001" customHeight="1">
      <c r="A215" s="220"/>
      <c r="B215" s="220"/>
      <c r="C215" s="220"/>
      <c r="D215" s="220"/>
      <c r="E215" s="220"/>
      <c r="F215" s="220"/>
      <c r="G215" s="220"/>
    </row>
    <row r="216" spans="1:7" ht="20.100000000000001" customHeight="1">
      <c r="A216" s="220"/>
      <c r="B216" s="220"/>
      <c r="C216" s="220"/>
      <c r="D216" s="220"/>
      <c r="E216" s="220"/>
      <c r="F216" s="220"/>
      <c r="G216" s="220"/>
    </row>
    <row r="217" spans="1:7" ht="20.100000000000001" customHeight="1">
      <c r="A217" s="220"/>
      <c r="B217" s="220"/>
      <c r="C217" s="220"/>
      <c r="D217" s="220"/>
      <c r="E217" s="220"/>
      <c r="F217" s="220"/>
      <c r="G217" s="220"/>
    </row>
    <row r="218" spans="1:7" ht="20.100000000000001" customHeight="1">
      <c r="A218" s="220"/>
      <c r="B218" s="220"/>
      <c r="C218" s="220"/>
      <c r="D218" s="220"/>
      <c r="E218" s="220"/>
      <c r="F218" s="220"/>
      <c r="G218" s="220"/>
    </row>
    <row r="219" spans="1:7" ht="20.100000000000001" customHeight="1">
      <c r="A219" s="220"/>
      <c r="B219" s="220"/>
      <c r="C219" s="220"/>
      <c r="D219" s="220"/>
      <c r="E219" s="220"/>
      <c r="F219" s="220"/>
      <c r="G219" s="220"/>
    </row>
    <row r="220" spans="1:7" ht="20.100000000000001" customHeight="1">
      <c r="A220" s="220"/>
      <c r="B220" s="220"/>
      <c r="C220" s="220"/>
      <c r="D220" s="220"/>
      <c r="E220" s="220"/>
      <c r="F220" s="220"/>
      <c r="G220" s="220"/>
    </row>
    <row r="221" spans="1:7" ht="20.100000000000001" customHeight="1">
      <c r="A221" s="220"/>
      <c r="B221" s="220"/>
      <c r="C221" s="220"/>
      <c r="D221" s="220"/>
      <c r="E221" s="220"/>
      <c r="F221" s="220"/>
      <c r="G221" s="220"/>
    </row>
    <row r="222" spans="1:7" ht="20.100000000000001" customHeight="1">
      <c r="A222" s="220"/>
      <c r="B222" s="220"/>
      <c r="C222" s="220"/>
      <c r="D222" s="220"/>
      <c r="E222" s="220"/>
      <c r="F222" s="220"/>
      <c r="G222" s="220"/>
    </row>
    <row r="223" spans="1:7" ht="20.100000000000001" customHeight="1">
      <c r="A223" s="220"/>
      <c r="B223" s="220"/>
      <c r="C223" s="220"/>
      <c r="D223" s="220"/>
      <c r="E223" s="220"/>
      <c r="F223" s="220"/>
      <c r="G223" s="220"/>
    </row>
    <row r="224" spans="1:7" ht="20.100000000000001" customHeight="1">
      <c r="A224" s="220"/>
      <c r="B224" s="220"/>
      <c r="C224" s="220"/>
      <c r="D224" s="220"/>
      <c r="E224" s="220"/>
      <c r="F224" s="220"/>
      <c r="G224" s="220"/>
    </row>
    <row r="225" spans="1:7" ht="20.100000000000001" customHeight="1">
      <c r="A225" s="220"/>
      <c r="B225" s="220"/>
      <c r="C225" s="220"/>
      <c r="D225" s="220"/>
      <c r="E225" s="220"/>
      <c r="F225" s="220"/>
      <c r="G225" s="220"/>
    </row>
    <row r="226" spans="1:7" ht="20.100000000000001" customHeight="1">
      <c r="A226" s="220"/>
      <c r="B226" s="220"/>
      <c r="C226" s="220"/>
      <c r="D226" s="220"/>
      <c r="E226" s="220"/>
      <c r="F226" s="220"/>
      <c r="G226" s="220"/>
    </row>
    <row r="227" spans="1:7" ht="20.100000000000001" customHeight="1">
      <c r="A227" s="220"/>
      <c r="B227" s="220"/>
      <c r="C227" s="220"/>
      <c r="D227" s="220"/>
      <c r="E227" s="220"/>
      <c r="F227" s="220"/>
      <c r="G227" s="220"/>
    </row>
    <row r="228" spans="1:7" ht="20.100000000000001" customHeight="1">
      <c r="A228" s="220"/>
      <c r="B228" s="220"/>
      <c r="C228" s="220"/>
      <c r="D228" s="220"/>
      <c r="E228" s="220"/>
      <c r="F228" s="220"/>
      <c r="G228" s="220"/>
    </row>
    <row r="229" spans="1:7" ht="20.100000000000001" customHeight="1">
      <c r="A229" s="220"/>
      <c r="B229" s="220"/>
      <c r="C229" s="220"/>
      <c r="D229" s="220"/>
      <c r="E229" s="220"/>
      <c r="F229" s="220"/>
      <c r="G229" s="220"/>
    </row>
    <row r="230" spans="1:7" ht="20.100000000000001" customHeight="1">
      <c r="A230" s="220"/>
      <c r="B230" s="220"/>
      <c r="C230" s="220"/>
      <c r="D230" s="220"/>
      <c r="E230" s="220"/>
      <c r="F230" s="220"/>
      <c r="G230" s="220"/>
    </row>
    <row r="231" spans="1:7" ht="20.100000000000001" customHeight="1">
      <c r="A231" s="220"/>
      <c r="B231" s="220"/>
      <c r="C231" s="220"/>
      <c r="D231" s="220"/>
      <c r="E231" s="220"/>
      <c r="F231" s="220"/>
      <c r="G231" s="220"/>
    </row>
    <row r="232" spans="1:7" ht="20.100000000000001" customHeight="1">
      <c r="A232" s="220"/>
      <c r="B232" s="220"/>
      <c r="C232" s="220"/>
      <c r="D232" s="220"/>
      <c r="E232" s="220"/>
      <c r="F232" s="220"/>
      <c r="G232" s="220"/>
    </row>
    <row r="233" spans="1:7" ht="20.100000000000001" customHeight="1">
      <c r="A233" s="220"/>
      <c r="B233" s="220"/>
      <c r="C233" s="220"/>
      <c r="D233" s="220"/>
      <c r="E233" s="220"/>
      <c r="F233" s="220"/>
      <c r="G233" s="220"/>
    </row>
    <row r="234" spans="1:7" ht="20.100000000000001" customHeight="1">
      <c r="A234" s="220"/>
      <c r="B234" s="220"/>
      <c r="C234" s="220"/>
      <c r="D234" s="220"/>
      <c r="E234" s="220"/>
      <c r="F234" s="220"/>
      <c r="G234" s="220"/>
    </row>
    <row r="235" spans="1:7" ht="20.100000000000001" customHeight="1">
      <c r="A235" s="220"/>
      <c r="B235" s="220"/>
      <c r="C235" s="220"/>
      <c r="D235" s="220"/>
      <c r="E235" s="220"/>
      <c r="F235" s="220"/>
      <c r="G235" s="220"/>
    </row>
    <row r="236" spans="1:7" ht="20.100000000000001" customHeight="1">
      <c r="A236" s="220"/>
      <c r="B236" s="220"/>
      <c r="C236" s="220"/>
      <c r="D236" s="220"/>
      <c r="E236" s="220"/>
      <c r="F236" s="220"/>
      <c r="G236" s="220"/>
    </row>
    <row r="237" spans="1:7" ht="20.100000000000001" customHeight="1">
      <c r="A237" s="220"/>
      <c r="B237" s="220"/>
      <c r="C237" s="220"/>
      <c r="D237" s="220"/>
      <c r="E237" s="220"/>
      <c r="F237" s="220"/>
      <c r="G237" s="220"/>
    </row>
    <row r="238" spans="1:7" ht="20.100000000000001" customHeight="1">
      <c r="A238" s="220"/>
      <c r="B238" s="220"/>
      <c r="C238" s="220"/>
      <c r="D238" s="220"/>
      <c r="E238" s="220"/>
      <c r="F238" s="220"/>
      <c r="G238" s="220"/>
    </row>
    <row r="239" spans="1:7" ht="20.100000000000001" customHeight="1">
      <c r="A239" s="220"/>
      <c r="B239" s="220"/>
      <c r="C239" s="220"/>
      <c r="D239" s="220"/>
      <c r="E239" s="220"/>
      <c r="F239" s="220"/>
      <c r="G239" s="220"/>
    </row>
    <row r="240" spans="1:7" ht="20.100000000000001" customHeight="1">
      <c r="A240" s="220"/>
      <c r="B240" s="220"/>
      <c r="C240" s="220"/>
      <c r="D240" s="220"/>
      <c r="E240" s="220"/>
      <c r="F240" s="220"/>
      <c r="G240" s="220"/>
    </row>
    <row r="241" spans="1:7" ht="20.100000000000001" customHeight="1">
      <c r="A241" s="220"/>
      <c r="B241" s="220"/>
      <c r="C241" s="220"/>
      <c r="D241" s="220"/>
      <c r="E241" s="220"/>
      <c r="F241" s="220"/>
      <c r="G241" s="220"/>
    </row>
    <row r="242" spans="1:7" ht="20.100000000000001" customHeight="1">
      <c r="A242" s="220"/>
      <c r="B242" s="220"/>
      <c r="C242" s="220"/>
      <c r="D242" s="220"/>
      <c r="E242" s="220"/>
      <c r="F242" s="220"/>
      <c r="G242" s="220"/>
    </row>
  </sheetData>
  <sheetProtection password="F7E3" sheet="1" objects="1" scenarios="1"/>
  <mergeCells count="30">
    <mergeCell ref="Q2:R2"/>
    <mergeCell ref="Q8:R8"/>
    <mergeCell ref="Q3:R3"/>
    <mergeCell ref="L40:M40"/>
    <mergeCell ref="A56:G56"/>
    <mergeCell ref="A12:G12"/>
    <mergeCell ref="A18:G18"/>
    <mergeCell ref="L16:P16"/>
    <mergeCell ref="L24:M24"/>
    <mergeCell ref="A32:G32"/>
    <mergeCell ref="A97:G97"/>
    <mergeCell ref="L25:M25"/>
    <mergeCell ref="L32:P32"/>
    <mergeCell ref="A44:G44"/>
    <mergeCell ref="L39:M39"/>
    <mergeCell ref="I130:J130"/>
    <mergeCell ref="L73:M73"/>
    <mergeCell ref="A65:B65"/>
    <mergeCell ref="C65:G65"/>
    <mergeCell ref="A106:B106"/>
    <mergeCell ref="C106:G106"/>
    <mergeCell ref="L92:P92"/>
    <mergeCell ref="L65:P65"/>
    <mergeCell ref="L147:M147"/>
    <mergeCell ref="L148:M148"/>
    <mergeCell ref="L49:P49"/>
    <mergeCell ref="L56:M56"/>
    <mergeCell ref="L57:M57"/>
    <mergeCell ref="L140:P140"/>
    <mergeCell ref="L72:M7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AL242"/>
  <sheetViews>
    <sheetView topLeftCell="A85" zoomScale="75" workbookViewId="0">
      <selection sqref="A1:J1"/>
    </sheetView>
  </sheetViews>
  <sheetFormatPr defaultColWidth="9.109375" defaultRowHeight="20.100000000000001" customHeight="1"/>
  <cols>
    <col min="1" max="5" width="13.6640625" style="266" customWidth="1"/>
    <col min="6" max="6" width="13" style="266" customWidth="1"/>
    <col min="7" max="7" width="14.6640625" style="266" customWidth="1"/>
    <col min="8" max="8" width="11.44140625" style="266" customWidth="1"/>
    <col min="9" max="9" width="28.5546875" style="266" customWidth="1"/>
    <col min="10" max="10" width="14.6640625" style="266" customWidth="1"/>
    <col min="11" max="11" width="16.33203125" style="266" customWidth="1"/>
    <col min="12" max="12" width="37.44140625" style="266" customWidth="1"/>
    <col min="13" max="13" width="21.33203125" style="266" customWidth="1"/>
    <col min="14" max="14" width="20.5546875" style="266" customWidth="1"/>
    <col min="15" max="15" width="9.6640625" style="266" customWidth="1"/>
    <col min="16" max="16" width="9.5546875" style="266" customWidth="1"/>
    <col min="17" max="17" width="12.5546875" style="266" customWidth="1"/>
    <col min="18" max="18" width="11" style="266" customWidth="1"/>
    <col min="19" max="19" width="14" style="266" customWidth="1"/>
    <col min="20" max="20" width="22.44140625" style="266" customWidth="1"/>
    <col min="21" max="21" width="19.5546875" style="266" customWidth="1"/>
    <col min="22" max="22" width="16.88671875" style="266" customWidth="1"/>
    <col min="23" max="23" width="18.109375" style="266" customWidth="1"/>
    <col min="24" max="24" width="6.44140625" style="266" customWidth="1"/>
    <col min="25" max="25" width="5.33203125" style="266" customWidth="1"/>
    <col min="26" max="26" width="4.5546875" style="266" customWidth="1"/>
    <col min="27" max="27" width="5.33203125" style="266" customWidth="1"/>
    <col min="28" max="28" width="6.33203125" style="266" customWidth="1"/>
    <col min="29" max="29" width="6" style="266" customWidth="1"/>
    <col min="30" max="30" width="12.44140625" style="266" customWidth="1"/>
    <col min="31" max="31" width="38.6640625" style="266" customWidth="1"/>
    <col min="32" max="32" width="13.109375" style="266" customWidth="1"/>
    <col min="33" max="33" width="16.109375" style="266" customWidth="1"/>
    <col min="34" max="34" width="12.33203125" style="266" customWidth="1"/>
    <col min="35" max="35" width="9.109375" style="266"/>
    <col min="36" max="36" width="14" style="266" customWidth="1"/>
    <col min="37" max="37" width="18.88671875" style="266" customWidth="1"/>
    <col min="38" max="16384" width="9.109375" style="266"/>
  </cols>
  <sheetData>
    <row r="1" spans="1:23" ht="20.100000000000001" customHeight="1">
      <c r="F1" s="267" t="s">
        <v>170</v>
      </c>
      <c r="G1" s="267" t="s">
        <v>171</v>
      </c>
      <c r="I1" s="315" t="s">
        <v>301</v>
      </c>
      <c r="J1" s="576">
        <f>Dados!J1</f>
        <v>0</v>
      </c>
      <c r="K1" s="254"/>
      <c r="L1" s="254"/>
      <c r="M1" s="268" t="s">
        <v>316</v>
      </c>
      <c r="N1" s="268"/>
      <c r="O1" s="254"/>
    </row>
    <row r="2" spans="1:23" ht="20.100000000000001" customHeight="1">
      <c r="B2" s="269" t="s">
        <v>172</v>
      </c>
      <c r="C2" s="270"/>
      <c r="D2" s="270"/>
      <c r="E2" s="271"/>
      <c r="F2" s="267" t="s">
        <v>173</v>
      </c>
      <c r="G2" s="272"/>
      <c r="I2" s="315" t="s">
        <v>302</v>
      </c>
      <c r="J2" s="582"/>
      <c r="K2" s="273"/>
      <c r="L2" s="273"/>
      <c r="M2" s="268" t="s">
        <v>317</v>
      </c>
      <c r="N2" s="268">
        <v>110</v>
      </c>
      <c r="O2" s="254"/>
    </row>
    <row r="3" spans="1:23" ht="19.5" customHeight="1">
      <c r="E3" s="274"/>
      <c r="F3" s="275"/>
      <c r="G3" s="275"/>
      <c r="K3" s="560" t="s">
        <v>285</v>
      </c>
      <c r="L3" s="276"/>
      <c r="M3" s="277" t="s">
        <v>318</v>
      </c>
      <c r="N3" s="268">
        <v>130</v>
      </c>
      <c r="O3" s="278"/>
      <c r="U3" s="279"/>
    </row>
    <row r="4" spans="1:23" ht="11.1" customHeight="1" thickBot="1">
      <c r="E4" s="280"/>
      <c r="F4" s="280"/>
      <c r="I4" s="220"/>
      <c r="J4" s="220"/>
      <c r="K4" s="276"/>
      <c r="L4" s="276" t="s">
        <v>286</v>
      </c>
      <c r="M4" s="277" t="s">
        <v>319</v>
      </c>
      <c r="N4" s="268">
        <v>70</v>
      </c>
      <c r="O4" s="278"/>
      <c r="P4" s="220"/>
      <c r="Q4" s="220"/>
      <c r="R4" s="220"/>
      <c r="S4" s="220"/>
      <c r="T4" s="220"/>
      <c r="U4" s="281"/>
    </row>
    <row r="5" spans="1:23" ht="15" customHeight="1" thickBot="1">
      <c r="A5" s="282" t="s">
        <v>271</v>
      </c>
      <c r="B5" s="283"/>
      <c r="C5" s="283"/>
      <c r="D5" s="284"/>
      <c r="E5" s="284"/>
      <c r="F5" s="284"/>
      <c r="G5" s="285"/>
      <c r="I5" s="220"/>
      <c r="J5" s="220"/>
      <c r="K5" s="276" t="s">
        <v>278</v>
      </c>
      <c r="L5" s="562">
        <f>MAX(0,(G28-VLOOKUP("Vibração Ra",Padroes!$B$3:$N$28,5,FALSE)))</f>
        <v>6.1999999999999998E-3</v>
      </c>
      <c r="M5" s="561" t="s">
        <v>320</v>
      </c>
      <c r="N5" s="268">
        <v>32</v>
      </c>
      <c r="O5" s="278"/>
      <c r="P5" s="220"/>
      <c r="Q5" s="220"/>
      <c r="R5" s="220"/>
      <c r="S5" s="220"/>
      <c r="T5" s="220"/>
      <c r="U5" s="281"/>
    </row>
    <row r="6" spans="1:23" ht="15" customHeight="1">
      <c r="A6" s="286" t="s">
        <v>175</v>
      </c>
      <c r="B6" s="287" t="e">
        <v>#REF!</v>
      </c>
      <c r="C6" s="288"/>
      <c r="D6" s="289" t="s">
        <v>176</v>
      </c>
      <c r="E6" s="290" t="s">
        <v>177</v>
      </c>
      <c r="F6" s="290" t="s">
        <v>178</v>
      </c>
      <c r="G6" s="460" t="s">
        <v>179</v>
      </c>
      <c r="H6" s="462" t="s">
        <v>270</v>
      </c>
      <c r="I6" s="220"/>
      <c r="J6" s="220"/>
      <c r="K6" s="276" t="s">
        <v>279</v>
      </c>
      <c r="L6" s="562">
        <f>MAX(0,G29-(VLOOKUP("Vibração Rz",Padroes!$B$3:$N$28,5,FALSE)))</f>
        <v>0</v>
      </c>
      <c r="M6" s="561"/>
      <c r="N6" s="268"/>
      <c r="O6" s="278"/>
      <c r="P6" s="220"/>
      <c r="Q6" s="220"/>
      <c r="R6" s="220"/>
      <c r="S6" s="220"/>
      <c r="T6" s="220"/>
      <c r="U6" s="281"/>
    </row>
    <row r="7" spans="1:23" ht="15" customHeight="1" thickBot="1">
      <c r="A7" s="291" t="s">
        <v>180</v>
      </c>
      <c r="B7" s="292"/>
      <c r="C7" s="293"/>
      <c r="D7" s="440" t="str">
        <f>Geral!L3&amp;"/0"&amp;Geral!L4</f>
        <v>3733/023</v>
      </c>
      <c r="E7" s="294" t="e">
        <v>#REF!</v>
      </c>
      <c r="F7" s="294">
        <f>Cola2!F7</f>
        <v>0</v>
      </c>
      <c r="G7" s="461"/>
      <c r="H7" s="482"/>
      <c r="J7" s="220"/>
      <c r="K7" s="276" t="s">
        <v>280</v>
      </c>
      <c r="L7" s="562">
        <f>MAX(0,G30-VLOOKUP("Vibração Rz1max",Padroes!$B$3:$N$28,5,FALSE))</f>
        <v>6.7920000000000008E-2</v>
      </c>
      <c r="M7" s="561"/>
      <c r="N7" s="268"/>
      <c r="O7" s="278"/>
      <c r="P7" s="220"/>
      <c r="Q7" s="220"/>
      <c r="R7" s="220"/>
      <c r="S7" s="220"/>
      <c r="T7" s="220"/>
      <c r="U7" s="281"/>
    </row>
    <row r="8" spans="1:23" ht="15" customHeight="1">
      <c r="A8" s="291" t="s">
        <v>181</v>
      </c>
      <c r="B8" s="295"/>
      <c r="C8" s="296">
        <f>Cola2!C8</f>
        <v>0</v>
      </c>
      <c r="D8" s="297" t="s">
        <v>182</v>
      </c>
      <c r="E8" s="298"/>
      <c r="F8" s="298"/>
      <c r="G8" s="299"/>
      <c r="I8" s="290" t="s">
        <v>297</v>
      </c>
      <c r="J8" s="220"/>
      <c r="K8" s="276" t="s">
        <v>288</v>
      </c>
      <c r="L8" s="562">
        <f>MAX(0,C34-(ABS(VLOOKUP("Pt Esfera Calibração",Padroes!$B$3:$N$28,6,FALSE))))</f>
        <v>0</v>
      </c>
      <c r="M8" s="268"/>
      <c r="N8" s="268"/>
      <c r="O8" s="278"/>
      <c r="P8" s="220"/>
      <c r="Q8" s="220"/>
      <c r="R8" s="220"/>
      <c r="S8" s="220"/>
      <c r="T8" s="220"/>
      <c r="U8" s="300"/>
    </row>
    <row r="9" spans="1:23" ht="15" customHeight="1">
      <c r="A9" s="301" t="s">
        <v>183</v>
      </c>
      <c r="B9" s="302"/>
      <c r="C9" s="296">
        <f>Cola2!C9</f>
        <v>0</v>
      </c>
      <c r="D9" s="303" t="s">
        <v>184</v>
      </c>
      <c r="E9" s="290" t="s">
        <v>185</v>
      </c>
      <c r="F9" s="290" t="s">
        <v>186</v>
      </c>
      <c r="G9" s="304" t="s">
        <v>187</v>
      </c>
      <c r="I9" s="568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81"/>
    </row>
    <row r="10" spans="1:23" ht="15" customHeight="1">
      <c r="A10" s="305" t="s">
        <v>188</v>
      </c>
      <c r="B10" s="306"/>
      <c r="C10" s="307" t="str">
        <f>Geral!L8</f>
        <v>(20,0 ± 0,5) ºC</v>
      </c>
      <c r="D10" s="308">
        <v>3</v>
      </c>
      <c r="E10" s="309"/>
      <c r="F10" s="310"/>
      <c r="G10" s="544">
        <f>Geral!L11</f>
        <v>45275.535162037035</v>
      </c>
      <c r="I10" s="569" t="s">
        <v>298</v>
      </c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81"/>
    </row>
    <row r="11" spans="1:23" ht="15" customHeight="1" thickBot="1">
      <c r="A11" s="291" t="s">
        <v>189</v>
      </c>
      <c r="B11" s="311"/>
      <c r="C11" s="543" t="str">
        <f>Geral!L9</f>
        <v>(50 ± 10) %ur</v>
      </c>
      <c r="D11" s="312" t="s">
        <v>294</v>
      </c>
      <c r="E11" s="313" t="s">
        <v>261</v>
      </c>
      <c r="F11" s="313"/>
      <c r="G11" s="457"/>
      <c r="I11" s="570"/>
      <c r="J11" s="220"/>
      <c r="K11" s="314" t="s">
        <v>312</v>
      </c>
      <c r="L11" s="220"/>
      <c r="M11" s="220"/>
      <c r="N11" s="220"/>
      <c r="O11" s="220"/>
      <c r="P11" s="220"/>
      <c r="Q11" s="220"/>
      <c r="R11" s="220"/>
      <c r="S11" s="220"/>
      <c r="T11" s="220"/>
      <c r="U11" s="281"/>
    </row>
    <row r="12" spans="1:23" ht="15" customHeight="1">
      <c r="A12" s="880" t="s">
        <v>190</v>
      </c>
      <c r="B12" s="881"/>
      <c r="C12" s="881"/>
      <c r="D12" s="881"/>
      <c r="E12" s="881"/>
      <c r="F12" s="881"/>
      <c r="G12" s="882"/>
      <c r="I12" s="290" t="s">
        <v>299</v>
      </c>
      <c r="K12"/>
      <c r="L12" t="s">
        <v>282</v>
      </c>
      <c r="M12" t="str">
        <f>LEFT(VLOOKUP("Incerteza Ra",Padroes!$B$3:$N$28,6,FALSE),SEARCH("+",VLOOKUP("Incerteza Ra",Padroes!$B$3:$N$28,6,FALSE))-1)</f>
        <v>0,003</v>
      </c>
      <c r="N12"/>
      <c r="P12"/>
      <c r="Q12"/>
      <c r="R12"/>
      <c r="S12"/>
      <c r="T12"/>
      <c r="U12"/>
      <c r="V12"/>
      <c r="W12"/>
    </row>
    <row r="13" spans="1:23" ht="15" customHeight="1">
      <c r="A13" s="291" t="s">
        <v>191</v>
      </c>
      <c r="B13" s="274"/>
      <c r="C13" s="274"/>
      <c r="D13" s="480">
        <v>0.5</v>
      </c>
      <c r="E13" s="274" t="s">
        <v>192</v>
      </c>
      <c r="F13" s="274"/>
      <c r="G13" s="539">
        <v>1</v>
      </c>
      <c r="I13" s="568"/>
      <c r="J13" s="458"/>
      <c r="K13"/>
      <c r="L13" t="s">
        <v>283</v>
      </c>
      <c r="M13" t="str">
        <f>RIGHT(VLOOKUP("Incerteza Ra",Padroes!$B$4:$N$29,6,FALSE),LEN(VLOOKUP("Incerteza Ra",Padroes!$B$4:$N$29,6,FALSE))-SEARCH("/",VLOOKUP("Incerteza Ra",Padroes!$B$4:$N$29,6,FALSE)))</f>
        <v>38</v>
      </c>
      <c r="O13"/>
      <c r="P13"/>
      <c r="Q13"/>
      <c r="R13"/>
      <c r="S13"/>
      <c r="T13"/>
      <c r="U13"/>
      <c r="V13"/>
      <c r="W13"/>
    </row>
    <row r="14" spans="1:23" ht="15" customHeight="1" thickBot="1">
      <c r="A14" s="291" t="s">
        <v>193</v>
      </c>
      <c r="B14" s="274"/>
      <c r="C14" s="274"/>
      <c r="D14" s="316">
        <v>2</v>
      </c>
      <c r="E14" s="274" t="s">
        <v>194</v>
      </c>
      <c r="F14" s="274"/>
      <c r="G14" s="540">
        <v>0.5</v>
      </c>
      <c r="I14" s="290" t="s">
        <v>305</v>
      </c>
      <c r="J14" s="459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" customHeight="1" thickBot="1">
      <c r="A15" s="291" t="s">
        <v>196</v>
      </c>
      <c r="B15" s="274"/>
      <c r="C15" s="274"/>
      <c r="D15" s="503">
        <v>66</v>
      </c>
      <c r="E15" s="274" t="s">
        <v>197</v>
      </c>
      <c r="F15" s="274"/>
      <c r="G15" s="540">
        <v>1.5</v>
      </c>
      <c r="I15" s="568"/>
      <c r="K15" s="329" t="s">
        <v>209</v>
      </c>
      <c r="L15" s="330" t="s">
        <v>210</v>
      </c>
      <c r="M15" s="331"/>
      <c r="N15" s="331"/>
      <c r="O15" s="331"/>
      <c r="P15" s="331"/>
      <c r="Q15" s="332"/>
      <c r="R15" s="333"/>
      <c r="S15"/>
      <c r="T15"/>
      <c r="U15"/>
      <c r="V15"/>
      <c r="W15"/>
    </row>
    <row r="16" spans="1:23" ht="15" customHeight="1" thickBot="1">
      <c r="A16" s="291" t="s">
        <v>199</v>
      </c>
      <c r="B16" s="274"/>
      <c r="C16" s="274"/>
      <c r="D16" s="480">
        <v>90</v>
      </c>
      <c r="E16" s="274" t="s">
        <v>200</v>
      </c>
      <c r="F16" s="274"/>
      <c r="G16" s="541">
        <v>3</v>
      </c>
      <c r="K16" s="336">
        <f>SERV</f>
        <v>9.423</v>
      </c>
      <c r="L16" s="870" t="s">
        <v>162</v>
      </c>
      <c r="M16" s="871"/>
      <c r="N16" s="871"/>
      <c r="O16" s="871"/>
      <c r="P16" s="872"/>
      <c r="Q16" s="337"/>
      <c r="R16" s="338"/>
      <c r="S16"/>
      <c r="T16"/>
      <c r="U16"/>
      <c r="V16"/>
      <c r="W16"/>
    </row>
    <row r="17" spans="1:31" ht="15" customHeight="1" thickBot="1">
      <c r="A17" s="317" t="s">
        <v>265</v>
      </c>
      <c r="B17" s="318"/>
      <c r="C17" s="318"/>
      <c r="D17" s="538">
        <v>10</v>
      </c>
      <c r="E17" s="318" t="s">
        <v>202</v>
      </c>
      <c r="F17" s="318"/>
      <c r="G17" s="541">
        <v>3</v>
      </c>
      <c r="I17" s="315"/>
      <c r="K17" s="340" t="s">
        <v>212</v>
      </c>
      <c r="L17" s="340" t="s">
        <v>132</v>
      </c>
      <c r="M17" s="341" t="str">
        <f>"+/- µm"</f>
        <v>+/- µm</v>
      </c>
      <c r="N17" s="341" t="s">
        <v>213</v>
      </c>
      <c r="O17" s="342" t="s">
        <v>214</v>
      </c>
      <c r="P17" s="342" t="s">
        <v>215</v>
      </c>
      <c r="Q17" s="342" t="str">
        <f>"+/- u [µm]"</f>
        <v>+/- u [µm]</v>
      </c>
      <c r="R17" s="343" t="s">
        <v>252</v>
      </c>
      <c r="S17"/>
      <c r="T17"/>
      <c r="U17"/>
      <c r="V17"/>
      <c r="W17"/>
    </row>
    <row r="18" spans="1:31" ht="15" customHeight="1">
      <c r="A18" s="880" t="s">
        <v>203</v>
      </c>
      <c r="B18" s="881"/>
      <c r="C18" s="881"/>
      <c r="D18" s="881"/>
      <c r="E18" s="881"/>
      <c r="F18" s="881"/>
      <c r="G18" s="882"/>
      <c r="I18" s="315"/>
      <c r="K18" s="347"/>
      <c r="L18" s="348" t="s">
        <v>281</v>
      </c>
      <c r="M18" s="349">
        <f>M12+B86/M13</f>
        <v>3.0000000000000001E-3</v>
      </c>
      <c r="N18" s="349" t="s">
        <v>223</v>
      </c>
      <c r="O18" s="350">
        <v>2</v>
      </c>
      <c r="P18" s="348">
        <v>1</v>
      </c>
      <c r="Q18" s="349">
        <f>M18/O18*P18</f>
        <v>1.5E-3</v>
      </c>
      <c r="R18" s="351" t="s">
        <v>226</v>
      </c>
      <c r="S18"/>
      <c r="T18"/>
      <c r="U18"/>
      <c r="V18"/>
      <c r="W18"/>
      <c r="X18"/>
      <c r="Y18"/>
    </row>
    <row r="19" spans="1:31" ht="11.1" customHeight="1">
      <c r="A19" s="320"/>
      <c r="B19" s="321"/>
      <c r="C19" s="321"/>
      <c r="D19" s="321"/>
      <c r="E19" s="321"/>
      <c r="F19" s="321"/>
      <c r="G19" s="322"/>
      <c r="I19" s="315"/>
      <c r="K19" s="353"/>
      <c r="L19" s="354" t="s">
        <v>287</v>
      </c>
      <c r="M19" s="355">
        <f>C79/SQRT(12)</f>
        <v>0</v>
      </c>
      <c r="N19" s="355" t="s">
        <v>223</v>
      </c>
      <c r="O19" s="356">
        <v>1</v>
      </c>
      <c r="P19" s="357">
        <v>1</v>
      </c>
      <c r="Q19" s="355">
        <f>M19/O19*P19</f>
        <v>0</v>
      </c>
      <c r="R19" s="358">
        <f>12-1</f>
        <v>11</v>
      </c>
      <c r="S19"/>
      <c r="T19"/>
      <c r="U19"/>
      <c r="V19"/>
      <c r="W19"/>
    </row>
    <row r="20" spans="1:31" ht="15" customHeight="1">
      <c r="A20" s="291" t="s">
        <v>204</v>
      </c>
      <c r="B20" s="274"/>
      <c r="C20" s="496">
        <v>20</v>
      </c>
      <c r="D20" s="274"/>
      <c r="E20" s="274" t="s">
        <v>267</v>
      </c>
      <c r="F20" s="274"/>
      <c r="G20" s="542" t="s">
        <v>272</v>
      </c>
      <c r="I20" s="315"/>
      <c r="K20" s="353"/>
      <c r="L20" s="354" t="s">
        <v>224</v>
      </c>
      <c r="M20" s="355">
        <f>L6</f>
        <v>0</v>
      </c>
      <c r="N20" s="355" t="s">
        <v>225</v>
      </c>
      <c r="O20" s="356">
        <f>SQRT(3)</f>
        <v>1.7320508075688772</v>
      </c>
      <c r="P20" s="357">
        <v>1</v>
      </c>
      <c r="Q20" s="355">
        <f>M20/O20*P20</f>
        <v>0</v>
      </c>
      <c r="R20" s="358" t="s">
        <v>226</v>
      </c>
      <c r="S20"/>
      <c r="T20"/>
      <c r="U20"/>
      <c r="V20"/>
      <c r="W20"/>
      <c r="AE20" s="315"/>
    </row>
    <row r="21" spans="1:31" ht="15" customHeight="1">
      <c r="A21" s="291" t="s">
        <v>205</v>
      </c>
      <c r="B21" s="274"/>
      <c r="C21" s="496" t="e">
        <f>G62</f>
        <v>#VALUE!</v>
      </c>
      <c r="D21" s="311"/>
      <c r="E21" s="274" t="s">
        <v>206</v>
      </c>
      <c r="F21" s="325"/>
      <c r="G21" s="542" t="s">
        <v>273</v>
      </c>
      <c r="K21" s="353"/>
      <c r="L21" s="354" t="s">
        <v>289</v>
      </c>
      <c r="M21" s="355">
        <f>L8</f>
        <v>0</v>
      </c>
      <c r="N21" s="355" t="s">
        <v>225</v>
      </c>
      <c r="O21" s="356">
        <f>SQRT(3)</f>
        <v>1.7320508075688772</v>
      </c>
      <c r="P21" s="357">
        <v>1</v>
      </c>
      <c r="Q21" s="355">
        <f>M21/O21*P21</f>
        <v>0</v>
      </c>
      <c r="R21" s="662" t="s">
        <v>226</v>
      </c>
      <c r="S21"/>
      <c r="T21"/>
      <c r="U21"/>
      <c r="V21"/>
      <c r="W21"/>
      <c r="AE21" s="315"/>
    </row>
    <row r="22" spans="1:31" ht="15" customHeight="1">
      <c r="A22" s="326" t="s">
        <v>207</v>
      </c>
      <c r="B22" s="311"/>
      <c r="C22" s="276" t="str">
        <f>G63</f>
        <v>300:1</v>
      </c>
      <c r="D22" s="311"/>
      <c r="E22" s="274" t="s">
        <v>268</v>
      </c>
      <c r="F22" s="274"/>
      <c r="G22" s="542" t="str">
        <f>G60</f>
        <v>,</v>
      </c>
      <c r="K22" s="353"/>
      <c r="L22" s="354"/>
      <c r="M22" s="355"/>
      <c r="N22" s="355"/>
      <c r="O22" s="356"/>
      <c r="P22" s="357"/>
      <c r="Q22" s="355"/>
      <c r="R22" s="662"/>
      <c r="S22"/>
      <c r="T22"/>
      <c r="U22"/>
      <c r="V22"/>
      <c r="W22"/>
    </row>
    <row r="23" spans="1:31" ht="15" customHeight="1" thickBot="1">
      <c r="A23" s="327" t="s">
        <v>208</v>
      </c>
      <c r="B23" s="311"/>
      <c r="C23" s="496" t="s">
        <v>174</v>
      </c>
      <c r="D23" s="311"/>
      <c r="E23" s="274" t="s">
        <v>269</v>
      </c>
      <c r="F23" s="274"/>
      <c r="G23" s="542">
        <f>G61</f>
        <v>2.5000000000000001E-3</v>
      </c>
      <c r="K23" s="359"/>
      <c r="L23" s="360"/>
      <c r="M23" s="361"/>
      <c r="N23" s="361"/>
      <c r="O23" s="362"/>
      <c r="P23" s="363"/>
      <c r="Q23" s="361"/>
      <c r="R23" s="364"/>
      <c r="S23"/>
      <c r="T23"/>
      <c r="U23"/>
      <c r="V23"/>
      <c r="W23"/>
    </row>
    <row r="24" spans="1:31" ht="11.1" customHeight="1">
      <c r="A24" s="291"/>
      <c r="B24" s="274"/>
      <c r="C24" s="274"/>
      <c r="D24" s="274"/>
      <c r="E24" s="274"/>
      <c r="F24" s="274"/>
      <c r="G24" s="328"/>
      <c r="K24" s="368" t="s">
        <v>253</v>
      </c>
      <c r="L24" s="876" t="s">
        <v>227</v>
      </c>
      <c r="M24" s="877"/>
      <c r="N24" s="369" t="s">
        <v>223</v>
      </c>
      <c r="O24" s="370"/>
      <c r="P24" s="371"/>
      <c r="Q24" s="372">
        <f>SQRT(SUMSQ(Q18:Q21))</f>
        <v>1.5E-3</v>
      </c>
      <c r="R24" s="373" t="e">
        <f>MIN(10000,ROUND(((Q24)^4)/(+(((Q19)^4)/R19)),0))</f>
        <v>#DIV/0!</v>
      </c>
      <c r="S24"/>
      <c r="T24"/>
      <c r="U24"/>
      <c r="V24"/>
      <c r="W24"/>
    </row>
    <row r="25" spans="1:31" ht="15" customHeight="1" thickBot="1">
      <c r="A25" s="334"/>
      <c r="B25" s="274"/>
      <c r="C25" s="274"/>
      <c r="D25" s="335" t="s">
        <v>211</v>
      </c>
      <c r="E25" s="274"/>
      <c r="F25" s="274"/>
      <c r="G25" s="328"/>
      <c r="K25" s="374" t="s">
        <v>254</v>
      </c>
      <c r="L25" s="878" t="s">
        <v>229</v>
      </c>
      <c r="M25" s="879"/>
      <c r="N25" s="375" t="e">
        <f>"k = " &amp; O25</f>
        <v>#DIV/0!</v>
      </c>
      <c r="O25" s="376" t="e">
        <f>ROUND(TINV(1-0.9545,R24),2)</f>
        <v>#DIV/0!</v>
      </c>
      <c r="P25" s="377"/>
      <c r="Q25" s="378" t="e">
        <f>IF(TRUNC(Q24*O25,4)-TRUNC((Q24*O25),3)&lt;=0.0001,ROUND((Q24*O25),3),ROUNDUP((Q24*O25),3))</f>
        <v>#DIV/0!</v>
      </c>
      <c r="R25" s="379"/>
      <c r="S25" s="220"/>
      <c r="T25" s="220"/>
      <c r="U25" s="220"/>
      <c r="V25" s="220"/>
    </row>
    <row r="26" spans="1:31" ht="11.1" customHeight="1">
      <c r="A26" s="334"/>
      <c r="B26" s="274"/>
      <c r="C26" s="274"/>
      <c r="D26" s="335"/>
      <c r="E26" s="274"/>
      <c r="F26" s="274"/>
      <c r="G26" s="328"/>
      <c r="I26" s="339"/>
      <c r="P26" s="266" t="s">
        <v>290</v>
      </c>
      <c r="Q26" s="315" t="e">
        <f>ROUND(Q25*100/B86,0)</f>
        <v>#DIV/0!</v>
      </c>
      <c r="S26" s="220"/>
      <c r="T26" s="220"/>
      <c r="U26" s="220"/>
      <c r="V26" s="220"/>
    </row>
    <row r="27" spans="1:31" ht="15" customHeight="1">
      <c r="A27" s="326" t="s">
        <v>216</v>
      </c>
      <c r="B27" s="344" t="s">
        <v>217</v>
      </c>
      <c r="C27" s="344" t="s">
        <v>218</v>
      </c>
      <c r="D27" s="344" t="s">
        <v>219</v>
      </c>
      <c r="E27" s="344" t="s">
        <v>220</v>
      </c>
      <c r="F27" s="344" t="s">
        <v>221</v>
      </c>
      <c r="G27" s="345" t="s">
        <v>222</v>
      </c>
      <c r="I27" s="339"/>
      <c r="P27" s="266" t="s">
        <v>291</v>
      </c>
      <c r="Q27" s="564" t="e">
        <f>MAX(3,ROUND(Q25*100/B86,0))</f>
        <v>#DIV/0!</v>
      </c>
    </row>
    <row r="28" spans="1:31" ht="15" customHeight="1">
      <c r="A28" s="326" t="s">
        <v>162</v>
      </c>
      <c r="B28" s="480">
        <f>Dados!B28</f>
        <v>6.4000000000000003E-3</v>
      </c>
      <c r="C28" s="480">
        <f>Dados!C28</f>
        <v>6.1999999999999998E-3</v>
      </c>
      <c r="D28" s="480">
        <f>Dados!D28</f>
        <v>6.3E-3</v>
      </c>
      <c r="E28" s="480">
        <f>Dados!E28</f>
        <v>6.0000000000000001E-3</v>
      </c>
      <c r="F28" s="480">
        <f>Dados!F28</f>
        <v>6.1000000000000004E-3</v>
      </c>
      <c r="G28" s="352">
        <f>AVERAGE(B28:F28)</f>
        <v>6.1999999999999998E-3</v>
      </c>
      <c r="I28" s="339"/>
      <c r="L28" t="s">
        <v>417</v>
      </c>
      <c r="M28" t="str">
        <f>LEFT(VLOOKUP("Incerteza Rz",Padroes!$B$3:$N$28,6,FALSE),SEARCH("+",VLOOKUP("Incerteza Rz",Padroes!$B$3:$N$28,6,FALSE))-1)</f>
        <v>0,008</v>
      </c>
      <c r="P28" s="266" t="s">
        <v>292</v>
      </c>
      <c r="Q28" s="651" t="e">
        <f>Q27*B86/100</f>
        <v>#DIV/0!</v>
      </c>
      <c r="R28" s="563"/>
      <c r="S28" s="563"/>
      <c r="T28" s="563"/>
      <c r="U28" s="567"/>
    </row>
    <row r="29" spans="1:31" ht="15" customHeight="1">
      <c r="A29" s="326" t="s">
        <v>163</v>
      </c>
      <c r="B29" s="480">
        <f>Dados!B29</f>
        <v>5.8599999999999999E-2</v>
      </c>
      <c r="C29" s="480">
        <f>Dados!C29</f>
        <v>5.5E-2</v>
      </c>
      <c r="D29" s="480">
        <f>Dados!D29</f>
        <v>5.8400000000000001E-2</v>
      </c>
      <c r="E29" s="480">
        <f>Dados!E29</f>
        <v>5.7799999999999997E-2</v>
      </c>
      <c r="F29" s="480">
        <f>Dados!F29</f>
        <v>5.5899999999999998E-2</v>
      </c>
      <c r="G29" s="352">
        <f>AVERAGE(B29:F29)</f>
        <v>5.7140000000000003E-2</v>
      </c>
      <c r="I29" s="339"/>
      <c r="L29" t="s">
        <v>418</v>
      </c>
      <c r="M29" t="str">
        <f>RIGHT(VLOOKUP("Incerteza Rz",Padroes!$B$4:$N$29,6,FALSE),LEN(VLOOKUP("Incerteza Rz",Padroes!$B$4:$N$29,6,FALSE))-SEARCH("/",VLOOKUP("Incerteza Rz",Padroes!$B$4:$N$29,6,FALSE)))</f>
        <v>33</v>
      </c>
      <c r="P29" s="266" t="s">
        <v>293</v>
      </c>
      <c r="Q29" s="315" t="e">
        <f>IF(FLOOR(Q28,1)&lt;&gt;0,1,IF(FLOOR(Q28,0.1)&lt;&gt;0,2,IF(FLOOR(Q28,0.01)&lt;&gt;0,3,IF(FLOOR(Q28,0.001)&lt;&gt;0,4,5))))</f>
        <v>#DIV/0!</v>
      </c>
    </row>
    <row r="30" spans="1:31" ht="15" customHeight="1" thickBot="1">
      <c r="A30" s="326" t="s">
        <v>164</v>
      </c>
      <c r="B30" s="480">
        <f>Dados!B30</f>
        <v>7.7299999999999994E-2</v>
      </c>
      <c r="C30" s="480">
        <f>Dados!C30</f>
        <v>5.6800000000000003E-2</v>
      </c>
      <c r="D30" s="480">
        <f>Dados!D30</f>
        <v>7.4099999999999999E-2</v>
      </c>
      <c r="E30" s="480">
        <f>Dados!E30</f>
        <v>6.8699999999999997E-2</v>
      </c>
      <c r="F30" s="480">
        <f>Dados!F30</f>
        <v>6.2700000000000006E-2</v>
      </c>
      <c r="G30" s="352">
        <f>AVERAGE(B30:F30)</f>
        <v>6.7920000000000008E-2</v>
      </c>
      <c r="I30" s="339" t="e">
        <f>MAX(FIXED(ROUND(STDEV(B30:F30),3),3),#REF!)</f>
        <v>#REF!</v>
      </c>
      <c r="Q30" s="315"/>
      <c r="U30" s="346"/>
    </row>
    <row r="31" spans="1:31" ht="11.1" customHeight="1" thickBot="1">
      <c r="A31" s="365"/>
      <c r="B31" s="366"/>
      <c r="C31" s="366"/>
      <c r="D31" s="366"/>
      <c r="E31" s="366"/>
      <c r="F31" s="366"/>
      <c r="G31" s="367"/>
      <c r="I31" s="339"/>
      <c r="K31" s="329" t="s">
        <v>209</v>
      </c>
      <c r="L31" s="330" t="s">
        <v>303</v>
      </c>
      <c r="M31" s="331"/>
      <c r="N31" s="331"/>
      <c r="O31" s="331"/>
      <c r="P31" s="331"/>
      <c r="Q31" s="332"/>
      <c r="R31" s="333"/>
      <c r="U31" s="346"/>
    </row>
    <row r="32" spans="1:31" ht="15" customHeight="1" thickBot="1">
      <c r="A32" s="880" t="s">
        <v>228</v>
      </c>
      <c r="B32" s="881"/>
      <c r="C32" s="881"/>
      <c r="D32" s="881"/>
      <c r="E32" s="881"/>
      <c r="F32" s="881"/>
      <c r="G32" s="882"/>
      <c r="I32" s="339"/>
      <c r="K32" s="380">
        <f>SERV</f>
        <v>9.423</v>
      </c>
      <c r="L32" s="873" t="s">
        <v>163</v>
      </c>
      <c r="M32" s="874"/>
      <c r="N32" s="874"/>
      <c r="O32" s="874"/>
      <c r="P32" s="875"/>
      <c r="Q32" s="383"/>
      <c r="R32" s="384"/>
      <c r="U32" s="346"/>
    </row>
    <row r="33" spans="1:38" ht="11.1" customHeight="1">
      <c r="A33" s="320"/>
      <c r="B33" s="321"/>
      <c r="C33" s="321"/>
      <c r="D33" s="321"/>
      <c r="E33" s="321"/>
      <c r="F33" s="321"/>
      <c r="G33" s="322"/>
      <c r="I33" s="339"/>
      <c r="K33" s="347"/>
      <c r="L33" s="348" t="s">
        <v>281</v>
      </c>
      <c r="M33" s="349">
        <f>IF(ISERROR(M28)=TRUE,0,M28)+B87/M29</f>
        <v>8.0000000000000002E-3</v>
      </c>
      <c r="N33" s="349" t="s">
        <v>223</v>
      </c>
      <c r="O33" s="350">
        <v>2</v>
      </c>
      <c r="P33" s="348">
        <v>1</v>
      </c>
      <c r="Q33" s="349">
        <f>M33/O33*P33</f>
        <v>4.0000000000000001E-3</v>
      </c>
      <c r="R33" s="351" t="s">
        <v>226</v>
      </c>
      <c r="U33" s="346"/>
      <c r="AC33"/>
      <c r="AL33"/>
    </row>
    <row r="34" spans="1:38" ht="15" customHeight="1">
      <c r="A34" s="327" t="s">
        <v>426</v>
      </c>
      <c r="B34" s="311"/>
      <c r="C34" s="839">
        <f>Dados!C34</f>
        <v>6.2799999999999995E-2</v>
      </c>
      <c r="D34" s="321"/>
      <c r="E34"/>
      <c r="F34"/>
      <c r="G34"/>
      <c r="I34" s="339"/>
      <c r="K34" s="353"/>
      <c r="L34" s="354" t="s">
        <v>287</v>
      </c>
      <c r="M34" s="355">
        <f>D79/SQRT(12)</f>
        <v>0</v>
      </c>
      <c r="N34" s="355" t="s">
        <v>223</v>
      </c>
      <c r="O34" s="356">
        <v>1</v>
      </c>
      <c r="P34" s="357">
        <v>1</v>
      </c>
      <c r="Q34" s="355">
        <f>M34/O34*P34</f>
        <v>0</v>
      </c>
      <c r="R34" s="358">
        <f>12-1</f>
        <v>11</v>
      </c>
      <c r="U34" s="346"/>
      <c r="AC34"/>
      <c r="AL34"/>
    </row>
    <row r="35" spans="1:38" ht="11.1" customHeight="1">
      <c r="A35" s="320"/>
      <c r="B35" s="321"/>
      <c r="C35" s="321"/>
      <c r="D35" s="321"/>
      <c r="E35" s="321"/>
      <c r="F35" s="321"/>
      <c r="G35" s="322"/>
      <c r="I35" s="339"/>
      <c r="K35" s="353"/>
      <c r="L35" s="354" t="s">
        <v>224</v>
      </c>
      <c r="M35" s="355">
        <f>L6</f>
        <v>0</v>
      </c>
      <c r="N35" s="355" t="s">
        <v>225</v>
      </c>
      <c r="O35" s="356">
        <f>SQRT(3)</f>
        <v>1.7320508075688772</v>
      </c>
      <c r="P35" s="357">
        <v>1</v>
      </c>
      <c r="Q35" s="355">
        <f>M35/O35*P35</f>
        <v>0</v>
      </c>
      <c r="R35" s="358" t="s">
        <v>226</v>
      </c>
      <c r="U35" s="346"/>
      <c r="AC35"/>
      <c r="AL35"/>
    </row>
    <row r="36" spans="1:38" ht="15" customHeight="1">
      <c r="A36" s="385"/>
      <c r="B36" s="386"/>
      <c r="C36" s="387"/>
      <c r="D36" s="386"/>
      <c r="E36" s="321"/>
      <c r="F36" s="321"/>
      <c r="G36" s="322"/>
      <c r="I36" s="339"/>
      <c r="K36" s="353"/>
      <c r="L36" s="354" t="s">
        <v>289</v>
      </c>
      <c r="M36" s="355">
        <f>$L$8</f>
        <v>0</v>
      </c>
      <c r="N36" s="355" t="s">
        <v>225</v>
      </c>
      <c r="O36" s="356">
        <f>SQRT(3)</f>
        <v>1.7320508075688772</v>
      </c>
      <c r="P36" s="357">
        <v>1</v>
      </c>
      <c r="Q36" s="355">
        <f>M36/O36*P36</f>
        <v>0</v>
      </c>
      <c r="R36" s="662" t="s">
        <v>226</v>
      </c>
      <c r="U36" s="346"/>
      <c r="AC36"/>
      <c r="AL36"/>
    </row>
    <row r="37" spans="1:38" ht="15" customHeight="1">
      <c r="A37" s="385"/>
      <c r="B37" s="480"/>
      <c r="C37" s="387"/>
      <c r="D37" s="480"/>
      <c r="E37" s="321"/>
      <c r="F37" s="321"/>
      <c r="G37" s="322"/>
      <c r="I37" s="339"/>
      <c r="K37" s="353"/>
      <c r="L37" s="354"/>
      <c r="M37" s="355"/>
      <c r="N37" s="355"/>
      <c r="O37" s="356"/>
      <c r="P37" s="357"/>
      <c r="Q37" s="355"/>
      <c r="R37" s="662"/>
      <c r="U37" s="346"/>
      <c r="AC37"/>
      <c r="AL37"/>
    </row>
    <row r="38" spans="1:38" ht="15" customHeight="1" thickBot="1">
      <c r="A38" s="385"/>
      <c r="B38" s="480"/>
      <c r="C38" s="387"/>
      <c r="D38" s="480"/>
      <c r="E38" s="321"/>
      <c r="F38" s="321"/>
      <c r="G38" s="322"/>
      <c r="I38" s="339"/>
      <c r="K38" s="359"/>
      <c r="L38" s="360"/>
      <c r="M38" s="361"/>
      <c r="N38" s="361"/>
      <c r="O38" s="362"/>
      <c r="P38" s="363"/>
      <c r="Q38" s="361"/>
      <c r="R38" s="364"/>
      <c r="U38" s="346"/>
      <c r="AC38"/>
      <c r="AL38"/>
    </row>
    <row r="39" spans="1:38" ht="15" customHeight="1">
      <c r="A39" s="388"/>
      <c r="B39" s="480"/>
      <c r="C39" s="389"/>
      <c r="D39" s="480"/>
      <c r="E39" s="321"/>
      <c r="F39" s="321"/>
      <c r="G39" s="322"/>
      <c r="I39" s="339"/>
      <c r="K39" s="368" t="s">
        <v>253</v>
      </c>
      <c r="L39" s="876" t="s">
        <v>227</v>
      </c>
      <c r="M39" s="877"/>
      <c r="N39" s="369" t="s">
        <v>223</v>
      </c>
      <c r="O39" s="370"/>
      <c r="P39" s="371"/>
      <c r="Q39" s="372">
        <f>SQRT(SUMSQ(Q33:Q36))</f>
        <v>4.0000000000000001E-3</v>
      </c>
      <c r="R39" s="373" t="e">
        <f>MIN(10000,ROUND(((Q39)^4)/(+(((Q34)^4)/R34)),0))</f>
        <v>#DIV/0!</v>
      </c>
      <c r="U39" s="346"/>
      <c r="AC39"/>
      <c r="AL39"/>
    </row>
    <row r="40" spans="1:38" ht="15" customHeight="1" thickBot="1">
      <c r="A40" s="388"/>
      <c r="B40" s="389"/>
      <c r="C40" s="389"/>
      <c r="D40" s="389"/>
      <c r="E40" s="274"/>
      <c r="F40" s="389"/>
      <c r="G40" s="390"/>
      <c r="I40" s="339"/>
      <c r="K40" s="374" t="s">
        <v>254</v>
      </c>
      <c r="L40" s="878" t="s">
        <v>229</v>
      </c>
      <c r="M40" s="879"/>
      <c r="N40" s="375" t="e">
        <f>"k = " &amp; O40</f>
        <v>#DIV/0!</v>
      </c>
      <c r="O40" s="376" t="e">
        <f>ROUND(TINV(1-0.9545,R39),2)</f>
        <v>#DIV/0!</v>
      </c>
      <c r="P40" s="377"/>
      <c r="Q40" s="378" t="e">
        <f>IF(TRUNC(Q39*O40,4)-TRUNC((Q39*O40),3)&lt;=0.0001,ROUND((Q39*O40),3),ROUNDUP((Q39*O40),3))</f>
        <v>#DIV/0!</v>
      </c>
      <c r="R40" s="379"/>
      <c r="U40" s="346"/>
      <c r="AC40"/>
      <c r="AL40"/>
    </row>
    <row r="41" spans="1:38" ht="11.1" customHeight="1">
      <c r="A41" s="388"/>
      <c r="B41" s="389"/>
      <c r="C41" s="389"/>
      <c r="D41" s="389"/>
      <c r="E41" s="274"/>
      <c r="F41" s="389"/>
      <c r="G41" s="390"/>
      <c r="I41" s="339"/>
      <c r="P41" s="266" t="s">
        <v>290</v>
      </c>
      <c r="Q41" s="315" t="e">
        <f>ROUND(Q40*100/B87,0)</f>
        <v>#DIV/0!</v>
      </c>
      <c r="U41" s="346"/>
      <c r="AC41"/>
      <c r="AL41"/>
    </row>
    <row r="42" spans="1:38" ht="15" customHeight="1">
      <c r="A42" s="388"/>
      <c r="B42" s="392"/>
      <c r="C42" s="389"/>
      <c r="D42" s="392"/>
      <c r="E42" s="393"/>
      <c r="F42" s="386"/>
      <c r="G42" s="394"/>
      <c r="I42" s="339" t="str">
        <f>IF(G42&lt;0.8,"Valor Pt errado!",IF(G42&gt;1.2,"Valor Pt errado!",""))</f>
        <v>Valor Pt errado!</v>
      </c>
      <c r="K42"/>
      <c r="L42"/>
      <c r="M42"/>
      <c r="P42" s="266" t="s">
        <v>291</v>
      </c>
      <c r="Q42" s="564" t="e">
        <f>MAX(3,ROUND(Q40*100/B87,0))</f>
        <v>#DIV/0!</v>
      </c>
      <c r="U42" s="346"/>
      <c r="AC42"/>
      <c r="AL42"/>
    </row>
    <row r="43" spans="1:38" ht="11.1" customHeight="1" thickBot="1">
      <c r="A43" s="365"/>
      <c r="B43" s="366"/>
      <c r="C43" s="366"/>
      <c r="D43" s="366"/>
      <c r="E43" s="366"/>
      <c r="F43" s="366"/>
      <c r="G43" s="367"/>
      <c r="I43" s="339"/>
      <c r="K43"/>
      <c r="L43"/>
      <c r="M43"/>
      <c r="P43" s="266" t="s">
        <v>292</v>
      </c>
      <c r="Q43" s="651" t="e">
        <f>Q42*B87/100</f>
        <v>#DIV/0!</v>
      </c>
      <c r="U43" s="346"/>
      <c r="AC43"/>
      <c r="AL43"/>
    </row>
    <row r="44" spans="1:38" ht="15" customHeight="1">
      <c r="A44" s="880"/>
      <c r="B44" s="881"/>
      <c r="C44" s="881"/>
      <c r="D44" s="881"/>
      <c r="E44" s="881"/>
      <c r="F44" s="881"/>
      <c r="G44" s="882"/>
      <c r="I44" s="339"/>
      <c r="K44"/>
      <c r="L44"/>
      <c r="M44"/>
      <c r="P44" s="266" t="s">
        <v>293</v>
      </c>
      <c r="Q44" s="315" t="e">
        <f>IF(FLOOR(Q43,1)&lt;&gt;0,1,IF(FLOOR(Q43,0.1)&lt;&gt;0,2,IF(FLOOR(Q43,0.01)&lt;&gt;0,3,IF(FLOOR(Q43,0.001)&lt;&gt;0,4,5))))</f>
        <v>#DIV/0!</v>
      </c>
      <c r="U44" s="346"/>
      <c r="AC44"/>
      <c r="AD44"/>
      <c r="AE44"/>
      <c r="AF44"/>
      <c r="AG44"/>
      <c r="AH44"/>
      <c r="AI44"/>
      <c r="AJ44"/>
      <c r="AK44"/>
      <c r="AL44"/>
    </row>
    <row r="45" spans="1:38" ht="11.1" customHeight="1">
      <c r="A45" s="327"/>
      <c r="B45" s="311"/>
      <c r="C45" s="311"/>
      <c r="D45" s="311"/>
      <c r="E45" s="311"/>
      <c r="F45" s="311"/>
      <c r="G45" s="395"/>
      <c r="I45" s="339"/>
      <c r="L45" t="s">
        <v>419</v>
      </c>
      <c r="M45" t="str">
        <f>LEFT(VLOOKUP("Incerteza Rz1max",Padroes!$B$3:$N$28,6,FALSE),SEARCH("+",VLOOKUP("Incerteza Rz1max",Padroes!$B$3:$N$28,6,FALSE))-1)</f>
        <v>0,008</v>
      </c>
      <c r="Q45" s="315"/>
      <c r="U45" s="346"/>
      <c r="AC45"/>
      <c r="AD45"/>
      <c r="AE45"/>
      <c r="AF45"/>
      <c r="AG45"/>
      <c r="AH45"/>
      <c r="AI45"/>
      <c r="AJ45"/>
      <c r="AK45"/>
      <c r="AL45"/>
    </row>
    <row r="46" spans="1:38" ht="15" customHeight="1">
      <c r="A46" s="291"/>
      <c r="B46" s="476"/>
      <c r="C46" s="279"/>
      <c r="D46" s="387"/>
      <c r="E46" s="279"/>
      <c r="F46" s="477"/>
      <c r="G46" s="328"/>
      <c r="L46" t="s">
        <v>420</v>
      </c>
      <c r="M46" t="str">
        <f>RIGHT(VLOOKUP("Incerteza Rz1max",Padroes!$B$4:$N$29,6,FALSE),LEN(VLOOKUP("Incerteza Rz1max",Padroes!$B$4:$N$29,6,FALSE))-SEARCH("/",VLOOKUP("Incerteza Rz1max",Padroes!$B$4:$N$29,6,FALSE)))</f>
        <v>33</v>
      </c>
      <c r="U46" s="346"/>
      <c r="AC46"/>
      <c r="AD46"/>
      <c r="AE46"/>
      <c r="AF46"/>
      <c r="AG46"/>
      <c r="AH46"/>
      <c r="AI46"/>
      <c r="AJ46"/>
      <c r="AK46"/>
      <c r="AL46"/>
    </row>
    <row r="47" spans="1:38" ht="15" customHeight="1" thickBot="1">
      <c r="A47" s="396"/>
      <c r="B47" s="478"/>
      <c r="C47" s="387"/>
      <c r="D47" s="479"/>
      <c r="E47" s="279"/>
      <c r="F47" s="479"/>
      <c r="G47" s="328"/>
      <c r="U47" s="346"/>
      <c r="AC47"/>
      <c r="AD47"/>
      <c r="AE47"/>
      <c r="AF47"/>
      <c r="AG47"/>
      <c r="AH47"/>
      <c r="AI47"/>
      <c r="AJ47"/>
      <c r="AK47"/>
      <c r="AL47"/>
    </row>
    <row r="48" spans="1:38" ht="11.1" customHeight="1" thickBot="1">
      <c r="A48" s="320"/>
      <c r="B48" s="321"/>
      <c r="C48" s="279"/>
      <c r="D48" s="279"/>
      <c r="E48" s="279"/>
      <c r="F48" s="279"/>
      <c r="G48" s="322"/>
      <c r="I48" s="339"/>
      <c r="K48" s="329" t="s">
        <v>209</v>
      </c>
      <c r="L48" s="330" t="s">
        <v>304</v>
      </c>
      <c r="M48" s="331"/>
      <c r="N48" s="331"/>
      <c r="O48" s="331"/>
      <c r="P48" s="331"/>
      <c r="Q48" s="332"/>
      <c r="R48" s="333"/>
      <c r="U48" s="346"/>
      <c r="AC48"/>
      <c r="AD48"/>
      <c r="AE48"/>
      <c r="AF48"/>
      <c r="AG48"/>
      <c r="AH48"/>
      <c r="AI48"/>
      <c r="AJ48"/>
      <c r="AK48"/>
      <c r="AL48"/>
    </row>
    <row r="49" spans="1:38" ht="15" customHeight="1" thickBot="1">
      <c r="A49" s="385"/>
      <c r="B49" s="476"/>
      <c r="C49" s="387"/>
      <c r="D49" s="476"/>
      <c r="E49" s="321"/>
      <c r="F49" s="321"/>
      <c r="G49" s="322"/>
      <c r="I49" s="339"/>
      <c r="K49" s="380">
        <f>SERV</f>
        <v>9.423</v>
      </c>
      <c r="L49" s="873" t="s">
        <v>164</v>
      </c>
      <c r="M49" s="874"/>
      <c r="N49" s="874"/>
      <c r="O49" s="874"/>
      <c r="P49" s="875"/>
      <c r="Q49" s="383"/>
      <c r="R49" s="384"/>
      <c r="U49" s="346"/>
      <c r="AC49"/>
      <c r="AD49"/>
      <c r="AE49"/>
      <c r="AF49"/>
      <c r="AG49"/>
      <c r="AH49"/>
      <c r="AI49"/>
      <c r="AJ49"/>
      <c r="AK49"/>
      <c r="AL49"/>
    </row>
    <row r="50" spans="1:38" ht="15" customHeight="1">
      <c r="A50" s="385"/>
      <c r="B50" s="480"/>
      <c r="C50" s="387"/>
      <c r="D50" s="480"/>
      <c r="E50" s="321"/>
      <c r="F50" s="321"/>
      <c r="G50" s="322"/>
      <c r="I50" s="339"/>
      <c r="K50" s="347"/>
      <c r="L50" s="348" t="s">
        <v>281</v>
      </c>
      <c r="M50" s="349">
        <f>IF(ISERROR(M45)=TRUE,0,M45)+B88/M46</f>
        <v>8.0000000000000002E-3</v>
      </c>
      <c r="N50" s="349" t="s">
        <v>223</v>
      </c>
      <c r="O50" s="350">
        <v>2</v>
      </c>
      <c r="P50" s="348">
        <v>1</v>
      </c>
      <c r="Q50" s="349">
        <f>M50/O50*P50</f>
        <v>4.0000000000000001E-3</v>
      </c>
      <c r="R50" s="351" t="s">
        <v>226</v>
      </c>
      <c r="U50" s="346"/>
      <c r="AC50"/>
      <c r="AD50"/>
      <c r="AE50"/>
      <c r="AF50"/>
      <c r="AG50"/>
      <c r="AH50"/>
      <c r="AI50"/>
      <c r="AJ50"/>
      <c r="AK50"/>
      <c r="AL50"/>
    </row>
    <row r="51" spans="1:38" ht="15" customHeight="1">
      <c r="A51" s="385"/>
      <c r="B51" s="480"/>
      <c r="C51" s="387"/>
      <c r="D51" s="480"/>
      <c r="E51" s="321"/>
      <c r="F51" s="321"/>
      <c r="G51" s="322"/>
      <c r="I51" s="339"/>
      <c r="K51" s="353"/>
      <c r="L51" s="354" t="s">
        <v>287</v>
      </c>
      <c r="M51" s="355">
        <f>E79/SQRT(12)</f>
        <v>0</v>
      </c>
      <c r="N51" s="355" t="s">
        <v>223</v>
      </c>
      <c r="O51" s="356">
        <v>1</v>
      </c>
      <c r="P51" s="357">
        <v>1</v>
      </c>
      <c r="Q51" s="355">
        <f>M51/O51*P51</f>
        <v>0</v>
      </c>
      <c r="R51" s="358">
        <f>12-1</f>
        <v>11</v>
      </c>
      <c r="U51" s="346"/>
      <c r="AC51"/>
      <c r="AD51"/>
      <c r="AE51"/>
      <c r="AF51"/>
      <c r="AG51"/>
      <c r="AH51"/>
      <c r="AI51"/>
      <c r="AJ51"/>
      <c r="AK51"/>
      <c r="AL51"/>
    </row>
    <row r="52" spans="1:38" ht="15" customHeight="1">
      <c r="A52" s="388"/>
      <c r="B52" s="480"/>
      <c r="C52" s="481"/>
      <c r="D52" s="480"/>
      <c r="E52" s="321"/>
      <c r="F52" s="321"/>
      <c r="G52" s="322"/>
      <c r="I52" s="339"/>
      <c r="K52" s="353"/>
      <c r="L52" s="354" t="s">
        <v>224</v>
      </c>
      <c r="M52" s="355">
        <f>L6</f>
        <v>0</v>
      </c>
      <c r="N52" s="355" t="s">
        <v>225</v>
      </c>
      <c r="O52" s="356">
        <f>SQRT(3)</f>
        <v>1.7320508075688772</v>
      </c>
      <c r="P52" s="357">
        <v>1</v>
      </c>
      <c r="Q52" s="355">
        <f>M52/O52*P52</f>
        <v>0</v>
      </c>
      <c r="R52" s="358" t="s">
        <v>226</v>
      </c>
      <c r="U52" s="346"/>
      <c r="AC52"/>
      <c r="AD52"/>
      <c r="AE52"/>
      <c r="AF52"/>
      <c r="AG52"/>
      <c r="AH52"/>
      <c r="AI52"/>
      <c r="AJ52"/>
      <c r="AK52"/>
      <c r="AL52"/>
    </row>
    <row r="53" spans="1:38" ht="15" customHeight="1">
      <c r="A53" s="388"/>
      <c r="B53" s="389"/>
      <c r="C53" s="389"/>
      <c r="D53" s="389"/>
      <c r="E53" s="274"/>
      <c r="F53" s="389"/>
      <c r="G53" s="397"/>
      <c r="I53" s="339"/>
      <c r="K53" s="353"/>
      <c r="L53" s="354" t="s">
        <v>289</v>
      </c>
      <c r="M53" s="355">
        <f>$L$8</f>
        <v>0</v>
      </c>
      <c r="N53" s="355" t="s">
        <v>225</v>
      </c>
      <c r="O53" s="356">
        <f>SQRT(3)</f>
        <v>1.7320508075688772</v>
      </c>
      <c r="P53" s="357">
        <v>1</v>
      </c>
      <c r="Q53" s="355">
        <f>M53/O53*P53</f>
        <v>0</v>
      </c>
      <c r="R53" s="662" t="s">
        <v>226</v>
      </c>
      <c r="U53" s="346"/>
      <c r="AC53"/>
      <c r="AD53"/>
      <c r="AE53"/>
      <c r="AF53"/>
      <c r="AG53"/>
      <c r="AH53"/>
      <c r="AI53"/>
      <c r="AJ53"/>
      <c r="AK53"/>
      <c r="AL53"/>
    </row>
    <row r="54" spans="1:38" ht="11.1" customHeight="1">
      <c r="A54" s="388"/>
      <c r="B54" s="389"/>
      <c r="C54" s="389"/>
      <c r="D54" s="389"/>
      <c r="E54" s="274"/>
      <c r="F54" s="389"/>
      <c r="G54" s="391"/>
      <c r="I54" s="339"/>
      <c r="K54" s="353"/>
      <c r="L54" s="354"/>
      <c r="M54" s="355"/>
      <c r="N54" s="355"/>
      <c r="O54" s="356"/>
      <c r="P54" s="357"/>
      <c r="Q54" s="355"/>
      <c r="R54" s="662"/>
      <c r="U54" s="346"/>
      <c r="AC54"/>
      <c r="AD54"/>
      <c r="AE54"/>
      <c r="AF54"/>
      <c r="AG54"/>
      <c r="AH54"/>
      <c r="AI54"/>
      <c r="AJ54"/>
      <c r="AK54"/>
      <c r="AL54"/>
    </row>
    <row r="55" spans="1:38" ht="15" customHeight="1" thickBot="1">
      <c r="A55" s="398"/>
      <c r="B55" s="399"/>
      <c r="C55" s="400"/>
      <c r="D55" s="399"/>
      <c r="E55" s="401"/>
      <c r="F55" s="402"/>
      <c r="G55" s="403"/>
      <c r="I55" s="339"/>
      <c r="K55" s="359"/>
      <c r="L55" s="360"/>
      <c r="M55" s="361"/>
      <c r="N55" s="361"/>
      <c r="O55" s="362"/>
      <c r="P55" s="363"/>
      <c r="Q55" s="361"/>
      <c r="R55" s="364"/>
      <c r="U55" s="346"/>
      <c r="AC55"/>
      <c r="AD55"/>
      <c r="AE55"/>
      <c r="AF55"/>
      <c r="AG55"/>
      <c r="AH55"/>
      <c r="AI55"/>
      <c r="AJ55"/>
      <c r="AK55"/>
      <c r="AL55"/>
    </row>
    <row r="56" spans="1:38" ht="15" customHeight="1">
      <c r="A56" s="880" t="s">
        <v>230</v>
      </c>
      <c r="B56" s="881"/>
      <c r="C56" s="881"/>
      <c r="D56" s="881"/>
      <c r="E56" s="881"/>
      <c r="F56" s="881"/>
      <c r="G56" s="882"/>
      <c r="I56" s="339"/>
      <c r="K56" s="368" t="s">
        <v>253</v>
      </c>
      <c r="L56" s="876" t="s">
        <v>227</v>
      </c>
      <c r="M56" s="877"/>
      <c r="N56" s="369" t="s">
        <v>223</v>
      </c>
      <c r="O56" s="370"/>
      <c r="P56" s="371"/>
      <c r="Q56" s="372">
        <f>SQRT(SUMSQ(Q50:Q53))</f>
        <v>4.0000000000000001E-3</v>
      </c>
      <c r="R56" s="373" t="e">
        <f>MIN(10000,ROUND(((Q56)^4)/(+(((Q51)^4)/R51)),0))</f>
        <v>#DIV/0!</v>
      </c>
      <c r="U56" s="346"/>
      <c r="AC56"/>
      <c r="AD56"/>
      <c r="AE56"/>
      <c r="AF56"/>
      <c r="AG56"/>
      <c r="AH56"/>
      <c r="AI56"/>
      <c r="AJ56"/>
      <c r="AK56"/>
      <c r="AL56"/>
    </row>
    <row r="57" spans="1:38" ht="15" customHeight="1" thickBot="1">
      <c r="A57" s="327"/>
      <c r="B57" s="311"/>
      <c r="C57" s="311"/>
      <c r="D57" s="311"/>
      <c r="E57" s="311"/>
      <c r="F57" s="311"/>
      <c r="G57" s="395"/>
      <c r="I57" s="339"/>
      <c r="K57" s="374" t="s">
        <v>254</v>
      </c>
      <c r="L57" s="878" t="s">
        <v>229</v>
      </c>
      <c r="M57" s="879"/>
      <c r="N57" s="375" t="e">
        <f>"k = " &amp; O57</f>
        <v>#DIV/0!</v>
      </c>
      <c r="O57" s="376" t="e">
        <f>ROUND(TINV(1-0.9545,R56),2)</f>
        <v>#DIV/0!</v>
      </c>
      <c r="P57" s="377"/>
      <c r="Q57" s="378" t="e">
        <f>IF(TRUNC(Q56*O57,4)-TRUNC((Q56*O57),3)&lt;=0.0001,ROUND((Q56*O57),3),ROUNDUP((Q56*O57),3))</f>
        <v>#DIV/0!</v>
      </c>
      <c r="R57" s="379"/>
      <c r="U57" s="346"/>
      <c r="AC57"/>
      <c r="AD57"/>
      <c r="AE57"/>
      <c r="AF57"/>
      <c r="AG57"/>
      <c r="AH57"/>
      <c r="AI57"/>
      <c r="AJ57"/>
      <c r="AK57"/>
      <c r="AL57"/>
    </row>
    <row r="58" spans="1:38" ht="15" customHeight="1">
      <c r="A58" s="404" t="s">
        <v>231</v>
      </c>
      <c r="B58" s="405"/>
      <c r="C58" s="323">
        <f>Dados!C58</f>
        <v>24</v>
      </c>
      <c r="D58" s="405"/>
      <c r="E58" s="274" t="s">
        <v>232</v>
      </c>
      <c r="F58" s="274"/>
      <c r="G58" s="542" t="s">
        <v>272</v>
      </c>
      <c r="I58" s="339"/>
      <c r="P58" s="266" t="s">
        <v>290</v>
      </c>
      <c r="Q58" s="315" t="e">
        <f>ROUND(Q57*100/B88,0)</f>
        <v>#DIV/0!</v>
      </c>
      <c r="U58" s="346"/>
      <c r="AC58"/>
      <c r="AD58"/>
      <c r="AE58"/>
      <c r="AF58"/>
      <c r="AG58"/>
      <c r="AH58"/>
      <c r="AI58"/>
      <c r="AJ58"/>
      <c r="AK58"/>
      <c r="AL58"/>
    </row>
    <row r="59" spans="1:38" ht="15" customHeight="1">
      <c r="A59" s="406" t="s">
        <v>233</v>
      </c>
      <c r="B59" s="405"/>
      <c r="C59" s="323">
        <f>Dados!C59</f>
        <v>22</v>
      </c>
      <c r="D59" s="405"/>
      <c r="E59" s="274" t="s">
        <v>206</v>
      </c>
      <c r="F59" s="321"/>
      <c r="G59" s="542" t="s">
        <v>273</v>
      </c>
      <c r="I59" s="339"/>
      <c r="K59"/>
      <c r="L59"/>
      <c r="M59"/>
      <c r="P59" s="266" t="s">
        <v>291</v>
      </c>
      <c r="Q59" s="564" t="e">
        <f>MAX(3,ROUND(Q57*100/B88,0))</f>
        <v>#DIV/0!</v>
      </c>
      <c r="U59" s="346"/>
      <c r="AC59"/>
      <c r="AD59"/>
      <c r="AE59"/>
      <c r="AF59"/>
      <c r="AG59"/>
      <c r="AH59"/>
      <c r="AI59"/>
      <c r="AJ59"/>
      <c r="AK59"/>
      <c r="AL59"/>
    </row>
    <row r="60" spans="1:38" ht="15" customHeight="1" thickBot="1">
      <c r="A60" s="291" t="s">
        <v>204</v>
      </c>
      <c r="B60" s="274"/>
      <c r="C60" s="496" t="str">
        <f>Dados!C60</f>
        <v>1,5 mm</v>
      </c>
      <c r="D60" s="274"/>
      <c r="E60" s="274" t="s">
        <v>268</v>
      </c>
      <c r="F60" s="274"/>
      <c r="G60" s="324" t="str">
        <f>CONCATENATE(LEFT(Cola2!K3,1),",",RIGHT(Cola2!K3,2))</f>
        <v>,</v>
      </c>
      <c r="I60" s="339"/>
      <c r="K60"/>
      <c r="L60"/>
      <c r="M60"/>
      <c r="P60" s="266" t="s">
        <v>292</v>
      </c>
      <c r="Q60" s="651" t="e">
        <f>Q59*B88/100</f>
        <v>#DIV/0!</v>
      </c>
      <c r="U60" s="346"/>
    </row>
    <row r="61" spans="1:38" ht="15" customHeight="1">
      <c r="A61" s="291" t="s">
        <v>234</v>
      </c>
      <c r="B61" s="274"/>
      <c r="C61" s="496" t="str">
        <f>Dados!C61</f>
        <v>1,7 mm</v>
      </c>
      <c r="D61" s="405"/>
      <c r="E61" s="274" t="s">
        <v>269</v>
      </c>
      <c r="F61" s="274"/>
      <c r="G61" s="324">
        <f>Dados!R10</f>
        <v>2.5000000000000001E-3</v>
      </c>
      <c r="I61" s="339"/>
      <c r="K61"/>
      <c r="L61" s="33"/>
      <c r="M61" s="34"/>
      <c r="N61" s="34"/>
      <c r="P61" s="266" t="s">
        <v>293</v>
      </c>
      <c r="Q61" s="315" t="e">
        <f>IF(FLOOR(Q60,1)&lt;&gt;0,1,IF(FLOOR(Q60,0.1)&lt;&gt;0,2,IF(FLOOR(Q60,0.01)&lt;&gt;0,3,IF(FLOOR(Q60,0.001)&lt;&gt;0,4,5))))</f>
        <v>#DIV/0!</v>
      </c>
      <c r="U61" s="346"/>
    </row>
    <row r="62" spans="1:38" ht="15" customHeight="1">
      <c r="A62" s="291"/>
      <c r="B62" s="274"/>
      <c r="C62" s="274"/>
      <c r="D62" s="405"/>
      <c r="E62" s="274" t="s">
        <v>205</v>
      </c>
      <c r="F62" s="274"/>
      <c r="G62" s="542" t="e">
        <f>(G60*5)</f>
        <v>#VALUE!</v>
      </c>
      <c r="I62" s="339"/>
      <c r="K62"/>
      <c r="L62" s="37"/>
      <c r="M62" s="41"/>
      <c r="Q62" s="315"/>
      <c r="U62" s="346"/>
    </row>
    <row r="63" spans="1:38" ht="15" customHeight="1" thickBot="1">
      <c r="A63" s="291"/>
      <c r="B63" s="274"/>
      <c r="C63" s="274"/>
      <c r="D63" s="405"/>
      <c r="E63" s="407" t="s">
        <v>207</v>
      </c>
      <c r="F63" s="405"/>
      <c r="G63" s="545" t="s">
        <v>274</v>
      </c>
      <c r="I63" s="339"/>
      <c r="K63"/>
      <c r="L63"/>
      <c r="M63"/>
      <c r="U63" s="346"/>
    </row>
    <row r="64" spans="1:38" ht="15" customHeight="1" thickBot="1">
      <c r="A64" s="291"/>
      <c r="B64" s="274"/>
      <c r="C64" s="274"/>
      <c r="D64" s="274"/>
      <c r="E64" s="274"/>
      <c r="F64" s="274"/>
      <c r="G64" s="328"/>
      <c r="K64" s="329" t="s">
        <v>209</v>
      </c>
      <c r="L64" s="330" t="s">
        <v>304</v>
      </c>
      <c r="M64" s="331"/>
      <c r="N64" s="331"/>
      <c r="O64" s="331"/>
      <c r="P64" s="331"/>
      <c r="Q64" s="332"/>
      <c r="R64" s="333"/>
      <c r="S64" s="220"/>
      <c r="T64" s="220"/>
      <c r="U64" s="220"/>
      <c r="AD64" s="300"/>
      <c r="AE64" s="507"/>
      <c r="AF64" s="507"/>
      <c r="AG64" s="507"/>
      <c r="AH64" s="507"/>
      <c r="AI64" s="507"/>
      <c r="AJ64" s="300"/>
      <c r="AK64" s="508"/>
    </row>
    <row r="65" spans="1:37" ht="15" customHeight="1" thickBot="1">
      <c r="A65" s="884" t="s">
        <v>235</v>
      </c>
      <c r="B65" s="868"/>
      <c r="C65" s="868" t="s">
        <v>236</v>
      </c>
      <c r="D65" s="868"/>
      <c r="E65" s="868"/>
      <c r="F65" s="868"/>
      <c r="G65" s="869"/>
      <c r="K65" s="380">
        <f>SERV</f>
        <v>9.423</v>
      </c>
      <c r="L65" s="873" t="s">
        <v>308</v>
      </c>
      <c r="M65" s="874"/>
      <c r="N65" s="874"/>
      <c r="O65" s="874"/>
      <c r="P65" s="875"/>
      <c r="Q65" s="383"/>
      <c r="R65" s="384"/>
      <c r="S65" s="220"/>
      <c r="T65" s="220"/>
      <c r="U65" s="220"/>
      <c r="AD65" s="300"/>
      <c r="AE65" s="387"/>
      <c r="AF65" s="387"/>
      <c r="AG65" s="387"/>
      <c r="AH65" s="387"/>
      <c r="AI65" s="387"/>
      <c r="AJ65" s="300"/>
      <c r="AK65" s="508"/>
    </row>
    <row r="66" spans="1:37" ht="15" customHeight="1">
      <c r="A66" s="381" t="s">
        <v>237</v>
      </c>
      <c r="B66" s="382" t="s">
        <v>238</v>
      </c>
      <c r="C66" s="344" t="s">
        <v>195</v>
      </c>
      <c r="D66" s="344" t="s">
        <v>198</v>
      </c>
      <c r="E66" s="344" t="s">
        <v>201</v>
      </c>
      <c r="F66" s="344" t="s">
        <v>300</v>
      </c>
      <c r="G66" s="345" t="s">
        <v>266</v>
      </c>
      <c r="K66" s="347"/>
      <c r="L66" s="348" t="s">
        <v>281</v>
      </c>
      <c r="M66" s="349" t="str">
        <f>VLOOKUP("Incerteza Rsm",Padroes!B3:N100,6,FALSE)</f>
        <v>0,05</v>
      </c>
      <c r="N66" s="349" t="s">
        <v>223</v>
      </c>
      <c r="O66" s="350">
        <v>2</v>
      </c>
      <c r="P66" s="348">
        <v>1</v>
      </c>
      <c r="Q66" s="349">
        <f>M66/O66*P66</f>
        <v>2.5000000000000001E-2</v>
      </c>
      <c r="R66" s="351" t="s">
        <v>226</v>
      </c>
      <c r="S66" s="220"/>
      <c r="T66" s="220"/>
      <c r="U66" s="220"/>
      <c r="AD66" s="300"/>
      <c r="AE66" s="300"/>
      <c r="AF66" s="565"/>
      <c r="AG66" s="565"/>
      <c r="AH66" s="300"/>
      <c r="AI66" s="300"/>
      <c r="AJ66" s="300"/>
      <c r="AK66" s="408"/>
    </row>
    <row r="67" spans="1:37" ht="15" customHeight="1">
      <c r="A67" s="409">
        <f>Tabelle1!B27</f>
        <v>1.8</v>
      </c>
      <c r="B67" s="410">
        <f>Tabelle1!C27</f>
        <v>1.7</v>
      </c>
      <c r="C67" s="413">
        <f>Cola2!B3</f>
        <v>0</v>
      </c>
      <c r="D67" s="413">
        <f>Cola2!C3</f>
        <v>0</v>
      </c>
      <c r="E67" s="413">
        <f>Cola2!D3</f>
        <v>0</v>
      </c>
      <c r="F67" s="413">
        <f>Cola2!E3</f>
        <v>0</v>
      </c>
      <c r="G67" s="413" t="str">
        <f>IF(Cola!G67="","",Cola!G67)</f>
        <v/>
      </c>
      <c r="K67" s="353"/>
      <c r="L67" s="354" t="s">
        <v>287</v>
      </c>
      <c r="M67" s="355" t="e">
        <f>(F79/SQRT(12))/B89*100</f>
        <v>#DIV/0!</v>
      </c>
      <c r="N67" s="355" t="s">
        <v>223</v>
      </c>
      <c r="O67" s="356">
        <v>1</v>
      </c>
      <c r="P67" s="357">
        <v>1</v>
      </c>
      <c r="Q67" s="355" t="e">
        <f>M67/O67*P67</f>
        <v>#DIV/0!</v>
      </c>
      <c r="R67" s="358">
        <f>12-1</f>
        <v>11</v>
      </c>
      <c r="AD67" s="512"/>
      <c r="AE67" s="300"/>
      <c r="AF67" s="513"/>
      <c r="AG67" s="513"/>
      <c r="AH67" s="508"/>
      <c r="AI67" s="300"/>
      <c r="AJ67" s="513"/>
      <c r="AK67" s="300"/>
    </row>
    <row r="68" spans="1:37" ht="15" customHeight="1">
      <c r="A68" s="409">
        <f>Tabelle1!B28</f>
        <v>3.6</v>
      </c>
      <c r="B68" s="410">
        <f>Tabelle1!C28</f>
        <v>3.4</v>
      </c>
      <c r="C68" s="413">
        <f>Cola2!B4</f>
        <v>0</v>
      </c>
      <c r="D68" s="413">
        <f>Cola2!C4</f>
        <v>0</v>
      </c>
      <c r="E68" s="413">
        <f>Cola2!D4</f>
        <v>0</v>
      </c>
      <c r="F68" s="413">
        <f>Cola2!E4</f>
        <v>0</v>
      </c>
      <c r="G68" s="413" t="str">
        <f>IF(Cola!G68="","",Cola!G68)</f>
        <v/>
      </c>
      <c r="K68" s="353"/>
      <c r="L68" s="354"/>
      <c r="M68" s="355"/>
      <c r="N68" s="355"/>
      <c r="O68" s="356"/>
      <c r="P68" s="357"/>
      <c r="Q68" s="355"/>
      <c r="R68" s="358"/>
      <c r="AD68" s="512"/>
      <c r="AE68" s="514"/>
      <c r="AF68" s="513"/>
      <c r="AG68" s="513"/>
      <c r="AH68" s="508"/>
      <c r="AI68" s="300"/>
      <c r="AJ68" s="513"/>
      <c r="AK68" s="300"/>
    </row>
    <row r="69" spans="1:37" ht="15" customHeight="1">
      <c r="A69" s="409">
        <f>Tabelle1!B29</f>
        <v>5.4</v>
      </c>
      <c r="B69" s="410">
        <f>Tabelle1!C29</f>
        <v>5.0999999999999996</v>
      </c>
      <c r="C69" s="413">
        <f>Cola2!B5</f>
        <v>0</v>
      </c>
      <c r="D69" s="413">
        <f>Cola2!C5</f>
        <v>0</v>
      </c>
      <c r="E69" s="413">
        <f>Cola2!D5</f>
        <v>0</v>
      </c>
      <c r="F69" s="413">
        <f>Cola2!E5</f>
        <v>0</v>
      </c>
      <c r="G69" s="413" t="str">
        <f>IF(Cola!G69="","",Cola!G69)</f>
        <v/>
      </c>
      <c r="K69" s="353"/>
      <c r="L69" s="354"/>
      <c r="M69" s="355"/>
      <c r="N69" s="355"/>
      <c r="O69" s="356"/>
      <c r="P69" s="357"/>
      <c r="Q69" s="355"/>
      <c r="R69" s="662"/>
      <c r="AD69" s="512"/>
      <c r="AE69" s="514"/>
      <c r="AF69" s="513"/>
      <c r="AG69" s="513"/>
      <c r="AH69" s="508"/>
      <c r="AI69" s="300"/>
      <c r="AJ69" s="513"/>
      <c r="AK69" s="300"/>
    </row>
    <row r="70" spans="1:37" ht="15" customHeight="1">
      <c r="A70" s="409">
        <f>Tabelle1!B30</f>
        <v>7.2</v>
      </c>
      <c r="B70" s="410">
        <f>Tabelle1!C30</f>
        <v>6.8</v>
      </c>
      <c r="C70" s="413">
        <f>Cola2!B6</f>
        <v>0</v>
      </c>
      <c r="D70" s="413">
        <f>Cola2!C6</f>
        <v>0</v>
      </c>
      <c r="E70" s="413">
        <f>Cola2!D6</f>
        <v>0</v>
      </c>
      <c r="F70" s="413">
        <f>Cola2!E6</f>
        <v>0</v>
      </c>
      <c r="G70" s="413" t="str">
        <f>IF(Cola!G70="","",Cola!G70)</f>
        <v/>
      </c>
      <c r="I70"/>
      <c r="J70"/>
      <c r="K70" s="353"/>
      <c r="L70" s="354"/>
      <c r="M70" s="355"/>
      <c r="N70" s="355"/>
      <c r="O70" s="356"/>
      <c r="P70" s="357"/>
      <c r="Q70" s="355"/>
      <c r="R70" s="662"/>
      <c r="S70"/>
      <c r="AD70" s="512"/>
      <c r="AE70" s="514"/>
      <c r="AF70" s="513"/>
      <c r="AG70" s="513"/>
      <c r="AH70" s="508"/>
      <c r="AI70" s="300"/>
      <c r="AJ70" s="513"/>
      <c r="AK70" s="300"/>
    </row>
    <row r="71" spans="1:37" ht="15" customHeight="1" thickBot="1">
      <c r="A71" s="409">
        <f>Tabelle1!B31</f>
        <v>9</v>
      </c>
      <c r="B71" s="410">
        <f>Tabelle1!C31</f>
        <v>8.5</v>
      </c>
      <c r="C71" s="413">
        <f>Cola2!B7</f>
        <v>0</v>
      </c>
      <c r="D71" s="413">
        <f>Cola2!C7</f>
        <v>0</v>
      </c>
      <c r="E71" s="413">
        <f>Cola2!D7</f>
        <v>0</v>
      </c>
      <c r="F71" s="413">
        <f>Cola2!E7</f>
        <v>0</v>
      </c>
      <c r="G71" s="413" t="str">
        <f>IF(Cola!G71="","",Cola!G71)</f>
        <v/>
      </c>
      <c r="I71"/>
      <c r="J71"/>
      <c r="K71" s="359"/>
      <c r="L71" s="360"/>
      <c r="M71" s="361"/>
      <c r="N71" s="361"/>
      <c r="O71" s="362"/>
      <c r="P71" s="363"/>
      <c r="Q71" s="361"/>
      <c r="R71" s="364"/>
      <c r="S71"/>
      <c r="AD71" s="512"/>
      <c r="AE71" s="514"/>
      <c r="AF71" s="513"/>
      <c r="AG71" s="513"/>
      <c r="AH71" s="519"/>
      <c r="AI71" s="300"/>
      <c r="AJ71" s="513"/>
      <c r="AK71" s="300"/>
    </row>
    <row r="72" spans="1:37" ht="15" customHeight="1">
      <c r="A72" s="409">
        <f>Tabelle1!B32</f>
        <v>10.8</v>
      </c>
      <c r="B72" s="410">
        <f>Tabelle1!C32</f>
        <v>10.199999999999999</v>
      </c>
      <c r="C72" s="413">
        <f>Cola2!B8</f>
        <v>0</v>
      </c>
      <c r="D72" s="413">
        <f>Cola2!C8</f>
        <v>0</v>
      </c>
      <c r="E72" s="413">
        <f>Cola2!D8</f>
        <v>0</v>
      </c>
      <c r="F72" s="413">
        <f>Cola2!E8</f>
        <v>0</v>
      </c>
      <c r="G72" s="413" t="str">
        <f>IF(Cola!G72="","",Cola!G72)</f>
        <v/>
      </c>
      <c r="I72"/>
      <c r="J72"/>
      <c r="K72" s="368" t="s">
        <v>253</v>
      </c>
      <c r="L72" s="876" t="s">
        <v>227</v>
      </c>
      <c r="M72" s="877"/>
      <c r="N72" s="369" t="s">
        <v>223</v>
      </c>
      <c r="O72" s="370"/>
      <c r="P72" s="371"/>
      <c r="Q72" s="372" t="e">
        <f>SQRT(SUMSQ(Q66:Q70))</f>
        <v>#DIV/0!</v>
      </c>
      <c r="R72" s="373" t="e">
        <f>MIN(10000,ROUND(((Q72)^4)/(+(((Q67)^4)/R67)),0))</f>
        <v>#DIV/0!</v>
      </c>
      <c r="S72"/>
      <c r="AD72" s="512"/>
      <c r="AE72" s="514"/>
      <c r="AF72" s="513"/>
      <c r="AG72" s="513"/>
      <c r="AH72" s="519"/>
      <c r="AI72" s="300"/>
      <c r="AJ72" s="513"/>
      <c r="AK72" s="300"/>
    </row>
    <row r="73" spans="1:37" ht="15" customHeight="1" thickBot="1">
      <c r="A73" s="409">
        <f>Tabelle1!B33</f>
        <v>12.600000000000001</v>
      </c>
      <c r="B73" s="410">
        <f>Tabelle1!C33</f>
        <v>11.899999999999999</v>
      </c>
      <c r="C73" s="413">
        <f>Cola2!B9</f>
        <v>0</v>
      </c>
      <c r="D73" s="413">
        <f>Cola2!C9</f>
        <v>0</v>
      </c>
      <c r="E73" s="413">
        <f>Cola2!D9</f>
        <v>0</v>
      </c>
      <c r="F73" s="413">
        <f>Cola2!E9</f>
        <v>0</v>
      </c>
      <c r="G73" s="413" t="str">
        <f>IF(Cola!G73="","",Cola!G73)</f>
        <v/>
      </c>
      <c r="I73"/>
      <c r="J73"/>
      <c r="K73" s="374" t="s">
        <v>254</v>
      </c>
      <c r="L73" s="878" t="s">
        <v>229</v>
      </c>
      <c r="M73" s="879"/>
      <c r="N73" s="375" t="e">
        <f>"k = " &amp; O73</f>
        <v>#DIV/0!</v>
      </c>
      <c r="O73" s="376" t="e">
        <f>ROUND(TINV(1-0.9545,R72),2)</f>
        <v>#DIV/0!</v>
      </c>
      <c r="P73" s="377"/>
      <c r="Q73" s="378" t="e">
        <f>IF(TRUNC(Q72*O73,4)-TRUNC((Q72*O73),3)&lt;=0.0001,ROUND((Q72*O73),3),ROUNDUP((Q72*O73),3))</f>
        <v>#DIV/0!</v>
      </c>
      <c r="R73" s="379"/>
      <c r="S73"/>
      <c r="AD73" s="512"/>
      <c r="AE73" s="300"/>
      <c r="AF73" s="513"/>
      <c r="AG73" s="513"/>
      <c r="AH73" s="519"/>
      <c r="AI73" s="300"/>
      <c r="AJ73" s="513"/>
      <c r="AK73" s="300"/>
    </row>
    <row r="74" spans="1:37" ht="15" customHeight="1">
      <c r="A74" s="409">
        <f>Tabelle1!B34</f>
        <v>14.400000000000002</v>
      </c>
      <c r="B74" s="410">
        <f>Tabelle1!C34</f>
        <v>13.599999999999998</v>
      </c>
      <c r="C74" s="413">
        <f>Cola2!B10</f>
        <v>0</v>
      </c>
      <c r="D74" s="413">
        <f>Cola2!C10</f>
        <v>0</v>
      </c>
      <c r="E74" s="413">
        <f>Cola2!D10</f>
        <v>0</v>
      </c>
      <c r="F74" s="413">
        <f>Cola2!E10</f>
        <v>0</v>
      </c>
      <c r="G74" s="413" t="str">
        <f>IF(Cola!G74="","",Cola!G74)</f>
        <v/>
      </c>
      <c r="I74"/>
      <c r="J74"/>
      <c r="P74" s="266" t="s">
        <v>293</v>
      </c>
      <c r="Q74" s="315" t="e">
        <f>IF(FLOOR(Q73,1)&lt;&gt;0,0,IF(FLOOR(Q73,0.1)&lt;&gt;0,1,IF(FLOOR(Q73,0.01)&lt;&gt;0,2,IF(FLOOR(Q73,0.001)&lt;&gt;0,3,4))))</f>
        <v>#DIV/0!</v>
      </c>
      <c r="S74"/>
      <c r="T74" s="220"/>
      <c r="U74" s="220"/>
      <c r="AD74" s="512"/>
      <c r="AE74" s="300"/>
      <c r="AF74" s="519"/>
      <c r="AG74" s="513"/>
      <c r="AH74" s="519"/>
      <c r="AI74" s="300"/>
      <c r="AJ74" s="513"/>
      <c r="AK74" s="300"/>
    </row>
    <row r="75" spans="1:37" ht="15" customHeight="1">
      <c r="A75" s="409">
        <f>Tabelle1!B35</f>
        <v>16.200000000000003</v>
      </c>
      <c r="B75" s="410">
        <f>Tabelle1!C35</f>
        <v>15.299999999999997</v>
      </c>
      <c r="C75" s="413">
        <f>Cola2!B11</f>
        <v>0</v>
      </c>
      <c r="D75" s="413">
        <f>Cola2!C11</f>
        <v>0</v>
      </c>
      <c r="E75" s="413">
        <f>Cola2!D11</f>
        <v>0</v>
      </c>
      <c r="F75" s="413">
        <f>Cola2!E11</f>
        <v>0</v>
      </c>
      <c r="G75" s="413" t="str">
        <f>IF(Cola!G75="","",Cola!G75)</f>
        <v/>
      </c>
      <c r="I75"/>
      <c r="J75"/>
      <c r="K75"/>
      <c r="L75"/>
      <c r="M75"/>
      <c r="P75" s="266" t="s">
        <v>290</v>
      </c>
      <c r="Q75" s="651" t="e">
        <f>ROUND(Q73,Q74)</f>
        <v>#DIV/0!</v>
      </c>
      <c r="S75"/>
      <c r="T75" s="220"/>
      <c r="U75" s="220"/>
      <c r="AD75" s="512"/>
      <c r="AE75" s="300"/>
      <c r="AF75" s="300"/>
      <c r="AG75" s="300"/>
      <c r="AH75" s="516"/>
      <c r="AI75" s="516"/>
      <c r="AJ75" s="514"/>
      <c r="AK75" s="517"/>
    </row>
    <row r="76" spans="1:37" ht="15" customHeight="1">
      <c r="A76" s="409">
        <f>Tabelle1!B36</f>
        <v>18.000000000000004</v>
      </c>
      <c r="B76" s="410">
        <f>Tabelle1!C36</f>
        <v>16.999999999999996</v>
      </c>
      <c r="C76" s="413">
        <f>Cola2!B12</f>
        <v>0</v>
      </c>
      <c r="D76" s="413">
        <f>Cola2!C12</f>
        <v>0</v>
      </c>
      <c r="E76" s="413">
        <f>Cola2!D12</f>
        <v>0</v>
      </c>
      <c r="F76" s="413">
        <f>Cola2!E12</f>
        <v>0</v>
      </c>
      <c r="G76" s="413" t="str">
        <f>IF(Cola!G76="","",Cola!G76)</f>
        <v/>
      </c>
      <c r="I76"/>
      <c r="J76"/>
      <c r="K76"/>
      <c r="L76"/>
      <c r="M76"/>
      <c r="P76" s="266" t="s">
        <v>291</v>
      </c>
      <c r="Q76" s="841" t="e">
        <f>MAX(0.05,Q75)</f>
        <v>#DIV/0!</v>
      </c>
      <c r="S76"/>
      <c r="T76" s="220"/>
      <c r="U76" s="220"/>
      <c r="AD76" s="512"/>
      <c r="AE76" s="514"/>
      <c r="AF76" s="300"/>
      <c r="AG76" s="565"/>
      <c r="AH76" s="518"/>
      <c r="AI76" s="516"/>
      <c r="AJ76" s="519"/>
      <c r="AK76" s="300"/>
    </row>
    <row r="77" spans="1:37" ht="15" customHeight="1">
      <c r="A77" s="409">
        <f>Tabelle1!B37</f>
        <v>19.800000000000004</v>
      </c>
      <c r="B77" s="410">
        <f>Tabelle1!C37</f>
        <v>18.699999999999996</v>
      </c>
      <c r="C77" s="413">
        <f>Cola2!B13</f>
        <v>0</v>
      </c>
      <c r="D77" s="413">
        <f>Cola2!C13</f>
        <v>0</v>
      </c>
      <c r="E77" s="413">
        <f>Cola2!D13</f>
        <v>0</v>
      </c>
      <c r="F77" s="413">
        <f>Cola2!E13</f>
        <v>0</v>
      </c>
      <c r="G77" s="413" t="str">
        <f>IF(Cola!G77="","",Cola!G77)</f>
        <v/>
      </c>
      <c r="I77"/>
      <c r="J77"/>
      <c r="K77"/>
      <c r="L77"/>
      <c r="M77"/>
      <c r="P77" s="266" t="s">
        <v>292</v>
      </c>
      <c r="Q77" s="651" t="e">
        <f>Q76*B89/100</f>
        <v>#DIV/0!</v>
      </c>
      <c r="S77"/>
      <c r="T77" s="220"/>
      <c r="U77" s="220"/>
      <c r="AD77" s="566"/>
      <c r="AE77" s="566"/>
      <c r="AF77" s="566"/>
      <c r="AG77" s="566"/>
      <c r="AH77" s="566"/>
      <c r="AI77" s="566"/>
      <c r="AJ77" s="566"/>
      <c r="AK77" s="566"/>
    </row>
    <row r="78" spans="1:37" ht="15" customHeight="1">
      <c r="A78" s="409">
        <f>Tabelle1!B38</f>
        <v>21.600000000000005</v>
      </c>
      <c r="B78" s="410">
        <f>Tabelle1!C38</f>
        <v>20.399999999999995</v>
      </c>
      <c r="C78" s="413">
        <f>Cola2!B14</f>
        <v>0</v>
      </c>
      <c r="D78" s="413">
        <f>Cola2!C14</f>
        <v>0</v>
      </c>
      <c r="E78" s="413">
        <f>Cola2!D14</f>
        <v>0</v>
      </c>
      <c r="F78" s="413">
        <f>Cola2!E14</f>
        <v>0</v>
      </c>
      <c r="G78" s="413" t="str">
        <f>IF(Cola!G78="","",Cola!G78)</f>
        <v/>
      </c>
      <c r="I78"/>
      <c r="J78"/>
      <c r="K78"/>
      <c r="L78"/>
      <c r="M78"/>
      <c r="P78" s="266" t="s">
        <v>293</v>
      </c>
      <c r="Q78" s="315" t="e">
        <f>Q74</f>
        <v>#DIV/0!</v>
      </c>
      <c r="S78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495"/>
      <c r="AE78" s="279"/>
      <c r="AF78" s="279"/>
      <c r="AG78" s="279"/>
      <c r="AH78" s="279"/>
      <c r="AI78" s="279"/>
      <c r="AJ78" s="279"/>
      <c r="AK78" s="279"/>
    </row>
    <row r="79" spans="1:37" ht="15" customHeight="1">
      <c r="A79" s="654" t="s">
        <v>284</v>
      </c>
      <c r="B79" s="655"/>
      <c r="C79" s="659">
        <f>STDEV(C67:C78)</f>
        <v>0</v>
      </c>
      <c r="D79" s="659">
        <f>STDEV(D67:D78)</f>
        <v>0</v>
      </c>
      <c r="E79" s="660">
        <f>STDEV(E67:E78)</f>
        <v>0</v>
      </c>
      <c r="F79" s="661">
        <f>STDEV(F67:F78)</f>
        <v>0</v>
      </c>
      <c r="G79" s="395"/>
      <c r="I79"/>
      <c r="J79"/>
      <c r="S79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300"/>
      <c r="AE79" s="507"/>
      <c r="AF79" s="507"/>
      <c r="AG79" s="507"/>
      <c r="AH79" s="507"/>
      <c r="AI79" s="507"/>
      <c r="AJ79" s="300"/>
      <c r="AK79" s="508"/>
    </row>
    <row r="80" spans="1:37" ht="15" customHeight="1">
      <c r="A80" s="327"/>
      <c r="B80" s="274"/>
      <c r="C80" s="386" t="s">
        <v>239</v>
      </c>
      <c r="D80" s="386" t="s">
        <v>240</v>
      </c>
      <c r="E80" s="386" t="s">
        <v>241</v>
      </c>
      <c r="F80" s="386" t="s">
        <v>242</v>
      </c>
      <c r="G80" s="415"/>
      <c r="I80"/>
      <c r="J80"/>
      <c r="S8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300"/>
      <c r="AE80" s="387"/>
      <c r="AF80" s="387"/>
      <c r="AG80" s="387"/>
      <c r="AH80" s="387"/>
      <c r="AI80" s="387"/>
      <c r="AJ80" s="300"/>
      <c r="AK80" s="508"/>
    </row>
    <row r="81" spans="1:37" ht="15" customHeight="1">
      <c r="A81" s="291"/>
      <c r="B81" s="274"/>
      <c r="C81" s="416">
        <f>MAX(C67:C78)</f>
        <v>0</v>
      </c>
      <c r="D81" s="416">
        <f>MAX(D67:D78)</f>
        <v>0</v>
      </c>
      <c r="E81" s="416">
        <f>MAX(E67:E78)</f>
        <v>0</v>
      </c>
      <c r="F81" s="416">
        <f>MAX(F67:F78)</f>
        <v>0</v>
      </c>
      <c r="G81" s="415"/>
      <c r="I81"/>
      <c r="J81"/>
      <c r="S81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300"/>
      <c r="AE81" s="300"/>
      <c r="AF81" s="565"/>
      <c r="AG81" s="565"/>
      <c r="AH81" s="300"/>
      <c r="AI81" s="300"/>
      <c r="AJ81" s="300"/>
      <c r="AK81" s="408"/>
    </row>
    <row r="82" spans="1:37" ht="15" customHeight="1">
      <c r="A82" s="291"/>
      <c r="B82" s="274"/>
      <c r="C82" s="386" t="s">
        <v>243</v>
      </c>
      <c r="D82" s="386" t="s">
        <v>244</v>
      </c>
      <c r="E82" s="386" t="s">
        <v>245</v>
      </c>
      <c r="F82" s="386" t="s">
        <v>246</v>
      </c>
      <c r="G82" s="415"/>
      <c r="I82"/>
      <c r="J82"/>
      <c r="S82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512"/>
      <c r="AE82" s="300"/>
      <c r="AF82" s="513"/>
      <c r="AG82" s="513"/>
      <c r="AH82" s="508"/>
      <c r="AI82" s="300"/>
      <c r="AJ82" s="513"/>
      <c r="AK82" s="300"/>
    </row>
    <row r="83" spans="1:37" ht="15" customHeight="1">
      <c r="A83" s="291"/>
      <c r="B83" s="274"/>
      <c r="C83" s="417">
        <f>MIN(C67:C78)</f>
        <v>0</v>
      </c>
      <c r="D83" s="417">
        <f>MIN(D67:D78)</f>
        <v>0</v>
      </c>
      <c r="E83" s="417">
        <f>MIN(E67:E78)</f>
        <v>0</v>
      </c>
      <c r="F83" s="417">
        <f>MIN(F67:F78)</f>
        <v>0</v>
      </c>
      <c r="G83" s="415"/>
      <c r="I83"/>
      <c r="J83"/>
      <c r="S83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512"/>
      <c r="AE83" s="514"/>
      <c r="AF83" s="513"/>
      <c r="AG83" s="513"/>
      <c r="AH83" s="508"/>
      <c r="AI83" s="300"/>
      <c r="AJ83" s="513"/>
      <c r="AK83" s="300"/>
    </row>
    <row r="84" spans="1:37" ht="15" customHeight="1">
      <c r="A84" s="291"/>
      <c r="B84" s="274"/>
      <c r="C84" s="274"/>
      <c r="D84" s="274"/>
      <c r="E84" s="274"/>
      <c r="F84" s="274"/>
      <c r="G84" s="328"/>
      <c r="I84"/>
      <c r="J84"/>
      <c r="S84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512"/>
      <c r="AE84" s="514"/>
      <c r="AF84" s="513"/>
      <c r="AG84" s="513"/>
      <c r="AH84" s="508"/>
      <c r="AI84" s="300"/>
      <c r="AJ84" s="513"/>
      <c r="AK84" s="300"/>
    </row>
    <row r="85" spans="1:37" ht="15" customHeight="1">
      <c r="A85" s="327" t="s">
        <v>216</v>
      </c>
      <c r="B85" s="344" t="s">
        <v>247</v>
      </c>
      <c r="C85" s="344" t="s">
        <v>248</v>
      </c>
      <c r="D85" s="344" t="s">
        <v>249</v>
      </c>
      <c r="E85" s="344" t="s">
        <v>250</v>
      </c>
      <c r="F85" s="344"/>
      <c r="G85" s="395"/>
      <c r="I85"/>
      <c r="J85"/>
      <c r="S85"/>
      <c r="T85" s="220"/>
      <c r="U85" s="220"/>
      <c r="V85" s="220"/>
      <c r="W85" s="220"/>
      <c r="X85" s="220"/>
      <c r="Y85" s="220"/>
      <c r="Z85" s="220"/>
      <c r="AA85" s="220"/>
      <c r="AB85" s="220"/>
      <c r="AC85" s="220"/>
      <c r="AD85" s="512"/>
      <c r="AE85" s="514"/>
      <c r="AF85" s="513"/>
      <c r="AG85" s="513"/>
      <c r="AH85" s="508"/>
      <c r="AI85" s="300"/>
      <c r="AJ85" s="513"/>
      <c r="AK85" s="300"/>
    </row>
    <row r="86" spans="1:37" ht="15" customHeight="1">
      <c r="A86" s="327" t="s">
        <v>162</v>
      </c>
      <c r="B86" s="418">
        <f>ROUND(AVERAGE(C67:C78),7)</f>
        <v>0</v>
      </c>
      <c r="C86" s="411"/>
      <c r="D86" s="418">
        <f>B86-C86</f>
        <v>0</v>
      </c>
      <c r="E86" s="419" t="e">
        <f>ROUND((D86/C86)*100,2)</f>
        <v>#DIV/0!</v>
      </c>
      <c r="F86" s="311"/>
      <c r="G86" s="328"/>
      <c r="I86"/>
      <c r="J86"/>
      <c r="S86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512"/>
      <c r="AE86" s="514"/>
      <c r="AF86" s="513"/>
      <c r="AG86" s="513"/>
      <c r="AH86" s="519"/>
      <c r="AI86" s="300"/>
      <c r="AJ86" s="513"/>
      <c r="AK86" s="300"/>
    </row>
    <row r="87" spans="1:37" ht="15" customHeight="1">
      <c r="A87" s="327" t="s">
        <v>163</v>
      </c>
      <c r="B87" s="418">
        <f>ROUND(AVERAGE(D67:D78),7)</f>
        <v>0</v>
      </c>
      <c r="C87" s="411"/>
      <c r="D87" s="418">
        <f>B87-C87</f>
        <v>0</v>
      </c>
      <c r="E87" s="419" t="e">
        <f>ROUND((D87/C87)*100,2)</f>
        <v>#DIV/0!</v>
      </c>
      <c r="F87" s="274"/>
      <c r="G87" s="328"/>
      <c r="I87"/>
      <c r="J87"/>
      <c r="K87" s="314" t="s">
        <v>313</v>
      </c>
      <c r="L87" s="220"/>
      <c r="M87" s="220"/>
      <c r="N87" s="220"/>
      <c r="O87" s="220"/>
      <c r="P87" s="220"/>
      <c r="Q87" s="220"/>
      <c r="R87" s="220"/>
      <c r="S87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512"/>
      <c r="AE87" s="514"/>
      <c r="AF87" s="513"/>
      <c r="AG87" s="513"/>
      <c r="AH87" s="519"/>
      <c r="AI87" s="300"/>
      <c r="AJ87" s="513"/>
      <c r="AK87" s="300"/>
    </row>
    <row r="88" spans="1:37" ht="15" customHeight="1">
      <c r="A88" s="327" t="s">
        <v>164</v>
      </c>
      <c r="B88" s="418">
        <f>ROUND(AVERAGE(E67:E78),7)</f>
        <v>0</v>
      </c>
      <c r="C88" s="411"/>
      <c r="D88" s="418">
        <f>B88-C88</f>
        <v>0</v>
      </c>
      <c r="E88" s="419" t="e">
        <f>ROUND((D88/C88)*100,2)</f>
        <v>#DIV/0!</v>
      </c>
      <c r="F88" s="274"/>
      <c r="G88" s="395"/>
      <c r="I88"/>
      <c r="J88"/>
      <c r="K88"/>
      <c r="L88" t="s">
        <v>282</v>
      </c>
      <c r="M88" t="str">
        <f>LEFT(VLOOKUP("Incerteza Ra",Padroes!$B$3:$N$28,6,FALSE),SEARCH("+",VLOOKUP("Incerteza Ra",Padroes!$B$3:$N$28,6,FALSE))-1)</f>
        <v>0,003</v>
      </c>
      <c r="N88"/>
      <c r="P88"/>
      <c r="Q88"/>
      <c r="R88"/>
      <c r="S88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512"/>
      <c r="AE88" s="300"/>
      <c r="AF88" s="513"/>
      <c r="AG88" s="513"/>
      <c r="AH88" s="519"/>
      <c r="AI88" s="300"/>
      <c r="AJ88" s="513"/>
      <c r="AK88" s="300"/>
    </row>
    <row r="89" spans="1:37" ht="15" customHeight="1">
      <c r="A89" s="327" t="str">
        <f>F66</f>
        <v>RSm</v>
      </c>
      <c r="B89" s="418">
        <f>ROUND(AVERAGE(F67:F78),7)</f>
        <v>0</v>
      </c>
      <c r="C89" s="411"/>
      <c r="D89" s="418">
        <f>B89-C89</f>
        <v>0</v>
      </c>
      <c r="E89" s="419" t="e">
        <f>ROUND((D89/C89)*100,2)</f>
        <v>#DIV/0!</v>
      </c>
      <c r="F89" s="311"/>
      <c r="G89" s="395"/>
      <c r="I89"/>
      <c r="J89"/>
      <c r="K89"/>
      <c r="L89" t="s">
        <v>283</v>
      </c>
      <c r="M89" t="str">
        <f>RIGHT(VLOOKUP("Incerteza Ra",Padroes!$B$4:$N$29,6,FALSE),LEN(VLOOKUP("Incerteza Ra",Padroes!$B$4:$N$29,6,FALSE))-SEARCH("/",VLOOKUP("Incerteza Ra",Padroes!$B$4:$N$29,6,FALSE)))</f>
        <v>38</v>
      </c>
      <c r="O89"/>
      <c r="P89"/>
      <c r="Q89"/>
      <c r="R89"/>
      <c r="S89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512"/>
      <c r="AE89" s="300"/>
      <c r="AF89" s="519"/>
      <c r="AG89" s="513"/>
      <c r="AH89" s="519"/>
      <c r="AI89" s="300"/>
      <c r="AJ89" s="513"/>
      <c r="AK89" s="300"/>
    </row>
    <row r="90" spans="1:37" ht="15" customHeight="1" thickBot="1">
      <c r="A90" s="327" t="s">
        <v>251</v>
      </c>
      <c r="B90" s="418" t="e">
        <f>ROUND(AVERAGE(G67:G78),7)*G42</f>
        <v>#DIV/0!</v>
      </c>
      <c r="C90" s="311"/>
      <c r="D90" s="311"/>
      <c r="E90" s="311"/>
      <c r="F90" s="311"/>
      <c r="G90" s="395"/>
      <c r="I90"/>
      <c r="J90"/>
      <c r="K90"/>
      <c r="L90"/>
      <c r="M90"/>
      <c r="N90"/>
      <c r="O90"/>
      <c r="P90"/>
      <c r="Q90"/>
      <c r="R90"/>
      <c r="S9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512"/>
      <c r="AE90" s="300"/>
      <c r="AF90" s="514"/>
      <c r="AG90" s="513"/>
      <c r="AH90" s="519"/>
      <c r="AI90" s="300"/>
      <c r="AJ90" s="514"/>
      <c r="AK90" s="300"/>
    </row>
    <row r="91" spans="1:37" ht="15" customHeight="1" thickBot="1">
      <c r="A91" s="327"/>
      <c r="B91" s="311"/>
      <c r="C91" s="311"/>
      <c r="D91" s="311"/>
      <c r="E91" s="311"/>
      <c r="F91" s="311"/>
      <c r="G91" s="395"/>
      <c r="I91"/>
      <c r="J91"/>
      <c r="K91" s="329" t="s">
        <v>209</v>
      </c>
      <c r="L91" s="330" t="s">
        <v>210</v>
      </c>
      <c r="M91" s="331"/>
      <c r="N91" s="331"/>
      <c r="O91" s="331"/>
      <c r="P91" s="331"/>
      <c r="Q91" s="332"/>
      <c r="R91" s="333"/>
      <c r="S91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512"/>
      <c r="AE91" s="300"/>
      <c r="AF91" s="300"/>
      <c r="AG91" s="300"/>
      <c r="AH91" s="516"/>
      <c r="AI91" s="516"/>
      <c r="AJ91" s="514"/>
      <c r="AK91" s="517"/>
    </row>
    <row r="92" spans="1:37" ht="15" customHeight="1" thickBot="1">
      <c r="A92" s="291"/>
      <c r="B92" s="274"/>
      <c r="C92" s="274"/>
      <c r="D92" s="274"/>
      <c r="E92" s="274"/>
      <c r="F92" s="274"/>
      <c r="G92" s="328"/>
      <c r="I92"/>
      <c r="J92"/>
      <c r="K92" s="336">
        <f>SERV</f>
        <v>9.423</v>
      </c>
      <c r="L92" s="870" t="s">
        <v>162</v>
      </c>
      <c r="M92" s="871"/>
      <c r="N92" s="871"/>
      <c r="O92" s="871"/>
      <c r="P92" s="872"/>
      <c r="Q92" s="337"/>
      <c r="R92" s="338"/>
      <c r="S92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512"/>
      <c r="AE92" s="514"/>
      <c r="AF92" s="300"/>
      <c r="AG92" s="565"/>
      <c r="AH92" s="518"/>
      <c r="AI92" s="516"/>
      <c r="AJ92" s="519"/>
      <c r="AK92" s="300"/>
    </row>
    <row r="93" spans="1:37" ht="15" customHeight="1" thickBot="1">
      <c r="A93" s="291"/>
      <c r="B93" s="274"/>
      <c r="C93" s="274"/>
      <c r="D93" s="274"/>
      <c r="E93" s="274"/>
      <c r="F93" s="274"/>
      <c r="G93" s="328"/>
      <c r="I93"/>
      <c r="J93"/>
      <c r="K93" s="340" t="s">
        <v>212</v>
      </c>
      <c r="L93" s="340" t="s">
        <v>132</v>
      </c>
      <c r="M93" s="341" t="str">
        <f>"+/- µm"</f>
        <v>+/- µm</v>
      </c>
      <c r="N93" s="341" t="s">
        <v>213</v>
      </c>
      <c r="O93" s="342" t="s">
        <v>214</v>
      </c>
      <c r="P93" s="342" t="s">
        <v>215</v>
      </c>
      <c r="Q93" s="342" t="str">
        <f>"+/- u [µm]"</f>
        <v>+/- u [µm]</v>
      </c>
      <c r="R93" s="343" t="s">
        <v>252</v>
      </c>
      <c r="S93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</row>
    <row r="94" spans="1:37" ht="15" customHeight="1">
      <c r="A94" s="291"/>
      <c r="B94" s="274"/>
      <c r="C94" s="274"/>
      <c r="D94" s="274"/>
      <c r="E94" s="274"/>
      <c r="F94" s="274"/>
      <c r="G94" s="328"/>
      <c r="I94"/>
      <c r="J94"/>
      <c r="K94" s="347"/>
      <c r="L94" s="348" t="s">
        <v>281</v>
      </c>
      <c r="M94" s="349">
        <f>M88+B127/M89</f>
        <v>3.0000000000000001E-3</v>
      </c>
      <c r="N94" s="349" t="s">
        <v>223</v>
      </c>
      <c r="O94" s="350">
        <v>2</v>
      </c>
      <c r="P94" s="348">
        <v>1</v>
      </c>
      <c r="Q94" s="349">
        <f>M94/O94*P94</f>
        <v>1.5E-3</v>
      </c>
      <c r="R94" s="351" t="s">
        <v>226</v>
      </c>
      <c r="S94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</row>
    <row r="95" spans="1:37" ht="15" customHeight="1">
      <c r="A95" s="291"/>
      <c r="B95" s="274"/>
      <c r="C95" s="274"/>
      <c r="D95" s="274"/>
      <c r="E95" s="274"/>
      <c r="F95" s="274"/>
      <c r="G95" s="328"/>
      <c r="I95"/>
      <c r="J95"/>
      <c r="K95" s="353"/>
      <c r="L95" s="354" t="s">
        <v>287</v>
      </c>
      <c r="M95" s="355">
        <f>C120/SQRT(12)</f>
        <v>0</v>
      </c>
      <c r="N95" s="355" t="s">
        <v>223</v>
      </c>
      <c r="O95" s="356">
        <v>1</v>
      </c>
      <c r="P95" s="357">
        <v>1</v>
      </c>
      <c r="Q95" s="355">
        <f>M95/O95*P95</f>
        <v>0</v>
      </c>
      <c r="R95" s="358">
        <f>12-1</f>
        <v>11</v>
      </c>
      <c r="S95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</row>
    <row r="96" spans="1:37" ht="15" customHeight="1" thickBot="1">
      <c r="A96" s="317"/>
      <c r="B96" s="318"/>
      <c r="C96" s="318"/>
      <c r="D96" s="318"/>
      <c r="E96" s="318"/>
      <c r="F96" s="318"/>
      <c r="G96" s="420"/>
      <c r="I96"/>
      <c r="J96"/>
      <c r="K96" s="353"/>
      <c r="L96" s="354" t="s">
        <v>224</v>
      </c>
      <c r="M96" s="355">
        <f>L6</f>
        <v>0</v>
      </c>
      <c r="N96" s="355" t="s">
        <v>225</v>
      </c>
      <c r="O96" s="356">
        <f>SQRT(3)</f>
        <v>1.7320508075688772</v>
      </c>
      <c r="P96" s="357">
        <v>1</v>
      </c>
      <c r="Q96" s="355">
        <f>M96/O96*P96</f>
        <v>0</v>
      </c>
      <c r="R96" s="358" t="s">
        <v>226</v>
      </c>
      <c r="S96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</row>
    <row r="97" spans="1:30" ht="15" customHeight="1">
      <c r="A97" s="880" t="s">
        <v>230</v>
      </c>
      <c r="B97" s="881"/>
      <c r="C97" s="881"/>
      <c r="D97" s="881"/>
      <c r="E97" s="881"/>
      <c r="F97" s="881"/>
      <c r="G97" s="882"/>
      <c r="I97"/>
      <c r="J97"/>
      <c r="K97" s="353"/>
      <c r="L97" s="354" t="s">
        <v>289</v>
      </c>
      <c r="M97" s="355">
        <f>L8</f>
        <v>0</v>
      </c>
      <c r="N97" s="355" t="s">
        <v>225</v>
      </c>
      <c r="O97" s="356">
        <f>SQRT(3)</f>
        <v>1.7320508075688772</v>
      </c>
      <c r="P97" s="357">
        <v>1</v>
      </c>
      <c r="Q97" s="355">
        <f>M97/O97*P97</f>
        <v>0</v>
      </c>
      <c r="R97" s="662" t="s">
        <v>226</v>
      </c>
      <c r="S97"/>
      <c r="T97" s="220"/>
      <c r="U97" s="220"/>
      <c r="V97" s="220"/>
      <c r="W97" s="220"/>
      <c r="X97" s="220"/>
      <c r="Y97" s="220"/>
      <c r="Z97" s="220"/>
      <c r="AA97" s="220"/>
      <c r="AB97" s="220"/>
      <c r="AC97" s="220"/>
      <c r="AD97" s="220"/>
    </row>
    <row r="98" spans="1:30" ht="15" customHeight="1">
      <c r="A98" s="327"/>
      <c r="B98" s="311"/>
      <c r="C98" s="311"/>
      <c r="D98" s="311"/>
      <c r="E98" s="311"/>
      <c r="F98" s="311"/>
      <c r="G98" s="395"/>
      <c r="I98"/>
      <c r="J98"/>
      <c r="K98" s="353"/>
      <c r="L98" s="354"/>
      <c r="M98" s="355"/>
      <c r="N98" s="355"/>
      <c r="O98" s="356"/>
      <c r="P98" s="357"/>
      <c r="Q98" s="355"/>
      <c r="R98" s="662"/>
      <c r="S98"/>
      <c r="T98" s="220"/>
      <c r="U98" s="220"/>
      <c r="V98" s="220"/>
      <c r="W98" s="220"/>
      <c r="X98" s="220"/>
      <c r="Y98" s="220"/>
      <c r="Z98" s="220"/>
      <c r="AA98" s="220"/>
      <c r="AB98" s="220"/>
      <c r="AC98" s="220"/>
      <c r="AD98" s="220"/>
    </row>
    <row r="99" spans="1:30" ht="15" customHeight="1" thickBot="1">
      <c r="A99" s="404" t="s">
        <v>231</v>
      </c>
      <c r="B99" s="405"/>
      <c r="C99" s="323">
        <f>Dados!C99</f>
        <v>24</v>
      </c>
      <c r="D99" s="405"/>
      <c r="E99" s="274" t="s">
        <v>232</v>
      </c>
      <c r="F99" s="274"/>
      <c r="G99" s="542" t="s">
        <v>272</v>
      </c>
      <c r="I99"/>
      <c r="J99"/>
      <c r="K99" s="359"/>
      <c r="L99" s="360"/>
      <c r="M99" s="361"/>
      <c r="N99" s="361"/>
      <c r="O99" s="362"/>
      <c r="P99" s="363"/>
      <c r="Q99" s="361"/>
      <c r="R99" s="364"/>
      <c r="S99"/>
      <c r="T99" s="220"/>
      <c r="U99" s="220"/>
      <c r="V99" s="220"/>
      <c r="W99" s="220"/>
      <c r="X99" s="220"/>
      <c r="Y99" s="220"/>
      <c r="Z99" s="220"/>
      <c r="AA99" s="220"/>
      <c r="AB99" s="220"/>
      <c r="AC99" s="220"/>
      <c r="AD99" s="220"/>
    </row>
    <row r="100" spans="1:30" ht="15" customHeight="1">
      <c r="A100" s="406" t="s">
        <v>233</v>
      </c>
      <c r="B100" s="405"/>
      <c r="C100" s="323">
        <f>Dados!C100</f>
        <v>22</v>
      </c>
      <c r="D100" s="405"/>
      <c r="E100" s="274" t="s">
        <v>206</v>
      </c>
      <c r="F100" s="321"/>
      <c r="G100" s="542" t="s">
        <v>273</v>
      </c>
      <c r="I100"/>
      <c r="J100"/>
      <c r="K100" s="368" t="s">
        <v>253</v>
      </c>
      <c r="L100" s="383" t="s">
        <v>227</v>
      </c>
      <c r="M100" s="663"/>
      <c r="N100" s="369" t="s">
        <v>223</v>
      </c>
      <c r="O100" s="370"/>
      <c r="P100" s="371"/>
      <c r="Q100" s="372">
        <f>SQRT(SUMSQ(Q94:Q97))</f>
        <v>1.5E-3</v>
      </c>
      <c r="R100" s="373" t="e">
        <f>MIN(10000,ROUND(((Q100)^4)/(+(((Q95)^4)/R95)),0))</f>
        <v>#DIV/0!</v>
      </c>
      <c r="S100"/>
      <c r="T100" s="220"/>
      <c r="U100" s="220"/>
      <c r="V100" s="220"/>
      <c r="W100" s="220"/>
      <c r="X100" s="220"/>
      <c r="Y100" s="220"/>
      <c r="Z100" s="220"/>
      <c r="AA100" s="220"/>
      <c r="AB100" s="220"/>
      <c r="AC100" s="220"/>
      <c r="AD100" s="220"/>
    </row>
    <row r="101" spans="1:30" ht="15" customHeight="1" thickBot="1">
      <c r="A101" s="291" t="s">
        <v>204</v>
      </c>
      <c r="B101" s="274"/>
      <c r="C101" s="496" t="str">
        <f>Dados!C101</f>
        <v>1,5 mm</v>
      </c>
      <c r="D101" s="274"/>
      <c r="E101" s="274" t="s">
        <v>268</v>
      </c>
      <c r="F101" s="274"/>
      <c r="G101" s="324" t="str">
        <f>IF(Cola2!K16="",CONCATENATE(LEFT(Cola2!K3,1),",",RIGHT(Cola2!K3,2)),CONCATENATE(LEFT(Cola2!K16,1),",",RIGHT(Cola2!K16,2)))</f>
        <v>,</v>
      </c>
      <c r="I101"/>
      <c r="J101"/>
      <c r="K101" s="374" t="s">
        <v>254</v>
      </c>
      <c r="L101" s="647" t="s">
        <v>229</v>
      </c>
      <c r="M101" s="648"/>
      <c r="N101" s="375" t="e">
        <f>"k = " &amp; O101</f>
        <v>#DIV/0!</v>
      </c>
      <c r="O101" s="376" t="e">
        <f>ROUND(TINV(1-0.9545,R100),2)</f>
        <v>#DIV/0!</v>
      </c>
      <c r="P101" s="377"/>
      <c r="Q101" s="378" t="e">
        <f>IF(TRUNC(Q100*O101,4)-TRUNC((Q100*O101),3)&lt;=0.0001,ROUND((Q100*O101),3),ROUNDUP((Q100*O101),3))</f>
        <v>#DIV/0!</v>
      </c>
      <c r="R101" s="379"/>
      <c r="S101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</row>
    <row r="102" spans="1:30" ht="15" customHeight="1">
      <c r="A102" s="291" t="s">
        <v>234</v>
      </c>
      <c r="B102" s="274"/>
      <c r="C102" s="496" t="str">
        <f>Dados!C102</f>
        <v>1,7 mm</v>
      </c>
      <c r="D102" s="405"/>
      <c r="E102" s="274" t="s">
        <v>269</v>
      </c>
      <c r="F102" s="274"/>
      <c r="G102" s="324">
        <f>Dados!R11</f>
        <v>2.5000000000000001E-3</v>
      </c>
      <c r="I102"/>
      <c r="J102"/>
      <c r="P102" s="266" t="s">
        <v>290</v>
      </c>
      <c r="Q102" s="315" t="e">
        <f>ROUND(Q101*100/B127,0)</f>
        <v>#DIV/0!</v>
      </c>
      <c r="S102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</row>
    <row r="103" spans="1:30" ht="15" customHeight="1">
      <c r="A103" s="291"/>
      <c r="B103" s="274"/>
      <c r="C103" s="274"/>
      <c r="D103" s="405"/>
      <c r="E103" s="274" t="s">
        <v>205</v>
      </c>
      <c r="F103" s="274"/>
      <c r="G103" s="542" t="e">
        <f>(G101*5)</f>
        <v>#VALUE!</v>
      </c>
      <c r="I103"/>
      <c r="J103"/>
      <c r="P103" s="266" t="s">
        <v>291</v>
      </c>
      <c r="Q103" s="564" t="e">
        <f>MAX(3,ROUND(Q101*100/B127,0))</f>
        <v>#DIV/0!</v>
      </c>
      <c r="S103"/>
      <c r="T103" s="220"/>
      <c r="U103" s="220"/>
      <c r="V103" s="220"/>
      <c r="W103" s="220"/>
      <c r="X103" s="220"/>
      <c r="Y103" s="220"/>
      <c r="Z103" s="220"/>
      <c r="AA103" s="220"/>
      <c r="AB103" s="220"/>
      <c r="AC103" s="220"/>
      <c r="AD103" s="220"/>
    </row>
    <row r="104" spans="1:30" ht="15" customHeight="1">
      <c r="A104" s="291"/>
      <c r="B104" s="274"/>
      <c r="C104" s="274"/>
      <c r="D104" s="405"/>
      <c r="E104" s="407" t="s">
        <v>207</v>
      </c>
      <c r="F104" s="405"/>
      <c r="G104" s="545" t="s">
        <v>274</v>
      </c>
      <c r="I104"/>
      <c r="J104"/>
      <c r="L104" t="s">
        <v>417</v>
      </c>
      <c r="M104" t="str">
        <f>LEFT(VLOOKUP("Incerteza Rz",Padroes!$B$3:$N$28,6,FALSE),SEARCH("+",VLOOKUP("Incerteza Rz",Padroes!$B$3:$N$28,6,FALSE))-1)</f>
        <v>0,008</v>
      </c>
      <c r="P104" s="266" t="s">
        <v>292</v>
      </c>
      <c r="Q104" s="651" t="e">
        <f>Q103*B127/100</f>
        <v>#DIV/0!</v>
      </c>
      <c r="R104" s="563"/>
      <c r="S104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</row>
    <row r="105" spans="1:30" ht="15" customHeight="1">
      <c r="A105" s="291"/>
      <c r="B105" s="274"/>
      <c r="C105" s="274"/>
      <c r="D105" s="274"/>
      <c r="E105" s="274"/>
      <c r="F105" s="274"/>
      <c r="G105" s="328"/>
      <c r="I105"/>
      <c r="J105"/>
      <c r="L105" t="s">
        <v>418</v>
      </c>
      <c r="M105" t="str">
        <f>RIGHT(VLOOKUP("Incerteza Rz",Padroes!$B$4:$N$29,6,FALSE),LEN(VLOOKUP("Incerteza Rz",Padroes!$B$4:$N$29,6,FALSE))-SEARCH("/",VLOOKUP("Incerteza Rz",Padroes!$B$4:$N$29,6,FALSE)))</f>
        <v>33</v>
      </c>
      <c r="P105" s="266" t="s">
        <v>293</v>
      </c>
      <c r="Q105" s="315" t="e">
        <f>IF(FLOOR(Q104,1)&lt;&gt;0,1,IF(FLOOR(Q104,0.1)&lt;&gt;0,2,IF(FLOOR(Q104,0.01)&lt;&gt;0,3,IF(FLOOR(Q104,0.001)&lt;&gt;0,4,5))))</f>
        <v>#DIV/0!</v>
      </c>
      <c r="S105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</row>
    <row r="106" spans="1:30" ht="15" customHeight="1" thickBot="1">
      <c r="A106" s="884" t="s">
        <v>235</v>
      </c>
      <c r="B106" s="868"/>
      <c r="C106" s="868" t="s">
        <v>236</v>
      </c>
      <c r="D106" s="868"/>
      <c r="E106" s="868"/>
      <c r="F106" s="868"/>
      <c r="G106" s="869"/>
      <c r="I106"/>
      <c r="J106"/>
      <c r="Q106" s="315"/>
      <c r="S106"/>
      <c r="T106" s="220"/>
      <c r="U106" s="220"/>
      <c r="V106" s="220"/>
      <c r="W106" s="220"/>
      <c r="X106" s="220"/>
      <c r="Y106" s="220"/>
      <c r="Z106" s="220"/>
      <c r="AA106" s="220"/>
      <c r="AB106" s="220"/>
      <c r="AC106" s="220"/>
      <c r="AD106" s="220"/>
    </row>
    <row r="107" spans="1:30" ht="20.100000000000001" customHeight="1" thickBot="1">
      <c r="A107" s="381" t="s">
        <v>237</v>
      </c>
      <c r="B107" s="382" t="s">
        <v>238</v>
      </c>
      <c r="C107" s="344" t="s">
        <v>195</v>
      </c>
      <c r="D107" s="344" t="s">
        <v>198</v>
      </c>
      <c r="E107" s="344" t="s">
        <v>201</v>
      </c>
      <c r="F107" s="344" t="s">
        <v>300</v>
      </c>
      <c r="G107" s="345" t="s">
        <v>266</v>
      </c>
      <c r="I107"/>
      <c r="J107"/>
      <c r="K107" s="329" t="s">
        <v>209</v>
      </c>
      <c r="L107" s="332" t="s">
        <v>303</v>
      </c>
      <c r="M107" s="652"/>
      <c r="N107" s="652"/>
      <c r="O107" s="652"/>
      <c r="P107" s="652"/>
      <c r="Q107" s="332"/>
      <c r="R107" s="333"/>
      <c r="S107"/>
      <c r="T107" s="220"/>
      <c r="U107" s="220"/>
      <c r="V107" s="220"/>
      <c r="W107" s="220"/>
      <c r="X107" s="220"/>
      <c r="Y107" s="220"/>
      <c r="Z107" s="220"/>
      <c r="AA107" s="220"/>
      <c r="AB107" s="220"/>
      <c r="AC107" s="220"/>
      <c r="AD107" s="220"/>
    </row>
    <row r="108" spans="1:30" ht="20.100000000000001" customHeight="1" thickBot="1">
      <c r="A108" s="409">
        <f t="shared" ref="A108:B119" si="0">A67</f>
        <v>1.8</v>
      </c>
      <c r="B108" s="410">
        <f t="shared" si="0"/>
        <v>1.7</v>
      </c>
      <c r="C108" s="413">
        <f>Cola2!B16</f>
        <v>0</v>
      </c>
      <c r="D108" s="413">
        <f>Cola2!C16</f>
        <v>0</v>
      </c>
      <c r="E108" s="413">
        <f>Cola2!D16</f>
        <v>0</v>
      </c>
      <c r="F108" s="413">
        <f>Cola2!E16</f>
        <v>0</v>
      </c>
      <c r="G108" s="413" t="str">
        <f>IF(Cola!G108="","",Cola!G108)</f>
        <v/>
      </c>
      <c r="I108"/>
      <c r="J108"/>
      <c r="K108" s="380">
        <f>SERV</f>
        <v>9.423</v>
      </c>
      <c r="L108" s="381" t="s">
        <v>163</v>
      </c>
      <c r="M108" s="382"/>
      <c r="N108" s="382"/>
      <c r="O108" s="382"/>
      <c r="P108" s="646"/>
      <c r="Q108" s="383"/>
      <c r="R108" s="384"/>
      <c r="S108"/>
      <c r="T108" s="220"/>
      <c r="U108" s="220"/>
      <c r="V108" s="220"/>
      <c r="W108" s="220"/>
      <c r="X108" s="220"/>
      <c r="Y108" s="220"/>
      <c r="Z108" s="220"/>
      <c r="AA108" s="220"/>
      <c r="AB108" s="220"/>
      <c r="AC108" s="220"/>
      <c r="AD108" s="220"/>
    </row>
    <row r="109" spans="1:30" ht="20.100000000000001" customHeight="1">
      <c r="A109" s="409">
        <f t="shared" si="0"/>
        <v>3.6</v>
      </c>
      <c r="B109" s="410">
        <f t="shared" si="0"/>
        <v>3.4</v>
      </c>
      <c r="C109" s="413">
        <f>Cola2!B17</f>
        <v>0</v>
      </c>
      <c r="D109" s="413">
        <f>Cola2!C17</f>
        <v>0</v>
      </c>
      <c r="E109" s="413">
        <f>Cola2!D17</f>
        <v>0</v>
      </c>
      <c r="F109" s="413">
        <f>Cola2!E17</f>
        <v>0</v>
      </c>
      <c r="G109" s="413" t="str">
        <f>IF(Cola2!G109="","",Cola2!G109)</f>
        <v/>
      </c>
      <c r="I109"/>
      <c r="J109"/>
      <c r="K109" s="347"/>
      <c r="L109" s="348" t="s">
        <v>281</v>
      </c>
      <c r="M109" s="349">
        <f>IF(ISERROR(M104)=TRUE,0,M104)+B128/M105</f>
        <v>8.0000000000000002E-3</v>
      </c>
      <c r="N109" s="349" t="s">
        <v>223</v>
      </c>
      <c r="O109" s="350">
        <v>2</v>
      </c>
      <c r="P109" s="348">
        <v>1</v>
      </c>
      <c r="Q109" s="349">
        <f>M109/O109*P109</f>
        <v>4.0000000000000001E-3</v>
      </c>
      <c r="R109" s="351" t="s">
        <v>226</v>
      </c>
      <c r="S109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</row>
    <row r="110" spans="1:30" ht="20.100000000000001" customHeight="1">
      <c r="A110" s="409">
        <f t="shared" si="0"/>
        <v>5.4</v>
      </c>
      <c r="B110" s="410">
        <f t="shared" si="0"/>
        <v>5.0999999999999996</v>
      </c>
      <c r="C110" s="413">
        <f>Cola2!B18</f>
        <v>0</v>
      </c>
      <c r="D110" s="413">
        <f>Cola2!C18</f>
        <v>0</v>
      </c>
      <c r="E110" s="413">
        <f>Cola2!D18</f>
        <v>0</v>
      </c>
      <c r="F110" s="413">
        <f>Cola2!E18</f>
        <v>0</v>
      </c>
      <c r="G110" s="413" t="str">
        <f>IF(Cola!G110="","",Cola!G110)</f>
        <v/>
      </c>
      <c r="I110"/>
      <c r="J110"/>
      <c r="K110" s="353"/>
      <c r="L110" s="354" t="s">
        <v>287</v>
      </c>
      <c r="M110" s="355">
        <f>D120/SQRT(12)</f>
        <v>0</v>
      </c>
      <c r="N110" s="355" t="s">
        <v>223</v>
      </c>
      <c r="O110" s="356">
        <v>1</v>
      </c>
      <c r="P110" s="357">
        <v>1</v>
      </c>
      <c r="Q110" s="355">
        <f>M110/O110*P110</f>
        <v>0</v>
      </c>
      <c r="R110" s="358">
        <f>12-1</f>
        <v>11</v>
      </c>
      <c r="S110"/>
      <c r="T110" s="220"/>
      <c r="U110" s="220"/>
      <c r="V110" s="220"/>
      <c r="W110" s="220"/>
      <c r="X110" s="220"/>
      <c r="Y110" s="220"/>
      <c r="Z110" s="220"/>
      <c r="AA110" s="220"/>
      <c r="AB110" s="220"/>
      <c r="AC110" s="220"/>
      <c r="AD110" s="220"/>
    </row>
    <row r="111" spans="1:30" ht="20.100000000000001" customHeight="1">
      <c r="A111" s="409">
        <f t="shared" si="0"/>
        <v>7.2</v>
      </c>
      <c r="B111" s="410">
        <f t="shared" si="0"/>
        <v>6.8</v>
      </c>
      <c r="C111" s="413">
        <f>Cola2!B19</f>
        <v>0</v>
      </c>
      <c r="D111" s="413">
        <f>Cola2!C19</f>
        <v>0</v>
      </c>
      <c r="E111" s="413">
        <f>Cola2!D19</f>
        <v>0</v>
      </c>
      <c r="F111" s="413">
        <f>Cola2!E19</f>
        <v>0</v>
      </c>
      <c r="G111" s="413" t="str">
        <f>IF(Cola!G111="","",Cola!G111)</f>
        <v/>
      </c>
      <c r="I111"/>
      <c r="J111"/>
      <c r="K111" s="353"/>
      <c r="L111" s="354" t="s">
        <v>224</v>
      </c>
      <c r="M111" s="355">
        <f>L6</f>
        <v>0</v>
      </c>
      <c r="N111" s="355" t="s">
        <v>225</v>
      </c>
      <c r="O111" s="356">
        <f>SQRT(3)</f>
        <v>1.7320508075688772</v>
      </c>
      <c r="P111" s="357">
        <v>1</v>
      </c>
      <c r="Q111" s="355">
        <f>M111/O111*P111</f>
        <v>0</v>
      </c>
      <c r="R111" s="358" t="s">
        <v>226</v>
      </c>
      <c r="S111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20"/>
      <c r="AD111" s="220"/>
    </row>
    <row r="112" spans="1:30" ht="20.100000000000001" customHeight="1">
      <c r="A112" s="409">
        <f t="shared" si="0"/>
        <v>9</v>
      </c>
      <c r="B112" s="410">
        <f t="shared" si="0"/>
        <v>8.5</v>
      </c>
      <c r="C112" s="413">
        <f>Cola2!B20</f>
        <v>0</v>
      </c>
      <c r="D112" s="413">
        <f>Cola2!C20</f>
        <v>0</v>
      </c>
      <c r="E112" s="413">
        <f>Cola2!D20</f>
        <v>0</v>
      </c>
      <c r="F112" s="413">
        <f>Cola2!E20</f>
        <v>0</v>
      </c>
      <c r="G112" s="413" t="str">
        <f>IF(Cola!G112="","",Cola!G112)</f>
        <v/>
      </c>
      <c r="I112"/>
      <c r="J112"/>
      <c r="K112" s="353"/>
      <c r="L112" s="354" t="s">
        <v>289</v>
      </c>
      <c r="M112" s="355">
        <f>$L$8</f>
        <v>0</v>
      </c>
      <c r="N112" s="355" t="s">
        <v>225</v>
      </c>
      <c r="O112" s="356">
        <f>SQRT(3)</f>
        <v>1.7320508075688772</v>
      </c>
      <c r="P112" s="357">
        <v>1</v>
      </c>
      <c r="Q112" s="355">
        <f>M112/O112*P112</f>
        <v>0</v>
      </c>
      <c r="R112" s="662" t="s">
        <v>226</v>
      </c>
      <c r="S112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</row>
    <row r="113" spans="1:30" ht="20.100000000000001" customHeight="1">
      <c r="A113" s="409">
        <f t="shared" si="0"/>
        <v>10.8</v>
      </c>
      <c r="B113" s="410">
        <f t="shared" si="0"/>
        <v>10.199999999999999</v>
      </c>
      <c r="C113" s="413">
        <f>Cola2!B21</f>
        <v>0</v>
      </c>
      <c r="D113" s="413">
        <f>Cola2!C21</f>
        <v>0</v>
      </c>
      <c r="E113" s="413">
        <f>Cola2!D21</f>
        <v>0</v>
      </c>
      <c r="F113" s="413">
        <f>Cola2!E21</f>
        <v>0</v>
      </c>
      <c r="G113" s="413" t="str">
        <f>IF(Cola!G113="","",Cola!G113)</f>
        <v/>
      </c>
      <c r="I113"/>
      <c r="J113"/>
      <c r="K113" s="353"/>
      <c r="L113" s="354"/>
      <c r="M113" s="355"/>
      <c r="N113" s="355"/>
      <c r="O113" s="356"/>
      <c r="P113" s="357"/>
      <c r="Q113" s="355"/>
      <c r="R113" s="662"/>
      <c r="S113"/>
      <c r="T113" s="220"/>
      <c r="U113" s="220"/>
      <c r="V113" s="220"/>
      <c r="W113" s="220"/>
      <c r="X113" s="220"/>
      <c r="Y113" s="220"/>
      <c r="Z113" s="220"/>
      <c r="AA113" s="220"/>
      <c r="AB113" s="220"/>
      <c r="AC113" s="220"/>
      <c r="AD113" s="220"/>
    </row>
    <row r="114" spans="1:30" ht="20.100000000000001" customHeight="1" thickBot="1">
      <c r="A114" s="409">
        <f t="shared" si="0"/>
        <v>12.600000000000001</v>
      </c>
      <c r="B114" s="410">
        <f t="shared" si="0"/>
        <v>11.899999999999999</v>
      </c>
      <c r="C114" s="413">
        <f>Cola2!B22</f>
        <v>0</v>
      </c>
      <c r="D114" s="413">
        <f>Cola2!C22</f>
        <v>0</v>
      </c>
      <c r="E114" s="413">
        <f>Cola2!D22</f>
        <v>0</v>
      </c>
      <c r="F114" s="413">
        <f>Cola2!E22</f>
        <v>0</v>
      </c>
      <c r="G114" s="413" t="str">
        <f>IF(Cola!G114="","",Cola!G114)</f>
        <v/>
      </c>
      <c r="K114" s="359"/>
      <c r="L114" s="360"/>
      <c r="M114" s="361"/>
      <c r="N114" s="361"/>
      <c r="O114" s="362"/>
      <c r="P114" s="363"/>
      <c r="Q114" s="361"/>
      <c r="R114" s="364"/>
      <c r="S114" s="220"/>
      <c r="T114" s="220"/>
      <c r="U114" s="220"/>
      <c r="V114" s="220"/>
      <c r="W114" s="220"/>
      <c r="X114" s="220"/>
      <c r="Y114" s="220"/>
      <c r="Z114" s="220"/>
      <c r="AA114" s="220"/>
      <c r="AB114" s="220"/>
      <c r="AC114" s="220"/>
      <c r="AD114" s="220"/>
    </row>
    <row r="115" spans="1:30" ht="20.100000000000001" customHeight="1">
      <c r="A115" s="409">
        <f t="shared" si="0"/>
        <v>14.400000000000002</v>
      </c>
      <c r="B115" s="410">
        <f t="shared" si="0"/>
        <v>13.599999999999998</v>
      </c>
      <c r="C115" s="413">
        <f>Cola2!B23</f>
        <v>0</v>
      </c>
      <c r="D115" s="413">
        <f>Cola2!C23</f>
        <v>0</v>
      </c>
      <c r="E115" s="413">
        <f>Cola2!D23</f>
        <v>0</v>
      </c>
      <c r="F115" s="413">
        <f>Cola2!E23</f>
        <v>0</v>
      </c>
      <c r="G115" s="413" t="str">
        <f>IF(Cola!G115="","",Cola!G115)</f>
        <v/>
      </c>
      <c r="K115" s="368" t="s">
        <v>253</v>
      </c>
      <c r="L115" s="383" t="s">
        <v>227</v>
      </c>
      <c r="M115" s="663"/>
      <c r="N115" s="369" t="s">
        <v>223</v>
      </c>
      <c r="O115" s="370"/>
      <c r="P115" s="371"/>
      <c r="Q115" s="372">
        <f>SQRT(SUMSQ(Q109:Q112))</f>
        <v>4.0000000000000001E-3</v>
      </c>
      <c r="R115" s="373" t="e">
        <f>MIN(10000,ROUND(((Q115)^4)/(+(((Q110)^4)/R110)),0))</f>
        <v>#DIV/0!</v>
      </c>
      <c r="S115" s="220"/>
      <c r="T115" s="220"/>
      <c r="U115" s="220"/>
      <c r="V115" s="220"/>
      <c r="W115" s="220"/>
      <c r="X115" s="220"/>
      <c r="Y115" s="220"/>
      <c r="Z115" s="220"/>
      <c r="AA115" s="220"/>
      <c r="AB115" s="220"/>
      <c r="AC115" s="220"/>
      <c r="AD115" s="220"/>
    </row>
    <row r="116" spans="1:30" ht="20.100000000000001" customHeight="1" thickBot="1">
      <c r="A116" s="409">
        <f t="shared" si="0"/>
        <v>16.200000000000003</v>
      </c>
      <c r="B116" s="410">
        <f t="shared" si="0"/>
        <v>15.299999999999997</v>
      </c>
      <c r="C116" s="413">
        <f>Cola2!B24</f>
        <v>0</v>
      </c>
      <c r="D116" s="413">
        <f>Cola2!C24</f>
        <v>0</v>
      </c>
      <c r="E116" s="413">
        <f>Cola2!D24</f>
        <v>0</v>
      </c>
      <c r="F116" s="413">
        <f>Cola2!E24</f>
        <v>0</v>
      </c>
      <c r="G116" s="413" t="str">
        <f>IF(Cola!G116="","",Cola!G116)</f>
        <v/>
      </c>
      <c r="K116" s="374" t="s">
        <v>254</v>
      </c>
      <c r="L116" s="647" t="s">
        <v>229</v>
      </c>
      <c r="M116" s="648"/>
      <c r="N116" s="375" t="e">
        <f>"k = " &amp; O116</f>
        <v>#DIV/0!</v>
      </c>
      <c r="O116" s="376" t="e">
        <f>ROUND(TINV(1-0.9545,R115),2)</f>
        <v>#DIV/0!</v>
      </c>
      <c r="P116" s="377"/>
      <c r="Q116" s="378" t="e">
        <f>IF(TRUNC(Q115*O116,4)-TRUNC((Q115*O116),3)&lt;=0.0001,ROUND((Q115*O116),3),ROUNDUP((Q115*O116),3))</f>
        <v>#DIV/0!</v>
      </c>
      <c r="R116" s="379"/>
      <c r="S116" s="220"/>
      <c r="T116" s="220"/>
      <c r="U116" s="220"/>
      <c r="V116" s="220"/>
      <c r="W116" s="220"/>
      <c r="X116" s="220"/>
      <c r="Y116" s="220"/>
      <c r="Z116" s="220"/>
      <c r="AA116" s="220"/>
      <c r="AB116" s="220"/>
      <c r="AC116" s="220"/>
      <c r="AD116" s="220"/>
    </row>
    <row r="117" spans="1:30" ht="20.100000000000001" customHeight="1">
      <c r="A117" s="409">
        <f t="shared" si="0"/>
        <v>18.000000000000004</v>
      </c>
      <c r="B117" s="410">
        <f t="shared" si="0"/>
        <v>16.999999999999996</v>
      </c>
      <c r="C117" s="413">
        <f>Cola2!B25</f>
        <v>0</v>
      </c>
      <c r="D117" s="413">
        <f>Cola2!C25</f>
        <v>0</v>
      </c>
      <c r="E117" s="413">
        <f>Cola2!D25</f>
        <v>0</v>
      </c>
      <c r="F117" s="413">
        <f>Cola2!E25</f>
        <v>0</v>
      </c>
      <c r="G117" s="413" t="str">
        <f>IF(Cola!G117="","",Cola!G117)</f>
        <v/>
      </c>
      <c r="P117" s="266" t="s">
        <v>290</v>
      </c>
      <c r="Q117" s="315" t="e">
        <f>ROUND(Q116*100/B128,0)</f>
        <v>#DIV/0!</v>
      </c>
      <c r="S117" s="220"/>
      <c r="T117" s="220"/>
      <c r="U117" s="220"/>
      <c r="V117" s="220"/>
      <c r="W117" s="220"/>
      <c r="X117" s="220"/>
      <c r="Y117" s="220"/>
      <c r="Z117" s="220"/>
      <c r="AA117" s="220"/>
      <c r="AB117" s="220"/>
      <c r="AC117" s="220"/>
      <c r="AD117" s="220"/>
    </row>
    <row r="118" spans="1:30" ht="20.100000000000001" customHeight="1">
      <c r="A118" s="409">
        <f t="shared" si="0"/>
        <v>19.800000000000004</v>
      </c>
      <c r="B118" s="410">
        <f t="shared" si="0"/>
        <v>18.699999999999996</v>
      </c>
      <c r="C118" s="413">
        <f>Cola2!B26</f>
        <v>0</v>
      </c>
      <c r="D118" s="413">
        <f>Cola2!C26</f>
        <v>0</v>
      </c>
      <c r="E118" s="413">
        <f>Cola2!D26</f>
        <v>0</v>
      </c>
      <c r="F118" s="413">
        <f>Cola2!E26</f>
        <v>0</v>
      </c>
      <c r="G118" s="413" t="str">
        <f>IF(Cola!G118="","",Cola!G118)</f>
        <v/>
      </c>
      <c r="K118"/>
      <c r="L118"/>
      <c r="M118"/>
      <c r="P118" s="266" t="s">
        <v>291</v>
      </c>
      <c r="Q118" s="564" t="e">
        <f>MAX(3,ROUND(Q116*100/B128,0))</f>
        <v>#DIV/0!</v>
      </c>
      <c r="S118" s="220"/>
      <c r="T118" s="220"/>
      <c r="U118" s="220"/>
      <c r="V118" s="220"/>
      <c r="W118" s="220"/>
      <c r="X118" s="220"/>
      <c r="Y118" s="220"/>
      <c r="Z118" s="220"/>
      <c r="AA118" s="220"/>
      <c r="AB118" s="220"/>
      <c r="AC118" s="220"/>
      <c r="AD118" s="220"/>
    </row>
    <row r="119" spans="1:30" ht="20.100000000000001" customHeight="1">
      <c r="A119" s="409">
        <f t="shared" si="0"/>
        <v>21.600000000000005</v>
      </c>
      <c r="B119" s="410">
        <f t="shared" si="0"/>
        <v>20.399999999999995</v>
      </c>
      <c r="C119" s="413">
        <f>Cola2!B27</f>
        <v>0</v>
      </c>
      <c r="D119" s="413">
        <f>Cola2!C27</f>
        <v>0</v>
      </c>
      <c r="E119" s="413">
        <f>Cola2!D27</f>
        <v>0</v>
      </c>
      <c r="F119" s="413">
        <f>Cola2!E27</f>
        <v>0</v>
      </c>
      <c r="G119" s="413" t="str">
        <f>IF(Cola!G119="","",Cola!G119)</f>
        <v/>
      </c>
      <c r="K119"/>
      <c r="L119"/>
      <c r="M119"/>
      <c r="P119" s="266" t="s">
        <v>292</v>
      </c>
      <c r="Q119" s="651" t="e">
        <f>Q118*B128/100</f>
        <v>#DIV/0!</v>
      </c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</row>
    <row r="120" spans="1:30" ht="20.100000000000001" customHeight="1">
      <c r="A120" s="654" t="s">
        <v>284</v>
      </c>
      <c r="B120" s="655"/>
      <c r="C120" s="656">
        <f>STDEV(C108:C119)</f>
        <v>0</v>
      </c>
      <c r="D120" s="656">
        <f>STDEV(D108:D119)</f>
        <v>0</v>
      </c>
      <c r="E120" s="657">
        <f>STDEV(E108:E119)</f>
        <v>0</v>
      </c>
      <c r="F120" s="658">
        <f>STDEV(F108:F119)</f>
        <v>0</v>
      </c>
      <c r="G120" s="395"/>
      <c r="K120"/>
      <c r="L120"/>
      <c r="M120"/>
      <c r="P120" s="266" t="s">
        <v>293</v>
      </c>
      <c r="Q120" s="315" t="e">
        <f>IF(FLOOR(Q119,1)&lt;&gt;0,1,IF(FLOOR(Q119,0.1)&lt;&gt;0,2,IF(FLOOR(Q119,0.01)&lt;&gt;0,3,IF(FLOOR(Q119,0.001)&lt;&gt;0,4,5))))</f>
        <v>#DIV/0!</v>
      </c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  <c r="AC120" s="220"/>
      <c r="AD120" s="220"/>
    </row>
    <row r="121" spans="1:30" ht="20.100000000000001" customHeight="1">
      <c r="A121" s="327"/>
      <c r="B121" s="274"/>
      <c r="C121" s="386" t="s">
        <v>239</v>
      </c>
      <c r="D121" s="386" t="s">
        <v>240</v>
      </c>
      <c r="E121" s="386" t="s">
        <v>241</v>
      </c>
      <c r="F121" s="386" t="s">
        <v>242</v>
      </c>
      <c r="G121" s="415"/>
      <c r="L121" t="s">
        <v>419</v>
      </c>
      <c r="M121" t="str">
        <f>LEFT(VLOOKUP("Incerteza Rz1max",Padroes!$B$3:$N$28,6,FALSE),SEARCH("+",VLOOKUP("Incerteza Rz1max",Padroes!$B$3:$N$28,6,FALSE))-1)</f>
        <v>0,008</v>
      </c>
      <c r="Q121" s="315"/>
      <c r="S121" s="220"/>
      <c r="T121" s="220"/>
      <c r="U121" s="220"/>
      <c r="V121" s="220"/>
      <c r="W121" s="220"/>
      <c r="X121" s="220"/>
      <c r="Y121" s="220"/>
      <c r="Z121" s="220"/>
      <c r="AA121" s="220"/>
      <c r="AB121" s="220"/>
      <c r="AC121" s="220"/>
      <c r="AD121" s="220"/>
    </row>
    <row r="122" spans="1:30" ht="20.100000000000001" customHeight="1">
      <c r="A122" s="291"/>
      <c r="B122" s="274"/>
      <c r="C122" s="416">
        <f>MAX(C108:C119)</f>
        <v>0</v>
      </c>
      <c r="D122" s="416">
        <f>MAX(D108:D119)</f>
        <v>0</v>
      </c>
      <c r="E122" s="416">
        <f>MAX(E108:E119)</f>
        <v>0</v>
      </c>
      <c r="F122" s="416">
        <f>MAX(F108:F119)</f>
        <v>0</v>
      </c>
      <c r="G122" s="415"/>
      <c r="L122" t="s">
        <v>420</v>
      </c>
      <c r="M122" t="str">
        <f>RIGHT(VLOOKUP("Incerteza Rz1max",Padroes!$B$4:$N$29,6,FALSE),LEN(VLOOKUP("Incerteza Rz1max",Padroes!$B$4:$N$29,6,FALSE))-SEARCH("/",VLOOKUP("Incerteza Rz1max",Padroes!$B$4:$N$29,6,FALSE)))</f>
        <v>33</v>
      </c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  <c r="AC122" s="220"/>
      <c r="AD122" s="220"/>
    </row>
    <row r="123" spans="1:30" ht="20.100000000000001" customHeight="1" thickBot="1">
      <c r="A123" s="291"/>
      <c r="B123" s="274"/>
      <c r="C123" s="386" t="s">
        <v>243</v>
      </c>
      <c r="D123" s="386" t="s">
        <v>244</v>
      </c>
      <c r="E123" s="386" t="s">
        <v>245</v>
      </c>
      <c r="F123" s="386" t="s">
        <v>246</v>
      </c>
      <c r="G123" s="415"/>
      <c r="S123" s="220"/>
      <c r="T123" s="220"/>
      <c r="U123" s="220"/>
      <c r="V123" s="220"/>
      <c r="W123" s="220"/>
      <c r="X123" s="220"/>
      <c r="Y123" s="220"/>
      <c r="Z123" s="220"/>
      <c r="AA123" s="220"/>
      <c r="AB123" s="220"/>
      <c r="AC123" s="220"/>
      <c r="AD123" s="220"/>
    </row>
    <row r="124" spans="1:30" ht="20.100000000000001" customHeight="1" thickBot="1">
      <c r="A124" s="291"/>
      <c r="B124" s="274"/>
      <c r="C124" s="417">
        <f>MIN(C108:C119)</f>
        <v>0</v>
      </c>
      <c r="D124" s="417">
        <f>MIN(D108:D119)</f>
        <v>0</v>
      </c>
      <c r="E124" s="417">
        <f>MIN(E108:E119)</f>
        <v>0</v>
      </c>
      <c r="F124" s="417">
        <f>MIN(F108:F119)</f>
        <v>0</v>
      </c>
      <c r="G124" s="415"/>
      <c r="K124" s="329" t="s">
        <v>209</v>
      </c>
      <c r="L124" s="332" t="s">
        <v>304</v>
      </c>
      <c r="M124" s="652"/>
      <c r="N124" s="652"/>
      <c r="O124" s="652"/>
      <c r="P124" s="652"/>
      <c r="Q124" s="332"/>
      <c r="R124" s="333"/>
      <c r="S124" s="220"/>
      <c r="T124" s="220"/>
      <c r="U124" s="220"/>
      <c r="V124" s="220"/>
      <c r="W124" s="220"/>
      <c r="X124" s="220"/>
      <c r="Y124" s="220"/>
      <c r="Z124" s="220"/>
      <c r="AA124" s="220"/>
      <c r="AB124" s="220"/>
      <c r="AC124" s="220"/>
      <c r="AD124" s="220"/>
    </row>
    <row r="125" spans="1:30" ht="20.100000000000001" customHeight="1" thickBot="1">
      <c r="A125" s="291"/>
      <c r="B125" s="274"/>
      <c r="C125" s="274"/>
      <c r="D125" s="274"/>
      <c r="E125" s="274"/>
      <c r="F125" s="274"/>
      <c r="G125" s="328"/>
      <c r="K125" s="380">
        <f>SERV</f>
        <v>9.423</v>
      </c>
      <c r="L125" s="381" t="s">
        <v>164</v>
      </c>
      <c r="M125" s="382"/>
      <c r="N125" s="382"/>
      <c r="O125" s="382"/>
      <c r="P125" s="646"/>
      <c r="Q125" s="383"/>
      <c r="R125" s="384"/>
      <c r="S125" s="220"/>
      <c r="T125" s="220"/>
      <c r="U125" s="220"/>
      <c r="V125" s="220"/>
      <c r="W125" s="220"/>
      <c r="X125" s="220"/>
      <c r="Y125" s="220"/>
      <c r="Z125" s="220"/>
      <c r="AA125" s="220"/>
      <c r="AB125" s="220"/>
      <c r="AC125" s="220"/>
      <c r="AD125" s="220"/>
    </row>
    <row r="126" spans="1:30" ht="20.100000000000001" customHeight="1">
      <c r="A126" s="327" t="s">
        <v>216</v>
      </c>
      <c r="B126" s="344" t="s">
        <v>247</v>
      </c>
      <c r="C126" s="344" t="s">
        <v>248</v>
      </c>
      <c r="D126" s="344" t="s">
        <v>249</v>
      </c>
      <c r="E126" s="344" t="s">
        <v>250</v>
      </c>
      <c r="F126" s="344"/>
      <c r="G126" s="395"/>
      <c r="K126" s="347"/>
      <c r="L126" s="348" t="s">
        <v>281</v>
      </c>
      <c r="M126" s="349">
        <f>IF(ISERROR(M121)=TRUE,0,M121)+B129/M122</f>
        <v>8.0000000000000002E-3</v>
      </c>
      <c r="N126" s="349" t="s">
        <v>223</v>
      </c>
      <c r="O126" s="350">
        <v>2</v>
      </c>
      <c r="P126" s="348">
        <v>1</v>
      </c>
      <c r="Q126" s="349">
        <f>M126/O126*P126</f>
        <v>4.0000000000000001E-3</v>
      </c>
      <c r="R126" s="351" t="s">
        <v>226</v>
      </c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  <c r="AC126" s="220"/>
      <c r="AD126" s="220"/>
    </row>
    <row r="127" spans="1:30" ht="20.100000000000001" customHeight="1">
      <c r="A127" s="327" t="s">
        <v>162</v>
      </c>
      <c r="B127" s="418">
        <f>ROUND(AVERAGE(C108:C119),7)</f>
        <v>0</v>
      </c>
      <c r="C127" s="411"/>
      <c r="D127" s="418">
        <f>B127-C127</f>
        <v>0</v>
      </c>
      <c r="E127" s="419" t="e">
        <f>ROUND((D127/C127)*100,2)</f>
        <v>#DIV/0!</v>
      </c>
      <c r="F127" s="311"/>
      <c r="G127" s="328"/>
      <c r="I127" s="559">
        <f>(LEFT(RIGHT(B127,16),4))*1</f>
        <v>0</v>
      </c>
      <c r="K127" s="353"/>
      <c r="L127" s="354" t="s">
        <v>287</v>
      </c>
      <c r="M127" s="355">
        <f>E120/SQRT(12)</f>
        <v>0</v>
      </c>
      <c r="N127" s="355" t="s">
        <v>223</v>
      </c>
      <c r="O127" s="356">
        <v>1</v>
      </c>
      <c r="P127" s="357">
        <v>1</v>
      </c>
      <c r="Q127" s="355">
        <f>M127/O127*P127</f>
        <v>0</v>
      </c>
      <c r="R127" s="358">
        <f>12-1</f>
        <v>11</v>
      </c>
      <c r="S127" s="220"/>
      <c r="T127" s="220"/>
      <c r="U127" s="220"/>
      <c r="V127" s="220"/>
      <c r="W127" s="220"/>
      <c r="X127" s="220"/>
      <c r="Y127" s="220"/>
      <c r="Z127" s="220"/>
      <c r="AA127" s="220"/>
      <c r="AB127" s="220"/>
      <c r="AC127" s="220"/>
      <c r="AD127" s="220"/>
    </row>
    <row r="128" spans="1:30" ht="20.100000000000001" customHeight="1">
      <c r="A128" s="327" t="s">
        <v>163</v>
      </c>
      <c r="B128" s="418">
        <f>ROUND(AVERAGE(D108:D119),7)</f>
        <v>0</v>
      </c>
      <c r="C128" s="411"/>
      <c r="D128" s="418">
        <f>B128-C128</f>
        <v>0</v>
      </c>
      <c r="E128" s="419" t="e">
        <f>ROUND((D128/C128)*100,2)</f>
        <v>#DIV/0!</v>
      </c>
      <c r="F128" s="274"/>
      <c r="G128" s="328"/>
      <c r="K128" s="353"/>
      <c r="L128" s="354" t="s">
        <v>224</v>
      </c>
      <c r="M128" s="355">
        <f>L6</f>
        <v>0</v>
      </c>
      <c r="N128" s="355" t="s">
        <v>225</v>
      </c>
      <c r="O128" s="356">
        <f>SQRT(3)</f>
        <v>1.7320508075688772</v>
      </c>
      <c r="P128" s="357">
        <v>1</v>
      </c>
      <c r="Q128" s="355">
        <f>M128/O128*P128</f>
        <v>0</v>
      </c>
      <c r="R128" s="358" t="s">
        <v>226</v>
      </c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  <c r="AC128" s="220"/>
      <c r="AD128" s="220"/>
    </row>
    <row r="129" spans="1:30" ht="20.100000000000001" customHeight="1">
      <c r="A129" s="327" t="s">
        <v>164</v>
      </c>
      <c r="B129" s="418">
        <f>ROUND(AVERAGE(E108:E119),7)</f>
        <v>0</v>
      </c>
      <c r="C129" s="411"/>
      <c r="D129" s="418">
        <f>B129-C129</f>
        <v>0</v>
      </c>
      <c r="E129" s="419" t="e">
        <f>ROUND((D129/C129)*100,2)</f>
        <v>#DIV/0!</v>
      </c>
      <c r="F129" s="274"/>
      <c r="G129" s="395"/>
      <c r="K129" s="353"/>
      <c r="L129" s="354" t="s">
        <v>289</v>
      </c>
      <c r="M129" s="355">
        <f>$L$8</f>
        <v>0</v>
      </c>
      <c r="N129" s="355" t="s">
        <v>225</v>
      </c>
      <c r="O129" s="356">
        <f>SQRT(3)</f>
        <v>1.7320508075688772</v>
      </c>
      <c r="P129" s="357">
        <v>1</v>
      </c>
      <c r="Q129" s="355">
        <f>M129/O129*P129</f>
        <v>0</v>
      </c>
      <c r="R129" s="662" t="s">
        <v>226</v>
      </c>
      <c r="S129" s="220"/>
      <c r="T129" s="220"/>
      <c r="U129" s="220"/>
      <c r="V129" s="220"/>
      <c r="W129" s="220"/>
      <c r="X129" s="220"/>
      <c r="Y129" s="220"/>
      <c r="Z129" s="220"/>
      <c r="AA129" s="220"/>
      <c r="AB129" s="220"/>
      <c r="AC129" s="220"/>
      <c r="AD129" s="220"/>
    </row>
    <row r="130" spans="1:30" ht="20.100000000000001" customHeight="1">
      <c r="A130" s="327" t="str">
        <f>F107</f>
        <v>RSm</v>
      </c>
      <c r="B130" s="418">
        <f>ROUND(AVERAGE(F108:F119),7)</f>
        <v>0</v>
      </c>
      <c r="C130" s="411"/>
      <c r="D130" s="418">
        <f>B130-C130</f>
        <v>0</v>
      </c>
      <c r="E130" s="419" t="e">
        <f>ROUND((D130/C130)*100,2)</f>
        <v>#DIV/0!</v>
      </c>
      <c r="F130" s="311"/>
      <c r="G130" s="395"/>
      <c r="I130" s="883"/>
      <c r="J130" s="883"/>
      <c r="K130" s="353"/>
      <c r="L130" s="354"/>
      <c r="M130" s="355"/>
      <c r="N130" s="355"/>
      <c r="O130" s="356"/>
      <c r="P130" s="357"/>
      <c r="Q130" s="355"/>
      <c r="R130" s="662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</row>
    <row r="131" spans="1:30" ht="20.100000000000001" customHeight="1" thickBot="1">
      <c r="A131" s="327"/>
      <c r="B131" s="418"/>
      <c r="C131" s="311"/>
      <c r="D131" s="311"/>
      <c r="E131" s="311"/>
      <c r="F131" s="311"/>
      <c r="G131" s="395"/>
      <c r="I131" s="274"/>
      <c r="J131" s="274"/>
      <c r="K131" s="359"/>
      <c r="L131" s="360"/>
      <c r="M131" s="361"/>
      <c r="N131" s="361"/>
      <c r="O131" s="362"/>
      <c r="P131" s="363"/>
      <c r="Q131" s="361"/>
      <c r="R131" s="364"/>
      <c r="S131" s="220"/>
      <c r="T131" s="220"/>
      <c r="U131" s="220"/>
      <c r="V131" s="220"/>
      <c r="W131" s="220"/>
      <c r="X131" s="220"/>
      <c r="Y131" s="220"/>
      <c r="Z131" s="220"/>
      <c r="AA131" s="220"/>
      <c r="AB131" s="220"/>
      <c r="AC131" s="220"/>
      <c r="AD131" s="220"/>
    </row>
    <row r="132" spans="1:30" ht="20.100000000000001" customHeight="1">
      <c r="A132" s="220"/>
      <c r="B132" s="220"/>
      <c r="C132" s="220"/>
      <c r="D132" s="220"/>
      <c r="E132" s="220"/>
      <c r="F132" s="220"/>
      <c r="G132" s="220"/>
      <c r="I132" s="274"/>
      <c r="J132" s="274"/>
      <c r="K132" s="368" t="s">
        <v>253</v>
      </c>
      <c r="L132" s="383" t="s">
        <v>227</v>
      </c>
      <c r="M132" s="663"/>
      <c r="N132" s="369" t="s">
        <v>223</v>
      </c>
      <c r="O132" s="370"/>
      <c r="P132" s="371"/>
      <c r="Q132" s="372">
        <f>SQRT(SUMSQ(Q126:Q129))</f>
        <v>4.0000000000000001E-3</v>
      </c>
      <c r="R132" s="373" t="e">
        <f>MIN(10000,ROUND(((Q132)^4)/(+(((Q127)^4)/R127)),0))</f>
        <v>#DIV/0!</v>
      </c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  <c r="AC132" s="220"/>
      <c r="AD132" s="220"/>
    </row>
    <row r="133" spans="1:30" ht="20.100000000000001" customHeight="1" thickBot="1">
      <c r="A133" s="667" t="s">
        <v>314</v>
      </c>
      <c r="B133" s="666">
        <f>Dados!B134</f>
        <v>0</v>
      </c>
      <c r="C133" s="666"/>
      <c r="D133" s="666"/>
      <c r="E133" s="220"/>
      <c r="F133" s="220"/>
      <c r="G133" s="220"/>
      <c r="K133" s="374" t="s">
        <v>254</v>
      </c>
      <c r="L133" s="647" t="s">
        <v>229</v>
      </c>
      <c r="M133" s="648"/>
      <c r="N133" s="375" t="e">
        <f>"k = " &amp; O133</f>
        <v>#DIV/0!</v>
      </c>
      <c r="O133" s="376" t="e">
        <f>ROUND(TINV(1-0.9545,R132),2)</f>
        <v>#DIV/0!</v>
      </c>
      <c r="P133" s="377"/>
      <c r="Q133" s="378" t="e">
        <f>IF(TRUNC(Q132*O133,4)-TRUNC((Q132*O133),3)&lt;=0.0001,ROUND((Q132*O133),3),ROUNDUP((Q132*O133),3))</f>
        <v>#DIV/0!</v>
      </c>
      <c r="R133" s="379"/>
      <c r="S133" s="220"/>
      <c r="T133" s="220"/>
      <c r="U133" s="220"/>
      <c r="V133" s="220"/>
      <c r="W133" s="220"/>
      <c r="X133" s="220"/>
      <c r="Y133" s="220"/>
      <c r="Z133" s="220"/>
      <c r="AA133" s="220"/>
      <c r="AB133" s="220"/>
      <c r="AC133" s="220"/>
      <c r="AD133" s="220"/>
    </row>
    <row r="134" spans="1:30" ht="20.100000000000001" customHeight="1">
      <c r="A134" s="220"/>
      <c r="B134" s="220"/>
      <c r="C134" s="220"/>
      <c r="D134" s="220"/>
      <c r="E134" s="220"/>
      <c r="F134" s="220"/>
      <c r="G134" s="220"/>
      <c r="P134" s="266" t="s">
        <v>290</v>
      </c>
      <c r="Q134" s="315" t="e">
        <f>ROUND(Q133*100/B129,0)</f>
        <v>#DIV/0!</v>
      </c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220"/>
    </row>
    <row r="135" spans="1:30" ht="20.100000000000001" customHeight="1">
      <c r="A135" s="220"/>
      <c r="B135" s="220"/>
      <c r="C135" s="220"/>
      <c r="D135" s="220"/>
      <c r="E135" s="220"/>
      <c r="F135" s="220"/>
      <c r="G135" s="220"/>
      <c r="K135"/>
      <c r="L135"/>
      <c r="M135"/>
      <c r="P135" s="266" t="s">
        <v>291</v>
      </c>
      <c r="Q135" s="564" t="e">
        <f>MAX(3,ROUND(Q133*100/B129,0))</f>
        <v>#DIV/0!</v>
      </c>
      <c r="S135" s="220"/>
      <c r="T135" s="220"/>
      <c r="U135" s="220"/>
      <c r="V135" s="220"/>
      <c r="W135" s="220"/>
      <c r="X135" s="220"/>
      <c r="Y135" s="220"/>
      <c r="Z135" s="220"/>
      <c r="AA135" s="220"/>
      <c r="AB135" s="220"/>
      <c r="AC135" s="220"/>
      <c r="AD135" s="220"/>
    </row>
    <row r="136" spans="1:30" ht="20.100000000000001" customHeight="1">
      <c r="A136" s="220"/>
      <c r="B136" s="220"/>
      <c r="C136" s="220"/>
      <c r="D136" s="220"/>
      <c r="E136" s="220"/>
      <c r="F136" s="220"/>
      <c r="G136" s="220"/>
      <c r="K136"/>
      <c r="L136"/>
      <c r="M136"/>
      <c r="P136" s="266" t="s">
        <v>292</v>
      </c>
      <c r="Q136" s="651" t="e">
        <f>Q135*B129/100</f>
        <v>#DIV/0!</v>
      </c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  <c r="AC136" s="220"/>
      <c r="AD136" s="220"/>
    </row>
    <row r="137" spans="1:30" ht="20.100000000000001" customHeight="1">
      <c r="A137" s="220"/>
      <c r="B137" s="220"/>
      <c r="C137" s="220"/>
      <c r="D137" s="220"/>
      <c r="E137" s="220"/>
      <c r="F137" s="220"/>
      <c r="G137" s="220"/>
      <c r="K137"/>
      <c r="L137"/>
      <c r="M137"/>
      <c r="P137" s="266" t="s">
        <v>293</v>
      </c>
      <c r="Q137" s="315" t="e">
        <f>IF(FLOOR(Q136,1)&lt;&gt;0,1,IF(FLOOR(Q136,0.1)&lt;&gt;0,2,IF(FLOOR(Q136,0.01)&lt;&gt;0,3,IF(FLOOR(Q136,0.001)&lt;&gt;0,4,5))))</f>
        <v>#DIV/0!</v>
      </c>
      <c r="S137" s="220"/>
      <c r="T137" s="220"/>
      <c r="U137" s="220"/>
      <c r="V137" s="220"/>
      <c r="W137" s="220"/>
      <c r="X137" s="220"/>
      <c r="Y137" s="220"/>
      <c r="Z137" s="220"/>
      <c r="AA137" s="220"/>
      <c r="AB137" s="220"/>
      <c r="AC137" s="220"/>
      <c r="AD137" s="220"/>
    </row>
    <row r="138" spans="1:30" ht="20.100000000000001" customHeight="1" thickBot="1">
      <c r="A138" s="220"/>
      <c r="B138" s="220"/>
      <c r="C138" s="220"/>
      <c r="D138" s="220"/>
      <c r="E138" s="220"/>
      <c r="F138" s="220"/>
      <c r="G138" s="220"/>
      <c r="K138"/>
      <c r="L138"/>
      <c r="M138"/>
      <c r="Q138" s="315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  <c r="AC138" s="220"/>
      <c r="AD138" s="220"/>
    </row>
    <row r="139" spans="1:30" ht="20.100000000000001" customHeight="1" thickBot="1">
      <c r="A139" s="220"/>
      <c r="B139" s="220"/>
      <c r="C139" s="220"/>
      <c r="D139" s="220"/>
      <c r="E139" s="220"/>
      <c r="F139" s="220"/>
      <c r="G139" s="220"/>
      <c r="K139" s="329" t="s">
        <v>209</v>
      </c>
      <c r="L139" s="330" t="s">
        <v>304</v>
      </c>
      <c r="M139" s="331"/>
      <c r="N139" s="331"/>
      <c r="O139" s="331"/>
      <c r="P139" s="331"/>
      <c r="Q139" s="332"/>
      <c r="R139" s="333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  <c r="AC139" s="220"/>
      <c r="AD139" s="220"/>
    </row>
    <row r="140" spans="1:30" ht="20.100000000000001" customHeight="1" thickBot="1">
      <c r="A140" s="220"/>
      <c r="B140" s="220"/>
      <c r="C140" s="220"/>
      <c r="D140" s="220"/>
      <c r="E140" s="220"/>
      <c r="F140" s="220"/>
      <c r="G140" s="220"/>
      <c r="K140" s="380">
        <f>SERV</f>
        <v>9.423</v>
      </c>
      <c r="L140" s="873" t="s">
        <v>163</v>
      </c>
      <c r="M140" s="874"/>
      <c r="N140" s="874"/>
      <c r="O140" s="874"/>
      <c r="P140" s="875"/>
      <c r="Q140" s="383"/>
      <c r="R140" s="384"/>
      <c r="S140" s="220"/>
      <c r="T140" s="220"/>
      <c r="U140" s="220"/>
      <c r="V140" s="220"/>
      <c r="W140" s="220"/>
      <c r="X140" s="220"/>
      <c r="Y140" s="220"/>
      <c r="Z140" s="220"/>
      <c r="AA140" s="220"/>
      <c r="AB140" s="220"/>
      <c r="AC140" s="220"/>
      <c r="AD140" s="220"/>
    </row>
    <row r="141" spans="1:30" ht="20.100000000000001" customHeight="1">
      <c r="A141" s="220"/>
      <c r="B141" s="220"/>
      <c r="C141" s="220"/>
      <c r="D141" s="220"/>
      <c r="E141" s="220"/>
      <c r="F141" s="220"/>
      <c r="G141" s="220"/>
      <c r="K141" s="347"/>
      <c r="L141" s="348" t="s">
        <v>281</v>
      </c>
      <c r="M141" s="349" t="str">
        <f>VLOOKUP("Incerteza Rsm",Padroes!B3:N100,6,FALSE)</f>
        <v>0,05</v>
      </c>
      <c r="N141" s="349" t="s">
        <v>223</v>
      </c>
      <c r="O141" s="350">
        <v>2</v>
      </c>
      <c r="P141" s="348">
        <v>1</v>
      </c>
      <c r="Q141" s="349">
        <f>M141/O141*P141</f>
        <v>2.5000000000000001E-2</v>
      </c>
      <c r="R141" s="351" t="s">
        <v>226</v>
      </c>
      <c r="S141" s="220"/>
      <c r="T141" s="220"/>
      <c r="U141" s="220"/>
      <c r="V141" s="220"/>
      <c r="W141" s="220"/>
      <c r="X141" s="220"/>
      <c r="Y141" s="220"/>
      <c r="Z141" s="220"/>
      <c r="AA141" s="220"/>
      <c r="AB141" s="220"/>
      <c r="AC141" s="220"/>
      <c r="AD141" s="220"/>
    </row>
    <row r="142" spans="1:30" ht="20.100000000000001" customHeight="1">
      <c r="A142" s="220"/>
      <c r="B142" s="220"/>
      <c r="C142" s="220"/>
      <c r="D142" s="220"/>
      <c r="E142" s="220"/>
      <c r="F142" s="220"/>
      <c r="G142" s="220"/>
      <c r="K142" s="353"/>
      <c r="L142" s="354" t="s">
        <v>287</v>
      </c>
      <c r="M142" s="355" t="e">
        <f>(F120/SQRT(12))/B130*100</f>
        <v>#DIV/0!</v>
      </c>
      <c r="N142" s="355" t="s">
        <v>223</v>
      </c>
      <c r="O142" s="356">
        <v>1</v>
      </c>
      <c r="P142" s="357">
        <v>1</v>
      </c>
      <c r="Q142" s="355" t="e">
        <f>M142/O142*P142</f>
        <v>#DIV/0!</v>
      </c>
      <c r="R142" s="358">
        <f>12-1</f>
        <v>11</v>
      </c>
      <c r="S142" s="220"/>
      <c r="T142" s="220"/>
      <c r="U142" s="220"/>
      <c r="V142" s="220"/>
      <c r="W142" s="220"/>
      <c r="X142" s="220"/>
      <c r="Y142" s="220"/>
      <c r="Z142" s="220"/>
      <c r="AA142" s="220"/>
      <c r="AB142" s="220"/>
      <c r="AC142" s="220"/>
      <c r="AD142" s="220"/>
    </row>
    <row r="143" spans="1:30" ht="20.100000000000001" customHeight="1">
      <c r="A143" s="220"/>
      <c r="B143" s="220"/>
      <c r="C143" s="220"/>
      <c r="D143" s="220"/>
      <c r="E143" s="220"/>
      <c r="F143" s="220"/>
      <c r="G143" s="220"/>
      <c r="K143" s="353"/>
      <c r="L143" s="354"/>
      <c r="M143" s="355"/>
      <c r="N143" s="355"/>
      <c r="O143" s="356"/>
      <c r="P143" s="357"/>
      <c r="Q143" s="355"/>
      <c r="R143" s="358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</row>
    <row r="144" spans="1:30" ht="20.100000000000001" customHeight="1">
      <c r="A144" s="220"/>
      <c r="B144" s="220"/>
      <c r="C144" s="220"/>
      <c r="D144" s="220"/>
      <c r="E144" s="220"/>
      <c r="F144" s="220"/>
      <c r="G144" s="220"/>
      <c r="K144" s="353"/>
      <c r="L144" s="354"/>
      <c r="M144" s="355"/>
      <c r="N144" s="355"/>
      <c r="O144" s="356"/>
      <c r="P144" s="357"/>
      <c r="Q144" s="355"/>
      <c r="R144" s="662"/>
      <c r="S144" s="220"/>
      <c r="T144" s="220"/>
      <c r="U144" s="220"/>
      <c r="V144" s="220"/>
      <c r="W144" s="220"/>
      <c r="X144" s="220"/>
      <c r="Y144" s="220"/>
      <c r="Z144" s="220"/>
      <c r="AA144" s="220"/>
      <c r="AB144" s="220"/>
      <c r="AC144" s="220"/>
      <c r="AD144" s="220"/>
    </row>
    <row r="145" spans="1:30" ht="20.100000000000001" customHeight="1">
      <c r="A145" s="220"/>
      <c r="B145" s="220"/>
      <c r="C145" s="220"/>
      <c r="D145" s="220"/>
      <c r="E145" s="220"/>
      <c r="F145" s="220"/>
      <c r="G145" s="220"/>
      <c r="K145" s="353"/>
      <c r="L145" s="354"/>
      <c r="M145" s="355"/>
      <c r="N145" s="355"/>
      <c r="O145" s="356"/>
      <c r="P145" s="357"/>
      <c r="Q145" s="355"/>
      <c r="R145" s="662"/>
      <c r="S145" s="220"/>
      <c r="T145" s="220"/>
      <c r="U145" s="220"/>
      <c r="V145" s="220"/>
      <c r="W145" s="220"/>
      <c r="X145" s="220"/>
      <c r="Y145" s="220"/>
      <c r="Z145" s="220"/>
      <c r="AA145" s="220"/>
      <c r="AB145" s="220"/>
      <c r="AC145" s="220"/>
      <c r="AD145" s="220"/>
    </row>
    <row r="146" spans="1:30" ht="20.100000000000001" customHeight="1" thickBot="1">
      <c r="A146" s="220"/>
      <c r="B146" s="220"/>
      <c r="C146" s="220"/>
      <c r="D146" s="220"/>
      <c r="E146" s="220"/>
      <c r="F146" s="220"/>
      <c r="G146" s="220"/>
      <c r="K146" s="359"/>
      <c r="L146" s="360"/>
      <c r="M146" s="361"/>
      <c r="N146" s="361"/>
      <c r="O146" s="362"/>
      <c r="P146" s="363"/>
      <c r="Q146" s="361"/>
      <c r="R146" s="364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</row>
    <row r="147" spans="1:30" ht="20.100000000000001" customHeight="1">
      <c r="A147" s="220"/>
      <c r="B147" s="220"/>
      <c r="C147" s="220"/>
      <c r="D147" s="220"/>
      <c r="E147" s="220"/>
      <c r="F147" s="220"/>
      <c r="G147" s="220"/>
      <c r="K147" s="368" t="s">
        <v>253</v>
      </c>
      <c r="L147" s="876" t="s">
        <v>227</v>
      </c>
      <c r="M147" s="877"/>
      <c r="N147" s="369" t="s">
        <v>223</v>
      </c>
      <c r="O147" s="370"/>
      <c r="P147" s="371"/>
      <c r="Q147" s="372" t="e">
        <f>SQRT(SUMSQ(Q141:Q145))</f>
        <v>#DIV/0!</v>
      </c>
      <c r="R147" s="373" t="e">
        <f>MIN(10000,ROUND(((Q147)^4)/(+(((Q142)^4)/R142)),0))</f>
        <v>#DIV/0!</v>
      </c>
      <c r="S147" s="220"/>
      <c r="T147" s="220"/>
      <c r="U147" s="220"/>
      <c r="V147" s="220"/>
      <c r="W147" s="220"/>
      <c r="X147" s="220"/>
      <c r="Y147" s="220"/>
      <c r="Z147" s="220"/>
      <c r="AA147" s="220"/>
      <c r="AB147" s="220"/>
      <c r="AC147" s="220"/>
      <c r="AD147" s="220"/>
    </row>
    <row r="148" spans="1:30" ht="20.100000000000001" customHeight="1" thickBot="1">
      <c r="A148" s="220"/>
      <c r="B148" s="220"/>
      <c r="C148" s="220"/>
      <c r="D148" s="220"/>
      <c r="E148" s="220"/>
      <c r="F148" s="220"/>
      <c r="G148" s="220"/>
      <c r="K148" s="374" t="s">
        <v>254</v>
      </c>
      <c r="L148" s="878" t="s">
        <v>229</v>
      </c>
      <c r="M148" s="879"/>
      <c r="N148" s="375" t="e">
        <f>"k = " &amp; O148</f>
        <v>#DIV/0!</v>
      </c>
      <c r="O148" s="376" t="e">
        <f>ROUND(TINV(1-0.9545,R147),2)</f>
        <v>#DIV/0!</v>
      </c>
      <c r="P148" s="377"/>
      <c r="Q148" s="378" t="e">
        <f>IF(TRUNC(Q147*O148,4)-TRUNC((Q147*O148),3)&lt;=0.0001,ROUND((Q147*O148),3),ROUNDUP((Q147*O148),3))</f>
        <v>#DIV/0!</v>
      </c>
      <c r="R148" s="379"/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  <c r="AC148" s="220"/>
      <c r="AD148" s="220"/>
    </row>
    <row r="149" spans="1:30" ht="20.100000000000001" customHeight="1">
      <c r="A149" s="220"/>
      <c r="B149" s="220"/>
      <c r="C149" s="220"/>
      <c r="D149" s="220"/>
      <c r="E149" s="220"/>
      <c r="F149" s="220"/>
      <c r="G149" s="220"/>
      <c r="P149" s="266" t="s">
        <v>293</v>
      </c>
      <c r="Q149" s="315" t="e">
        <f>IF(FLOOR(Q148,1)&lt;&gt;0,0,IF(FLOOR(Q148,0.1)&lt;&gt;0,1,IF(FLOOR(Q148,0.01)&lt;&gt;0,2,IF(FLOOR(Q148,0.001)&lt;&gt;0,3,4))))</f>
        <v>#DIV/0!</v>
      </c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  <c r="AC149" s="220"/>
      <c r="AD149" s="220"/>
    </row>
    <row r="150" spans="1:30" ht="20.100000000000001" customHeight="1">
      <c r="A150" s="220"/>
      <c r="B150" s="220"/>
      <c r="C150" s="220"/>
      <c r="D150" s="220"/>
      <c r="E150" s="220"/>
      <c r="F150" s="220"/>
      <c r="G150" s="220"/>
      <c r="K150"/>
      <c r="L150"/>
      <c r="M150"/>
      <c r="P150" s="266" t="s">
        <v>290</v>
      </c>
      <c r="Q150" s="651" t="e">
        <f>ROUND(Q148,Q149)</f>
        <v>#DIV/0!</v>
      </c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  <c r="AC150" s="220"/>
      <c r="AD150" s="220"/>
    </row>
    <row r="151" spans="1:30" ht="20.100000000000001" customHeight="1">
      <c r="A151" s="220"/>
      <c r="B151" s="220"/>
      <c r="C151" s="220"/>
      <c r="D151" s="220"/>
      <c r="E151" s="220"/>
      <c r="F151" s="220"/>
      <c r="G151" s="220"/>
      <c r="K151"/>
      <c r="L151"/>
      <c r="M151"/>
      <c r="P151" s="266" t="s">
        <v>291</v>
      </c>
      <c r="Q151" s="841" t="e">
        <f>MAX(0.05,Q148)</f>
        <v>#DIV/0!</v>
      </c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  <c r="AC151" s="220"/>
      <c r="AD151" s="220"/>
    </row>
    <row r="152" spans="1:30" ht="20.100000000000001" customHeight="1">
      <c r="A152" s="220"/>
      <c r="B152" s="220"/>
      <c r="C152" s="220"/>
      <c r="D152" s="220"/>
      <c r="E152" s="220"/>
      <c r="F152" s="220"/>
      <c r="G152" s="220"/>
      <c r="K152"/>
      <c r="L152"/>
      <c r="M152"/>
      <c r="P152" s="266" t="s">
        <v>292</v>
      </c>
      <c r="Q152" s="651" t="e">
        <f>Q151*B130/100</f>
        <v>#DIV/0!</v>
      </c>
      <c r="S152" s="220"/>
      <c r="T152" s="220"/>
      <c r="U152" s="220"/>
      <c r="V152" s="220"/>
      <c r="W152" s="220"/>
      <c r="X152" s="220"/>
      <c r="Y152" s="220"/>
      <c r="Z152" s="220"/>
      <c r="AA152" s="220"/>
      <c r="AB152" s="220"/>
      <c r="AC152" s="220"/>
      <c r="AD152" s="220"/>
    </row>
    <row r="153" spans="1:30" ht="20.100000000000001" customHeight="1">
      <c r="A153" s="220"/>
      <c r="B153" s="220"/>
      <c r="C153" s="220"/>
      <c r="D153" s="220"/>
      <c r="E153" s="220"/>
      <c r="F153" s="220"/>
      <c r="G153" s="220"/>
      <c r="K153" s="220"/>
      <c r="L153" s="220"/>
      <c r="M153" s="220"/>
      <c r="N153" s="220"/>
      <c r="O153" s="220"/>
      <c r="P153" s="266" t="s">
        <v>293</v>
      </c>
      <c r="Q153" s="315" t="e">
        <f>Q149</f>
        <v>#DIV/0!</v>
      </c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  <c r="AC153" s="220"/>
      <c r="AD153" s="220"/>
    </row>
    <row r="154" spans="1:30" ht="20.100000000000001" customHeight="1">
      <c r="A154" s="220"/>
      <c r="B154" s="220"/>
      <c r="C154" s="220"/>
      <c r="D154" s="220"/>
      <c r="E154" s="220"/>
      <c r="F154" s="220"/>
      <c r="G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</row>
    <row r="155" spans="1:30" ht="20.100000000000001" customHeight="1">
      <c r="A155" s="220"/>
      <c r="B155" s="220"/>
      <c r="C155" s="220"/>
      <c r="D155" s="220"/>
      <c r="E155" s="220"/>
      <c r="F155" s="220"/>
      <c r="G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  <c r="AA155" s="220"/>
      <c r="AB155" s="220"/>
      <c r="AC155" s="220"/>
      <c r="AD155" s="220"/>
    </row>
    <row r="156" spans="1:30" ht="20.100000000000001" customHeight="1">
      <c r="A156" s="220"/>
      <c r="B156" s="220"/>
      <c r="C156" s="220"/>
      <c r="D156" s="220"/>
      <c r="E156" s="220"/>
      <c r="F156" s="220"/>
      <c r="G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  <c r="AA156" s="220"/>
      <c r="AB156" s="220"/>
      <c r="AC156" s="220"/>
      <c r="AD156" s="220"/>
    </row>
    <row r="157" spans="1:30" ht="20.100000000000001" customHeight="1">
      <c r="A157" s="220"/>
      <c r="B157" s="220"/>
      <c r="C157" s="220"/>
      <c r="D157" s="220"/>
      <c r="E157" s="220"/>
      <c r="F157" s="220"/>
      <c r="G157" s="220"/>
      <c r="H157" s="412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  <c r="AA157" s="220"/>
      <c r="AB157" s="220"/>
      <c r="AC157" s="220"/>
      <c r="AD157" s="220"/>
    </row>
    <row r="158" spans="1:30" ht="20.100000000000001" customHeight="1">
      <c r="A158" s="220"/>
      <c r="B158" s="220"/>
      <c r="C158" s="220"/>
      <c r="D158" s="220"/>
      <c r="E158" s="220"/>
      <c r="F158" s="220"/>
      <c r="G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  <c r="AA158" s="220"/>
      <c r="AB158" s="220"/>
      <c r="AC158" s="220"/>
      <c r="AD158" s="220"/>
    </row>
    <row r="159" spans="1:30" ht="20.100000000000001" customHeight="1">
      <c r="A159" s="220"/>
      <c r="B159" s="220"/>
      <c r="C159" s="220"/>
      <c r="D159" s="220"/>
      <c r="E159" s="220"/>
      <c r="F159" s="220"/>
      <c r="G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  <c r="AA159" s="220"/>
      <c r="AB159" s="220"/>
      <c r="AC159" s="220"/>
      <c r="AD159" s="220"/>
    </row>
    <row r="160" spans="1:30" ht="20.100000000000001" customHeight="1">
      <c r="A160" s="220"/>
      <c r="B160" s="220"/>
      <c r="C160" s="220"/>
      <c r="D160" s="220"/>
      <c r="E160" s="220"/>
      <c r="F160" s="220"/>
      <c r="G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  <c r="AA160" s="220"/>
      <c r="AB160" s="220"/>
      <c r="AC160" s="220"/>
      <c r="AD160" s="220"/>
    </row>
    <row r="161" spans="1:30" ht="20.100000000000001" customHeight="1">
      <c r="A161" s="220"/>
      <c r="B161" s="220"/>
      <c r="C161" s="220"/>
      <c r="D161" s="220"/>
      <c r="E161" s="220"/>
      <c r="F161" s="220"/>
      <c r="G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  <c r="AC161" s="220"/>
      <c r="AD161" s="220"/>
    </row>
    <row r="162" spans="1:30" ht="20.100000000000001" customHeight="1">
      <c r="A162" s="220"/>
      <c r="B162" s="220"/>
      <c r="C162" s="220"/>
      <c r="D162" s="220"/>
      <c r="E162" s="220"/>
      <c r="F162" s="220"/>
      <c r="G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  <c r="AA162" s="220"/>
      <c r="AB162" s="220"/>
      <c r="AC162" s="220"/>
      <c r="AD162" s="220"/>
    </row>
    <row r="163" spans="1:30" ht="20.100000000000001" customHeight="1">
      <c r="A163" s="220"/>
      <c r="B163" s="220"/>
      <c r="C163" s="220"/>
      <c r="D163" s="220"/>
      <c r="E163" s="220"/>
      <c r="F163" s="220"/>
      <c r="G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  <c r="AC163" s="220"/>
      <c r="AD163" s="220"/>
    </row>
    <row r="164" spans="1:30" ht="20.100000000000001" customHeight="1">
      <c r="A164" s="220"/>
      <c r="B164" s="220"/>
      <c r="C164" s="220"/>
      <c r="D164" s="220"/>
      <c r="E164" s="220"/>
      <c r="F164" s="220"/>
      <c r="G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  <c r="AA164" s="220"/>
      <c r="AB164" s="220"/>
      <c r="AC164" s="220"/>
      <c r="AD164" s="220"/>
    </row>
    <row r="165" spans="1:30" ht="20.100000000000001" customHeight="1">
      <c r="A165" s="220"/>
      <c r="B165" s="220"/>
      <c r="C165" s="220"/>
      <c r="D165" s="220"/>
      <c r="E165" s="220"/>
      <c r="F165" s="220"/>
      <c r="G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  <c r="AA165" s="220"/>
      <c r="AB165" s="220"/>
      <c r="AC165" s="220"/>
      <c r="AD165" s="220"/>
    </row>
    <row r="166" spans="1:30" ht="20.100000000000001" customHeight="1">
      <c r="A166" s="220"/>
      <c r="B166" s="220"/>
      <c r="C166" s="220"/>
      <c r="D166" s="220"/>
      <c r="E166" s="220"/>
      <c r="F166" s="220"/>
      <c r="G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</row>
    <row r="167" spans="1:30" ht="20.100000000000001" customHeight="1">
      <c r="A167" s="220"/>
      <c r="B167" s="220"/>
      <c r="C167" s="220"/>
      <c r="D167" s="220"/>
      <c r="E167" s="220"/>
      <c r="F167" s="220"/>
      <c r="G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  <c r="AA167" s="220"/>
      <c r="AB167" s="220"/>
      <c r="AC167" s="220"/>
      <c r="AD167" s="220"/>
    </row>
    <row r="168" spans="1:30" ht="20.100000000000001" customHeight="1">
      <c r="A168" s="220"/>
      <c r="B168" s="220"/>
      <c r="C168" s="220"/>
      <c r="D168" s="220"/>
      <c r="E168" s="220"/>
      <c r="F168" s="220"/>
      <c r="G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  <c r="AA168" s="220"/>
      <c r="AB168" s="220"/>
      <c r="AC168" s="220"/>
      <c r="AD168" s="220"/>
    </row>
    <row r="169" spans="1:30" ht="20.100000000000001" customHeight="1">
      <c r="A169" s="220"/>
      <c r="B169" s="220"/>
      <c r="C169" s="220"/>
      <c r="D169" s="220"/>
      <c r="E169" s="220"/>
      <c r="F169" s="220"/>
      <c r="G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  <c r="AC169" s="220"/>
      <c r="AD169" s="220"/>
    </row>
    <row r="170" spans="1:30" ht="20.100000000000001" customHeight="1">
      <c r="A170" s="220"/>
      <c r="B170" s="220"/>
      <c r="C170" s="220"/>
      <c r="D170" s="220"/>
      <c r="E170" s="220"/>
      <c r="F170" s="220"/>
      <c r="G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  <c r="AA170" s="220"/>
      <c r="AB170" s="220"/>
      <c r="AC170" s="220"/>
      <c r="AD170" s="220"/>
    </row>
    <row r="171" spans="1:30" ht="20.100000000000001" customHeight="1">
      <c r="A171" s="220"/>
      <c r="B171" s="220"/>
      <c r="C171" s="220"/>
      <c r="D171" s="220"/>
      <c r="E171" s="220"/>
      <c r="F171" s="220"/>
      <c r="G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  <c r="AA171" s="220"/>
      <c r="AB171" s="220"/>
      <c r="AC171" s="220"/>
      <c r="AD171" s="220"/>
    </row>
    <row r="172" spans="1:30" ht="20.100000000000001" customHeight="1">
      <c r="A172" s="220"/>
      <c r="B172" s="220"/>
      <c r="C172" s="220"/>
      <c r="D172" s="220"/>
      <c r="E172" s="220"/>
      <c r="F172" s="220"/>
      <c r="G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  <c r="AA172" s="220"/>
      <c r="AB172" s="220"/>
      <c r="AC172" s="220"/>
      <c r="AD172" s="220"/>
    </row>
    <row r="173" spans="1:30" ht="20.100000000000001" customHeight="1">
      <c r="A173" s="220"/>
      <c r="B173" s="220"/>
      <c r="C173" s="220"/>
      <c r="D173" s="220"/>
      <c r="E173" s="220"/>
      <c r="F173" s="220"/>
      <c r="G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  <c r="AA173" s="220"/>
      <c r="AB173" s="220"/>
      <c r="AC173" s="220"/>
      <c r="AD173" s="220"/>
    </row>
    <row r="174" spans="1:30" ht="20.100000000000001" customHeight="1">
      <c r="A174" s="220"/>
      <c r="B174" s="220"/>
      <c r="C174" s="220"/>
      <c r="D174" s="220"/>
      <c r="E174" s="220"/>
      <c r="F174" s="220"/>
      <c r="G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  <c r="AA174" s="220"/>
      <c r="AB174" s="220"/>
      <c r="AC174" s="220"/>
      <c r="AD174" s="220"/>
    </row>
    <row r="175" spans="1:30" ht="20.100000000000001" customHeight="1">
      <c r="A175" s="220"/>
      <c r="B175" s="220"/>
      <c r="C175" s="220"/>
      <c r="D175" s="220"/>
      <c r="E175" s="220"/>
      <c r="F175" s="220"/>
      <c r="G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  <c r="AA175" s="220"/>
      <c r="AB175" s="220"/>
      <c r="AC175" s="220"/>
      <c r="AD175" s="220"/>
    </row>
    <row r="176" spans="1:30" ht="20.100000000000001" customHeight="1">
      <c r="A176" s="220"/>
      <c r="B176" s="220"/>
      <c r="C176" s="220"/>
      <c r="D176" s="220"/>
      <c r="E176" s="220"/>
      <c r="F176" s="220"/>
      <c r="G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  <c r="AA176" s="220"/>
      <c r="AB176" s="220"/>
      <c r="AC176" s="220"/>
      <c r="AD176" s="220"/>
    </row>
    <row r="177" spans="1:30" ht="20.100000000000001" customHeight="1">
      <c r="A177" s="220"/>
      <c r="B177" s="220"/>
      <c r="C177" s="220"/>
      <c r="D177" s="220"/>
      <c r="E177" s="220"/>
      <c r="F177" s="220"/>
      <c r="G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  <c r="AA177" s="220"/>
      <c r="AB177" s="220"/>
      <c r="AC177" s="220"/>
      <c r="AD177" s="220"/>
    </row>
    <row r="178" spans="1:30" ht="20.100000000000001" customHeight="1">
      <c r="A178" s="220"/>
      <c r="B178" s="220"/>
      <c r="C178" s="220"/>
      <c r="D178" s="220"/>
      <c r="E178" s="220"/>
      <c r="F178" s="220"/>
      <c r="G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  <c r="AA178" s="220"/>
      <c r="AB178" s="220"/>
      <c r="AC178" s="220"/>
      <c r="AD178" s="220"/>
    </row>
    <row r="179" spans="1:30" ht="20.100000000000001" customHeight="1">
      <c r="A179" s="220"/>
      <c r="B179" s="220"/>
      <c r="C179" s="220"/>
      <c r="D179" s="220"/>
      <c r="E179" s="220"/>
      <c r="F179" s="220"/>
      <c r="G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  <c r="AA179" s="220"/>
      <c r="AB179" s="220"/>
      <c r="AC179" s="220"/>
      <c r="AD179" s="220"/>
    </row>
    <row r="180" spans="1:30" ht="20.100000000000001" customHeight="1">
      <c r="A180" s="220"/>
      <c r="B180" s="220"/>
      <c r="C180" s="220"/>
      <c r="D180" s="220"/>
      <c r="E180" s="220"/>
      <c r="F180" s="220"/>
      <c r="G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  <c r="AA180" s="220"/>
      <c r="AB180" s="220"/>
      <c r="AC180" s="220"/>
      <c r="AD180" s="220"/>
    </row>
    <row r="181" spans="1:30" ht="20.100000000000001" customHeight="1">
      <c r="A181" s="220"/>
      <c r="B181" s="220"/>
      <c r="C181" s="220"/>
      <c r="D181" s="220"/>
      <c r="E181" s="220"/>
      <c r="F181" s="220"/>
      <c r="G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  <c r="AA181" s="220"/>
      <c r="AB181" s="220"/>
      <c r="AC181" s="220"/>
      <c r="AD181" s="220"/>
    </row>
    <row r="182" spans="1:30" ht="20.100000000000001" customHeight="1">
      <c r="A182" s="220"/>
      <c r="B182" s="220"/>
      <c r="C182" s="220"/>
      <c r="D182" s="220"/>
      <c r="E182" s="220"/>
      <c r="F182" s="220"/>
      <c r="G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  <c r="AA182" s="220"/>
      <c r="AB182" s="220"/>
      <c r="AC182" s="220"/>
      <c r="AD182" s="220"/>
    </row>
    <row r="183" spans="1:30" ht="20.100000000000001" customHeight="1">
      <c r="A183" s="220"/>
      <c r="B183" s="220"/>
      <c r="C183" s="220"/>
      <c r="D183" s="220"/>
      <c r="E183" s="220"/>
      <c r="F183" s="220"/>
      <c r="G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  <c r="AC183" s="220"/>
      <c r="AD183" s="220"/>
    </row>
    <row r="184" spans="1:30" ht="20.100000000000001" customHeight="1">
      <c r="A184" s="220"/>
      <c r="B184" s="220"/>
      <c r="C184" s="220"/>
      <c r="D184" s="220"/>
      <c r="E184" s="220"/>
      <c r="F184" s="220"/>
      <c r="G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  <c r="AA184" s="220"/>
      <c r="AB184" s="220"/>
      <c r="AC184" s="220"/>
      <c r="AD184" s="220"/>
    </row>
    <row r="185" spans="1:30" ht="20.100000000000001" customHeight="1">
      <c r="A185" s="220"/>
      <c r="B185" s="220"/>
      <c r="C185" s="220"/>
      <c r="D185" s="220"/>
      <c r="E185" s="220"/>
      <c r="F185" s="220"/>
      <c r="G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  <c r="Y185" s="220"/>
      <c r="Z185" s="220"/>
      <c r="AA185" s="220"/>
      <c r="AB185" s="220"/>
      <c r="AC185" s="220"/>
      <c r="AD185" s="220"/>
    </row>
    <row r="186" spans="1:30" ht="20.100000000000001" customHeight="1">
      <c r="A186" s="220"/>
      <c r="B186" s="220"/>
      <c r="C186" s="220"/>
      <c r="D186" s="220"/>
      <c r="E186" s="220"/>
      <c r="F186" s="220"/>
      <c r="G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  <c r="AA186" s="220"/>
      <c r="AB186" s="220"/>
      <c r="AC186" s="220"/>
      <c r="AD186" s="220"/>
    </row>
    <row r="187" spans="1:30" ht="20.100000000000001" customHeight="1">
      <c r="A187" s="220"/>
      <c r="B187" s="220"/>
      <c r="C187" s="220"/>
      <c r="D187" s="220"/>
      <c r="E187" s="220"/>
      <c r="F187" s="220"/>
      <c r="G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  <c r="AA187" s="220"/>
      <c r="AB187" s="220"/>
      <c r="AC187" s="220"/>
      <c r="AD187" s="220"/>
    </row>
    <row r="188" spans="1:30" ht="20.100000000000001" customHeight="1">
      <c r="A188" s="220"/>
      <c r="B188" s="220"/>
      <c r="C188" s="220"/>
      <c r="D188" s="220"/>
      <c r="E188" s="220"/>
      <c r="F188" s="220"/>
      <c r="G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  <c r="AA188" s="220"/>
      <c r="AB188" s="220"/>
      <c r="AC188" s="220"/>
      <c r="AD188" s="220"/>
    </row>
    <row r="189" spans="1:30" ht="20.100000000000001" customHeight="1">
      <c r="A189" s="220"/>
      <c r="B189" s="220"/>
      <c r="C189" s="220"/>
      <c r="D189" s="220"/>
      <c r="E189" s="220"/>
      <c r="F189" s="220"/>
      <c r="G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  <c r="AA189" s="220"/>
      <c r="AB189" s="220"/>
      <c r="AC189" s="220"/>
      <c r="AD189" s="220"/>
    </row>
    <row r="190" spans="1:30" ht="20.100000000000001" customHeight="1">
      <c r="A190" s="220"/>
      <c r="B190" s="220"/>
      <c r="C190" s="220"/>
      <c r="D190" s="220"/>
      <c r="E190" s="220"/>
      <c r="F190" s="220"/>
      <c r="G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</row>
    <row r="191" spans="1:30" ht="20.100000000000001" customHeight="1">
      <c r="A191" s="220"/>
      <c r="B191" s="220"/>
      <c r="C191" s="220"/>
      <c r="D191" s="220"/>
      <c r="E191" s="220"/>
      <c r="F191" s="220"/>
      <c r="G191" s="220"/>
    </row>
    <row r="192" spans="1:30" ht="20.100000000000001" customHeight="1">
      <c r="A192" s="220"/>
      <c r="B192" s="220"/>
      <c r="C192" s="220"/>
      <c r="D192" s="220"/>
      <c r="E192" s="220"/>
      <c r="F192" s="220"/>
      <c r="G192" s="220"/>
    </row>
    <row r="193" spans="1:7" ht="20.100000000000001" customHeight="1">
      <c r="A193" s="220"/>
      <c r="B193" s="220"/>
      <c r="C193" s="220"/>
      <c r="D193" s="220"/>
      <c r="E193" s="220"/>
      <c r="F193" s="220"/>
      <c r="G193" s="220"/>
    </row>
    <row r="194" spans="1:7" ht="20.100000000000001" customHeight="1">
      <c r="A194" s="220"/>
      <c r="B194" s="220"/>
      <c r="C194" s="220"/>
      <c r="D194" s="220"/>
      <c r="E194" s="220"/>
      <c r="F194" s="220"/>
      <c r="G194" s="220"/>
    </row>
    <row r="195" spans="1:7" ht="20.100000000000001" customHeight="1">
      <c r="A195" s="220"/>
      <c r="B195" s="220"/>
      <c r="C195" s="220"/>
      <c r="D195" s="220"/>
      <c r="E195" s="220"/>
      <c r="F195" s="220"/>
      <c r="G195" s="220"/>
    </row>
    <row r="196" spans="1:7" ht="20.100000000000001" customHeight="1">
      <c r="A196" s="220"/>
      <c r="B196" s="220"/>
      <c r="C196" s="220"/>
      <c r="D196" s="220"/>
      <c r="E196" s="220"/>
      <c r="F196" s="220"/>
      <c r="G196" s="220"/>
    </row>
    <row r="197" spans="1:7" ht="20.100000000000001" customHeight="1">
      <c r="A197" s="220"/>
      <c r="B197" s="220"/>
      <c r="C197" s="220"/>
      <c r="D197" s="220"/>
      <c r="E197" s="220"/>
      <c r="F197" s="220"/>
      <c r="G197" s="220"/>
    </row>
    <row r="198" spans="1:7" ht="20.100000000000001" customHeight="1">
      <c r="A198" s="220"/>
      <c r="B198" s="220"/>
      <c r="C198" s="220"/>
      <c r="D198" s="220"/>
      <c r="E198" s="220"/>
      <c r="F198" s="220"/>
      <c r="G198" s="220"/>
    </row>
    <row r="199" spans="1:7" ht="20.100000000000001" customHeight="1">
      <c r="A199" s="220"/>
      <c r="B199" s="220"/>
      <c r="C199" s="220"/>
      <c r="D199" s="220"/>
      <c r="E199" s="220"/>
      <c r="F199" s="220"/>
      <c r="G199" s="220"/>
    </row>
    <row r="200" spans="1:7" ht="20.100000000000001" customHeight="1">
      <c r="A200" s="220"/>
      <c r="B200" s="220"/>
      <c r="C200" s="220"/>
      <c r="D200" s="220"/>
      <c r="E200" s="220"/>
      <c r="F200" s="220"/>
      <c r="G200" s="220"/>
    </row>
    <row r="201" spans="1:7" ht="20.100000000000001" customHeight="1">
      <c r="A201" s="220"/>
      <c r="B201" s="220"/>
      <c r="C201" s="220"/>
      <c r="D201" s="220"/>
      <c r="E201" s="220"/>
      <c r="F201" s="220"/>
      <c r="G201" s="220"/>
    </row>
    <row r="202" spans="1:7" ht="20.100000000000001" customHeight="1">
      <c r="A202" s="220"/>
      <c r="B202" s="220"/>
      <c r="C202" s="220"/>
      <c r="D202" s="220"/>
      <c r="E202" s="220"/>
      <c r="F202" s="220"/>
      <c r="G202" s="220"/>
    </row>
    <row r="203" spans="1:7" ht="20.100000000000001" customHeight="1">
      <c r="A203" s="220"/>
      <c r="B203" s="220"/>
      <c r="C203" s="220"/>
      <c r="D203" s="220"/>
      <c r="E203" s="220"/>
      <c r="F203" s="220"/>
      <c r="G203" s="220"/>
    </row>
    <row r="204" spans="1:7" ht="20.100000000000001" customHeight="1">
      <c r="A204" s="220"/>
      <c r="B204" s="220"/>
      <c r="C204" s="220"/>
      <c r="D204" s="220"/>
      <c r="E204" s="220"/>
      <c r="F204" s="220"/>
      <c r="G204" s="220"/>
    </row>
    <row r="205" spans="1:7" ht="20.100000000000001" customHeight="1">
      <c r="A205" s="220"/>
      <c r="B205" s="220"/>
      <c r="C205" s="220"/>
      <c r="D205" s="220"/>
      <c r="E205" s="220"/>
      <c r="F205" s="220"/>
      <c r="G205" s="220"/>
    </row>
    <row r="206" spans="1:7" ht="20.100000000000001" customHeight="1">
      <c r="A206" s="220"/>
      <c r="B206" s="220"/>
      <c r="C206" s="220"/>
      <c r="D206" s="220"/>
      <c r="E206" s="220"/>
      <c r="F206" s="220"/>
      <c r="G206" s="220"/>
    </row>
    <row r="207" spans="1:7" ht="20.100000000000001" customHeight="1">
      <c r="A207" s="220"/>
      <c r="B207" s="220"/>
      <c r="C207" s="220"/>
      <c r="D207" s="220"/>
      <c r="E207" s="220"/>
      <c r="F207" s="220"/>
      <c r="G207" s="220"/>
    </row>
    <row r="208" spans="1:7" ht="20.100000000000001" customHeight="1">
      <c r="A208" s="220"/>
      <c r="B208" s="220"/>
      <c r="C208" s="220"/>
      <c r="D208" s="220"/>
      <c r="E208" s="220"/>
      <c r="F208" s="220"/>
      <c r="G208" s="220"/>
    </row>
    <row r="209" spans="1:7" ht="20.100000000000001" customHeight="1">
      <c r="A209" s="220"/>
      <c r="B209" s="220"/>
      <c r="C209" s="220"/>
      <c r="D209" s="220"/>
      <c r="E209" s="220"/>
      <c r="F209" s="220"/>
      <c r="G209" s="220"/>
    </row>
    <row r="210" spans="1:7" ht="20.100000000000001" customHeight="1">
      <c r="A210" s="220"/>
      <c r="B210" s="220"/>
      <c r="C210" s="220"/>
      <c r="D210" s="220"/>
      <c r="E210" s="220"/>
      <c r="F210" s="220"/>
      <c r="G210" s="220"/>
    </row>
    <row r="211" spans="1:7" ht="20.100000000000001" customHeight="1">
      <c r="A211" s="220"/>
      <c r="B211" s="220"/>
      <c r="C211" s="220"/>
      <c r="D211" s="220"/>
      <c r="E211" s="220"/>
      <c r="F211" s="220"/>
      <c r="G211" s="220"/>
    </row>
    <row r="212" spans="1:7" ht="20.100000000000001" customHeight="1">
      <c r="A212" s="220"/>
      <c r="B212" s="220"/>
      <c r="C212" s="220"/>
      <c r="D212" s="220"/>
      <c r="E212" s="220"/>
      <c r="F212" s="220"/>
      <c r="G212" s="220"/>
    </row>
    <row r="213" spans="1:7" ht="20.100000000000001" customHeight="1">
      <c r="A213" s="220"/>
      <c r="B213" s="220"/>
      <c r="C213" s="220"/>
      <c r="D213" s="220"/>
      <c r="E213" s="220"/>
      <c r="F213" s="220"/>
      <c r="G213" s="220"/>
    </row>
    <row r="214" spans="1:7" ht="20.100000000000001" customHeight="1">
      <c r="A214" s="220"/>
      <c r="B214" s="220"/>
      <c r="C214" s="220"/>
      <c r="D214" s="220"/>
      <c r="E214" s="220"/>
      <c r="F214" s="220"/>
      <c r="G214" s="220"/>
    </row>
    <row r="215" spans="1:7" ht="20.100000000000001" customHeight="1">
      <c r="A215" s="220"/>
      <c r="B215" s="220"/>
      <c r="C215" s="220"/>
      <c r="D215" s="220"/>
      <c r="E215" s="220"/>
      <c r="F215" s="220"/>
      <c r="G215" s="220"/>
    </row>
    <row r="216" spans="1:7" ht="20.100000000000001" customHeight="1">
      <c r="A216" s="220"/>
      <c r="B216" s="220"/>
      <c r="C216" s="220"/>
      <c r="D216" s="220"/>
      <c r="E216" s="220"/>
      <c r="F216" s="220"/>
      <c r="G216" s="220"/>
    </row>
    <row r="217" spans="1:7" ht="20.100000000000001" customHeight="1">
      <c r="A217" s="220"/>
      <c r="B217" s="220"/>
      <c r="C217" s="220"/>
      <c r="D217" s="220"/>
      <c r="E217" s="220"/>
      <c r="F217" s="220"/>
      <c r="G217" s="220"/>
    </row>
    <row r="218" spans="1:7" ht="20.100000000000001" customHeight="1">
      <c r="A218" s="220"/>
      <c r="B218" s="220"/>
      <c r="C218" s="220"/>
      <c r="D218" s="220"/>
      <c r="E218" s="220"/>
      <c r="F218" s="220"/>
      <c r="G218" s="220"/>
    </row>
    <row r="219" spans="1:7" ht="20.100000000000001" customHeight="1">
      <c r="A219" s="220"/>
      <c r="B219" s="220"/>
      <c r="C219" s="220"/>
      <c r="D219" s="220"/>
      <c r="E219" s="220"/>
      <c r="F219" s="220"/>
      <c r="G219" s="220"/>
    </row>
    <row r="220" spans="1:7" ht="20.100000000000001" customHeight="1">
      <c r="A220" s="220"/>
      <c r="B220" s="220"/>
      <c r="C220" s="220"/>
      <c r="D220" s="220"/>
      <c r="E220" s="220"/>
      <c r="F220" s="220"/>
      <c r="G220" s="220"/>
    </row>
    <row r="221" spans="1:7" ht="20.100000000000001" customHeight="1">
      <c r="A221" s="220"/>
      <c r="B221" s="220"/>
      <c r="C221" s="220"/>
      <c r="D221" s="220"/>
      <c r="E221" s="220"/>
      <c r="F221" s="220"/>
      <c r="G221" s="220"/>
    </row>
    <row r="222" spans="1:7" ht="20.100000000000001" customHeight="1">
      <c r="A222" s="220"/>
      <c r="B222" s="220"/>
      <c r="C222" s="220"/>
      <c r="D222" s="220"/>
      <c r="E222" s="220"/>
      <c r="F222" s="220"/>
      <c r="G222" s="220"/>
    </row>
    <row r="223" spans="1:7" ht="20.100000000000001" customHeight="1">
      <c r="A223" s="220"/>
      <c r="B223" s="220"/>
      <c r="C223" s="220"/>
      <c r="D223" s="220"/>
      <c r="E223" s="220"/>
      <c r="F223" s="220"/>
      <c r="G223" s="220"/>
    </row>
    <row r="224" spans="1:7" ht="20.100000000000001" customHeight="1">
      <c r="A224" s="220"/>
      <c r="B224" s="220"/>
      <c r="C224" s="220"/>
      <c r="D224" s="220"/>
      <c r="E224" s="220"/>
      <c r="F224" s="220"/>
      <c r="G224" s="220"/>
    </row>
    <row r="225" spans="1:7" ht="20.100000000000001" customHeight="1">
      <c r="A225" s="220"/>
      <c r="B225" s="220"/>
      <c r="C225" s="220"/>
      <c r="D225" s="220"/>
      <c r="E225" s="220"/>
      <c r="F225" s="220"/>
      <c r="G225" s="220"/>
    </row>
    <row r="226" spans="1:7" ht="20.100000000000001" customHeight="1">
      <c r="A226" s="220"/>
      <c r="B226" s="220"/>
      <c r="C226" s="220"/>
      <c r="D226" s="220"/>
      <c r="E226" s="220"/>
      <c r="F226" s="220"/>
      <c r="G226" s="220"/>
    </row>
    <row r="227" spans="1:7" ht="20.100000000000001" customHeight="1">
      <c r="A227" s="220"/>
      <c r="B227" s="220"/>
      <c r="C227" s="220"/>
      <c r="D227" s="220"/>
      <c r="E227" s="220"/>
      <c r="F227" s="220"/>
      <c r="G227" s="220"/>
    </row>
    <row r="228" spans="1:7" ht="20.100000000000001" customHeight="1">
      <c r="A228" s="220"/>
      <c r="B228" s="220"/>
      <c r="C228" s="220"/>
      <c r="D228" s="220"/>
      <c r="E228" s="220"/>
      <c r="F228" s="220"/>
      <c r="G228" s="220"/>
    </row>
    <row r="229" spans="1:7" ht="20.100000000000001" customHeight="1">
      <c r="A229" s="220"/>
      <c r="B229" s="220"/>
      <c r="C229" s="220"/>
      <c r="D229" s="220"/>
      <c r="E229" s="220"/>
      <c r="F229" s="220"/>
      <c r="G229" s="220"/>
    </row>
    <row r="230" spans="1:7" ht="20.100000000000001" customHeight="1">
      <c r="A230" s="220"/>
      <c r="B230" s="220"/>
      <c r="C230" s="220"/>
      <c r="D230" s="220"/>
      <c r="E230" s="220"/>
      <c r="F230" s="220"/>
      <c r="G230" s="220"/>
    </row>
    <row r="231" spans="1:7" ht="20.100000000000001" customHeight="1">
      <c r="A231" s="220"/>
      <c r="B231" s="220"/>
      <c r="C231" s="220"/>
      <c r="D231" s="220"/>
      <c r="E231" s="220"/>
      <c r="F231" s="220"/>
      <c r="G231" s="220"/>
    </row>
    <row r="232" spans="1:7" ht="20.100000000000001" customHeight="1">
      <c r="A232" s="220"/>
      <c r="B232" s="220"/>
      <c r="C232" s="220"/>
      <c r="D232" s="220"/>
      <c r="E232" s="220"/>
      <c r="F232" s="220"/>
      <c r="G232" s="220"/>
    </row>
    <row r="233" spans="1:7" ht="20.100000000000001" customHeight="1">
      <c r="A233" s="220"/>
      <c r="B233" s="220"/>
      <c r="C233" s="220"/>
      <c r="D233" s="220"/>
      <c r="E233" s="220"/>
      <c r="F233" s="220"/>
      <c r="G233" s="220"/>
    </row>
    <row r="234" spans="1:7" ht="20.100000000000001" customHeight="1">
      <c r="A234" s="220"/>
      <c r="B234" s="220"/>
      <c r="C234" s="220"/>
      <c r="D234" s="220"/>
      <c r="E234" s="220"/>
      <c r="F234" s="220"/>
      <c r="G234" s="220"/>
    </row>
    <row r="235" spans="1:7" ht="20.100000000000001" customHeight="1">
      <c r="A235" s="220"/>
      <c r="B235" s="220"/>
      <c r="C235" s="220"/>
      <c r="D235" s="220"/>
      <c r="E235" s="220"/>
      <c r="F235" s="220"/>
      <c r="G235" s="220"/>
    </row>
    <row r="236" spans="1:7" ht="20.100000000000001" customHeight="1">
      <c r="A236" s="220"/>
      <c r="B236" s="220"/>
      <c r="C236" s="220"/>
      <c r="D236" s="220"/>
      <c r="E236" s="220"/>
      <c r="F236" s="220"/>
      <c r="G236" s="220"/>
    </row>
    <row r="237" spans="1:7" ht="20.100000000000001" customHeight="1">
      <c r="A237" s="220"/>
      <c r="B237" s="220"/>
      <c r="C237" s="220"/>
      <c r="D237" s="220"/>
      <c r="E237" s="220"/>
      <c r="F237" s="220"/>
      <c r="G237" s="220"/>
    </row>
    <row r="238" spans="1:7" ht="20.100000000000001" customHeight="1">
      <c r="A238" s="220"/>
      <c r="B238" s="220"/>
      <c r="C238" s="220"/>
      <c r="D238" s="220"/>
      <c r="E238" s="220"/>
      <c r="F238" s="220"/>
      <c r="G238" s="220"/>
    </row>
    <row r="239" spans="1:7" ht="20.100000000000001" customHeight="1">
      <c r="A239" s="220"/>
      <c r="B239" s="220"/>
      <c r="C239" s="220"/>
      <c r="D239" s="220"/>
      <c r="E239" s="220"/>
      <c r="F239" s="220"/>
      <c r="G239" s="220"/>
    </row>
    <row r="240" spans="1:7" ht="20.100000000000001" customHeight="1">
      <c r="A240" s="220"/>
      <c r="B240" s="220"/>
      <c r="C240" s="220"/>
      <c r="D240" s="220"/>
      <c r="E240" s="220"/>
      <c r="F240" s="220"/>
      <c r="G240" s="220"/>
    </row>
    <row r="241" spans="1:7" ht="20.100000000000001" customHeight="1">
      <c r="A241" s="220"/>
      <c r="B241" s="220"/>
      <c r="C241" s="220"/>
      <c r="D241" s="220"/>
      <c r="E241" s="220"/>
      <c r="F241" s="220"/>
      <c r="G241" s="220"/>
    </row>
    <row r="242" spans="1:7" ht="20.100000000000001" customHeight="1">
      <c r="A242" s="220"/>
      <c r="B242" s="220"/>
      <c r="C242" s="220"/>
      <c r="D242" s="220"/>
      <c r="E242" s="220"/>
      <c r="F242" s="220"/>
      <c r="G242" s="220"/>
    </row>
  </sheetData>
  <sheetProtection password="F7E3" sheet="1" objects="1" scenarios="1"/>
  <mergeCells count="27">
    <mergeCell ref="L147:M147"/>
    <mergeCell ref="L148:M148"/>
    <mergeCell ref="L92:P92"/>
    <mergeCell ref="A97:G97"/>
    <mergeCell ref="A106:B106"/>
    <mergeCell ref="C106:G106"/>
    <mergeCell ref="I130:J130"/>
    <mergeCell ref="L140:P140"/>
    <mergeCell ref="L57:M57"/>
    <mergeCell ref="A65:B65"/>
    <mergeCell ref="C65:G65"/>
    <mergeCell ref="L65:P65"/>
    <mergeCell ref="L72:M72"/>
    <mergeCell ref="L73:M73"/>
    <mergeCell ref="L39:M39"/>
    <mergeCell ref="L40:M40"/>
    <mergeCell ref="A44:G44"/>
    <mergeCell ref="L49:P49"/>
    <mergeCell ref="A56:G56"/>
    <mergeCell ref="L56:M56"/>
    <mergeCell ref="A12:G12"/>
    <mergeCell ref="L16:P16"/>
    <mergeCell ref="A18:G18"/>
    <mergeCell ref="L24:M24"/>
    <mergeCell ref="L25:M25"/>
    <mergeCell ref="A32:G32"/>
    <mergeCell ref="L32:P3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ignoredErrors>
    <ignoredError sqref="C34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7:E38"/>
  <sheetViews>
    <sheetView workbookViewId="0">
      <selection sqref="A1:J1"/>
    </sheetView>
  </sheetViews>
  <sheetFormatPr defaultColWidth="11.44140625" defaultRowHeight="13.2"/>
  <sheetData>
    <row r="17" spans="1:5">
      <c r="B17" s="423"/>
    </row>
    <row r="18" spans="1:5" ht="13.8" thickBot="1">
      <c r="A18" s="423"/>
      <c r="B18" s="423"/>
    </row>
    <row r="19" spans="1:5" ht="15" customHeight="1">
      <c r="A19" s="889" t="s">
        <v>255</v>
      </c>
      <c r="B19" s="890"/>
      <c r="D19" s="887" t="s">
        <v>256</v>
      </c>
      <c r="E19" s="888"/>
    </row>
    <row r="20" spans="1:5">
      <c r="A20" s="424" t="str">
        <f>"Lx ="</f>
        <v>Lx =</v>
      </c>
      <c r="B20" s="425">
        <f>Dados!C58</f>
        <v>24</v>
      </c>
      <c r="D20" s="424" t="s">
        <v>257</v>
      </c>
      <c r="E20" s="426" t="str">
        <f>ROUND(((B20-B22)/13),1) &amp;" mm"</f>
        <v>1,5 mm</v>
      </c>
    </row>
    <row r="21" spans="1:5" ht="13.8" thickBot="1">
      <c r="A21" s="424" t="str">
        <f>"Ly ="</f>
        <v>Ly =</v>
      </c>
      <c r="B21" s="425">
        <f>Dados!C59</f>
        <v>22</v>
      </c>
      <c r="D21" s="427" t="s">
        <v>258</v>
      </c>
      <c r="E21" s="428" t="str">
        <f>ROUND((B21/13),1)&amp; " mm"</f>
        <v>1,7 mm</v>
      </c>
    </row>
    <row r="22" spans="1:5">
      <c r="A22" s="808" t="s">
        <v>205</v>
      </c>
      <c r="B22" s="809">
        <f>6*B23</f>
        <v>4.8000000000000007</v>
      </c>
      <c r="D22" s="806"/>
      <c r="E22" s="807"/>
    </row>
    <row r="23" spans="1:5" ht="13.8" thickBot="1">
      <c r="A23" s="427" t="str">
        <f>"Lt ="</f>
        <v>Lt =</v>
      </c>
      <c r="B23" s="429">
        <f>MAX(VALUE(Dados!G60),VALUE(Dados!G101))</f>
        <v>0.8</v>
      </c>
    </row>
    <row r="24" spans="1:5" ht="13.8" thickBot="1"/>
    <row r="25" spans="1:5" ht="13.8" thickBot="1">
      <c r="A25" s="430" t="s">
        <v>259</v>
      </c>
      <c r="B25" s="431" t="s">
        <v>257</v>
      </c>
      <c r="C25" s="432" t="s">
        <v>258</v>
      </c>
    </row>
    <row r="26" spans="1:5">
      <c r="A26" s="433">
        <v>0</v>
      </c>
      <c r="B26" s="434">
        <f>Cola!C60</f>
        <v>0</v>
      </c>
      <c r="C26" s="435">
        <f>Cola!C61</f>
        <v>0</v>
      </c>
      <c r="D26" s="436" t="s">
        <v>255</v>
      </c>
    </row>
    <row r="27" spans="1:5">
      <c r="A27" s="424">
        <v>1</v>
      </c>
      <c r="B27" s="437">
        <f t="shared" ref="B27:B38" si="0">B26+ROUND(((B$20-B$23)/13),1)</f>
        <v>1.8</v>
      </c>
      <c r="C27" s="426">
        <f>C26+ROUND(((B$21)/13),1)</f>
        <v>1.7</v>
      </c>
      <c r="D27" s="438" t="s">
        <v>256</v>
      </c>
    </row>
    <row r="28" spans="1:5">
      <c r="A28" s="424">
        <v>2</v>
      </c>
      <c r="B28" s="437">
        <f t="shared" si="0"/>
        <v>3.6</v>
      </c>
      <c r="C28" s="426">
        <f t="shared" ref="C28:C38" si="1">C27+ROUND(((B$21)/13),1)</f>
        <v>3.4</v>
      </c>
    </row>
    <row r="29" spans="1:5">
      <c r="A29" s="424">
        <v>3</v>
      </c>
      <c r="B29" s="437">
        <f t="shared" si="0"/>
        <v>5.4</v>
      </c>
      <c r="C29" s="426">
        <f t="shared" si="1"/>
        <v>5.0999999999999996</v>
      </c>
    </row>
    <row r="30" spans="1:5">
      <c r="A30" s="424">
        <v>4</v>
      </c>
      <c r="B30" s="437">
        <f t="shared" si="0"/>
        <v>7.2</v>
      </c>
      <c r="C30" s="426">
        <f t="shared" si="1"/>
        <v>6.8</v>
      </c>
    </row>
    <row r="31" spans="1:5">
      <c r="A31" s="424">
        <v>5</v>
      </c>
      <c r="B31" s="437">
        <f t="shared" si="0"/>
        <v>9</v>
      </c>
      <c r="C31" s="426">
        <f t="shared" si="1"/>
        <v>8.5</v>
      </c>
    </row>
    <row r="32" spans="1:5">
      <c r="A32" s="424">
        <v>6</v>
      </c>
      <c r="B32" s="437">
        <f t="shared" si="0"/>
        <v>10.8</v>
      </c>
      <c r="C32" s="426">
        <f t="shared" si="1"/>
        <v>10.199999999999999</v>
      </c>
    </row>
    <row r="33" spans="1:3">
      <c r="A33" s="424">
        <v>7</v>
      </c>
      <c r="B33" s="437">
        <f t="shared" si="0"/>
        <v>12.600000000000001</v>
      </c>
      <c r="C33" s="426">
        <f t="shared" si="1"/>
        <v>11.899999999999999</v>
      </c>
    </row>
    <row r="34" spans="1:3">
      <c r="A34" s="424">
        <v>8</v>
      </c>
      <c r="B34" s="437">
        <f t="shared" si="0"/>
        <v>14.400000000000002</v>
      </c>
      <c r="C34" s="426">
        <f t="shared" si="1"/>
        <v>13.599999999999998</v>
      </c>
    </row>
    <row r="35" spans="1:3">
      <c r="A35" s="424">
        <v>9</v>
      </c>
      <c r="B35" s="437">
        <f t="shared" si="0"/>
        <v>16.200000000000003</v>
      </c>
      <c r="C35" s="426">
        <f t="shared" si="1"/>
        <v>15.299999999999997</v>
      </c>
    </row>
    <row r="36" spans="1:3">
      <c r="A36" s="424">
        <v>10</v>
      </c>
      <c r="B36" s="437">
        <f t="shared" si="0"/>
        <v>18.000000000000004</v>
      </c>
      <c r="C36" s="426">
        <f t="shared" si="1"/>
        <v>16.999999999999996</v>
      </c>
    </row>
    <row r="37" spans="1:3">
      <c r="A37" s="424">
        <v>11</v>
      </c>
      <c r="B37" s="437">
        <f t="shared" si="0"/>
        <v>19.800000000000004</v>
      </c>
      <c r="C37" s="426">
        <f t="shared" si="1"/>
        <v>18.699999999999996</v>
      </c>
    </row>
    <row r="38" spans="1:3" ht="13.8" thickBot="1">
      <c r="A38" s="427">
        <v>12</v>
      </c>
      <c r="B38" s="439">
        <f t="shared" si="0"/>
        <v>21.600000000000005</v>
      </c>
      <c r="C38" s="428">
        <f t="shared" si="1"/>
        <v>20.399999999999995</v>
      </c>
    </row>
  </sheetData>
  <sheetProtection password="F7E3" sheet="1" objects="1" scenarios="1"/>
  <mergeCells count="2">
    <mergeCell ref="D19:E19"/>
    <mergeCell ref="A19:B19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433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167640</xdr:colOff>
                <xdr:row>16</xdr:row>
                <xdr:rowOff>22860</xdr:rowOff>
              </to>
            </anchor>
          </objectPr>
        </oleObject>
      </mc:Choice>
      <mc:Fallback>
        <oleObject progId="Paint.Picture" shapeId="14337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X272"/>
  <sheetViews>
    <sheetView showGridLines="0" tabSelected="1" topLeftCell="A49" zoomScaleNormal="100" zoomScaleSheetLayoutView="55" workbookViewId="0">
      <selection activeCell="C38" sqref="C38"/>
    </sheetView>
  </sheetViews>
  <sheetFormatPr defaultColWidth="11.44140625" defaultRowHeight="17.100000000000001" customHeight="1"/>
  <cols>
    <col min="1" max="9" width="9.44140625" style="755" customWidth="1"/>
    <col min="10" max="10" width="9.88671875" style="755" customWidth="1"/>
    <col min="11" max="21" width="9.44140625" style="755" customWidth="1"/>
    <col min="22" max="16384" width="11.44140625" style="755"/>
  </cols>
  <sheetData>
    <row r="1" spans="1:21" ht="24.75" customHeight="1">
      <c r="A1" s="916" t="s">
        <v>378</v>
      </c>
      <c r="B1" s="916"/>
      <c r="C1" s="916"/>
      <c r="D1" s="916"/>
      <c r="E1" s="916"/>
      <c r="F1" s="916"/>
      <c r="G1" s="916"/>
      <c r="H1" s="916"/>
      <c r="I1" s="916"/>
      <c r="J1" s="916"/>
      <c r="K1" s="683"/>
      <c r="L1" s="683"/>
      <c r="M1" s="683"/>
      <c r="N1" s="683"/>
      <c r="O1" s="683"/>
      <c r="P1" s="683"/>
      <c r="Q1" s="683"/>
      <c r="R1" s="754"/>
      <c r="S1" s="754"/>
      <c r="T1" s="754"/>
      <c r="U1" s="754"/>
    </row>
    <row r="2" spans="1:21" ht="17.25" customHeight="1">
      <c r="A2" s="916" t="s">
        <v>358</v>
      </c>
      <c r="B2" s="916"/>
      <c r="C2" s="916"/>
      <c r="D2" s="916"/>
      <c r="E2" s="916"/>
      <c r="F2" s="916"/>
      <c r="G2" s="916"/>
      <c r="H2" s="916"/>
      <c r="I2" s="916"/>
      <c r="J2" s="916"/>
      <c r="K2" s="683"/>
      <c r="L2" s="683"/>
      <c r="M2" s="683"/>
      <c r="N2" s="683"/>
      <c r="O2" s="683"/>
      <c r="P2" s="683"/>
      <c r="Q2" s="683"/>
      <c r="R2" s="754"/>
      <c r="S2" s="754"/>
    </row>
    <row r="3" spans="1:21" ht="15" customHeight="1">
      <c r="A3" s="919" t="s">
        <v>379</v>
      </c>
      <c r="B3" s="919"/>
      <c r="C3" s="919"/>
      <c r="D3" s="919"/>
      <c r="E3" s="919"/>
      <c r="F3" s="919"/>
      <c r="G3" s="919"/>
      <c r="H3" s="919"/>
      <c r="I3" s="919"/>
      <c r="J3" s="919"/>
      <c r="K3" s="685"/>
      <c r="L3" s="685"/>
      <c r="M3" s="685"/>
      <c r="N3" s="685"/>
      <c r="O3" s="685"/>
      <c r="P3" s="685"/>
      <c r="Q3" s="685"/>
      <c r="R3" s="754"/>
      <c r="S3" s="754"/>
      <c r="U3" s="686"/>
    </row>
    <row r="4" spans="1:21" ht="39" customHeight="1">
      <c r="A4" s="918" t="s">
        <v>380</v>
      </c>
      <c r="B4" s="918"/>
      <c r="C4" s="918"/>
      <c r="D4" s="918"/>
      <c r="E4" s="918"/>
      <c r="F4" s="918"/>
      <c r="G4" s="918"/>
      <c r="H4" s="918"/>
      <c r="I4" s="918"/>
      <c r="J4" s="918"/>
      <c r="K4" s="687"/>
      <c r="L4" s="687"/>
      <c r="M4" s="687"/>
      <c r="N4" s="687"/>
      <c r="O4" s="687"/>
      <c r="P4" s="687"/>
      <c r="Q4" s="687"/>
      <c r="R4" s="689"/>
      <c r="S4" s="689"/>
      <c r="U4" s="689"/>
    </row>
    <row r="5" spans="1:21" ht="35.25" customHeight="1" thickBot="1">
      <c r="A5" s="917" t="str">
        <f>(TEXT(Geral!L3,"0000")&amp;"/"&amp;TEXT(Geral!L4,"00"))</f>
        <v>3733/23</v>
      </c>
      <c r="B5" s="917"/>
      <c r="C5" s="917"/>
      <c r="D5" s="917"/>
      <c r="E5" s="917"/>
      <c r="F5" s="917"/>
      <c r="G5" s="917"/>
      <c r="H5" s="917"/>
      <c r="I5" s="917"/>
      <c r="J5" s="917"/>
      <c r="K5" s="781"/>
      <c r="L5" s="781"/>
      <c r="M5" s="781"/>
      <c r="N5" s="781"/>
      <c r="O5" s="781"/>
      <c r="P5" s="781"/>
      <c r="Q5" s="781"/>
      <c r="R5" s="757"/>
      <c r="S5" s="757"/>
      <c r="T5" s="758"/>
      <c r="U5" s="756"/>
    </row>
    <row r="6" spans="1:21" ht="12" customHeight="1" thickTop="1">
      <c r="A6" s="756"/>
      <c r="C6" s="756"/>
      <c r="D6" s="759"/>
      <c r="E6" s="760"/>
      <c r="F6" s="761"/>
      <c r="G6" s="762"/>
      <c r="H6" s="762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8"/>
    </row>
    <row r="7" spans="1:21" ht="22.5" hidden="1" customHeight="1">
      <c r="A7" s="921" t="str">
        <f>IF(Geral!$L$6="","","Este certificado cancela e substitui o certificado de calibração "&amp;(TEXT(Geral!$L$6,"0000")&amp;"/"&amp;(TEXT(Geral!$L$7,"00"))))</f>
        <v/>
      </c>
      <c r="B7" s="921"/>
      <c r="C7" s="921"/>
      <c r="D7" s="921"/>
      <c r="E7" s="921"/>
      <c r="F7" s="921"/>
      <c r="G7" s="921"/>
      <c r="H7" s="921"/>
      <c r="I7" s="921"/>
      <c r="J7" s="921"/>
      <c r="K7" s="768"/>
      <c r="L7" s="782" t="str">
        <f>IF(Geral!L6="","Ocultar","Não ocultar")</f>
        <v>Ocultar</v>
      </c>
      <c r="M7" s="768"/>
      <c r="N7" s="768"/>
      <c r="O7" s="768"/>
      <c r="P7" s="768"/>
      <c r="Q7" s="768"/>
      <c r="R7" s="768"/>
      <c r="S7" s="768"/>
    </row>
    <row r="8" spans="1:21" ht="10.5" hidden="1" customHeight="1">
      <c r="A8" s="763"/>
      <c r="B8" s="764"/>
      <c r="C8" s="765"/>
      <c r="D8" s="765"/>
      <c r="E8" s="766"/>
      <c r="F8" s="766"/>
      <c r="G8" s="767"/>
      <c r="H8" s="767"/>
      <c r="I8" s="768"/>
      <c r="J8" s="768"/>
      <c r="K8" s="768"/>
      <c r="L8" s="782" t="str">
        <f>L7</f>
        <v>Ocultar</v>
      </c>
      <c r="M8" s="768"/>
      <c r="N8" s="768"/>
      <c r="O8" s="768"/>
      <c r="P8" s="768"/>
      <c r="Q8" s="768"/>
      <c r="R8" s="768"/>
      <c r="S8" s="768"/>
    </row>
    <row r="9" spans="1:21" s="684" customFormat="1" ht="17.100000000000001" customHeight="1">
      <c r="A9" s="844" t="s">
        <v>382</v>
      </c>
      <c r="B9" s="845"/>
      <c r="C9" s="846"/>
      <c r="D9" s="846"/>
      <c r="E9" s="920" t="str">
        <f>Geral!D4&amp;CHAR(10)&amp;Geral!D10&amp;" "&amp;Geral!D11&amp;", "&amp;Geral!D12&amp;CHAR(10)&amp;Geral!D15&amp;IF(Geral!D17="",""," - "&amp;Geral!D17)&amp;IF(Geral!D18="Brasil",""," - "&amp;Geral!D18)</f>
        <v>STARA S A INDÚSTRIA DE IMPLEMENTOS AGRÍCOLAS
Av. Stara, 519
Não-Me-Toque - RS</v>
      </c>
      <c r="F9" s="920"/>
      <c r="G9" s="920"/>
      <c r="H9" s="920"/>
      <c r="I9" s="920"/>
      <c r="J9" s="920"/>
      <c r="K9" s="780"/>
      <c r="L9" s="780"/>
      <c r="M9" s="780"/>
      <c r="N9" s="780"/>
      <c r="O9" s="780"/>
      <c r="P9" s="780"/>
      <c r="Q9" s="780"/>
      <c r="T9" s="691"/>
      <c r="U9" s="691"/>
    </row>
    <row r="10" spans="1:21" s="684" customFormat="1" ht="17.100000000000001" customHeight="1">
      <c r="A10" s="801"/>
      <c r="B10" s="846"/>
      <c r="C10" s="846"/>
      <c r="D10" s="825"/>
      <c r="E10" s="920"/>
      <c r="F10" s="920"/>
      <c r="G10" s="920"/>
      <c r="H10" s="920"/>
      <c r="I10" s="920"/>
      <c r="J10" s="920"/>
      <c r="K10" s="780"/>
      <c r="L10" s="780"/>
      <c r="M10" s="780"/>
      <c r="N10" s="780"/>
      <c r="O10" s="780"/>
      <c r="P10" s="780"/>
      <c r="Q10" s="780"/>
      <c r="T10" s="691"/>
      <c r="U10" s="691"/>
    </row>
    <row r="11" spans="1:21" s="684" customFormat="1" ht="17.100000000000001" customHeight="1">
      <c r="A11" s="801"/>
      <c r="B11" s="846"/>
      <c r="C11" s="846"/>
      <c r="D11" s="825"/>
      <c r="E11" s="920"/>
      <c r="F11" s="920"/>
      <c r="G11" s="920"/>
      <c r="H11" s="920"/>
      <c r="I11" s="920"/>
      <c r="J11" s="920"/>
      <c r="K11" s="780"/>
      <c r="L11" s="780"/>
      <c r="M11" s="780"/>
      <c r="N11" s="780"/>
      <c r="O11" s="780"/>
      <c r="P11" s="780"/>
      <c r="Q11" s="780"/>
      <c r="T11" s="691"/>
      <c r="U11" s="691"/>
    </row>
    <row r="12" spans="1:21" s="684" customFormat="1" ht="24" customHeight="1">
      <c r="A12" s="844"/>
      <c r="B12" s="845"/>
      <c r="C12" s="847"/>
      <c r="D12" s="825"/>
      <c r="E12" s="920"/>
      <c r="F12" s="920"/>
      <c r="G12" s="920"/>
      <c r="H12" s="920"/>
      <c r="I12" s="920"/>
      <c r="J12" s="920"/>
      <c r="K12" s="780"/>
      <c r="L12" s="780"/>
      <c r="M12" s="780"/>
      <c r="N12" s="780"/>
      <c r="O12" s="780"/>
      <c r="P12" s="780"/>
      <c r="Q12" s="780"/>
      <c r="T12" s="691"/>
      <c r="U12" s="691"/>
    </row>
    <row r="13" spans="1:21" s="684" customFormat="1" ht="7.5" customHeight="1">
      <c r="A13" s="844"/>
      <c r="B13" s="845"/>
      <c r="C13" s="847"/>
      <c r="D13" s="825"/>
      <c r="E13" s="826"/>
      <c r="F13" s="826"/>
      <c r="G13" s="826"/>
      <c r="H13" s="826"/>
      <c r="I13" s="826"/>
      <c r="J13" s="826"/>
      <c r="K13" s="780"/>
      <c r="L13" s="780"/>
      <c r="M13" s="780"/>
      <c r="N13" s="780"/>
      <c r="O13" s="780"/>
      <c r="P13" s="780"/>
      <c r="Q13" s="780"/>
      <c r="T13" s="691"/>
      <c r="U13" s="691"/>
    </row>
    <row r="14" spans="1:21" s="684" customFormat="1" ht="17.100000000000001" hidden="1" customHeight="1">
      <c r="A14" s="844" t="s">
        <v>381</v>
      </c>
      <c r="B14" s="845"/>
      <c r="C14" s="846"/>
      <c r="D14" s="846"/>
      <c r="E14" s="914" t="str">
        <f>Geral!B4&amp;CHAR(10)&amp;Geral!B11&amp;" "&amp;Geral!B12&amp;CHAR(10)&amp;Geral!B15&amp;IF(Geral!B17="",""," -"&amp;Geral!B17)&amp;IF(Geral!B18="Brasil","","  "&amp;Geral!B18)</f>
        <v>STARA S A INDÚSTRIA DE IMPLEMENTOS AGRÍCOLAS
Stara 519
Não-Me-Toque -RS</v>
      </c>
      <c r="F14" s="914"/>
      <c r="G14" s="914"/>
      <c r="H14" s="914"/>
      <c r="I14" s="914"/>
      <c r="J14" s="914"/>
      <c r="L14" s="782" t="str">
        <f>IF(Geral!$B$5=Geral!$D$5,"Ocultar","Não Ocultar")</f>
        <v>Ocultar</v>
      </c>
      <c r="T14" s="691"/>
      <c r="U14" s="691"/>
    </row>
    <row r="15" spans="1:21" s="684" customFormat="1" ht="17.100000000000001" hidden="1" customHeight="1">
      <c r="A15" s="844"/>
      <c r="B15" s="845"/>
      <c r="C15" s="846"/>
      <c r="D15" s="827"/>
      <c r="E15" s="914"/>
      <c r="F15" s="914"/>
      <c r="G15" s="914"/>
      <c r="H15" s="914"/>
      <c r="I15" s="914"/>
      <c r="J15" s="914"/>
      <c r="L15" s="782" t="str">
        <f>IF(Geral!$B$5=Geral!$D$5,"Ocultar","Não Ocultar")</f>
        <v>Ocultar</v>
      </c>
      <c r="T15" s="691"/>
      <c r="U15" s="691"/>
    </row>
    <row r="16" spans="1:21" s="684" customFormat="1" ht="17.100000000000001" hidden="1" customHeight="1">
      <c r="A16" s="844"/>
      <c r="B16" s="845"/>
      <c r="C16" s="846"/>
      <c r="D16" s="827"/>
      <c r="E16" s="914"/>
      <c r="F16" s="914"/>
      <c r="G16" s="914"/>
      <c r="H16" s="914"/>
      <c r="I16" s="914"/>
      <c r="J16" s="914"/>
      <c r="L16" s="782" t="str">
        <f>IF(Geral!$B$5=Geral!$D$5,"Ocultar","Não Ocultar")</f>
        <v>Ocultar</v>
      </c>
      <c r="T16" s="691"/>
      <c r="U16" s="691"/>
    </row>
    <row r="17" spans="1:21" s="684" customFormat="1" ht="24" hidden="1" customHeight="1">
      <c r="A17" s="844"/>
      <c r="B17" s="845"/>
      <c r="C17" s="846"/>
      <c r="D17" s="827"/>
      <c r="E17" s="914"/>
      <c r="F17" s="914"/>
      <c r="G17" s="914"/>
      <c r="H17" s="914"/>
      <c r="I17" s="914"/>
      <c r="J17" s="914"/>
      <c r="L17" s="782" t="str">
        <f>IF(Geral!$B$5=Geral!$D$5,"Ocultar","Não Ocultar")</f>
        <v>Ocultar</v>
      </c>
      <c r="T17" s="691"/>
      <c r="U17" s="691"/>
    </row>
    <row r="18" spans="1:21" s="684" customFormat="1" ht="17.100000000000001" hidden="1" customHeight="1">
      <c r="A18" s="846"/>
      <c r="B18" s="846"/>
      <c r="C18" s="846"/>
      <c r="D18" s="846"/>
      <c r="E18" s="846"/>
      <c r="F18" s="846"/>
      <c r="G18" s="846"/>
      <c r="H18" s="846"/>
      <c r="I18" s="846"/>
      <c r="J18" s="846"/>
      <c r="L18" s="782" t="str">
        <f>IF(Geral!$B$5=Geral!$D$5,"Ocultar","Não Ocultar")</f>
        <v>Ocultar</v>
      </c>
      <c r="T18" s="691"/>
      <c r="U18" s="691"/>
    </row>
    <row r="19" spans="1:21" s="684" customFormat="1" ht="17.100000000000001" customHeight="1">
      <c r="A19" s="844" t="s">
        <v>383</v>
      </c>
      <c r="B19" s="845"/>
      <c r="C19" s="846"/>
      <c r="D19" s="846"/>
      <c r="E19" s="844" t="str">
        <f>UPPER(Geral!F4)</f>
        <v>PADRÃO DE RUGOSIDADE</v>
      </c>
      <c r="F19" s="844"/>
      <c r="G19" s="844"/>
      <c r="H19" s="844"/>
      <c r="I19" s="844"/>
      <c r="J19" s="844"/>
      <c r="T19" s="691"/>
      <c r="U19" s="691"/>
    </row>
    <row r="20" spans="1:21" s="684" customFormat="1" ht="16.5" customHeight="1">
      <c r="A20" s="844"/>
      <c r="B20" s="845"/>
      <c r="C20" s="846"/>
      <c r="D20" s="846"/>
      <c r="E20" s="844"/>
      <c r="F20" s="844"/>
      <c r="G20" s="844"/>
      <c r="H20" s="844"/>
      <c r="I20" s="844"/>
      <c r="J20" s="844"/>
      <c r="T20" s="691"/>
      <c r="U20" s="691"/>
    </row>
    <row r="21" spans="1:21" s="684" customFormat="1" ht="17.100000000000001" customHeight="1">
      <c r="A21" s="846"/>
      <c r="B21" s="846"/>
      <c r="C21" s="846"/>
      <c r="D21" s="846"/>
      <c r="E21" s="846"/>
      <c r="F21" s="846"/>
      <c r="G21" s="846"/>
      <c r="H21" s="846"/>
      <c r="I21" s="846"/>
      <c r="J21" s="846"/>
      <c r="K21" s="695"/>
      <c r="L21" s="691"/>
      <c r="M21" s="691"/>
      <c r="N21" s="691"/>
      <c r="O21" s="691"/>
      <c r="P21" s="691"/>
      <c r="Q21" s="691"/>
      <c r="R21" s="691"/>
      <c r="S21" s="691"/>
      <c r="T21" s="691"/>
      <c r="U21" s="691"/>
    </row>
    <row r="22" spans="1:21" s="684" customFormat="1" ht="17.100000000000001" customHeight="1">
      <c r="A22" s="848" t="s">
        <v>384</v>
      </c>
      <c r="B22" s="846"/>
      <c r="C22" s="846"/>
      <c r="D22" s="846"/>
      <c r="E22" s="849" t="str">
        <f>Geral!F14</f>
        <v>350141104</v>
      </c>
      <c r="F22" s="849"/>
      <c r="G22" s="849"/>
      <c r="H22" s="849"/>
      <c r="I22" s="849"/>
      <c r="J22" s="844"/>
      <c r="K22" s="695"/>
      <c r="L22" s="691"/>
      <c r="M22" s="691"/>
      <c r="N22" s="691"/>
      <c r="O22" s="691"/>
      <c r="P22" s="691"/>
      <c r="Q22" s="691"/>
      <c r="R22" s="691"/>
      <c r="S22" s="691"/>
      <c r="T22" s="691"/>
      <c r="U22" s="691"/>
    </row>
    <row r="23" spans="1:21" s="684" customFormat="1" ht="17.100000000000001" customHeight="1">
      <c r="A23" s="846"/>
      <c r="B23" s="846"/>
      <c r="C23" s="846"/>
      <c r="D23" s="846"/>
      <c r="E23" s="846"/>
      <c r="F23" s="846"/>
      <c r="G23" s="846"/>
      <c r="H23" s="846"/>
      <c r="I23" s="846"/>
      <c r="J23" s="849"/>
      <c r="K23" s="695"/>
      <c r="L23" s="691"/>
      <c r="M23" s="691"/>
      <c r="N23" s="691"/>
      <c r="O23" s="691"/>
      <c r="P23" s="691"/>
      <c r="Q23" s="691"/>
      <c r="R23" s="691"/>
      <c r="S23" s="691"/>
      <c r="T23" s="691"/>
      <c r="U23" s="691"/>
    </row>
    <row r="24" spans="1:21" s="684" customFormat="1" ht="17.100000000000001" customHeight="1">
      <c r="A24" s="846"/>
      <c r="B24" s="846"/>
      <c r="C24" s="846"/>
      <c r="D24" s="846"/>
      <c r="E24" s="846"/>
      <c r="F24" s="846"/>
      <c r="G24" s="846"/>
      <c r="H24" s="846"/>
      <c r="I24" s="846"/>
      <c r="J24" s="846"/>
      <c r="K24" s="695"/>
      <c r="L24" s="691"/>
      <c r="M24" s="691"/>
      <c r="N24" s="691"/>
      <c r="O24" s="691"/>
      <c r="P24" s="691"/>
      <c r="Q24" s="691"/>
      <c r="R24" s="691"/>
      <c r="S24" s="691"/>
      <c r="T24" s="691"/>
      <c r="U24" s="691"/>
    </row>
    <row r="25" spans="1:21" s="684" customFormat="1" ht="17.100000000000001" customHeight="1">
      <c r="A25" s="848" t="s">
        <v>385</v>
      </c>
      <c r="B25" s="846"/>
      <c r="C25" s="846"/>
      <c r="D25" s="846"/>
      <c r="E25" s="850" t="str">
        <f>Geral!F3</f>
        <v>PA01</v>
      </c>
      <c r="F25" s="844"/>
      <c r="G25" s="844"/>
      <c r="H25" s="851"/>
      <c r="I25" s="852"/>
      <c r="J25" s="853"/>
      <c r="K25" s="695"/>
      <c r="L25" s="691"/>
      <c r="M25" s="691"/>
      <c r="N25" s="691"/>
      <c r="O25" s="691"/>
      <c r="P25" s="691"/>
      <c r="Q25" s="691"/>
      <c r="R25" s="691"/>
      <c r="S25" s="691"/>
      <c r="T25" s="691"/>
      <c r="U25" s="691"/>
    </row>
    <row r="26" spans="1:21" s="684" customFormat="1" ht="17.100000000000001" customHeight="1">
      <c r="A26" s="844"/>
      <c r="B26" s="846"/>
      <c r="C26" s="846"/>
      <c r="D26" s="846"/>
      <c r="E26" s="844"/>
      <c r="F26" s="850"/>
      <c r="G26" s="850"/>
      <c r="H26" s="850"/>
      <c r="I26" s="850"/>
      <c r="J26" s="850"/>
      <c r="K26" s="691"/>
      <c r="L26" s="691"/>
      <c r="M26" s="691"/>
      <c r="N26" s="691"/>
      <c r="O26" s="691"/>
      <c r="P26" s="691"/>
      <c r="Q26" s="691"/>
      <c r="R26" s="691"/>
      <c r="S26" s="691"/>
      <c r="T26" s="691"/>
      <c r="U26" s="691"/>
    </row>
    <row r="27" spans="1:21" s="684" customFormat="1" ht="17.100000000000001" customHeight="1">
      <c r="A27" s="846"/>
      <c r="B27" s="846"/>
      <c r="C27" s="846"/>
      <c r="D27" s="846"/>
      <c r="E27" s="846"/>
      <c r="F27" s="846"/>
      <c r="G27" s="846"/>
      <c r="H27" s="846"/>
      <c r="I27" s="846"/>
      <c r="J27" s="846"/>
      <c r="K27" s="691"/>
      <c r="L27" s="691"/>
      <c r="M27" s="691"/>
      <c r="N27" s="691"/>
      <c r="O27" s="691"/>
      <c r="P27" s="691"/>
      <c r="Q27" s="691"/>
      <c r="R27" s="691"/>
      <c r="S27" s="691"/>
      <c r="T27" s="691"/>
      <c r="U27" s="691"/>
    </row>
    <row r="28" spans="1:21" s="684" customFormat="1" ht="17.100000000000001" customHeight="1">
      <c r="A28" s="851" t="s">
        <v>386</v>
      </c>
      <c r="B28" s="697"/>
      <c r="C28" s="697"/>
      <c r="D28" s="846"/>
      <c r="E28" s="854" t="str">
        <f>IF(Dados!J3="",Geral!F8,Dados!J3)</f>
        <v>Mitutoyo</v>
      </c>
      <c r="F28" s="855"/>
      <c r="G28" s="855"/>
      <c r="H28" s="855"/>
      <c r="I28" s="846"/>
      <c r="J28" s="853"/>
      <c r="K28" s="691"/>
      <c r="L28" s="691"/>
      <c r="M28" s="691"/>
      <c r="N28" s="691"/>
      <c r="O28" s="691"/>
      <c r="P28" s="691"/>
      <c r="Q28" s="691"/>
      <c r="R28" s="691"/>
      <c r="S28" s="691"/>
      <c r="T28" s="691"/>
      <c r="U28" s="691"/>
    </row>
    <row r="29" spans="1:21" s="684" customFormat="1" ht="17.100000000000001" customHeight="1">
      <c r="A29" s="848"/>
      <c r="B29" s="846"/>
      <c r="C29" s="846"/>
      <c r="D29" s="846"/>
      <c r="E29" s="853"/>
      <c r="F29" s="844"/>
      <c r="G29" s="844"/>
      <c r="H29" s="851"/>
      <c r="I29" s="852"/>
      <c r="J29" s="853"/>
      <c r="K29" s="691"/>
      <c r="L29" s="691"/>
      <c r="M29" s="691"/>
      <c r="N29" s="695"/>
      <c r="O29" s="688"/>
      <c r="Q29" s="696" t="str">
        <f>IFERROR(VLOOKUP($N$29,Dados!$I$8:$J$11,2,)&amp;IF($N$29=Dados!I11," mm"," µm"),"")</f>
        <v/>
      </c>
      <c r="R29" s="691"/>
      <c r="S29" s="691"/>
      <c r="T29" s="691"/>
      <c r="U29" s="691"/>
    </row>
    <row r="30" spans="1:21" s="684" customFormat="1" ht="17.100000000000001" customHeight="1">
      <c r="A30" s="846"/>
      <c r="B30" s="846"/>
      <c r="C30" s="846"/>
      <c r="D30" s="846"/>
      <c r="E30" s="846"/>
      <c r="F30" s="846"/>
      <c r="G30" s="846"/>
      <c r="H30" s="846"/>
      <c r="I30" s="846"/>
      <c r="J30" s="846"/>
      <c r="K30" s="691"/>
      <c r="L30" s="691"/>
      <c r="M30" s="691"/>
      <c r="N30" s="695"/>
      <c r="O30" s="688"/>
      <c r="Q30" s="696"/>
      <c r="R30" s="691"/>
      <c r="S30" s="691"/>
      <c r="T30" s="691"/>
      <c r="U30" s="691"/>
    </row>
    <row r="31" spans="1:21" s="684" customFormat="1" ht="17.100000000000001" customHeight="1">
      <c r="A31" s="844" t="s">
        <v>400</v>
      </c>
      <c r="B31" s="846"/>
      <c r="C31" s="846"/>
      <c r="D31" s="846"/>
      <c r="E31" s="844" t="str">
        <f>IF(Dados!J12="","Não consta",Dados!J12)</f>
        <v xml:space="preserve">Ra: 2,97 µm </v>
      </c>
      <c r="F31" s="856"/>
      <c r="G31" s="851"/>
      <c r="H31" s="851"/>
      <c r="I31" s="854"/>
      <c r="J31" s="854"/>
      <c r="K31" s="691"/>
      <c r="L31" s="691"/>
      <c r="M31" s="691"/>
      <c r="N31" s="695"/>
      <c r="O31" s="688"/>
      <c r="Q31" s="696"/>
      <c r="R31" s="691"/>
      <c r="S31" s="691"/>
      <c r="T31" s="691"/>
      <c r="U31" s="691"/>
    </row>
    <row r="32" spans="1:21" s="684" customFormat="1" ht="17.100000000000001" customHeight="1">
      <c r="A32" s="846"/>
      <c r="B32" s="846"/>
      <c r="C32" s="846"/>
      <c r="D32" s="844"/>
      <c r="E32" s="856"/>
      <c r="F32" s="856"/>
      <c r="G32" s="851"/>
      <c r="H32" s="851"/>
      <c r="I32" s="844"/>
      <c r="J32" s="844"/>
      <c r="K32" s="691"/>
      <c r="L32" s="691"/>
      <c r="M32" s="691"/>
      <c r="N32" s="695"/>
      <c r="O32" s="688"/>
      <c r="Q32" s="696"/>
      <c r="R32" s="691"/>
      <c r="S32" s="691"/>
      <c r="T32" s="691"/>
      <c r="U32" s="691"/>
    </row>
    <row r="33" spans="1:21" s="684" customFormat="1" ht="17.100000000000001" customHeight="1">
      <c r="A33" s="846"/>
      <c r="B33" s="846"/>
      <c r="C33" s="846"/>
      <c r="D33" s="846"/>
      <c r="E33" s="846"/>
      <c r="F33" s="846"/>
      <c r="G33" s="846"/>
      <c r="H33" s="846"/>
      <c r="I33" s="846"/>
      <c r="J33" s="846"/>
      <c r="L33" s="691"/>
      <c r="M33" s="691"/>
      <c r="N33" s="695"/>
      <c r="O33" s="688"/>
      <c r="Q33" s="696"/>
      <c r="R33" s="691"/>
      <c r="S33" s="691"/>
      <c r="T33" s="691"/>
      <c r="U33" s="691"/>
    </row>
    <row r="34" spans="1:21" s="684" customFormat="1" ht="17.100000000000001" customHeight="1">
      <c r="A34" s="844" t="s">
        <v>387</v>
      </c>
      <c r="B34" s="846"/>
      <c r="C34" s="846"/>
      <c r="D34" s="846"/>
      <c r="E34" s="844" t="str">
        <f>TEXT(Geral!L11,"dd")&amp;" de "&amp;TEXT(Geral!L11,"mmmm")&amp;" de "&amp;TEXT(Geral!L11,"AAAA")</f>
        <v>15 de dezembro de 2023</v>
      </c>
      <c r="F34" s="856"/>
      <c r="G34" s="851"/>
      <c r="H34" s="851"/>
      <c r="I34" s="844"/>
      <c r="J34" s="844"/>
      <c r="K34" s="691"/>
      <c r="L34" s="691"/>
      <c r="M34" s="691"/>
      <c r="N34" s="695"/>
      <c r="O34" s="688"/>
      <c r="Q34" s="696"/>
      <c r="R34" s="691"/>
      <c r="S34" s="691"/>
      <c r="T34" s="691"/>
      <c r="U34" s="691"/>
    </row>
    <row r="35" spans="1:21" s="684" customFormat="1" ht="17.100000000000001" customHeight="1">
      <c r="A35" s="844"/>
      <c r="B35" s="846"/>
      <c r="C35" s="846"/>
      <c r="D35" s="846"/>
      <c r="E35" s="844"/>
      <c r="F35" s="856"/>
      <c r="G35" s="851"/>
      <c r="H35" s="851"/>
      <c r="I35" s="844"/>
      <c r="J35" s="844"/>
      <c r="K35" s="691"/>
      <c r="L35" s="691"/>
      <c r="M35" s="691"/>
      <c r="N35" s="695"/>
      <c r="O35" s="688"/>
      <c r="Q35" s="696"/>
      <c r="R35" s="691"/>
      <c r="S35" s="691"/>
      <c r="T35" s="691"/>
      <c r="U35" s="691"/>
    </row>
    <row r="36" spans="1:21" s="684" customFormat="1" ht="17.100000000000001" customHeight="1">
      <c r="A36" s="846"/>
      <c r="B36" s="846"/>
      <c r="C36" s="846"/>
      <c r="D36" s="846"/>
      <c r="E36" s="846"/>
      <c r="F36" s="846"/>
      <c r="G36" s="846"/>
      <c r="H36" s="846"/>
      <c r="I36" s="846"/>
      <c r="J36" s="846"/>
      <c r="K36" s="691"/>
      <c r="L36" s="691"/>
      <c r="M36" s="691"/>
      <c r="N36" s="695"/>
      <c r="O36" s="688"/>
      <c r="Q36" s="696"/>
      <c r="R36" s="691"/>
      <c r="S36" s="691"/>
      <c r="T36" s="691"/>
      <c r="U36" s="691"/>
    </row>
    <row r="37" spans="1:21" s="684" customFormat="1" ht="17.100000000000001" customHeight="1">
      <c r="A37" s="844" t="s">
        <v>388</v>
      </c>
      <c r="B37" s="846"/>
      <c r="C37" s="846"/>
      <c r="D37" s="846"/>
      <c r="E37" s="844" t="str">
        <f>TEXT(Geral!L28,"dd")&amp;" de "&amp;TEXT(Geral!L28,"mmmm")&amp;" de "&amp;TEXT(Geral!L28,"AAAA")</f>
        <v>15 de dezembro de 2023</v>
      </c>
      <c r="F37" s="856"/>
      <c r="G37" s="851"/>
      <c r="H37" s="851"/>
      <c r="I37" s="844"/>
      <c r="J37" s="844"/>
      <c r="K37" s="691"/>
      <c r="L37" s="691"/>
      <c r="M37" s="691"/>
      <c r="N37" s="695"/>
      <c r="O37" s="688"/>
      <c r="Q37" s="696"/>
      <c r="R37" s="691"/>
      <c r="S37" s="691"/>
      <c r="T37" s="691"/>
      <c r="U37" s="691"/>
    </row>
    <row r="38" spans="1:21" s="684" customFormat="1" ht="17.100000000000001" customHeight="1">
      <c r="A38" s="695"/>
      <c r="B38" s="697"/>
      <c r="C38" s="696"/>
      <c r="D38" s="688"/>
      <c r="E38" s="695"/>
      <c r="F38" s="695"/>
      <c r="G38" s="695"/>
      <c r="H38" s="695"/>
      <c r="I38" s="691"/>
      <c r="J38" s="691"/>
      <c r="K38" s="691"/>
      <c r="L38" s="691"/>
      <c r="M38" s="691"/>
      <c r="N38" s="695"/>
      <c r="O38" s="688"/>
      <c r="Q38" s="696"/>
      <c r="R38" s="691"/>
      <c r="S38" s="691"/>
      <c r="T38" s="691"/>
      <c r="U38" s="691"/>
    </row>
    <row r="39" spans="1:21" s="684" customFormat="1" ht="17.100000000000001" customHeight="1">
      <c r="A39" s="695"/>
      <c r="B39" s="697"/>
      <c r="C39" s="696"/>
      <c r="D39" s="688"/>
      <c r="E39" s="695"/>
      <c r="F39" s="695"/>
      <c r="G39" s="695"/>
      <c r="H39" s="695"/>
      <c r="I39" s="691"/>
      <c r="J39" s="691"/>
      <c r="K39" s="691"/>
      <c r="L39" s="691"/>
      <c r="M39" s="691"/>
      <c r="N39" s="695"/>
      <c r="O39" s="688"/>
      <c r="Q39" s="696"/>
      <c r="R39" s="691"/>
      <c r="S39" s="691"/>
      <c r="T39" s="691"/>
      <c r="U39" s="691"/>
    </row>
    <row r="40" spans="1:21" s="684" customFormat="1" ht="17.100000000000001" customHeight="1">
      <c r="A40" s="695"/>
      <c r="B40" s="697"/>
      <c r="C40" s="696"/>
      <c r="D40" s="688"/>
      <c r="E40" s="695"/>
      <c r="F40" s="695"/>
      <c r="G40" s="695"/>
      <c r="H40" s="695"/>
      <c r="I40" s="691"/>
      <c r="J40" s="691"/>
      <c r="K40" s="691"/>
      <c r="L40" s="800" t="str">
        <f>IF(Geral!$B$5=Geral!$D$5,"Não Ocultar","Ocultar")</f>
        <v>Não Ocultar</v>
      </c>
      <c r="M40" s="691"/>
      <c r="N40" s="695"/>
      <c r="O40" s="688"/>
      <c r="Q40" s="696"/>
      <c r="R40" s="691"/>
      <c r="S40" s="691"/>
      <c r="T40" s="691"/>
      <c r="U40" s="691"/>
    </row>
    <row r="41" spans="1:21" s="684" customFormat="1" ht="17.100000000000001" customHeight="1">
      <c r="A41" s="695"/>
      <c r="B41" s="697"/>
      <c r="C41" s="696"/>
      <c r="D41" s="688"/>
      <c r="E41" s="695"/>
      <c r="F41" s="695"/>
      <c r="G41" s="695"/>
      <c r="H41" s="695"/>
      <c r="I41" s="691"/>
      <c r="J41" s="691"/>
      <c r="K41" s="691"/>
      <c r="L41" s="800" t="str">
        <f>IF(Geral!$B$5=Geral!$D$5,"Não Ocultar","Ocultar")</f>
        <v>Não Ocultar</v>
      </c>
      <c r="M41" s="691"/>
      <c r="N41" s="695"/>
      <c r="O41" s="688"/>
      <c r="Q41" s="696"/>
      <c r="R41" s="691"/>
      <c r="S41" s="691"/>
      <c r="T41" s="691"/>
      <c r="U41" s="691"/>
    </row>
    <row r="42" spans="1:21" s="684" customFormat="1" ht="17.100000000000001" customHeight="1">
      <c r="A42" s="695"/>
      <c r="B42" s="697"/>
      <c r="C42" s="696"/>
      <c r="D42" s="688"/>
      <c r="E42" s="695"/>
      <c r="F42" s="695"/>
      <c r="G42" s="695"/>
      <c r="H42" s="695"/>
      <c r="I42" s="691"/>
      <c r="J42" s="691"/>
      <c r="K42" s="691"/>
      <c r="L42" s="800" t="str">
        <f>IF(Geral!$B$5=Geral!$D$5,"Não Ocultar","Ocultar")</f>
        <v>Não Ocultar</v>
      </c>
      <c r="M42" s="691"/>
      <c r="N42" s="695"/>
      <c r="O42" s="688"/>
      <c r="Q42" s="696"/>
      <c r="R42" s="691"/>
      <c r="S42" s="691"/>
      <c r="T42" s="691"/>
      <c r="U42" s="691"/>
    </row>
    <row r="43" spans="1:21" s="684" customFormat="1" ht="17.100000000000001" customHeight="1">
      <c r="A43" s="735"/>
      <c r="B43" s="735"/>
      <c r="C43" s="735"/>
      <c r="D43" s="783"/>
      <c r="E43" s="688"/>
      <c r="F43" s="688"/>
      <c r="G43" s="777"/>
      <c r="H43" s="777"/>
      <c r="I43" s="698"/>
      <c r="J43" s="698"/>
      <c r="K43" s="691"/>
      <c r="L43" s="800" t="str">
        <f>IF(Geral!$B$5=Geral!$D$5,"Não Ocultar","Ocultar")</f>
        <v>Não Ocultar</v>
      </c>
      <c r="M43" s="691"/>
      <c r="N43" s="691"/>
      <c r="O43" s="691"/>
      <c r="P43" s="691"/>
      <c r="Q43" s="691"/>
      <c r="R43" s="691"/>
      <c r="S43" s="691"/>
      <c r="T43" s="691"/>
      <c r="U43" s="691"/>
    </row>
    <row r="44" spans="1:21" s="684" customFormat="1" ht="17.100000000000001" customHeight="1">
      <c r="A44" s="784" t="s">
        <v>405</v>
      </c>
      <c r="B44" s="688"/>
      <c r="E44" s="785" t="str">
        <f>Geral!L26</f>
        <v>Gabriel Scopel de Lima</v>
      </c>
      <c r="F44" s="688"/>
      <c r="G44" s="777"/>
      <c r="H44" s="777"/>
      <c r="I44" s="698"/>
      <c r="J44" s="698"/>
      <c r="K44" s="698"/>
      <c r="L44" s="782"/>
      <c r="M44" s="698"/>
      <c r="N44" s="698"/>
      <c r="O44" s="698"/>
      <c r="P44" s="698"/>
      <c r="Q44" s="698"/>
      <c r="R44" s="698"/>
      <c r="S44" s="698"/>
      <c r="T44" s="691"/>
      <c r="U44" s="691"/>
    </row>
    <row r="45" spans="1:21" s="684" customFormat="1" ht="17.100000000000001" customHeight="1">
      <c r="A45" s="688" t="s">
        <v>389</v>
      </c>
      <c r="B45" s="688"/>
      <c r="C45" s="688"/>
      <c r="E45" s="785" t="str">
        <f>Geral!L23</f>
        <v>Gabriel Francisco Gheno Cazakevicius</v>
      </c>
      <c r="F45" s="688"/>
      <c r="G45" s="777"/>
      <c r="H45" s="777"/>
      <c r="I45" s="698"/>
      <c r="J45" s="698"/>
      <c r="K45" s="698"/>
      <c r="L45" s="782"/>
      <c r="M45" s="698"/>
      <c r="N45" s="698"/>
      <c r="O45" s="698"/>
      <c r="P45" s="698"/>
      <c r="Q45" s="698"/>
      <c r="R45" s="698"/>
      <c r="S45" s="698"/>
      <c r="T45" s="691"/>
      <c r="U45" s="691"/>
    </row>
    <row r="46" spans="1:21" s="684" customFormat="1" ht="17.100000000000001" customHeight="1">
      <c r="A46" s="688"/>
      <c r="B46" s="688"/>
      <c r="C46" s="688"/>
      <c r="D46" s="785"/>
      <c r="E46" s="688"/>
      <c r="F46" s="688"/>
      <c r="G46" s="777"/>
      <c r="H46" s="777"/>
      <c r="I46" s="698"/>
      <c r="J46" s="698"/>
      <c r="K46" s="698"/>
      <c r="L46" s="698"/>
      <c r="M46" s="698"/>
      <c r="N46" s="698"/>
      <c r="O46" s="698"/>
      <c r="P46" s="698"/>
      <c r="Q46" s="698"/>
      <c r="R46" s="698"/>
      <c r="S46" s="698"/>
      <c r="T46" s="691"/>
      <c r="U46" s="691"/>
    </row>
    <row r="47" spans="1:21" s="684" customFormat="1" ht="17.100000000000001" customHeight="1">
      <c r="A47" s="786" t="s">
        <v>390</v>
      </c>
      <c r="B47" s="698"/>
      <c r="C47" s="698"/>
      <c r="D47" s="698"/>
      <c r="E47" s="698"/>
      <c r="F47" s="787"/>
      <c r="I47" s="703"/>
      <c r="K47" s="698"/>
      <c r="L47" s="698"/>
      <c r="M47" s="698"/>
      <c r="N47" s="698"/>
      <c r="O47" s="698"/>
      <c r="P47" s="698"/>
      <c r="Q47" s="698"/>
      <c r="R47" s="698"/>
      <c r="S47" s="698"/>
      <c r="T47" s="691"/>
      <c r="U47" s="691"/>
    </row>
    <row r="48" spans="1:21" s="684" customFormat="1" ht="17.100000000000001" customHeight="1">
      <c r="E48" s="694"/>
      <c r="F48" s="694"/>
      <c r="K48" s="698"/>
      <c r="L48" s="698"/>
      <c r="M48" s="698"/>
      <c r="N48" s="698"/>
      <c r="O48" s="698"/>
      <c r="P48" s="698"/>
      <c r="Q48" s="698"/>
      <c r="R48" s="698"/>
      <c r="S48" s="698"/>
      <c r="T48" s="691"/>
      <c r="U48" s="691"/>
    </row>
    <row r="49" spans="1:21" s="684" customFormat="1" ht="17.100000000000001" customHeight="1">
      <c r="A49" s="788" t="s">
        <v>391</v>
      </c>
      <c r="B49" s="788"/>
      <c r="C49" s="788" t="s">
        <v>392</v>
      </c>
      <c r="D49" s="788"/>
      <c r="E49" s="789"/>
      <c r="F49" s="828"/>
      <c r="G49" s="788" t="s">
        <v>393</v>
      </c>
      <c r="H49" s="788"/>
      <c r="I49" s="788" t="s">
        <v>394</v>
      </c>
      <c r="J49" s="788" t="s">
        <v>423</v>
      </c>
      <c r="K49" s="698"/>
      <c r="L49" s="698"/>
      <c r="M49" s="698"/>
      <c r="N49" s="698"/>
      <c r="O49" s="698"/>
      <c r="P49" s="698"/>
      <c r="Q49" s="698"/>
      <c r="R49" s="698"/>
      <c r="S49" s="698"/>
      <c r="T49" s="691"/>
      <c r="U49" s="691"/>
    </row>
    <row r="50" spans="1:21" s="684" customFormat="1" ht="17.100000000000001" customHeight="1">
      <c r="A50" s="835" t="str">
        <f>Dados!E11</f>
        <v>RC 2754</v>
      </c>
      <c r="B50" s="835"/>
      <c r="C50" s="835" t="s">
        <v>342</v>
      </c>
      <c r="D50" s="836"/>
      <c r="E50" s="835"/>
      <c r="F50" s="828"/>
      <c r="G50" s="835" t="str">
        <f>IF(VLOOKUP(Dados!E11,Padroes!O4:AT100,3,FALSE)="",TEXT(VLOOKUP(Dados!E11,Padroes!O4:AT100,4,FALSE),"0000")&amp;"/"&amp;TEXT(VLOOKUP(Dados!E11,Padroes!O4:AT100,5,FALSE),"00"),VLOOKUP(Dados!E11,Padroes!O4:AT100,3,FALSE))</f>
        <v>0006/23</v>
      </c>
      <c r="H50" s="837"/>
      <c r="I50" s="835" t="str">
        <f>VLOOKUP(Dados!$E$11,Padroes!$O$4:$AT$100,6,FALSE)</f>
        <v>CERTI</v>
      </c>
      <c r="J50" s="835" t="str">
        <f>TEXT(VLOOKUP(Dados!$E$11,Padroes!$O$4:$AT$100,9,FALSE),"mmm/AAAA")</f>
        <v>jan/2026</v>
      </c>
      <c r="K50" s="698"/>
      <c r="L50" s="698"/>
      <c r="M50" s="698"/>
      <c r="N50" s="698"/>
      <c r="O50" s="698"/>
      <c r="P50" s="698"/>
      <c r="Q50" s="698"/>
      <c r="R50" s="698"/>
      <c r="S50" s="698"/>
      <c r="T50" s="691"/>
      <c r="U50" s="691"/>
    </row>
    <row r="51" spans="1:21" s="684" customFormat="1" ht="17.100000000000001" customHeight="1">
      <c r="A51" s="735"/>
      <c r="B51" s="735"/>
      <c r="C51" s="735"/>
      <c r="D51" s="783"/>
      <c r="E51" s="688"/>
      <c r="G51" s="777"/>
      <c r="H51" s="777"/>
      <c r="I51" s="698"/>
      <c r="J51" s="698"/>
      <c r="K51" s="698"/>
      <c r="L51" s="698"/>
      <c r="M51" s="698"/>
      <c r="N51" s="698"/>
      <c r="O51" s="698"/>
      <c r="P51" s="698"/>
      <c r="Q51" s="698"/>
      <c r="R51" s="698"/>
      <c r="S51" s="698"/>
      <c r="T51" s="691"/>
      <c r="U51" s="691"/>
    </row>
    <row r="52" spans="1:21" s="684" customFormat="1" ht="17.100000000000001" customHeight="1">
      <c r="A52" s="790" t="s">
        <v>395</v>
      </c>
      <c r="B52" s="735"/>
      <c r="C52" s="735"/>
      <c r="D52" s="783"/>
      <c r="E52" s="688"/>
      <c r="G52" s="777"/>
      <c r="H52" s="777"/>
      <c r="I52" s="698"/>
      <c r="J52" s="698"/>
      <c r="K52" s="698"/>
      <c r="L52" s="698"/>
      <c r="M52" s="698"/>
      <c r="N52" s="698"/>
      <c r="O52" s="698"/>
      <c r="P52" s="698"/>
      <c r="Q52" s="698"/>
      <c r="R52" s="698"/>
      <c r="S52" s="698"/>
      <c r="T52" s="691"/>
      <c r="U52" s="691"/>
    </row>
    <row r="53" spans="1:21" s="684" customFormat="1" ht="17.100000000000001" customHeight="1">
      <c r="A53" s="915" t="str">
        <f>"A Calibração foi realizada de acordo com o procedimento interno de calibração: "  &amp;   Geral!J13</f>
        <v>A Calibração foi realizada de acordo com o procedimento interno de calibração: CMI-LMD-PC-245</v>
      </c>
      <c r="B53" s="915"/>
      <c r="C53" s="915"/>
      <c r="D53" s="915"/>
      <c r="E53" s="915"/>
      <c r="F53" s="915"/>
      <c r="G53" s="915"/>
      <c r="H53" s="915"/>
      <c r="I53" s="915"/>
      <c r="J53" s="915"/>
      <c r="K53" s="698"/>
      <c r="L53" s="698"/>
      <c r="M53" s="698"/>
      <c r="N53" s="698"/>
      <c r="O53" s="698"/>
      <c r="P53" s="698"/>
      <c r="Q53" s="698"/>
      <c r="R53" s="698"/>
      <c r="S53" s="698"/>
      <c r="T53" s="691"/>
      <c r="U53" s="691"/>
    </row>
    <row r="54" spans="1:21" s="684" customFormat="1" ht="17.100000000000001" customHeight="1">
      <c r="A54" s="915" t="s">
        <v>396</v>
      </c>
      <c r="B54" s="915"/>
      <c r="C54" s="915"/>
      <c r="D54" s="915"/>
      <c r="E54" s="915"/>
      <c r="F54" s="915"/>
      <c r="G54" s="915"/>
      <c r="H54" s="915"/>
      <c r="I54" s="915"/>
      <c r="J54" s="915"/>
      <c r="K54" s="698"/>
      <c r="L54" s="698"/>
      <c r="M54" s="698"/>
      <c r="N54" s="698"/>
      <c r="O54" s="698"/>
      <c r="P54" s="698"/>
      <c r="Q54" s="698"/>
      <c r="R54" s="698"/>
      <c r="S54" s="698"/>
      <c r="T54" s="691"/>
      <c r="U54" s="691"/>
    </row>
    <row r="55" spans="1:21" s="684" customFormat="1" ht="17.100000000000001" customHeight="1">
      <c r="A55" s="915"/>
      <c r="B55" s="915"/>
      <c r="C55" s="915"/>
      <c r="D55" s="915"/>
      <c r="E55" s="915"/>
      <c r="F55" s="915"/>
      <c r="G55" s="915"/>
      <c r="H55" s="915"/>
      <c r="I55" s="915"/>
      <c r="J55" s="915"/>
      <c r="K55" s="698"/>
      <c r="L55" s="698"/>
      <c r="M55" s="698"/>
      <c r="N55" s="698"/>
      <c r="O55" s="698"/>
      <c r="P55" s="698"/>
      <c r="Q55" s="698"/>
      <c r="R55" s="698"/>
      <c r="S55" s="698"/>
      <c r="T55" s="691"/>
      <c r="U55" s="691"/>
    </row>
    <row r="56" spans="1:21" s="684" customFormat="1" ht="17.100000000000001" customHeight="1">
      <c r="A56" s="915" t="str">
        <f>"As medições foram executadas utilizando-se um apalpador de "&amp;Dados!D14&amp;" µm, uma velocidade de medição de "&amp;Dados!D13&amp;" mm/s  e com uma força de medição de "&amp;Dados!G15&amp;" mN."</f>
        <v>As medições foram executadas utilizando-se um apalpador de 2 µm, uma velocidade de medição de 0,5 mm/s  e com uma força de medição de 1,5 mN.</v>
      </c>
      <c r="B56" s="915"/>
      <c r="C56" s="915"/>
      <c r="D56" s="915"/>
      <c r="E56" s="915"/>
      <c r="F56" s="915"/>
      <c r="G56" s="915"/>
      <c r="H56" s="915"/>
      <c r="I56" s="915"/>
      <c r="J56" s="915"/>
      <c r="K56" s="698"/>
      <c r="L56" s="698"/>
      <c r="M56" s="698"/>
      <c r="N56" s="698"/>
      <c r="O56" s="698"/>
      <c r="P56" s="698"/>
      <c r="Q56" s="698"/>
      <c r="R56" s="698"/>
      <c r="S56" s="698"/>
      <c r="T56" s="691"/>
      <c r="U56" s="691"/>
    </row>
    <row r="57" spans="1:21" s="684" customFormat="1" ht="17.100000000000001" customHeight="1">
      <c r="A57" s="915"/>
      <c r="B57" s="915"/>
      <c r="C57" s="915"/>
      <c r="D57" s="915"/>
      <c r="E57" s="915"/>
      <c r="F57" s="915"/>
      <c r="G57" s="915"/>
      <c r="H57" s="915"/>
      <c r="I57" s="915"/>
      <c r="J57" s="915"/>
      <c r="K57" s="698"/>
      <c r="L57" s="698"/>
      <c r="M57" s="698"/>
      <c r="N57" s="698"/>
      <c r="O57" s="698"/>
      <c r="P57" s="698"/>
      <c r="Q57" s="698"/>
      <c r="R57" s="698"/>
      <c r="S57" s="698"/>
      <c r="T57" s="691"/>
      <c r="U57" s="691"/>
    </row>
    <row r="58" spans="1:21" s="684" customFormat="1" ht="17.100000000000001" customHeight="1">
      <c r="A58" s="915" t="s">
        <v>397</v>
      </c>
      <c r="B58" s="915"/>
      <c r="C58" s="915"/>
      <c r="D58" s="915"/>
      <c r="E58" s="915"/>
      <c r="F58" s="915"/>
      <c r="G58" s="915"/>
      <c r="H58" s="915"/>
      <c r="I58" s="915"/>
      <c r="J58" s="915"/>
      <c r="K58" s="698"/>
      <c r="L58" s="698"/>
      <c r="M58" s="698"/>
      <c r="N58" s="698"/>
      <c r="O58" s="698"/>
      <c r="P58" s="698"/>
      <c r="Q58" s="698"/>
      <c r="R58" s="698"/>
      <c r="S58" s="698"/>
      <c r="T58" s="691"/>
      <c r="U58" s="691"/>
    </row>
    <row r="59" spans="1:21" s="684" customFormat="1" ht="17.100000000000001" customHeight="1">
      <c r="A59" s="791"/>
      <c r="B59" s="791"/>
      <c r="C59" s="791"/>
      <c r="D59" s="791"/>
      <c r="E59" s="791"/>
      <c r="F59" s="791"/>
      <c r="G59" s="791"/>
      <c r="H59" s="791"/>
      <c r="I59" s="791"/>
      <c r="J59" s="791"/>
      <c r="K59" s="698"/>
      <c r="L59" s="698"/>
      <c r="M59" s="698"/>
      <c r="N59" s="698"/>
      <c r="O59" s="698"/>
      <c r="P59" s="698"/>
      <c r="Q59" s="698"/>
      <c r="R59" s="698"/>
      <c r="S59" s="698"/>
      <c r="T59" s="691"/>
      <c r="U59" s="691"/>
    </row>
    <row r="60" spans="1:21" s="684" customFormat="1" ht="17.100000000000001" customHeight="1">
      <c r="A60" s="735"/>
      <c r="B60" s="735"/>
      <c r="C60" s="735"/>
      <c r="D60" s="783"/>
      <c r="E60" s="688"/>
      <c r="F60" s="688"/>
      <c r="G60" s="777"/>
      <c r="H60" s="777"/>
      <c r="I60" s="698"/>
      <c r="J60" s="698"/>
      <c r="K60" s="698"/>
      <c r="L60" s="698"/>
      <c r="M60" s="698"/>
      <c r="N60" s="698"/>
      <c r="O60" s="698"/>
      <c r="P60" s="698"/>
      <c r="Q60" s="698"/>
      <c r="R60" s="698"/>
      <c r="S60" s="698"/>
      <c r="T60" s="691"/>
      <c r="U60" s="691"/>
    </row>
    <row r="61" spans="1:21" s="684" customFormat="1" ht="17.100000000000001" customHeight="1">
      <c r="A61" s="735"/>
      <c r="B61" s="735"/>
      <c r="C61" s="735"/>
      <c r="D61" s="783"/>
      <c r="E61" s="688"/>
      <c r="F61" s="688"/>
      <c r="G61" s="777"/>
      <c r="H61" s="777"/>
      <c r="I61" s="698"/>
      <c r="J61" s="698"/>
      <c r="K61" s="698"/>
      <c r="L61" s="698"/>
      <c r="M61" s="698"/>
      <c r="N61" s="698"/>
      <c r="O61" s="698"/>
      <c r="P61" s="698"/>
      <c r="Q61" s="698"/>
      <c r="R61" s="698"/>
      <c r="S61" s="698"/>
      <c r="T61" s="691"/>
      <c r="U61" s="691"/>
    </row>
    <row r="62" spans="1:21" s="684" customFormat="1" ht="17.100000000000001" customHeight="1">
      <c r="A62" s="735"/>
      <c r="B62" s="735"/>
      <c r="C62" s="735"/>
      <c r="D62" s="783"/>
      <c r="E62" s="688"/>
      <c r="F62" s="688"/>
      <c r="G62" s="777"/>
      <c r="H62" s="777"/>
      <c r="I62" s="698"/>
      <c r="J62" s="698"/>
      <c r="K62" s="698"/>
      <c r="L62" s="698"/>
      <c r="M62" s="698"/>
      <c r="N62" s="698"/>
      <c r="O62" s="698"/>
      <c r="P62" s="698"/>
      <c r="Q62" s="698"/>
      <c r="R62" s="698"/>
      <c r="S62" s="698"/>
      <c r="T62" s="691"/>
      <c r="U62" s="691"/>
    </row>
    <row r="63" spans="1:21" s="684" customFormat="1" ht="17.100000000000001" customHeight="1">
      <c r="A63" s="735"/>
      <c r="B63" s="735"/>
      <c r="C63" s="735"/>
      <c r="D63" s="783"/>
      <c r="E63" s="688"/>
      <c r="F63" s="688"/>
      <c r="G63" s="777"/>
      <c r="H63" s="777"/>
      <c r="I63" s="698"/>
      <c r="J63" s="698"/>
      <c r="K63" s="698"/>
      <c r="L63" s="698"/>
      <c r="M63" s="698"/>
      <c r="N63" s="698"/>
      <c r="O63" s="698"/>
      <c r="P63" s="698"/>
      <c r="Q63" s="698"/>
      <c r="R63" s="698"/>
      <c r="S63" s="698"/>
      <c r="T63" s="691"/>
      <c r="U63" s="691"/>
    </row>
    <row r="64" spans="1:21" s="684" customFormat="1" ht="17.100000000000001" customHeight="1">
      <c r="A64" s="735"/>
      <c r="B64" s="735"/>
      <c r="C64" s="735"/>
      <c r="D64" s="783"/>
      <c r="E64" s="688"/>
      <c r="F64" s="688"/>
      <c r="G64" s="777"/>
      <c r="H64" s="777"/>
      <c r="I64" s="698"/>
      <c r="J64" s="698"/>
      <c r="K64" s="698"/>
      <c r="L64" s="698"/>
      <c r="M64" s="698"/>
      <c r="N64" s="698"/>
      <c r="O64" s="698"/>
      <c r="P64" s="698"/>
      <c r="Q64" s="698"/>
      <c r="R64" s="698"/>
      <c r="S64" s="698"/>
      <c r="T64" s="691"/>
      <c r="U64" s="691"/>
    </row>
    <row r="65" spans="1:21" s="684" customFormat="1" ht="17.100000000000001" customHeight="1">
      <c r="A65" s="688" t="str">
        <f>CONCATENATE("x: ",Dados!C60,";"," y: ",Dados!C61,";"," Lx: ",Dados!C58," mm",";"," Ly: ",Dados!C59," mm.")</f>
        <v>x: 1,5 mm; y: 1,7 mm; Lx: 24 mm; Ly: 22 mm.</v>
      </c>
      <c r="B65" s="735"/>
      <c r="C65" s="735"/>
      <c r="D65" s="783"/>
      <c r="E65" s="688"/>
      <c r="F65" s="688"/>
      <c r="G65" s="777"/>
      <c r="H65" s="777"/>
      <c r="I65" s="698"/>
      <c r="J65" s="698"/>
      <c r="K65" s="698"/>
      <c r="L65" s="698"/>
      <c r="M65" s="698"/>
      <c r="N65" s="698"/>
      <c r="O65" s="698"/>
      <c r="P65" s="698"/>
      <c r="Q65" s="698"/>
      <c r="R65" s="698"/>
      <c r="S65" s="698"/>
      <c r="T65" s="691"/>
      <c r="U65" s="691"/>
    </row>
    <row r="66" spans="1:21" s="684" customFormat="1" ht="17.100000000000001" customHeight="1">
      <c r="A66" s="922" t="str">
        <f>"A influência do sistema de medição bem como do ambiente ao redor da mesma foram determinadas utilizando-se um plano óptico de excelente qualidade e usando os mesmos parâmetros que foram aplicados ao padrão de rugosidade. Assim o Rz é de "&amp;FIXED(ROUND(Dados!G29,3),3)&amp;" µm."</f>
        <v>A influência do sistema de medição bem como do ambiente ao redor da mesma foram determinadas utilizando-se um plano óptico de excelente qualidade e usando os mesmos parâmetros que foram aplicados ao padrão de rugosidade. Assim o Rz é de 0,057 µm.</v>
      </c>
      <c r="B66" s="922"/>
      <c r="C66" s="922"/>
      <c r="D66" s="922"/>
      <c r="E66" s="922"/>
      <c r="F66" s="922"/>
      <c r="G66" s="922"/>
      <c r="H66" s="922"/>
      <c r="I66" s="922"/>
      <c r="J66" s="922"/>
      <c r="K66" s="698"/>
      <c r="L66" s="698"/>
      <c r="M66" s="698"/>
      <c r="N66" s="698"/>
      <c r="O66" s="698"/>
      <c r="P66" s="698"/>
      <c r="Q66" s="698"/>
      <c r="R66" s="698"/>
      <c r="S66" s="698"/>
      <c r="T66" s="691"/>
      <c r="U66" s="691"/>
    </row>
    <row r="67" spans="1:21" s="684" customFormat="1" ht="17.100000000000001" customHeight="1">
      <c r="A67" s="922"/>
      <c r="B67" s="922"/>
      <c r="C67" s="922"/>
      <c r="D67" s="922"/>
      <c r="E67" s="922"/>
      <c r="F67" s="922"/>
      <c r="G67" s="922"/>
      <c r="H67" s="922"/>
      <c r="I67" s="922"/>
      <c r="J67" s="922"/>
      <c r="K67" s="698"/>
      <c r="L67" s="698"/>
      <c r="M67" s="698"/>
      <c r="N67" s="698"/>
      <c r="O67" s="698"/>
      <c r="P67" s="698"/>
      <c r="Q67" s="698"/>
      <c r="R67" s="698"/>
      <c r="S67" s="698"/>
      <c r="T67" s="691"/>
      <c r="U67" s="691"/>
    </row>
    <row r="68" spans="1:21" s="684" customFormat="1" ht="17.100000000000001" customHeight="1">
      <c r="A68" s="922"/>
      <c r="B68" s="922"/>
      <c r="C68" s="922"/>
      <c r="D68" s="922"/>
      <c r="E68" s="922"/>
      <c r="F68" s="922"/>
      <c r="G68" s="922"/>
      <c r="H68" s="922"/>
      <c r="I68" s="922"/>
      <c r="J68" s="922"/>
      <c r="K68" s="698"/>
      <c r="L68" s="698"/>
      <c r="M68" s="698"/>
      <c r="N68" s="698"/>
      <c r="O68" s="698"/>
      <c r="P68" s="698"/>
      <c r="Q68" s="698"/>
      <c r="R68" s="698"/>
      <c r="S68" s="698"/>
      <c r="T68" s="691"/>
      <c r="U68" s="691"/>
    </row>
    <row r="69" spans="1:21" s="684" customFormat="1" ht="17.100000000000001" customHeight="1">
      <c r="K69" s="698"/>
      <c r="L69" s="698"/>
      <c r="M69" s="698"/>
      <c r="N69" s="698"/>
      <c r="O69" s="698"/>
      <c r="P69" s="698"/>
      <c r="Q69" s="698"/>
      <c r="R69" s="698"/>
      <c r="S69" s="698"/>
      <c r="T69" s="691"/>
      <c r="U69" s="691"/>
    </row>
    <row r="70" spans="1:21" s="684" customFormat="1" ht="17.100000000000001" customHeight="1">
      <c r="K70" s="698"/>
      <c r="L70" s="698"/>
      <c r="M70" s="698"/>
      <c r="N70" s="698"/>
      <c r="O70" s="698"/>
      <c r="P70" s="698"/>
      <c r="Q70" s="698"/>
      <c r="R70" s="698"/>
      <c r="S70" s="698"/>
      <c r="T70" s="691"/>
      <c r="U70" s="691"/>
    </row>
    <row r="71" spans="1:21" s="684" customFormat="1" ht="17.100000000000001" customHeight="1">
      <c r="K71" s="698"/>
      <c r="L71" s="698"/>
      <c r="M71" s="698"/>
      <c r="N71" s="698"/>
      <c r="O71" s="698"/>
      <c r="P71" s="698"/>
      <c r="Q71" s="698"/>
      <c r="R71" s="698"/>
      <c r="S71" s="698"/>
      <c r="T71" s="691"/>
      <c r="U71" s="691"/>
    </row>
    <row r="72" spans="1:21" s="684" customFormat="1" ht="17.100000000000001" customHeight="1">
      <c r="B72" s="698"/>
      <c r="C72" s="698"/>
      <c r="D72" s="698"/>
      <c r="E72" s="699"/>
      <c r="F72" s="700"/>
      <c r="G72" s="700"/>
      <c r="H72" s="700"/>
      <c r="I72" s="698"/>
      <c r="J72" s="698"/>
      <c r="K72" s="698"/>
      <c r="L72" s="698"/>
      <c r="M72" s="698"/>
      <c r="N72" s="698"/>
      <c r="O72" s="698"/>
      <c r="P72" s="698"/>
      <c r="Q72" s="698"/>
      <c r="R72" s="698"/>
      <c r="S72" s="698"/>
      <c r="T72" s="691"/>
      <c r="U72" s="691"/>
    </row>
    <row r="73" spans="1:21" s="684" customFormat="1" ht="17.100000000000001" customHeight="1">
      <c r="A73" s="698"/>
      <c r="B73" s="698"/>
      <c r="C73" s="698"/>
      <c r="D73" s="698"/>
      <c r="F73" s="701"/>
      <c r="G73" s="701"/>
      <c r="H73" s="701"/>
      <c r="I73" s="702"/>
      <c r="J73" s="702"/>
      <c r="K73" s="702"/>
      <c r="L73" s="702"/>
      <c r="M73" s="702"/>
      <c r="N73" s="702"/>
      <c r="O73" s="702"/>
      <c r="P73" s="702"/>
      <c r="Q73" s="702"/>
      <c r="R73" s="702"/>
      <c r="S73" s="702"/>
      <c r="T73" s="691"/>
      <c r="U73" s="691"/>
    </row>
    <row r="74" spans="1:21" s="684" customFormat="1" ht="17.100000000000001" customHeight="1">
      <c r="A74" s="698"/>
      <c r="B74" s="698"/>
      <c r="C74" s="698"/>
      <c r="D74" s="698"/>
      <c r="E74" s="701"/>
      <c r="F74" s="701"/>
      <c r="G74" s="701"/>
      <c r="H74" s="701"/>
      <c r="K74" s="700"/>
      <c r="L74" s="700"/>
      <c r="M74" s="700"/>
      <c r="N74" s="700"/>
      <c r="O74" s="700"/>
      <c r="P74" s="700"/>
      <c r="Q74" s="700"/>
      <c r="R74" s="700"/>
      <c r="S74" s="700"/>
      <c r="T74" s="691"/>
      <c r="U74" s="691"/>
    </row>
    <row r="75" spans="1:21" s="684" customFormat="1" ht="17.100000000000001" customHeight="1">
      <c r="A75" s="786" t="s">
        <v>398</v>
      </c>
      <c r="I75" s="691"/>
      <c r="J75" s="691"/>
      <c r="K75" s="691"/>
      <c r="L75" s="691"/>
      <c r="M75" s="691"/>
      <c r="N75" s="691"/>
      <c r="O75" s="691"/>
      <c r="P75" s="691"/>
      <c r="Q75" s="691"/>
      <c r="R75" s="691"/>
      <c r="S75" s="691"/>
      <c r="T75" s="691"/>
      <c r="U75" s="691"/>
    </row>
    <row r="76" spans="1:21" s="684" customFormat="1" ht="17.100000000000001" customHeight="1">
      <c r="A76" s="786"/>
      <c r="I76" s="691"/>
      <c r="J76" s="691"/>
      <c r="K76" s="691"/>
      <c r="L76" s="691"/>
      <c r="M76" s="691"/>
      <c r="N76" s="691"/>
      <c r="O76" s="691"/>
      <c r="P76" s="691"/>
      <c r="Q76" s="691"/>
      <c r="R76" s="691"/>
      <c r="S76" s="691"/>
      <c r="T76" s="691"/>
      <c r="U76" s="691"/>
    </row>
    <row r="77" spans="1:21" s="684" customFormat="1" ht="17.100000000000001" hidden="1" customHeight="1">
      <c r="A77" s="690" t="s">
        <v>326</v>
      </c>
      <c r="B77" s="707"/>
      <c r="C77" s="707"/>
      <c r="D77" s="707"/>
      <c r="E77" s="706"/>
      <c r="F77" s="698"/>
      <c r="G77" s="698"/>
      <c r="H77" s="698"/>
      <c r="I77" s="691"/>
      <c r="J77" s="691"/>
      <c r="K77" s="691"/>
      <c r="L77" s="800" t="str">
        <f>IF(Dados2!$C$67=0,"Ocultar","Não ocultar")</f>
        <v>Ocultar</v>
      </c>
      <c r="M77" s="691"/>
      <c r="N77" s="691"/>
      <c r="O77" s="691"/>
      <c r="P77" s="691"/>
      <c r="Q77" s="691"/>
      <c r="R77" s="691"/>
      <c r="S77" s="691"/>
      <c r="T77" s="691"/>
      <c r="U77" s="691"/>
    </row>
    <row r="78" spans="1:21" s="684" customFormat="1" ht="17.100000000000001" customHeight="1">
      <c r="A78" s="684" t="str">
        <f>"Cut-off: "&amp;Dados!G60&amp; " mm"</f>
        <v>Cut-off: 0,25 mm</v>
      </c>
      <c r="B78" s="707"/>
      <c r="C78" s="707"/>
      <c r="D78" s="707"/>
      <c r="E78" s="692"/>
      <c r="F78" s="698"/>
      <c r="G78" s="698"/>
      <c r="H78" s="698"/>
      <c r="I78" s="691"/>
      <c r="J78" s="691"/>
      <c r="K78" s="691"/>
      <c r="L78" s="800" t="str">
        <f>IF(Dados!$C$67=0,"Ocultar","Não ocultar")</f>
        <v>Não ocultar</v>
      </c>
      <c r="M78" s="691"/>
      <c r="N78" s="691"/>
      <c r="O78" s="691"/>
      <c r="P78" s="691"/>
      <c r="Q78" s="691"/>
      <c r="R78" s="691"/>
      <c r="S78" s="691"/>
      <c r="T78" s="691"/>
      <c r="U78" s="691"/>
    </row>
    <row r="79" spans="1:21" s="684" customFormat="1" ht="17.100000000000001" customHeight="1" thickBot="1">
      <c r="A79" s="684" t="str">
        <f>"Comprimento avaliado: "&amp;Dados!G62&amp; " mm"</f>
        <v>Comprimento avaliado: 1,25 mm</v>
      </c>
      <c r="B79" s="792"/>
      <c r="C79" s="792"/>
      <c r="D79" s="792"/>
      <c r="E79" s="711"/>
      <c r="F79" s="711"/>
      <c r="G79" s="711"/>
      <c r="H79" s="711"/>
      <c r="I79" s="793"/>
      <c r="J79" s="793"/>
      <c r="K79" s="691"/>
      <c r="L79" s="800" t="str">
        <f>IF(Dados!$C$67=0,"Ocultar","Não ocultar")</f>
        <v>Não ocultar</v>
      </c>
      <c r="M79" s="691"/>
      <c r="N79" s="691"/>
      <c r="O79" s="691"/>
      <c r="P79" s="691"/>
      <c r="Q79" s="691"/>
      <c r="R79" s="691"/>
      <c r="S79" s="703" t="s">
        <v>144</v>
      </c>
      <c r="T79" s="691"/>
      <c r="U79" s="691"/>
    </row>
    <row r="80" spans="1:21" s="684" customFormat="1" ht="17.100000000000001" customHeight="1">
      <c r="A80" s="909" t="s">
        <v>159</v>
      </c>
      <c r="B80" s="909"/>
      <c r="C80" s="909" t="s">
        <v>306</v>
      </c>
      <c r="D80" s="909"/>
      <c r="E80" s="910" t="s">
        <v>264</v>
      </c>
      <c r="F80" s="910"/>
      <c r="G80" s="898" t="s">
        <v>160</v>
      </c>
      <c r="H80" s="898"/>
      <c r="I80" s="911" t="s">
        <v>399</v>
      </c>
      <c r="J80" s="911"/>
      <c r="K80" s="691"/>
      <c r="L80" s="800" t="str">
        <f>IF(Dados!$C$67=0,"Ocultar","Não ocultar")</f>
        <v>Não ocultar</v>
      </c>
      <c r="M80" s="691"/>
      <c r="N80" s="691"/>
      <c r="O80" s="691"/>
      <c r="P80" s="691"/>
      <c r="Q80" s="691"/>
      <c r="R80" s="691"/>
      <c r="S80" s="704" t="s">
        <v>157</v>
      </c>
      <c r="T80" s="691"/>
      <c r="U80" s="691"/>
    </row>
    <row r="81" spans="1:23" s="684" customFormat="1" ht="17.100000000000001" customHeight="1">
      <c r="A81" s="912"/>
      <c r="B81" s="912"/>
      <c r="C81" s="900" t="s">
        <v>161</v>
      </c>
      <c r="D81" s="900"/>
      <c r="E81" s="900" t="str">
        <f>"[%]"</f>
        <v>[%]</v>
      </c>
      <c r="F81" s="900"/>
      <c r="G81" s="900"/>
      <c r="H81" s="900"/>
      <c r="I81" s="913"/>
      <c r="J81" s="913"/>
      <c r="K81" s="691"/>
      <c r="L81" s="800" t="str">
        <f>IF(Dados!$C$67=0,"Ocultar","Não ocultar")</f>
        <v>Não ocultar</v>
      </c>
      <c r="M81" s="691"/>
      <c r="N81" s="691"/>
      <c r="O81" s="691"/>
      <c r="P81" s="691"/>
      <c r="Q81" s="691"/>
      <c r="R81" s="691"/>
      <c r="S81" s="705" t="s">
        <v>311</v>
      </c>
      <c r="T81" s="691"/>
      <c r="U81" s="691"/>
      <c r="W81" s="690"/>
    </row>
    <row r="82" spans="1:23" s="684" customFormat="1" ht="17.100000000000001" customHeight="1">
      <c r="A82" s="895" t="s">
        <v>162</v>
      </c>
      <c r="B82" s="895"/>
      <c r="C82" s="896" t="str">
        <f>FIXED(Dados!B86,Dados!Q29)</f>
        <v>2,928</v>
      </c>
      <c r="D82" s="896"/>
      <c r="E82" s="908">
        <f>Dados!Q27</f>
        <v>3</v>
      </c>
      <c r="F82" s="908"/>
      <c r="G82" s="923">
        <f>ROUND(Dados!O25,2)</f>
        <v>2</v>
      </c>
      <c r="H82" s="923"/>
      <c r="I82" s="908" t="str">
        <f>IF(ROUND(G82,3)&lt;=2.009,"Infinito",ROUND(Dados!R24,0))</f>
        <v>Infinito</v>
      </c>
      <c r="J82" s="908"/>
      <c r="K82" s="691"/>
      <c r="L82" s="800" t="str">
        <f>IF(Dados!$C$67=0,"Ocultar","Não ocultar")</f>
        <v>Não ocultar</v>
      </c>
      <c r="M82" s="691"/>
      <c r="N82" s="691"/>
      <c r="O82" s="691"/>
      <c r="P82" s="691"/>
      <c r="Q82" s="691"/>
      <c r="R82" s="691"/>
      <c r="S82" s="702" t="str">
        <f>"- Umidade Relativa do Ar: "&amp;Geral!L9</f>
        <v>- Umidade Relativa do Ar: (50 ± 10) %ur</v>
      </c>
      <c r="T82" s="691"/>
      <c r="U82" s="691"/>
      <c r="W82" s="691"/>
    </row>
    <row r="83" spans="1:23" s="684" customFormat="1" ht="17.100000000000001" customHeight="1">
      <c r="A83" s="891" t="s">
        <v>163</v>
      </c>
      <c r="B83" s="891"/>
      <c r="C83" s="892" t="str">
        <f>FIXED(Dados!B87,Dados!Q44)</f>
        <v>9,29</v>
      </c>
      <c r="D83" s="892"/>
      <c r="E83" s="901">
        <f>Dados!Q42</f>
        <v>3</v>
      </c>
      <c r="F83" s="901"/>
      <c r="G83" s="898">
        <f>Dados!O40</f>
        <v>2</v>
      </c>
      <c r="H83" s="898"/>
      <c r="I83" s="908" t="str">
        <f>IF(ROUND(G83,3)&lt;=2.009,"Infinito",ROUND(Dados!R39,0))</f>
        <v>Infinito</v>
      </c>
      <c r="J83" s="908"/>
      <c r="K83" s="691"/>
      <c r="L83" s="800" t="str">
        <f>IF(Dados!$C$67=0,"Ocultar","Não ocultar")</f>
        <v>Não ocultar</v>
      </c>
      <c r="M83" s="691"/>
      <c r="N83" s="691"/>
      <c r="O83" s="691"/>
      <c r="P83" s="691"/>
      <c r="Q83" s="691"/>
      <c r="R83" s="691"/>
      <c r="S83" s="691"/>
      <c r="T83" s="691"/>
      <c r="U83" s="691"/>
      <c r="W83" s="690"/>
    </row>
    <row r="84" spans="1:23" s="684" customFormat="1" ht="17.100000000000001" customHeight="1">
      <c r="A84" s="891" t="s">
        <v>164</v>
      </c>
      <c r="B84" s="891"/>
      <c r="C84" s="892" t="str">
        <f>FIXED(Dados!B88,Dados!Q61)</f>
        <v>9,37</v>
      </c>
      <c r="D84" s="892"/>
      <c r="E84" s="901">
        <f>Dados!Q59</f>
        <v>3</v>
      </c>
      <c r="F84" s="901"/>
      <c r="G84" s="898">
        <f>Dados!O57</f>
        <v>2</v>
      </c>
      <c r="H84" s="898"/>
      <c r="I84" s="901" t="str">
        <f>IF(ROUND(G84,3)&lt;=2.009,"Infinito",ROUND(Dados!R56,0))</f>
        <v>Infinito</v>
      </c>
      <c r="J84" s="901"/>
      <c r="K84" s="691"/>
      <c r="L84" s="800" t="str">
        <f>IF(Dados!$C$67=0,"Ocultar","Não ocultar")</f>
        <v>Não ocultar</v>
      </c>
      <c r="M84" s="691"/>
      <c r="N84" s="691"/>
      <c r="O84" s="691"/>
      <c r="P84" s="691"/>
      <c r="Q84" s="691"/>
      <c r="R84" s="691"/>
      <c r="S84" s="691"/>
      <c r="T84" s="691"/>
      <c r="U84" s="691"/>
    </row>
    <row r="85" spans="1:23" s="684" customFormat="1" ht="17.100000000000001" customHeight="1" thickBot="1">
      <c r="A85" s="893" t="s">
        <v>300</v>
      </c>
      <c r="B85" s="893"/>
      <c r="C85" s="894" t="str">
        <f>FIXED(Dados!B89,Dados!Q74)</f>
        <v>98</v>
      </c>
      <c r="D85" s="894"/>
      <c r="E85" s="902" t="str">
        <f>FIXED(Dados!Q76,Dados!Q74)</f>
        <v>1</v>
      </c>
      <c r="F85" s="902"/>
      <c r="G85" s="903">
        <f>Dados!O73</f>
        <v>2.25</v>
      </c>
      <c r="H85" s="903"/>
      <c r="I85" s="902">
        <f>IF(ROUND(G85,3)=2,"Infinito",ROUND(Dados!R72,0))</f>
        <v>11</v>
      </c>
      <c r="J85" s="902"/>
      <c r="K85" s="691"/>
      <c r="L85" s="800" t="str">
        <f>IF(Dados!$F$67=0,"Ocultar","Não ocultar")</f>
        <v>Não ocultar</v>
      </c>
      <c r="M85" s="691"/>
      <c r="N85" s="691"/>
      <c r="O85" s="691"/>
      <c r="P85" s="691"/>
      <c r="Q85" s="691"/>
      <c r="R85" s="691"/>
      <c r="S85" s="691"/>
      <c r="T85" s="691"/>
      <c r="U85" s="691"/>
    </row>
    <row r="86" spans="1:23" s="684" customFormat="1" ht="17.100000000000001" customHeight="1" thickBot="1">
      <c r="A86" s="842"/>
      <c r="B86" s="795"/>
      <c r="C86" s="795"/>
      <c r="D86" s="795"/>
      <c r="E86" s="795"/>
      <c r="F86" s="795"/>
      <c r="G86" s="796"/>
      <c r="H86" s="796"/>
      <c r="I86" s="829"/>
      <c r="J86" s="829"/>
      <c r="K86" s="691"/>
      <c r="L86" s="800" t="str">
        <f>IF(Dados!$C$67=0,"Ocultar","Não ocultar")</f>
        <v>Não ocultar</v>
      </c>
      <c r="M86" s="691"/>
      <c r="N86" s="691"/>
      <c r="O86" s="691"/>
      <c r="P86" s="691"/>
      <c r="Q86" s="691"/>
      <c r="R86" s="691"/>
      <c r="S86" s="691"/>
      <c r="T86" s="691"/>
      <c r="U86" s="691"/>
    </row>
    <row r="87" spans="1:23" s="684" customFormat="1" ht="17.100000000000001" customHeight="1">
      <c r="A87" s="897" t="s">
        <v>159</v>
      </c>
      <c r="B87" s="897"/>
      <c r="C87" s="898" t="s">
        <v>165</v>
      </c>
      <c r="D87" s="898"/>
      <c r="E87" s="898" t="s">
        <v>166</v>
      </c>
      <c r="F87" s="898"/>
      <c r="G87" s="898" t="s">
        <v>167</v>
      </c>
      <c r="H87" s="898"/>
      <c r="J87" s="691"/>
      <c r="K87" s="702"/>
      <c r="L87" s="800" t="str">
        <f>IF(Dados!$C$67=0,"Ocultar","Não ocultar")</f>
        <v>Não ocultar</v>
      </c>
      <c r="M87" s="702"/>
      <c r="N87" s="702"/>
      <c r="O87" s="702"/>
      <c r="P87" s="702"/>
      <c r="Q87" s="702"/>
      <c r="R87" s="702"/>
      <c r="S87" s="702"/>
      <c r="T87" s="691"/>
      <c r="U87" s="691"/>
    </row>
    <row r="88" spans="1:23" s="684" customFormat="1" ht="17.100000000000001" customHeight="1">
      <c r="A88" s="899"/>
      <c r="B88" s="899"/>
      <c r="C88" s="900" t="s">
        <v>161</v>
      </c>
      <c r="D88" s="900"/>
      <c r="E88" s="900" t="s">
        <v>161</v>
      </c>
      <c r="F88" s="900"/>
      <c r="G88" s="900" t="s">
        <v>168</v>
      </c>
      <c r="H88" s="900"/>
      <c r="J88" s="691"/>
      <c r="K88" s="706"/>
      <c r="L88" s="800" t="str">
        <f>IF(Dados!$C$67=0,"Ocultar","Não ocultar")</f>
        <v>Não ocultar</v>
      </c>
      <c r="M88" s="706"/>
      <c r="N88" s="706"/>
      <c r="O88" s="706"/>
      <c r="P88" s="706"/>
      <c r="Q88" s="706"/>
      <c r="R88" s="706"/>
      <c r="S88" s="706"/>
      <c r="T88" s="691"/>
      <c r="U88" s="691"/>
    </row>
    <row r="89" spans="1:23" s="684" customFormat="1" ht="17.100000000000001" customHeight="1">
      <c r="A89" s="895" t="s">
        <v>162</v>
      </c>
      <c r="B89" s="895"/>
      <c r="C89" s="896" t="str">
        <f>FIXED(Dados!C81,Dados!Q29)</f>
        <v>2,945</v>
      </c>
      <c r="D89" s="896"/>
      <c r="E89" s="896" t="str">
        <f>FIXED(Dados!C83,Dados!Q29)</f>
        <v>2,907</v>
      </c>
      <c r="F89" s="896"/>
      <c r="G89" s="896" t="str">
        <f>FIXED(Dados!C79,Dados!Q29)</f>
        <v>0,012</v>
      </c>
      <c r="H89" s="896"/>
      <c r="J89" s="691"/>
      <c r="L89" s="800" t="str">
        <f>IF(Dados!$C$67=0,"Ocultar","Não ocultar")</f>
        <v>Não ocultar</v>
      </c>
      <c r="T89" s="691"/>
      <c r="U89" s="691"/>
    </row>
    <row r="90" spans="1:23" s="684" customFormat="1" ht="17.100000000000001" customHeight="1">
      <c r="A90" s="891" t="s">
        <v>163</v>
      </c>
      <c r="B90" s="891"/>
      <c r="C90" s="892" t="str">
        <f>FIXED(Dados!D81,Dados!Q44)</f>
        <v>9,44</v>
      </c>
      <c r="D90" s="892"/>
      <c r="E90" s="892" t="str">
        <f>FIXED(Dados!D83,Dados!Q44)</f>
        <v>9,15</v>
      </c>
      <c r="F90" s="892"/>
      <c r="G90" s="892" t="str">
        <f>FIXED(Dados!D79,Dados!Q44)</f>
        <v>0,08</v>
      </c>
      <c r="H90" s="892"/>
      <c r="J90" s="691"/>
      <c r="K90" s="702"/>
      <c r="L90" s="800" t="str">
        <f>IF(Dados!$C$67=0,"Ocultar","Não ocultar")</f>
        <v>Não ocultar</v>
      </c>
      <c r="M90" s="702"/>
      <c r="N90" s="702"/>
      <c r="O90" s="702"/>
      <c r="P90" s="702"/>
      <c r="Q90" s="702"/>
      <c r="R90" s="702"/>
      <c r="S90" s="702"/>
      <c r="T90" s="691"/>
      <c r="U90" s="691"/>
    </row>
    <row r="91" spans="1:23" s="684" customFormat="1" ht="17.100000000000001" customHeight="1">
      <c r="A91" s="891" t="s">
        <v>164</v>
      </c>
      <c r="B91" s="891"/>
      <c r="C91" s="892" t="str">
        <f>FIXED(Dados!E81,Dados!Q61)</f>
        <v>9,80</v>
      </c>
      <c r="D91" s="892"/>
      <c r="E91" s="892" t="str">
        <f>FIXED(Dados!E83,Dados!Q61)</f>
        <v>9,15</v>
      </c>
      <c r="F91" s="892"/>
      <c r="G91" s="892" t="str">
        <f>FIXED(Dados!E79,Dados!Q61)</f>
        <v>0,17</v>
      </c>
      <c r="H91" s="892"/>
      <c r="J91" s="691"/>
      <c r="K91" s="691"/>
      <c r="L91" s="800" t="str">
        <f>IF(Dados!$C$67=0,"Ocultar","Não ocultar")</f>
        <v>Não ocultar</v>
      </c>
      <c r="M91" s="691"/>
      <c r="N91" s="691"/>
      <c r="O91" s="691"/>
      <c r="P91" s="691"/>
      <c r="Q91" s="691"/>
      <c r="R91" s="691"/>
      <c r="S91" s="691"/>
      <c r="T91" s="691"/>
      <c r="U91" s="691"/>
    </row>
    <row r="92" spans="1:23" s="684" customFormat="1" ht="17.100000000000001" customHeight="1" thickBot="1">
      <c r="A92" s="893" t="s">
        <v>300</v>
      </c>
      <c r="B92" s="893"/>
      <c r="C92" s="894" t="str">
        <f>FIXED(Dados!F81,Dados!Q74)</f>
        <v>100</v>
      </c>
      <c r="D92" s="894"/>
      <c r="E92" s="894" t="str">
        <f>FIXED(Dados!F83,Dados!Q74)</f>
        <v>96</v>
      </c>
      <c r="F92" s="894"/>
      <c r="G92" s="894" t="str">
        <f>FIXED(Dados!F79,Dados!Q74)</f>
        <v>2</v>
      </c>
      <c r="H92" s="894"/>
      <c r="J92" s="691"/>
      <c r="K92" s="691"/>
      <c r="L92" s="800" t="str">
        <f>IF(Dados!$F$67=0,"Ocultar","Não ocultar")</f>
        <v>Não ocultar</v>
      </c>
      <c r="M92" s="691"/>
      <c r="N92" s="691"/>
      <c r="O92" s="691"/>
      <c r="P92" s="691"/>
      <c r="Q92" s="691"/>
      <c r="R92" s="691"/>
      <c r="T92" s="691"/>
      <c r="U92" s="691"/>
    </row>
    <row r="93" spans="1:23" s="684" customFormat="1" ht="17.100000000000001" customHeight="1">
      <c r="A93" s="926" t="str">
        <f>IF(Cola!K3=Cola!K16,"CUT-OFFS IGUAIS!","")</f>
        <v/>
      </c>
      <c r="B93" s="926"/>
      <c r="C93" s="926"/>
      <c r="D93" s="926"/>
      <c r="E93" s="926"/>
      <c r="F93" s="926"/>
      <c r="G93" s="926"/>
      <c r="H93" s="926"/>
      <c r="I93" s="926"/>
      <c r="J93" s="926"/>
      <c r="K93" s="691"/>
      <c r="L93" s="800" t="str">
        <f>IF(Dados!$C$67=0,"Ocultar","Não ocultar")</f>
        <v>Não ocultar</v>
      </c>
      <c r="M93" s="691"/>
      <c r="N93" s="691"/>
      <c r="O93" s="691"/>
      <c r="P93" s="691"/>
      <c r="Q93" s="691"/>
      <c r="R93" s="691"/>
      <c r="S93" s="691"/>
      <c r="T93" s="691"/>
      <c r="U93" s="691"/>
    </row>
    <row r="94" spans="1:23" s="684" customFormat="1" ht="17.100000000000001" customHeight="1">
      <c r="A94" s="684" t="str">
        <f>"Cut-off: "&amp;Dados!G101&amp; " mm"</f>
        <v>Cut-off: 0,80 mm</v>
      </c>
      <c r="B94" s="707"/>
      <c r="C94" s="707"/>
      <c r="D94" s="707"/>
      <c r="E94" s="692"/>
      <c r="F94" s="698"/>
      <c r="G94" s="698"/>
      <c r="H94" s="698"/>
      <c r="I94" s="691"/>
      <c r="J94" s="691"/>
      <c r="K94" s="691"/>
      <c r="L94" s="800" t="str">
        <f>IF(Dados!$C$108=0,"Ocultar","Não ocultar")</f>
        <v>Não ocultar</v>
      </c>
      <c r="M94" s="691"/>
      <c r="N94" s="691"/>
      <c r="O94" s="691"/>
      <c r="P94" s="691"/>
      <c r="Q94" s="691"/>
      <c r="R94" s="691"/>
      <c r="S94" s="691"/>
      <c r="T94" s="691"/>
      <c r="U94" s="691"/>
    </row>
    <row r="95" spans="1:23" s="684" customFormat="1" ht="17.100000000000001" customHeight="1" thickBot="1">
      <c r="A95" s="684" t="str">
        <f>"Comprimento avaliado: "&amp;Dados!G103&amp; " mm"</f>
        <v>Comprimento avaliado: 4 mm</v>
      </c>
      <c r="B95" s="708"/>
      <c r="C95" s="709"/>
      <c r="D95" s="710"/>
      <c r="E95" s="710"/>
      <c r="F95" s="711"/>
      <c r="G95" s="711"/>
      <c r="H95" s="711"/>
      <c r="I95" s="793"/>
      <c r="J95" s="793"/>
      <c r="K95" s="691"/>
      <c r="L95" s="800" t="str">
        <f>IF(Dados!$C$108=0,"Ocultar","Não ocultar")</f>
        <v>Não ocultar</v>
      </c>
      <c r="M95" s="691"/>
      <c r="N95" s="691"/>
      <c r="O95" s="691"/>
      <c r="P95" s="691"/>
      <c r="Q95" s="691"/>
      <c r="R95" s="691"/>
      <c r="S95" s="691"/>
      <c r="T95" s="691"/>
      <c r="U95" s="691"/>
    </row>
    <row r="96" spans="1:23" s="684" customFormat="1" ht="17.100000000000001" customHeight="1">
      <c r="A96" s="909" t="s">
        <v>159</v>
      </c>
      <c r="B96" s="909"/>
      <c r="C96" s="909" t="s">
        <v>306</v>
      </c>
      <c r="D96" s="909"/>
      <c r="E96" s="910" t="s">
        <v>264</v>
      </c>
      <c r="F96" s="910"/>
      <c r="G96" s="898" t="s">
        <v>160</v>
      </c>
      <c r="H96" s="898"/>
      <c r="I96" s="911" t="s">
        <v>399</v>
      </c>
      <c r="J96" s="911"/>
      <c r="K96" s="691"/>
      <c r="L96" s="800" t="str">
        <f>IF(Dados!$C$108=0,"Ocultar","Não ocultar")</f>
        <v>Não ocultar</v>
      </c>
      <c r="M96" s="691"/>
      <c r="N96" s="691"/>
      <c r="O96" s="691"/>
      <c r="P96" s="691"/>
      <c r="Q96" s="691"/>
      <c r="R96" s="691"/>
      <c r="S96" s="691"/>
      <c r="T96" s="691"/>
      <c r="U96" s="691"/>
    </row>
    <row r="97" spans="1:24" s="684" customFormat="1" ht="17.100000000000001" customHeight="1">
      <c r="A97" s="912"/>
      <c r="B97" s="912"/>
      <c r="C97" s="900" t="s">
        <v>161</v>
      </c>
      <c r="D97" s="900"/>
      <c r="E97" s="900" t="str">
        <f>"[%]"</f>
        <v>[%]</v>
      </c>
      <c r="F97" s="900"/>
      <c r="G97" s="900"/>
      <c r="H97" s="900"/>
      <c r="I97" s="913"/>
      <c r="J97" s="913"/>
      <c r="K97" s="691"/>
      <c r="L97" s="800" t="str">
        <f>IF(Dados!$C$108=0,"Ocultar","Não ocultar")</f>
        <v>Não ocultar</v>
      </c>
      <c r="M97" s="691"/>
      <c r="N97" s="691"/>
      <c r="O97" s="691"/>
      <c r="P97" s="691"/>
      <c r="Q97" s="691"/>
      <c r="R97" s="691"/>
      <c r="S97" s="691"/>
      <c r="T97" s="691"/>
      <c r="U97" s="691"/>
    </row>
    <row r="98" spans="1:24" s="684" customFormat="1" ht="17.100000000000001" customHeight="1">
      <c r="A98" s="895" t="s">
        <v>162</v>
      </c>
      <c r="B98" s="895"/>
      <c r="C98" s="896" t="str">
        <f>FIXED(Dados!B127,Dados!Q105)</f>
        <v>2,991</v>
      </c>
      <c r="D98" s="896"/>
      <c r="E98" s="908">
        <f>Dados!Q103</f>
        <v>3</v>
      </c>
      <c r="F98" s="908"/>
      <c r="G98" s="923">
        <f>Dados!O101</f>
        <v>2</v>
      </c>
      <c r="H98" s="923"/>
      <c r="I98" s="908" t="str">
        <f>IF(ROUND(G98,3)&lt;=2.009,"Infinito",ROUND(Dados!R100,0))</f>
        <v>Infinito</v>
      </c>
      <c r="J98" s="908"/>
      <c r="K98" s="691"/>
      <c r="L98" s="800" t="str">
        <f>IF(Dados!$C$108=0,"Ocultar","Não ocultar")</f>
        <v>Não ocultar</v>
      </c>
      <c r="M98" s="691"/>
      <c r="N98" s="691"/>
      <c r="O98" s="691"/>
      <c r="P98" s="691"/>
      <c r="Q98" s="691"/>
      <c r="R98" s="691"/>
      <c r="S98" s="691"/>
      <c r="T98" s="691"/>
      <c r="U98" s="691"/>
    </row>
    <row r="99" spans="1:24" s="684" customFormat="1" ht="17.100000000000001" customHeight="1">
      <c r="A99" s="891" t="s">
        <v>163</v>
      </c>
      <c r="B99" s="891"/>
      <c r="C99" s="892" t="str">
        <f>FIXED(Dados!B128,Dados!Q120)</f>
        <v>9,51</v>
      </c>
      <c r="D99" s="892"/>
      <c r="E99" s="901">
        <f>Dados!Q118</f>
        <v>3</v>
      </c>
      <c r="F99" s="901"/>
      <c r="G99" s="898">
        <f>Dados!O116</f>
        <v>2</v>
      </c>
      <c r="H99" s="898"/>
      <c r="I99" s="908" t="str">
        <f>IF(ROUND(G99,3)&lt;=2.009,"Infinito",ROUND(Dados!R115,0))</f>
        <v>Infinito</v>
      </c>
      <c r="J99" s="908"/>
      <c r="K99" s="691"/>
      <c r="L99" s="800" t="str">
        <f>IF(Dados!$C$108=0,"Ocultar","Não ocultar")</f>
        <v>Não ocultar</v>
      </c>
      <c r="M99" s="691"/>
      <c r="N99" s="691"/>
      <c r="O99" s="691"/>
      <c r="P99" s="691"/>
      <c r="Q99" s="691"/>
      <c r="R99" s="691"/>
      <c r="S99" s="691"/>
      <c r="T99" s="691"/>
      <c r="U99" s="691"/>
    </row>
    <row r="100" spans="1:24" s="684" customFormat="1" ht="17.100000000000001" customHeight="1">
      <c r="A100" s="891" t="s">
        <v>164</v>
      </c>
      <c r="B100" s="891"/>
      <c r="C100" s="892" t="str">
        <f>FIXED(Dados!B129,Dados!Q137)</f>
        <v>9,57</v>
      </c>
      <c r="D100" s="892"/>
      <c r="E100" s="901">
        <f>Dados!Q135</f>
        <v>3</v>
      </c>
      <c r="F100" s="901"/>
      <c r="G100" s="898">
        <f>Dados!O133</f>
        <v>2</v>
      </c>
      <c r="H100" s="898"/>
      <c r="I100" s="901" t="str">
        <f>IF(ROUND(G100,3)&lt;=2.009,"Infinito",ROUND(Dados!R132,0))</f>
        <v>Infinito</v>
      </c>
      <c r="J100" s="901"/>
      <c r="K100" s="691"/>
      <c r="L100" s="800" t="str">
        <f>IF(Dados!$C$108=0,"Ocultar","Não ocultar")</f>
        <v>Não ocultar</v>
      </c>
      <c r="M100" s="691"/>
      <c r="N100" s="691"/>
      <c r="O100" s="691"/>
      <c r="P100" s="691"/>
      <c r="Q100" s="691"/>
      <c r="R100" s="691"/>
      <c r="S100" s="691"/>
      <c r="T100" s="691"/>
      <c r="U100" s="691"/>
    </row>
    <row r="101" spans="1:24" s="684" customFormat="1" ht="17.100000000000001" customHeight="1" thickBot="1">
      <c r="A101" s="893" t="s">
        <v>300</v>
      </c>
      <c r="B101" s="893"/>
      <c r="C101" s="894" t="str">
        <f>FIXED(Dados!B130,Dados!Q149)</f>
        <v>99,5</v>
      </c>
      <c r="D101" s="894"/>
      <c r="E101" s="902" t="str">
        <f>FIXED(Dados!Q151,Dados!Q149)</f>
        <v>0,2</v>
      </c>
      <c r="F101" s="902"/>
      <c r="G101" s="903">
        <f>Dados!O148</f>
        <v>2.23</v>
      </c>
      <c r="H101" s="903"/>
      <c r="I101" s="902">
        <f>IF(ROUND(G101,3)=2,"Infinito",ROUND(Dados!R147,0))</f>
        <v>12</v>
      </c>
      <c r="J101" s="902"/>
      <c r="K101" s="691"/>
      <c r="L101" s="800" t="str">
        <f>IF(Dados!$F$108=0,"Ocultar","Não ocultar")</f>
        <v>Não ocultar</v>
      </c>
      <c r="M101" s="691"/>
      <c r="N101" s="691"/>
      <c r="O101" s="691"/>
      <c r="P101" s="691"/>
      <c r="Q101" s="691"/>
      <c r="R101" s="691"/>
      <c r="S101" s="691"/>
      <c r="T101" s="691"/>
      <c r="U101" s="691"/>
    </row>
    <row r="102" spans="1:24" s="684" customFormat="1" ht="17.100000000000001" customHeight="1" thickBot="1">
      <c r="A102" s="794"/>
      <c r="B102" s="795"/>
      <c r="C102" s="795"/>
      <c r="D102" s="795"/>
      <c r="E102" s="795"/>
      <c r="F102" s="795"/>
      <c r="G102" s="796"/>
      <c r="H102" s="796"/>
      <c r="I102" s="829"/>
      <c r="J102" s="829"/>
      <c r="K102" s="691"/>
      <c r="L102" s="800" t="str">
        <f>IF(Dados!$C$108=0,"Ocultar","Não ocultar")</f>
        <v>Não ocultar</v>
      </c>
      <c r="M102" s="691"/>
      <c r="N102" s="691"/>
      <c r="O102" s="691"/>
      <c r="P102" s="691"/>
      <c r="Q102" s="691"/>
      <c r="R102" s="691"/>
      <c r="S102" s="691"/>
      <c r="T102" s="691"/>
      <c r="U102" s="691"/>
    </row>
    <row r="103" spans="1:24" s="684" customFormat="1" ht="17.100000000000001" customHeight="1">
      <c r="A103" s="897" t="s">
        <v>159</v>
      </c>
      <c r="B103" s="897"/>
      <c r="C103" s="898" t="s">
        <v>165</v>
      </c>
      <c r="D103" s="898"/>
      <c r="E103" s="898" t="s">
        <v>166</v>
      </c>
      <c r="F103" s="898"/>
      <c r="G103" s="898" t="s">
        <v>167</v>
      </c>
      <c r="H103" s="898"/>
      <c r="I103" s="691"/>
      <c r="J103" s="691"/>
      <c r="K103" s="691"/>
      <c r="L103" s="800" t="str">
        <f>IF(Dados!$C$108=0,"Ocultar","Não ocultar")</f>
        <v>Não ocultar</v>
      </c>
      <c r="M103" s="691"/>
      <c r="N103" s="691"/>
      <c r="O103" s="691"/>
      <c r="P103" s="691"/>
      <c r="Q103" s="691"/>
      <c r="R103" s="691"/>
      <c r="S103" s="691"/>
      <c r="T103" s="691"/>
      <c r="U103" s="691"/>
    </row>
    <row r="104" spans="1:24" s="684" customFormat="1" ht="17.100000000000001" customHeight="1">
      <c r="A104" s="899"/>
      <c r="B104" s="899"/>
      <c r="C104" s="900" t="s">
        <v>161</v>
      </c>
      <c r="D104" s="900"/>
      <c r="E104" s="900" t="s">
        <v>161</v>
      </c>
      <c r="F104" s="900"/>
      <c r="G104" s="900" t="s">
        <v>168</v>
      </c>
      <c r="H104" s="900"/>
      <c r="I104" s="691"/>
      <c r="J104" s="691"/>
      <c r="K104" s="691"/>
      <c r="L104" s="800" t="str">
        <f>IF(Dados!$C$108=0,"Ocultar","Não ocultar")</f>
        <v>Não ocultar</v>
      </c>
      <c r="M104" s="691"/>
      <c r="N104" s="691"/>
      <c r="O104" s="691"/>
      <c r="P104" s="691"/>
      <c r="Q104" s="691"/>
      <c r="R104" s="691"/>
      <c r="S104" s="691"/>
      <c r="T104" s="691"/>
      <c r="U104" s="691"/>
    </row>
    <row r="105" spans="1:24" s="684" customFormat="1" ht="17.100000000000001" customHeight="1">
      <c r="A105" s="895" t="s">
        <v>162</v>
      </c>
      <c r="B105" s="895"/>
      <c r="C105" s="896" t="str">
        <f>FIXED(Dados!C122,Dados!Q105)</f>
        <v>2,999</v>
      </c>
      <c r="D105" s="896"/>
      <c r="E105" s="896" t="str">
        <f>FIXED(Dados!C124,Dados!Q105)</f>
        <v>2,976</v>
      </c>
      <c r="F105" s="896"/>
      <c r="G105" s="896" t="str">
        <f>FIXED(Dados!C120,Dados!Q105)</f>
        <v>0,007</v>
      </c>
      <c r="H105" s="896"/>
      <c r="I105" s="691"/>
      <c r="J105" s="691"/>
      <c r="K105" s="691"/>
      <c r="L105" s="800" t="str">
        <f>IF(Dados!$C$108=0,"Ocultar","Não ocultar")</f>
        <v>Não ocultar</v>
      </c>
      <c r="M105" s="691"/>
      <c r="N105" s="691"/>
      <c r="O105" s="691"/>
      <c r="P105" s="691"/>
      <c r="Q105" s="691"/>
      <c r="R105" s="691"/>
      <c r="S105" s="691"/>
      <c r="T105" s="691"/>
      <c r="U105" s="691"/>
    </row>
    <row r="106" spans="1:24" s="684" customFormat="1" ht="17.100000000000001" customHeight="1">
      <c r="A106" s="891" t="s">
        <v>163</v>
      </c>
      <c r="B106" s="891"/>
      <c r="C106" s="892" t="str">
        <f>FIXED(Dados!D122,Dados!Q120)</f>
        <v>9,55</v>
      </c>
      <c r="D106" s="892"/>
      <c r="E106" s="892" t="str">
        <f>FIXED(Dados!D124,Dados!Q120)</f>
        <v>9,38</v>
      </c>
      <c r="F106" s="892"/>
      <c r="G106" s="892" t="str">
        <f>FIXED(Dados!D120,Dados!Q120)</f>
        <v>0,05</v>
      </c>
      <c r="H106" s="892"/>
      <c r="I106" s="691"/>
      <c r="J106" s="691"/>
      <c r="K106" s="691"/>
      <c r="L106" s="800" t="str">
        <f>IF(Dados!$C$108=0,"Ocultar","Não ocultar")</f>
        <v>Não ocultar</v>
      </c>
      <c r="M106" s="691"/>
      <c r="N106" s="691"/>
      <c r="O106" s="691"/>
      <c r="P106" s="691"/>
      <c r="Q106" s="691"/>
      <c r="R106" s="691"/>
      <c r="S106" s="691"/>
      <c r="T106" s="691"/>
      <c r="U106" s="691"/>
    </row>
    <row r="107" spans="1:24" s="684" customFormat="1" ht="17.100000000000001" customHeight="1">
      <c r="A107" s="891" t="s">
        <v>164</v>
      </c>
      <c r="B107" s="891"/>
      <c r="C107" s="892" t="str">
        <f>FIXED(Dados!E122,Dados!Q137)</f>
        <v>9,85</v>
      </c>
      <c r="D107" s="892"/>
      <c r="E107" s="892" t="str">
        <f>FIXED(Dados!E124,Dados!Q137)</f>
        <v>9,40</v>
      </c>
      <c r="F107" s="892"/>
      <c r="G107" s="892" t="str">
        <f>FIXED(Dados!E120,Dados!Q137)</f>
        <v>0,11</v>
      </c>
      <c r="H107" s="892"/>
      <c r="I107" s="691"/>
      <c r="J107" s="691"/>
      <c r="K107" s="691"/>
      <c r="L107" s="800" t="str">
        <f>IF(Dados!$C$108=0,"Ocultar","Não ocultar")</f>
        <v>Não ocultar</v>
      </c>
      <c r="M107" s="691"/>
      <c r="N107" s="691"/>
      <c r="O107" s="691"/>
      <c r="P107" s="691"/>
      <c r="Q107" s="691"/>
      <c r="R107" s="691"/>
      <c r="S107" s="691"/>
      <c r="T107" s="691"/>
      <c r="U107" s="691"/>
    </row>
    <row r="108" spans="1:24" s="684" customFormat="1" ht="17.100000000000001" customHeight="1" thickBot="1">
      <c r="A108" s="893" t="s">
        <v>300</v>
      </c>
      <c r="B108" s="893"/>
      <c r="C108" s="894" t="str">
        <f>FIXED(Dados!F122,Dados!Q149)</f>
        <v>100,1</v>
      </c>
      <c r="D108" s="894"/>
      <c r="E108" s="894" t="str">
        <f>FIXED(Dados!F124,Dados!Q149)</f>
        <v>98,9</v>
      </c>
      <c r="F108" s="894"/>
      <c r="G108" s="894" t="str">
        <f>FIXED(Dados!F120,Dados!Q149)</f>
        <v>0,3</v>
      </c>
      <c r="H108" s="894"/>
      <c r="I108" s="691"/>
      <c r="J108" s="691"/>
      <c r="K108" s="691"/>
      <c r="L108" s="800" t="str">
        <f>IF(Dados!$F$108=0,"Ocultar","Não ocultar")</f>
        <v>Não ocultar</v>
      </c>
      <c r="M108" s="691"/>
      <c r="N108" s="691"/>
      <c r="O108" s="691"/>
      <c r="P108" s="691"/>
      <c r="Q108" s="691"/>
      <c r="R108" s="691"/>
      <c r="S108" s="691"/>
      <c r="T108" s="691"/>
      <c r="U108" s="691"/>
    </row>
    <row r="109" spans="1:24" s="684" customFormat="1" ht="17.100000000000001" customHeight="1">
      <c r="A109" s="721"/>
      <c r="B109" s="727"/>
      <c r="C109" s="727"/>
      <c r="D109" s="727"/>
      <c r="E109" s="727"/>
      <c r="F109" s="727"/>
      <c r="G109" s="721"/>
      <c r="H109" s="721"/>
      <c r="I109" s="691"/>
      <c r="J109" s="691"/>
      <c r="K109" s="691"/>
      <c r="L109" s="800" t="str">
        <f>IF(Dados!$C$108=0,"Ocultar","Não ocultar")</f>
        <v>Não ocultar</v>
      </c>
      <c r="M109" s="691"/>
      <c r="N109" s="691"/>
      <c r="O109" s="691"/>
      <c r="P109" s="691"/>
      <c r="Q109" s="691"/>
      <c r="R109" s="691"/>
      <c r="S109" s="691"/>
      <c r="T109" s="713"/>
      <c r="U109" s="715"/>
      <c r="V109" s="716"/>
      <c r="W109" s="717"/>
      <c r="X109" s="716"/>
    </row>
    <row r="110" spans="1:24" s="684" customFormat="1" ht="17.100000000000001" customHeight="1">
      <c r="B110" s="714"/>
      <c r="C110" s="714"/>
      <c r="D110" s="714"/>
      <c r="E110" s="714"/>
      <c r="F110" s="701"/>
      <c r="I110" s="691"/>
      <c r="J110" s="691"/>
      <c r="K110" s="691"/>
      <c r="L110" s="800" t="str">
        <f>IF(Dados!$C$108=0,"Ocultar","Não ocultar")</f>
        <v>Não ocultar</v>
      </c>
      <c r="M110" s="691"/>
      <c r="N110" s="691"/>
      <c r="O110" s="691"/>
      <c r="P110" s="691"/>
      <c r="Q110" s="691"/>
      <c r="R110" s="691"/>
      <c r="S110" s="691"/>
      <c r="T110" s="718"/>
      <c r="U110" s="719"/>
      <c r="V110" s="720"/>
      <c r="W110" s="712"/>
      <c r="X110" s="716"/>
    </row>
    <row r="111" spans="1:24" s="684" customFormat="1" ht="17.100000000000001" hidden="1" customHeight="1">
      <c r="B111" s="714"/>
      <c r="C111" s="714"/>
      <c r="D111" s="714"/>
      <c r="E111" s="714"/>
      <c r="F111" s="701"/>
      <c r="I111" s="691"/>
      <c r="J111" s="691"/>
      <c r="K111" s="691"/>
      <c r="L111" s="800" t="str">
        <f>IF(Dados2!$C$67=0,"Ocultar","Não ocultar")</f>
        <v>Ocultar</v>
      </c>
      <c r="M111" s="691"/>
      <c r="N111" s="691"/>
      <c r="O111" s="691"/>
      <c r="P111" s="691"/>
      <c r="Q111" s="691"/>
      <c r="R111" s="691"/>
      <c r="S111" s="691"/>
      <c r="T111" s="718"/>
      <c r="U111" s="719"/>
      <c r="V111" s="720"/>
      <c r="W111" s="712"/>
      <c r="X111" s="716"/>
    </row>
    <row r="112" spans="1:24" s="684" customFormat="1" ht="17.100000000000001" hidden="1" customHeight="1">
      <c r="A112" s="690" t="s">
        <v>327</v>
      </c>
      <c r="B112" s="714"/>
      <c r="C112" s="714"/>
      <c r="D112" s="714"/>
      <c r="E112" s="714"/>
      <c r="F112" s="701"/>
      <c r="I112" s="691"/>
      <c r="J112" s="691"/>
      <c r="K112" s="691"/>
      <c r="L112" s="800" t="str">
        <f>IF(Dados2!$C$67=0,"Ocultar","Não ocultar")</f>
        <v>Ocultar</v>
      </c>
      <c r="M112" s="691"/>
      <c r="N112" s="691"/>
      <c r="O112" s="691"/>
      <c r="P112" s="691"/>
      <c r="Q112" s="691"/>
      <c r="R112" s="691"/>
      <c r="S112" s="691"/>
      <c r="T112" s="718"/>
      <c r="U112" s="719"/>
      <c r="V112" s="720"/>
      <c r="W112" s="712"/>
      <c r="X112" s="720"/>
    </row>
    <row r="113" spans="1:24" s="684" customFormat="1" ht="17.100000000000001" hidden="1" customHeight="1">
      <c r="A113" s="684" t="str">
        <f>"Cut-off: "&amp;Dados2!G60&amp; " mm"</f>
        <v>Cut-off: , mm</v>
      </c>
      <c r="B113" s="707"/>
      <c r="C113" s="707"/>
      <c r="D113" s="707"/>
      <c r="E113" s="692"/>
      <c r="F113" s="698"/>
      <c r="G113" s="698"/>
      <c r="H113" s="698"/>
      <c r="I113" s="691"/>
      <c r="J113" s="691"/>
      <c r="K113" s="691"/>
      <c r="L113" s="800" t="str">
        <f>IF(Dados2!$C$67=0,"Ocultar","Não ocultar")</f>
        <v>Ocultar</v>
      </c>
      <c r="M113" s="691"/>
      <c r="N113" s="691"/>
      <c r="O113" s="691"/>
      <c r="P113" s="691"/>
      <c r="Q113" s="691"/>
      <c r="R113" s="691"/>
      <c r="S113" s="691"/>
      <c r="T113" s="718"/>
      <c r="U113" s="719"/>
      <c r="V113" s="720"/>
      <c r="W113" s="712"/>
      <c r="X113" s="720"/>
    </row>
    <row r="114" spans="1:24" s="684" customFormat="1" ht="17.100000000000001" hidden="1" customHeight="1" thickBot="1">
      <c r="A114" s="684" t="e">
        <f>"Comprimento avaliado: "&amp;Dados2!G62&amp; " mm"</f>
        <v>#VALUE!</v>
      </c>
      <c r="B114" s="708"/>
      <c r="C114" s="709"/>
      <c r="D114" s="710"/>
      <c r="E114" s="710"/>
      <c r="F114" s="711"/>
      <c r="G114" s="711"/>
      <c r="H114" s="711"/>
      <c r="I114" s="793"/>
      <c r="J114" s="793"/>
      <c r="K114" s="691"/>
      <c r="L114" s="800" t="str">
        <f>IF(Dados2!$C$67=0,"Ocultar","Não ocultar")</f>
        <v>Ocultar</v>
      </c>
      <c r="M114" s="691"/>
      <c r="N114" s="691"/>
      <c r="O114" s="691"/>
      <c r="P114" s="691"/>
      <c r="Q114" s="691"/>
      <c r="R114" s="691"/>
      <c r="S114" s="691"/>
      <c r="T114" s="691"/>
      <c r="U114" s="691"/>
    </row>
    <row r="115" spans="1:24" s="684" customFormat="1" ht="17.100000000000001" hidden="1" customHeight="1">
      <c r="A115" s="909" t="s">
        <v>159</v>
      </c>
      <c r="B115" s="909"/>
      <c r="C115" s="909" t="s">
        <v>306</v>
      </c>
      <c r="D115" s="909"/>
      <c r="E115" s="910" t="s">
        <v>264</v>
      </c>
      <c r="F115" s="910"/>
      <c r="G115" s="898" t="s">
        <v>160</v>
      </c>
      <c r="H115" s="898"/>
      <c r="I115" s="911" t="s">
        <v>399</v>
      </c>
      <c r="J115" s="911"/>
      <c r="K115" s="691"/>
      <c r="L115" s="800" t="str">
        <f>IF(Dados2!$C$67=0,"Ocultar","Não ocultar")</f>
        <v>Ocultar</v>
      </c>
      <c r="M115" s="691"/>
      <c r="N115" s="691"/>
      <c r="O115" s="691"/>
      <c r="P115" s="691"/>
      <c r="Q115" s="691"/>
      <c r="R115" s="691"/>
      <c r="S115" s="691"/>
      <c r="T115" s="691"/>
      <c r="U115" s="691"/>
    </row>
    <row r="116" spans="1:24" s="684" customFormat="1" ht="17.100000000000001" hidden="1" customHeight="1">
      <c r="A116" s="912"/>
      <c r="B116" s="912"/>
      <c r="C116" s="900" t="s">
        <v>161</v>
      </c>
      <c r="D116" s="900"/>
      <c r="E116" s="900" t="str">
        <f>"[%]"</f>
        <v>[%]</v>
      </c>
      <c r="F116" s="900"/>
      <c r="G116" s="900"/>
      <c r="H116" s="900"/>
      <c r="I116" s="913"/>
      <c r="J116" s="913"/>
      <c r="K116" s="691"/>
      <c r="L116" s="800" t="str">
        <f>IF(Dados2!$C$67=0,"Ocultar","Não ocultar")</f>
        <v>Ocultar</v>
      </c>
      <c r="M116" s="691"/>
      <c r="N116" s="691"/>
      <c r="O116" s="691"/>
      <c r="P116" s="691"/>
      <c r="Q116" s="691"/>
      <c r="R116" s="691"/>
      <c r="S116" s="691"/>
      <c r="T116" s="691"/>
      <c r="U116" s="691"/>
    </row>
    <row r="117" spans="1:24" s="684" customFormat="1" ht="17.100000000000001" hidden="1" customHeight="1">
      <c r="A117" s="904" t="s">
        <v>162</v>
      </c>
      <c r="B117" s="904"/>
      <c r="C117" s="905" t="e">
        <f>FIXED(Dados2!B86,Dados2!Q29)</f>
        <v>#DIV/0!</v>
      </c>
      <c r="D117" s="905"/>
      <c r="E117" s="906" t="e">
        <f>Dados2!Q27</f>
        <v>#DIV/0!</v>
      </c>
      <c r="F117" s="906"/>
      <c r="G117" s="907" t="e">
        <f>ROUND(Dados2!O25,2)</f>
        <v>#DIV/0!</v>
      </c>
      <c r="H117" s="907"/>
      <c r="I117" s="906" t="e">
        <f>IF(ROUND(G117,3)&lt;=2.009,"Infinito",ROUND(Dados2!R24,0))</f>
        <v>#DIV/0!</v>
      </c>
      <c r="J117" s="906"/>
      <c r="K117" s="691"/>
      <c r="L117" s="800" t="str">
        <f>IF(Dados2!$C$67=0,"Ocultar","Não ocultar")</f>
        <v>Ocultar</v>
      </c>
      <c r="M117" s="691"/>
      <c r="N117" s="691"/>
      <c r="O117" s="691"/>
      <c r="P117" s="691"/>
      <c r="Q117" s="691"/>
      <c r="R117" s="691"/>
      <c r="S117" s="691"/>
      <c r="T117" s="691"/>
      <c r="U117" s="691"/>
    </row>
    <row r="118" spans="1:24" s="684" customFormat="1" ht="17.100000000000001" hidden="1" customHeight="1">
      <c r="A118" s="891" t="s">
        <v>163</v>
      </c>
      <c r="B118" s="891"/>
      <c r="C118" s="892" t="e">
        <f>FIXED(Dados2!B87,Dados2!Q44)</f>
        <v>#DIV/0!</v>
      </c>
      <c r="D118" s="892"/>
      <c r="E118" s="901" t="e">
        <f>Dados2!Q42</f>
        <v>#DIV/0!</v>
      </c>
      <c r="F118" s="901"/>
      <c r="G118" s="898" t="e">
        <f>Dados2!O40</f>
        <v>#DIV/0!</v>
      </c>
      <c r="H118" s="898"/>
      <c r="I118" s="908" t="e">
        <f>IF(ROUND(G118,3)&lt;=2.009,"Infinito",ROUND(Dados2!R39,0))</f>
        <v>#DIV/0!</v>
      </c>
      <c r="J118" s="908"/>
      <c r="K118" s="691"/>
      <c r="L118" s="800" t="str">
        <f>IF(Dados2!$C$67=0,"Ocultar","Não ocultar")</f>
        <v>Ocultar</v>
      </c>
      <c r="M118" s="691"/>
      <c r="N118" s="691"/>
      <c r="O118" s="691"/>
      <c r="P118" s="691"/>
      <c r="Q118" s="691"/>
      <c r="R118" s="691"/>
      <c r="S118" s="691"/>
      <c r="T118" s="691"/>
      <c r="U118" s="691"/>
    </row>
    <row r="119" spans="1:24" s="684" customFormat="1" ht="17.100000000000001" hidden="1" customHeight="1">
      <c r="A119" s="891" t="s">
        <v>164</v>
      </c>
      <c r="B119" s="891"/>
      <c r="C119" s="892" t="e">
        <f>FIXED(Dados2!B88,Dados2!Q61)</f>
        <v>#DIV/0!</v>
      </c>
      <c r="D119" s="892"/>
      <c r="E119" s="901" t="e">
        <f>Dados2!Q59</f>
        <v>#DIV/0!</v>
      </c>
      <c r="F119" s="901"/>
      <c r="G119" s="898" t="e">
        <f>Dados2!O57</f>
        <v>#DIV/0!</v>
      </c>
      <c r="H119" s="898"/>
      <c r="I119" s="901" t="e">
        <f>IF(ROUND(G119,3)&lt;=2.009,"Infinito",ROUND(Dados2!R56,0))</f>
        <v>#DIV/0!</v>
      </c>
      <c r="J119" s="901"/>
      <c r="K119" s="691"/>
      <c r="L119" s="800" t="str">
        <f>IF(Dados2!$C$67=0,"Ocultar","Não ocultar")</f>
        <v>Ocultar</v>
      </c>
      <c r="M119" s="691"/>
      <c r="N119" s="691"/>
      <c r="O119" s="691"/>
      <c r="P119" s="691"/>
      <c r="Q119" s="691"/>
      <c r="R119" s="691"/>
      <c r="S119" s="691"/>
      <c r="T119" s="691"/>
      <c r="U119" s="691"/>
    </row>
    <row r="120" spans="1:24" s="684" customFormat="1" ht="17.100000000000001" hidden="1" customHeight="1" thickBot="1">
      <c r="A120" s="893" t="s">
        <v>300</v>
      </c>
      <c r="B120" s="893"/>
      <c r="C120" s="894" t="e">
        <f>FIXED(Dados2!B89,Dados2!Q74)</f>
        <v>#DIV/0!</v>
      </c>
      <c r="D120" s="894"/>
      <c r="E120" s="902" t="e">
        <f>FIXED(Dados2!Q76,Dados2!Q74)</f>
        <v>#DIV/0!</v>
      </c>
      <c r="F120" s="902"/>
      <c r="G120" s="903" t="e">
        <f>Dados2!O73</f>
        <v>#DIV/0!</v>
      </c>
      <c r="H120" s="903"/>
      <c r="I120" s="902" t="e">
        <f>IF(ROUND(G120,3)=2,"Infinito",ROUND(Dados2!R72,0))</f>
        <v>#DIV/0!</v>
      </c>
      <c r="J120" s="902"/>
      <c r="K120" s="691"/>
      <c r="L120" s="800" t="str">
        <f>IF(Dados2!$F$67=0,"Ocultar","Não ocultar")</f>
        <v>Ocultar</v>
      </c>
      <c r="M120" s="691"/>
      <c r="N120" s="691"/>
      <c r="O120" s="691"/>
      <c r="P120" s="691"/>
      <c r="Q120" s="691"/>
      <c r="R120" s="691"/>
      <c r="S120" s="691"/>
      <c r="T120" s="691"/>
      <c r="U120" s="691"/>
    </row>
    <row r="121" spans="1:24" s="684" customFormat="1" ht="17.100000000000001" hidden="1" customHeight="1" thickBot="1">
      <c r="A121" s="794"/>
      <c r="B121" s="795"/>
      <c r="C121" s="795"/>
      <c r="D121" s="795"/>
      <c r="E121" s="795"/>
      <c r="F121" s="795"/>
      <c r="G121" s="796"/>
      <c r="H121" s="796"/>
      <c r="I121" s="728"/>
      <c r="J121" s="728"/>
      <c r="K121" s="691"/>
      <c r="L121" s="800" t="str">
        <f>IF(Dados2!$C$67=0,"Ocultar","Não ocultar")</f>
        <v>Ocultar</v>
      </c>
      <c r="M121" s="691"/>
      <c r="N121" s="691"/>
      <c r="O121" s="691"/>
      <c r="P121" s="691"/>
      <c r="Q121" s="691"/>
      <c r="R121" s="691"/>
      <c r="S121" s="691"/>
      <c r="T121" s="691"/>
      <c r="U121" s="691"/>
    </row>
    <row r="122" spans="1:24" s="684" customFormat="1" ht="17.100000000000001" hidden="1" customHeight="1">
      <c r="A122" s="897" t="s">
        <v>159</v>
      </c>
      <c r="B122" s="897"/>
      <c r="C122" s="898" t="s">
        <v>165</v>
      </c>
      <c r="D122" s="898"/>
      <c r="E122" s="898" t="s">
        <v>166</v>
      </c>
      <c r="F122" s="898"/>
      <c r="G122" s="898" t="s">
        <v>167</v>
      </c>
      <c r="H122" s="898"/>
      <c r="I122" s="728"/>
      <c r="J122" s="728"/>
      <c r="K122" s="691"/>
      <c r="L122" s="800" t="str">
        <f>IF(Dados2!$C$67=0,"Ocultar","Não ocultar")</f>
        <v>Ocultar</v>
      </c>
      <c r="M122" s="691"/>
      <c r="N122" s="691"/>
      <c r="O122" s="691"/>
      <c r="P122" s="691"/>
      <c r="Q122" s="691"/>
      <c r="R122" s="691"/>
      <c r="S122" s="691"/>
      <c r="T122" s="691"/>
      <c r="U122" s="691"/>
    </row>
    <row r="123" spans="1:24" s="684" customFormat="1" ht="17.100000000000001" hidden="1" customHeight="1">
      <c r="A123" s="899"/>
      <c r="B123" s="899"/>
      <c r="C123" s="900" t="s">
        <v>161</v>
      </c>
      <c r="D123" s="900"/>
      <c r="E123" s="900" t="s">
        <v>161</v>
      </c>
      <c r="F123" s="900"/>
      <c r="G123" s="900" t="s">
        <v>168</v>
      </c>
      <c r="H123" s="900"/>
      <c r="I123" s="728"/>
      <c r="J123" s="728"/>
      <c r="K123" s="691"/>
      <c r="L123" s="800" t="str">
        <f>IF(Dados2!$C$67=0,"Ocultar","Não ocultar")</f>
        <v>Ocultar</v>
      </c>
      <c r="M123" s="691"/>
      <c r="N123" s="691"/>
      <c r="O123" s="691"/>
      <c r="P123" s="691"/>
      <c r="Q123" s="691"/>
      <c r="R123" s="691"/>
      <c r="S123" s="691"/>
      <c r="T123" s="691"/>
      <c r="U123" s="691"/>
    </row>
    <row r="124" spans="1:24" s="684" customFormat="1" ht="17.100000000000001" hidden="1" customHeight="1">
      <c r="A124" s="895" t="s">
        <v>162</v>
      </c>
      <c r="B124" s="895"/>
      <c r="C124" s="896" t="e">
        <f>FIXED(Dados2!C81,Dados2!Q29)</f>
        <v>#DIV/0!</v>
      </c>
      <c r="D124" s="896"/>
      <c r="E124" s="896" t="e">
        <f>FIXED(Dados2!C83,Dados2!Q29)</f>
        <v>#DIV/0!</v>
      </c>
      <c r="F124" s="896"/>
      <c r="G124" s="896" t="e">
        <f>FIXED(Dados2!C79,Dados2!Q29)</f>
        <v>#DIV/0!</v>
      </c>
      <c r="H124" s="896"/>
      <c r="I124" s="728"/>
      <c r="J124" s="728"/>
      <c r="K124" s="691"/>
      <c r="L124" s="800" t="str">
        <f>IF(Dados2!$C$67=0,"Ocultar","Não ocultar")</f>
        <v>Ocultar</v>
      </c>
      <c r="M124" s="691"/>
      <c r="N124" s="691"/>
      <c r="O124" s="691"/>
      <c r="P124" s="691"/>
      <c r="Q124" s="691"/>
      <c r="R124" s="691"/>
      <c r="S124" s="691"/>
      <c r="T124" s="691"/>
      <c r="U124" s="691"/>
    </row>
    <row r="125" spans="1:24" s="684" customFormat="1" ht="17.100000000000001" hidden="1" customHeight="1">
      <c r="A125" s="891" t="s">
        <v>163</v>
      </c>
      <c r="B125" s="891"/>
      <c r="C125" s="892" t="e">
        <f>FIXED(Dados2!D81,Dados2!Q44)</f>
        <v>#DIV/0!</v>
      </c>
      <c r="D125" s="892"/>
      <c r="E125" s="892" t="e">
        <f>FIXED(Dados2!D83,Dados2!Q44)</f>
        <v>#DIV/0!</v>
      </c>
      <c r="F125" s="892"/>
      <c r="G125" s="892" t="e">
        <f>FIXED(Dados2!D79,Dados2!Q44)</f>
        <v>#DIV/0!</v>
      </c>
      <c r="H125" s="892"/>
      <c r="I125" s="728"/>
      <c r="J125" s="728"/>
      <c r="K125" s="691"/>
      <c r="L125" s="800" t="str">
        <f>IF(Dados2!$C$67=0,"Ocultar","Não ocultar")</f>
        <v>Ocultar</v>
      </c>
      <c r="M125" s="691"/>
      <c r="N125" s="691"/>
      <c r="O125" s="691"/>
      <c r="P125" s="691"/>
      <c r="Q125" s="691"/>
      <c r="R125" s="691"/>
      <c r="S125" s="691"/>
      <c r="T125" s="691"/>
      <c r="U125" s="691"/>
    </row>
    <row r="126" spans="1:24" s="684" customFormat="1" ht="17.100000000000001" hidden="1" customHeight="1">
      <c r="A126" s="891" t="s">
        <v>164</v>
      </c>
      <c r="B126" s="891"/>
      <c r="C126" s="892" t="e">
        <f>FIXED(Dados2!E81,Dados2!Q61)</f>
        <v>#DIV/0!</v>
      </c>
      <c r="D126" s="892"/>
      <c r="E126" s="892" t="e">
        <f>FIXED(Dados2!E83,Dados2!Q61)</f>
        <v>#DIV/0!</v>
      </c>
      <c r="F126" s="892"/>
      <c r="G126" s="892" t="e">
        <f>FIXED(Dados2!E79,Dados2!Q61)</f>
        <v>#DIV/0!</v>
      </c>
      <c r="H126" s="892"/>
      <c r="I126" s="728"/>
      <c r="J126" s="728"/>
      <c r="K126" s="691"/>
      <c r="L126" s="800" t="str">
        <f>IF(Dados2!$C$67=0,"Ocultar","Não ocultar")</f>
        <v>Ocultar</v>
      </c>
      <c r="M126" s="691"/>
      <c r="N126" s="691"/>
      <c r="O126" s="691"/>
      <c r="P126" s="691"/>
      <c r="Q126" s="691"/>
      <c r="R126" s="691"/>
      <c r="S126" s="691"/>
      <c r="T126" s="691"/>
      <c r="U126" s="691"/>
    </row>
    <row r="127" spans="1:24" s="684" customFormat="1" ht="17.100000000000001" hidden="1" customHeight="1" thickBot="1">
      <c r="A127" s="893" t="s">
        <v>300</v>
      </c>
      <c r="B127" s="893"/>
      <c r="C127" s="894" t="e">
        <f>FIXED(Dados2!F81,Dados2!Q74)</f>
        <v>#DIV/0!</v>
      </c>
      <c r="D127" s="894"/>
      <c r="E127" s="894" t="e">
        <f>FIXED(Dados2!F83,Dados2!Q74)</f>
        <v>#DIV/0!</v>
      </c>
      <c r="F127" s="894"/>
      <c r="G127" s="894" t="e">
        <f>FIXED(Dados2!F79,Dados2!Q74)</f>
        <v>#DIV/0!</v>
      </c>
      <c r="H127" s="894"/>
      <c r="I127" s="728"/>
      <c r="J127" s="728"/>
      <c r="K127" s="691"/>
      <c r="L127" s="800" t="str">
        <f>IF(Dados2!$F$67=0,"Ocultar","Não ocultar")</f>
        <v>Ocultar</v>
      </c>
      <c r="M127" s="691"/>
      <c r="N127" s="691"/>
      <c r="O127" s="691"/>
      <c r="P127" s="691"/>
      <c r="Q127" s="691"/>
      <c r="R127" s="691"/>
      <c r="S127" s="691"/>
      <c r="T127" s="691"/>
      <c r="U127" s="691"/>
    </row>
    <row r="128" spans="1:24" s="684" customFormat="1" ht="17.100000000000001" hidden="1" customHeight="1">
      <c r="A128" s="927" t="str">
        <f>IF(Cola2!K3=Cola2!K16,"CUT-OFFS IGUAIS!","")</f>
        <v>CUT-OFFS IGUAIS!</v>
      </c>
      <c r="B128" s="927"/>
      <c r="C128" s="927"/>
      <c r="D128" s="927"/>
      <c r="E128" s="927"/>
      <c r="F128" s="927"/>
      <c r="G128" s="927"/>
      <c r="H128" s="927"/>
      <c r="I128" s="927"/>
      <c r="J128" s="927"/>
      <c r="K128" s="691"/>
      <c r="L128" s="800" t="str">
        <f>IF(Dados2!$C$67=0,"Ocultar","Não ocultar")</f>
        <v>Ocultar</v>
      </c>
      <c r="M128" s="691"/>
      <c r="N128" s="691"/>
      <c r="O128" s="691"/>
      <c r="P128" s="691"/>
      <c r="Q128" s="691"/>
      <c r="R128" s="691"/>
      <c r="S128" s="691"/>
      <c r="T128" s="691"/>
      <c r="U128" s="691"/>
    </row>
    <row r="129" spans="1:21" s="684" customFormat="1" ht="17.100000000000001" hidden="1" customHeight="1">
      <c r="A129" s="684" t="str">
        <f>"Cut-off: "&amp;Dados2!G101&amp; " mm"</f>
        <v>Cut-off: , mm</v>
      </c>
      <c r="B129" s="707"/>
      <c r="C129" s="707"/>
      <c r="D129" s="707"/>
      <c r="E129" s="692"/>
      <c r="F129" s="698"/>
      <c r="G129" s="698"/>
      <c r="H129" s="698"/>
      <c r="I129" s="691"/>
      <c r="J129" s="691"/>
      <c r="K129" s="691"/>
      <c r="L129" s="800" t="str">
        <f>IF(Dados2!$C$108=0,"Ocultar","Não ocultar")</f>
        <v>Ocultar</v>
      </c>
      <c r="M129" s="691"/>
      <c r="N129" s="691"/>
      <c r="O129" s="691"/>
      <c r="P129" s="691"/>
      <c r="Q129" s="691"/>
      <c r="R129" s="691"/>
      <c r="S129" s="691"/>
      <c r="T129" s="691"/>
      <c r="U129" s="691"/>
    </row>
    <row r="130" spans="1:21" s="684" customFormat="1" ht="17.100000000000001" hidden="1" customHeight="1" thickBot="1">
      <c r="A130" s="684" t="e">
        <f>"Comprimento avaliado: "&amp;Dados2!G103&amp; " mm"</f>
        <v>#VALUE!</v>
      </c>
      <c r="B130" s="708"/>
      <c r="C130" s="709"/>
      <c r="D130" s="710"/>
      <c r="E130" s="710"/>
      <c r="F130" s="711"/>
      <c r="G130" s="711"/>
      <c r="H130" s="711"/>
      <c r="I130" s="793"/>
      <c r="J130" s="793"/>
      <c r="K130" s="691"/>
      <c r="L130" s="800" t="str">
        <f>IF(Dados2!$C$108=0,"Ocultar","Não ocultar")</f>
        <v>Ocultar</v>
      </c>
      <c r="M130" s="691"/>
      <c r="N130" s="691"/>
      <c r="O130" s="691"/>
      <c r="P130" s="691"/>
      <c r="Q130" s="691"/>
      <c r="R130" s="691"/>
      <c r="S130" s="691"/>
      <c r="T130" s="691"/>
      <c r="U130" s="691"/>
    </row>
    <row r="131" spans="1:21" s="684" customFormat="1" ht="17.100000000000001" hidden="1" customHeight="1">
      <c r="A131" s="909" t="s">
        <v>159</v>
      </c>
      <c r="B131" s="909"/>
      <c r="C131" s="909" t="s">
        <v>306</v>
      </c>
      <c r="D131" s="909"/>
      <c r="E131" s="910" t="s">
        <v>264</v>
      </c>
      <c r="F131" s="910"/>
      <c r="G131" s="898" t="s">
        <v>160</v>
      </c>
      <c r="H131" s="898"/>
      <c r="I131" s="911" t="s">
        <v>399</v>
      </c>
      <c r="J131" s="911"/>
      <c r="K131" s="691"/>
      <c r="L131" s="800" t="str">
        <f>IF(Dados2!$C$108=0,"Ocultar","Não ocultar")</f>
        <v>Ocultar</v>
      </c>
      <c r="M131" s="691"/>
      <c r="N131" s="691"/>
      <c r="O131" s="691"/>
      <c r="P131" s="691"/>
      <c r="Q131" s="691"/>
      <c r="R131" s="691"/>
      <c r="S131" s="691"/>
      <c r="T131" s="691"/>
      <c r="U131" s="691"/>
    </row>
    <row r="132" spans="1:21" s="684" customFormat="1" ht="17.100000000000001" hidden="1" customHeight="1">
      <c r="A132" s="912"/>
      <c r="B132" s="912"/>
      <c r="C132" s="900" t="s">
        <v>161</v>
      </c>
      <c r="D132" s="900"/>
      <c r="E132" s="900" t="str">
        <f>"[%]"</f>
        <v>[%]</v>
      </c>
      <c r="F132" s="900"/>
      <c r="G132" s="900"/>
      <c r="H132" s="900"/>
      <c r="I132" s="913"/>
      <c r="J132" s="913"/>
      <c r="K132" s="691"/>
      <c r="L132" s="800" t="str">
        <f>IF(Dados2!$C$108=0,"Ocultar","Não ocultar")</f>
        <v>Ocultar</v>
      </c>
      <c r="M132" s="691"/>
      <c r="N132" s="691"/>
      <c r="O132" s="691"/>
      <c r="P132" s="691"/>
      <c r="Q132" s="691"/>
      <c r="R132" s="691"/>
      <c r="S132" s="691"/>
      <c r="T132" s="691"/>
      <c r="U132" s="691"/>
    </row>
    <row r="133" spans="1:21" s="684" customFormat="1" ht="17.100000000000001" hidden="1" customHeight="1">
      <c r="A133" s="904" t="s">
        <v>162</v>
      </c>
      <c r="B133" s="904"/>
      <c r="C133" s="905" t="e">
        <f>FIXED(Dados2!B127,Dados2!Q105)</f>
        <v>#DIV/0!</v>
      </c>
      <c r="D133" s="905"/>
      <c r="E133" s="906" t="e">
        <f>Dados2!Q103</f>
        <v>#DIV/0!</v>
      </c>
      <c r="F133" s="906"/>
      <c r="G133" s="907" t="e">
        <f>Dados2!O101</f>
        <v>#DIV/0!</v>
      </c>
      <c r="H133" s="907"/>
      <c r="I133" s="906" t="e">
        <f>IF(ROUND(G133,3)&lt;=2.009,"Infinito",ROUND(Dados2!R100,0))</f>
        <v>#DIV/0!</v>
      </c>
      <c r="J133" s="906"/>
      <c r="K133" s="691"/>
      <c r="L133" s="800" t="str">
        <f>IF(Dados2!$C$108=0,"Ocultar","Não ocultar")</f>
        <v>Ocultar</v>
      </c>
      <c r="M133" s="691"/>
      <c r="N133" s="691"/>
      <c r="O133" s="691"/>
      <c r="P133" s="691"/>
      <c r="Q133" s="691"/>
      <c r="R133" s="691"/>
      <c r="S133" s="691"/>
      <c r="T133" s="691"/>
      <c r="U133" s="691"/>
    </row>
    <row r="134" spans="1:21" s="684" customFormat="1" ht="17.100000000000001" hidden="1" customHeight="1">
      <c r="A134" s="891" t="s">
        <v>163</v>
      </c>
      <c r="B134" s="891"/>
      <c r="C134" s="892" t="e">
        <f>FIXED(Dados2!B128,Dados2!Q120)</f>
        <v>#DIV/0!</v>
      </c>
      <c r="D134" s="892"/>
      <c r="E134" s="901" t="e">
        <f>Dados2!Q118</f>
        <v>#DIV/0!</v>
      </c>
      <c r="F134" s="901"/>
      <c r="G134" s="898" t="e">
        <f>Dados2!O116</f>
        <v>#DIV/0!</v>
      </c>
      <c r="H134" s="898"/>
      <c r="I134" s="908" t="e">
        <f>IF(ROUND(G134,3)&lt;=2.009,"Infinito",ROUND(Dados2!R115,0))</f>
        <v>#DIV/0!</v>
      </c>
      <c r="J134" s="908"/>
      <c r="K134" s="691"/>
      <c r="L134" s="800" t="str">
        <f>IF(Dados2!$C$108=0,"Ocultar","Não ocultar")</f>
        <v>Ocultar</v>
      </c>
      <c r="M134" s="691"/>
      <c r="N134" s="691"/>
      <c r="O134" s="691"/>
      <c r="P134" s="691"/>
      <c r="Q134" s="691"/>
      <c r="R134" s="691"/>
      <c r="S134" s="691"/>
      <c r="T134" s="691"/>
      <c r="U134" s="691"/>
    </row>
    <row r="135" spans="1:21" s="684" customFormat="1" ht="17.100000000000001" hidden="1" customHeight="1">
      <c r="A135" s="891" t="s">
        <v>164</v>
      </c>
      <c r="B135" s="891"/>
      <c r="C135" s="892" t="e">
        <f>FIXED(Dados2!B129,Dados2!Q137)</f>
        <v>#DIV/0!</v>
      </c>
      <c r="D135" s="892"/>
      <c r="E135" s="901" t="e">
        <f>Dados2!Q135</f>
        <v>#DIV/0!</v>
      </c>
      <c r="F135" s="901"/>
      <c r="G135" s="898" t="e">
        <f>Dados2!O133</f>
        <v>#DIV/0!</v>
      </c>
      <c r="H135" s="898"/>
      <c r="I135" s="901" t="e">
        <f>IF(ROUND(G135,3)&lt;=2.009,"Infinito",ROUND(Dados2!R132,0))</f>
        <v>#DIV/0!</v>
      </c>
      <c r="J135" s="901"/>
      <c r="K135" s="691"/>
      <c r="L135" s="800" t="str">
        <f>IF(Dados2!$C$108=0,"Ocultar","Não ocultar")</f>
        <v>Ocultar</v>
      </c>
      <c r="M135" s="691"/>
      <c r="N135" s="691"/>
      <c r="O135" s="691"/>
      <c r="P135" s="691"/>
      <c r="Q135" s="691"/>
      <c r="R135" s="691"/>
      <c r="S135" s="691"/>
      <c r="T135" s="691"/>
      <c r="U135" s="691"/>
    </row>
    <row r="136" spans="1:21" s="684" customFormat="1" ht="17.100000000000001" hidden="1" customHeight="1" thickBot="1">
      <c r="A136" s="893" t="s">
        <v>300</v>
      </c>
      <c r="B136" s="893"/>
      <c r="C136" s="894" t="e">
        <f>FIXED(Dados2!B130,Dados2!Q149)</f>
        <v>#DIV/0!</v>
      </c>
      <c r="D136" s="894"/>
      <c r="E136" s="902" t="e">
        <f>FIXED(Dados2!Q151,Dados2!Q149)</f>
        <v>#DIV/0!</v>
      </c>
      <c r="F136" s="902"/>
      <c r="G136" s="903" t="e">
        <f>Dados2!O148</f>
        <v>#DIV/0!</v>
      </c>
      <c r="H136" s="903"/>
      <c r="I136" s="902" t="e">
        <f>IF(ROUND(G136,3)=2,"Infinito",ROUND(Dados2!R147,0))</f>
        <v>#DIV/0!</v>
      </c>
      <c r="J136" s="902"/>
      <c r="K136" s="691"/>
      <c r="L136" s="800" t="str">
        <f>IF(Dados2!$F$108=0,"Ocultar","Não ocultar")</f>
        <v>Ocultar</v>
      </c>
      <c r="M136" s="691"/>
      <c r="N136" s="691"/>
      <c r="O136" s="691"/>
      <c r="P136" s="691"/>
      <c r="Q136" s="691"/>
      <c r="R136" s="691"/>
      <c r="S136" s="691"/>
      <c r="T136" s="691"/>
      <c r="U136" s="691"/>
    </row>
    <row r="137" spans="1:21" s="684" customFormat="1" ht="17.100000000000001" hidden="1" customHeight="1">
      <c r="A137" s="698"/>
      <c r="B137" s="721"/>
      <c r="C137" s="721"/>
      <c r="D137" s="721"/>
      <c r="E137" s="721"/>
      <c r="F137" s="721"/>
      <c r="G137" s="722"/>
      <c r="H137" s="722"/>
      <c r="I137" s="691"/>
      <c r="J137" s="691"/>
      <c r="K137" s="691"/>
      <c r="L137" s="800" t="str">
        <f>IF(Dados2!$C$108=0,"Ocultar","Não ocultar")</f>
        <v>Ocultar</v>
      </c>
      <c r="M137" s="691"/>
      <c r="N137" s="691"/>
      <c r="O137" s="691"/>
      <c r="P137" s="691"/>
      <c r="Q137" s="691"/>
      <c r="R137" s="691"/>
      <c r="S137" s="691"/>
      <c r="T137" s="691"/>
      <c r="U137" s="691"/>
    </row>
    <row r="138" spans="1:21" s="684" customFormat="1" ht="17.100000000000001" hidden="1" customHeight="1" thickBot="1">
      <c r="A138" s="797"/>
      <c r="B138" s="723"/>
      <c r="C138" s="724"/>
      <c r="D138" s="725"/>
      <c r="E138" s="725"/>
      <c r="F138" s="798"/>
      <c r="G138" s="799"/>
      <c r="H138" s="799"/>
      <c r="I138" s="691"/>
      <c r="J138" s="691"/>
      <c r="K138" s="691"/>
      <c r="L138" s="800" t="str">
        <f>IF(Dados2!$C$108=0,"Ocultar","Não ocultar")</f>
        <v>Ocultar</v>
      </c>
      <c r="M138" s="691"/>
      <c r="N138" s="691"/>
      <c r="O138" s="691"/>
      <c r="P138" s="691"/>
      <c r="Q138" s="691"/>
      <c r="R138" s="691"/>
      <c r="S138" s="691"/>
      <c r="T138" s="691"/>
      <c r="U138" s="691"/>
    </row>
    <row r="139" spans="1:21" s="684" customFormat="1" ht="17.100000000000001" hidden="1" customHeight="1">
      <c r="A139" s="897" t="s">
        <v>159</v>
      </c>
      <c r="B139" s="897"/>
      <c r="C139" s="898" t="s">
        <v>165</v>
      </c>
      <c r="D139" s="898"/>
      <c r="E139" s="898" t="s">
        <v>166</v>
      </c>
      <c r="F139" s="898"/>
      <c r="G139" s="898" t="s">
        <v>167</v>
      </c>
      <c r="H139" s="898"/>
      <c r="I139" s="691"/>
      <c r="J139" s="691"/>
      <c r="K139" s="691"/>
      <c r="L139" s="800" t="str">
        <f>IF(Dados2!$C$108=0,"Ocultar","Não ocultar")</f>
        <v>Ocultar</v>
      </c>
      <c r="M139" s="691"/>
      <c r="N139" s="691"/>
      <c r="O139" s="691"/>
      <c r="P139" s="691"/>
      <c r="Q139" s="691"/>
      <c r="R139" s="691"/>
      <c r="S139" s="691"/>
      <c r="T139" s="691"/>
      <c r="U139" s="691"/>
    </row>
    <row r="140" spans="1:21" s="684" customFormat="1" ht="17.100000000000001" hidden="1" customHeight="1">
      <c r="A140" s="899"/>
      <c r="B140" s="899"/>
      <c r="C140" s="900" t="s">
        <v>161</v>
      </c>
      <c r="D140" s="900"/>
      <c r="E140" s="900" t="s">
        <v>161</v>
      </c>
      <c r="F140" s="900"/>
      <c r="G140" s="900" t="s">
        <v>168</v>
      </c>
      <c r="H140" s="900"/>
      <c r="I140" s="691"/>
      <c r="J140" s="691"/>
      <c r="K140" s="691"/>
      <c r="L140" s="800" t="str">
        <f>IF(Dados2!$C$108=0,"Ocultar","Não ocultar")</f>
        <v>Ocultar</v>
      </c>
      <c r="M140" s="691"/>
      <c r="N140" s="691"/>
      <c r="O140" s="691"/>
      <c r="P140" s="691"/>
      <c r="Q140" s="691"/>
      <c r="R140" s="691"/>
      <c r="S140" s="691"/>
      <c r="T140" s="691"/>
      <c r="U140" s="691"/>
    </row>
    <row r="141" spans="1:21" s="684" customFormat="1" ht="17.100000000000001" hidden="1" customHeight="1">
      <c r="A141" s="895" t="s">
        <v>162</v>
      </c>
      <c r="B141" s="895"/>
      <c r="C141" s="896" t="e">
        <f>FIXED(Dados2!C122,Dados2!Q105)</f>
        <v>#DIV/0!</v>
      </c>
      <c r="D141" s="896"/>
      <c r="E141" s="896" t="e">
        <f>FIXED(Dados2!C124,Dados2!Q105)</f>
        <v>#DIV/0!</v>
      </c>
      <c r="F141" s="896"/>
      <c r="G141" s="896" t="e">
        <f>FIXED(Dados2!C120,Dados2!Q105)</f>
        <v>#DIV/0!</v>
      </c>
      <c r="H141" s="896"/>
      <c r="I141" s="691"/>
      <c r="J141" s="691"/>
      <c r="K141" s="691"/>
      <c r="L141" s="800" t="str">
        <f>IF(Dados2!$C$108=0,"Ocultar","Não ocultar")</f>
        <v>Ocultar</v>
      </c>
      <c r="M141" s="691"/>
      <c r="N141" s="691"/>
      <c r="O141" s="691"/>
      <c r="P141" s="691"/>
      <c r="Q141" s="691"/>
      <c r="R141" s="691"/>
      <c r="S141" s="691"/>
      <c r="T141" s="691"/>
      <c r="U141" s="691"/>
    </row>
    <row r="142" spans="1:21" s="684" customFormat="1" ht="17.100000000000001" hidden="1" customHeight="1">
      <c r="A142" s="891" t="s">
        <v>163</v>
      </c>
      <c r="B142" s="891"/>
      <c r="C142" s="892" t="e">
        <f>FIXED(Dados2!D122,Dados2!Q120)</f>
        <v>#DIV/0!</v>
      </c>
      <c r="D142" s="892"/>
      <c r="E142" s="892" t="e">
        <f>FIXED(Dados2!D124,Dados2!Q120)</f>
        <v>#DIV/0!</v>
      </c>
      <c r="F142" s="892"/>
      <c r="G142" s="892" t="e">
        <f>FIXED(Dados2!D120,Dados2!Q120)</f>
        <v>#DIV/0!</v>
      </c>
      <c r="H142" s="892"/>
      <c r="I142" s="691"/>
      <c r="J142" s="691"/>
      <c r="K142" s="691"/>
      <c r="L142" s="800" t="str">
        <f>IF(Dados2!$C$108=0,"Ocultar","Não ocultar")</f>
        <v>Ocultar</v>
      </c>
      <c r="M142" s="691"/>
      <c r="N142" s="691"/>
      <c r="O142" s="691"/>
      <c r="P142" s="691"/>
      <c r="Q142" s="691"/>
      <c r="R142" s="691"/>
      <c r="S142" s="691"/>
      <c r="T142" s="691"/>
      <c r="U142" s="691"/>
    </row>
    <row r="143" spans="1:21" s="684" customFormat="1" ht="17.100000000000001" hidden="1" customHeight="1">
      <c r="A143" s="891" t="s">
        <v>164</v>
      </c>
      <c r="B143" s="891"/>
      <c r="C143" s="892" t="e">
        <f>FIXED(Dados2!E122,Dados2!Q137)</f>
        <v>#DIV/0!</v>
      </c>
      <c r="D143" s="892"/>
      <c r="E143" s="892" t="e">
        <f>FIXED(Dados2!E124,Dados2!Q137)</f>
        <v>#DIV/0!</v>
      </c>
      <c r="F143" s="892"/>
      <c r="G143" s="892" t="e">
        <f>FIXED(Dados2!E120,Dados2!Q137)</f>
        <v>#DIV/0!</v>
      </c>
      <c r="H143" s="892"/>
      <c r="I143" s="691"/>
      <c r="J143" s="691"/>
      <c r="K143" s="691"/>
      <c r="L143" s="800" t="str">
        <f>IF(Dados2!$C$108=0,"Ocultar","Não ocultar")</f>
        <v>Ocultar</v>
      </c>
      <c r="M143" s="691"/>
      <c r="N143" s="691"/>
      <c r="O143" s="691"/>
      <c r="P143" s="691"/>
      <c r="Q143" s="691"/>
      <c r="R143" s="691"/>
      <c r="S143" s="691"/>
      <c r="T143" s="691"/>
      <c r="U143" s="691"/>
    </row>
    <row r="144" spans="1:21" s="684" customFormat="1" ht="17.100000000000001" hidden="1" customHeight="1" thickBot="1">
      <c r="A144" s="893" t="s">
        <v>300</v>
      </c>
      <c r="B144" s="893"/>
      <c r="C144" s="894" t="e">
        <f>FIXED(Dados2!F122,Dados2!Q149)</f>
        <v>#DIV/0!</v>
      </c>
      <c r="D144" s="894"/>
      <c r="E144" s="894" t="e">
        <f>FIXED(Dados2!F124,Dados2!Q149)</f>
        <v>#DIV/0!</v>
      </c>
      <c r="F144" s="894"/>
      <c r="G144" s="894" t="e">
        <f>FIXED(Dados2!F120,Dados2!Q149)</f>
        <v>#DIV/0!</v>
      </c>
      <c r="H144" s="894"/>
      <c r="I144" s="691"/>
      <c r="J144" s="691"/>
      <c r="K144" s="691"/>
      <c r="L144" s="800" t="str">
        <f>IF(Dados2!$F$108=0,"Ocultar","Não ocultar")</f>
        <v>Ocultar</v>
      </c>
      <c r="M144" s="691"/>
      <c r="N144" s="691"/>
      <c r="O144" s="691"/>
      <c r="P144" s="691"/>
      <c r="Q144" s="691"/>
      <c r="R144" s="691"/>
      <c r="S144" s="691"/>
      <c r="T144" s="691"/>
      <c r="U144" s="691"/>
    </row>
    <row r="145" spans="1:21" s="684" customFormat="1" ht="17.100000000000001" hidden="1" customHeight="1">
      <c r="B145" s="714"/>
      <c r="C145" s="714"/>
      <c r="D145" s="714"/>
      <c r="E145" s="714"/>
      <c r="F145" s="701"/>
      <c r="I145" s="691"/>
      <c r="J145" s="691"/>
      <c r="L145" s="800" t="str">
        <f>IF(Dados2!$F$108=0,"Ocultar","Não ocultar")</f>
        <v>Ocultar</v>
      </c>
    </row>
    <row r="146" spans="1:21" s="684" customFormat="1" ht="17.100000000000001" customHeight="1">
      <c r="B146" s="714"/>
      <c r="C146" s="714"/>
      <c r="D146" s="714"/>
      <c r="E146" s="714"/>
      <c r="F146" s="701"/>
      <c r="I146" s="691"/>
      <c r="J146" s="691"/>
      <c r="L146" s="800"/>
    </row>
    <row r="147" spans="1:21" s="684" customFormat="1" ht="17.100000000000001" hidden="1" customHeight="1">
      <c r="A147" s="805" t="s">
        <v>326</v>
      </c>
      <c r="B147" s="701"/>
      <c r="C147" s="701"/>
      <c r="D147" s="701"/>
      <c r="E147" s="701"/>
      <c r="F147" s="701"/>
      <c r="I147" s="730"/>
      <c r="J147" s="730"/>
      <c r="K147" s="691"/>
      <c r="L147" s="800" t="str">
        <f>IF(Dados2!$C$67=0,"Ocultar","Não ocultar")</f>
        <v>Ocultar</v>
      </c>
      <c r="M147" s="691"/>
      <c r="N147" s="691"/>
      <c r="O147" s="691"/>
      <c r="P147" s="691"/>
      <c r="Q147" s="691"/>
      <c r="R147" s="691"/>
      <c r="S147" s="691"/>
      <c r="T147" s="691"/>
      <c r="U147" s="691"/>
    </row>
    <row r="148" spans="1:21" s="729" customFormat="1" ht="17.100000000000001" customHeight="1">
      <c r="A148" s="805" t="str">
        <f>"Perfil de Rugosidade com filtro (cut-off "&amp;Dados!N6&amp;" mm)"</f>
        <v>Perfil de Rugosidade com filtro (cut-off 0,8 mm)</v>
      </c>
      <c r="B148" s="701"/>
      <c r="C148" s="701"/>
      <c r="D148" s="701"/>
      <c r="E148" s="701"/>
      <c r="F148" s="701"/>
      <c r="G148" s="684"/>
      <c r="H148" s="684"/>
      <c r="I148" s="730"/>
      <c r="J148" s="730"/>
      <c r="K148" s="728"/>
      <c r="L148" s="684"/>
      <c r="M148" s="728"/>
      <c r="N148" s="728"/>
      <c r="O148" s="728"/>
      <c r="P148" s="728"/>
      <c r="Q148" s="728"/>
      <c r="R148" s="728"/>
      <c r="S148" s="728"/>
      <c r="T148" s="728"/>
      <c r="U148" s="728"/>
    </row>
    <row r="149" spans="1:21" s="729" customFormat="1" ht="17.100000000000001" customHeight="1">
      <c r="A149" s="701"/>
      <c r="B149" s="701"/>
      <c r="C149" s="701"/>
      <c r="D149" s="701"/>
      <c r="E149" s="701"/>
      <c r="F149" s="701"/>
      <c r="G149" s="684"/>
      <c r="H149" s="684"/>
      <c r="I149" s="730"/>
      <c r="J149" s="730"/>
      <c r="K149" s="728"/>
      <c r="L149" s="691"/>
      <c r="M149" s="728"/>
      <c r="N149" s="728"/>
      <c r="O149" s="728"/>
      <c r="P149" s="728"/>
      <c r="Q149" s="728"/>
      <c r="R149" s="728"/>
      <c r="S149" s="728"/>
      <c r="T149" s="728"/>
      <c r="U149" s="728"/>
    </row>
    <row r="150" spans="1:21" s="729" customFormat="1" ht="17.100000000000001" customHeight="1">
      <c r="A150" s="701"/>
      <c r="B150" s="701"/>
      <c r="C150" s="701"/>
      <c r="D150" s="701"/>
      <c r="E150" s="701"/>
      <c r="F150" s="701"/>
      <c r="G150" s="684"/>
      <c r="H150" s="684"/>
      <c r="I150" s="730"/>
      <c r="J150" s="730"/>
      <c r="K150" s="728"/>
      <c r="L150" s="728"/>
      <c r="M150" s="728"/>
      <c r="N150" s="728"/>
      <c r="O150" s="728"/>
      <c r="P150" s="728"/>
      <c r="Q150" s="728"/>
      <c r="R150" s="728"/>
      <c r="S150" s="728"/>
      <c r="T150" s="728"/>
      <c r="U150" s="728"/>
    </row>
    <row r="151" spans="1:21" s="729" customFormat="1" ht="17.100000000000001" customHeight="1">
      <c r="A151" s="701"/>
      <c r="B151" s="701"/>
      <c r="C151" s="701"/>
      <c r="D151" s="701"/>
      <c r="E151" s="701"/>
      <c r="F151" s="701"/>
      <c r="G151" s="684"/>
      <c r="H151" s="684"/>
      <c r="I151" s="730"/>
      <c r="J151" s="730"/>
      <c r="K151" s="728"/>
      <c r="L151" s="728"/>
      <c r="M151" s="728"/>
      <c r="N151" s="728"/>
      <c r="O151" s="728"/>
      <c r="P151" s="728"/>
      <c r="Q151" s="728"/>
      <c r="R151" s="728"/>
      <c r="S151" s="728"/>
      <c r="T151" s="728"/>
      <c r="U151" s="728"/>
    </row>
    <row r="152" spans="1:21" s="729" customFormat="1" ht="17.100000000000001" customHeight="1">
      <c r="A152" s="701"/>
      <c r="B152" s="701"/>
      <c r="C152" s="701"/>
      <c r="D152" s="701"/>
      <c r="E152" s="701"/>
      <c r="F152" s="701"/>
      <c r="G152" s="684"/>
      <c r="H152" s="684"/>
      <c r="I152" s="730"/>
      <c r="J152" s="730"/>
      <c r="K152" s="728"/>
      <c r="L152" s="728"/>
      <c r="M152" s="728"/>
      <c r="N152" s="728"/>
      <c r="O152" s="728"/>
      <c r="P152" s="728"/>
      <c r="Q152" s="728"/>
      <c r="R152" s="728"/>
      <c r="S152" s="728"/>
      <c r="T152" s="728"/>
      <c r="U152" s="728"/>
    </row>
    <row r="153" spans="1:21" s="729" customFormat="1" ht="17.100000000000001" customHeight="1">
      <c r="A153" s="701"/>
      <c r="B153" s="701"/>
      <c r="C153" s="701"/>
      <c r="D153" s="701"/>
      <c r="E153" s="701"/>
      <c r="F153" s="701"/>
      <c r="G153" s="684"/>
      <c r="H153" s="684"/>
      <c r="I153" s="730"/>
      <c r="J153" s="730"/>
      <c r="K153" s="728"/>
      <c r="L153" s="728"/>
      <c r="M153" s="728"/>
      <c r="N153" s="728"/>
      <c r="O153" s="728"/>
      <c r="P153" s="728"/>
      <c r="Q153" s="728"/>
      <c r="R153" s="728"/>
      <c r="S153" s="728"/>
      <c r="T153" s="728"/>
      <c r="U153" s="728"/>
    </row>
    <row r="154" spans="1:21" s="729" customFormat="1" ht="17.100000000000001" customHeight="1">
      <c r="A154" s="701"/>
      <c r="B154" s="701"/>
      <c r="C154" s="701"/>
      <c r="D154" s="701"/>
      <c r="E154" s="701"/>
      <c r="F154" s="701"/>
      <c r="G154" s="684"/>
      <c r="H154" s="684"/>
      <c r="I154" s="730"/>
      <c r="J154" s="730"/>
      <c r="K154" s="728"/>
      <c r="L154" s="728"/>
      <c r="M154" s="728"/>
      <c r="N154" s="728"/>
      <c r="O154" s="728"/>
      <c r="P154" s="728"/>
      <c r="Q154" s="728"/>
      <c r="R154" s="728"/>
      <c r="S154" s="728"/>
      <c r="T154" s="728"/>
      <c r="U154" s="728"/>
    </row>
    <row r="155" spans="1:21" s="729" customFormat="1" ht="17.100000000000001" customHeight="1">
      <c r="A155" s="701"/>
      <c r="B155" s="701"/>
      <c r="C155" s="701"/>
      <c r="D155" s="701"/>
      <c r="E155" s="701"/>
      <c r="F155" s="701"/>
      <c r="G155" s="684"/>
      <c r="I155" s="730"/>
      <c r="J155" s="730"/>
      <c r="K155" s="728"/>
      <c r="L155" s="728"/>
      <c r="M155" s="728"/>
      <c r="N155" s="728"/>
      <c r="O155" s="728"/>
      <c r="P155" s="728"/>
      <c r="Q155" s="728"/>
      <c r="R155" s="728"/>
      <c r="S155" s="728"/>
      <c r="T155" s="728"/>
      <c r="U155" s="728"/>
    </row>
    <row r="156" spans="1:21" s="729" customFormat="1" ht="17.100000000000001" customHeight="1">
      <c r="A156" s="701"/>
      <c r="B156" s="701"/>
      <c r="C156" s="701"/>
      <c r="D156" s="701"/>
      <c r="E156" s="701"/>
      <c r="F156" s="701"/>
      <c r="G156" s="684"/>
      <c r="H156" s="684"/>
      <c r="I156" s="730"/>
      <c r="J156" s="730"/>
      <c r="K156" s="728"/>
      <c r="L156" s="728"/>
      <c r="M156" s="728"/>
      <c r="N156" s="728"/>
      <c r="O156" s="728"/>
      <c r="P156" s="728"/>
      <c r="Q156" s="728"/>
      <c r="R156" s="728"/>
      <c r="S156" s="728"/>
      <c r="T156" s="728"/>
      <c r="U156" s="728"/>
    </row>
    <row r="157" spans="1:21" s="729" customFormat="1" ht="17.100000000000001" customHeight="1">
      <c r="A157" s="701"/>
      <c r="B157" s="701"/>
      <c r="C157" s="701"/>
      <c r="D157" s="701"/>
      <c r="E157" s="701"/>
      <c r="F157" s="701"/>
      <c r="G157" s="684"/>
      <c r="H157" s="684"/>
      <c r="I157" s="730"/>
      <c r="J157" s="730"/>
      <c r="K157" s="728"/>
      <c r="L157" s="728"/>
      <c r="M157" s="728"/>
      <c r="N157" s="728"/>
      <c r="O157" s="728"/>
      <c r="P157" s="728"/>
      <c r="Q157" s="728"/>
      <c r="R157" s="728"/>
      <c r="S157" s="728"/>
      <c r="T157" s="728"/>
      <c r="U157" s="728"/>
    </row>
    <row r="158" spans="1:21" s="729" customFormat="1" ht="17.100000000000001" customHeight="1">
      <c r="A158" s="701"/>
      <c r="B158" s="701"/>
      <c r="C158" s="701"/>
      <c r="D158" s="701"/>
      <c r="E158" s="701"/>
      <c r="F158" s="701"/>
      <c r="G158" s="684"/>
      <c r="H158" s="684"/>
      <c r="I158" s="730"/>
      <c r="J158" s="730"/>
      <c r="K158" s="728"/>
      <c r="L158" s="728"/>
      <c r="M158" s="728"/>
      <c r="N158" s="728"/>
      <c r="O158" s="728"/>
      <c r="P158" s="728"/>
      <c r="Q158" s="728"/>
      <c r="R158" s="728"/>
      <c r="S158" s="728"/>
      <c r="T158" s="728"/>
      <c r="U158" s="728"/>
    </row>
    <row r="159" spans="1:21" s="729" customFormat="1" ht="17.100000000000001" customHeight="1">
      <c r="A159" s="701"/>
      <c r="B159" s="701"/>
      <c r="C159" s="701"/>
      <c r="D159" s="701"/>
      <c r="E159" s="701"/>
      <c r="F159" s="701"/>
      <c r="G159" s="684"/>
      <c r="H159" s="684"/>
      <c r="I159" s="730"/>
      <c r="J159" s="730"/>
      <c r="K159" s="728"/>
      <c r="L159" s="728"/>
      <c r="M159" s="728"/>
      <c r="N159" s="728"/>
      <c r="O159" s="728"/>
      <c r="P159" s="728"/>
      <c r="Q159" s="728"/>
      <c r="R159" s="728"/>
      <c r="S159" s="728"/>
      <c r="T159" s="728"/>
      <c r="U159" s="728"/>
    </row>
    <row r="160" spans="1:21" s="729" customFormat="1" ht="17.100000000000001" customHeight="1">
      <c r="B160" s="701"/>
      <c r="C160" s="701"/>
      <c r="D160" s="701"/>
      <c r="E160" s="701"/>
      <c r="F160" s="701"/>
      <c r="G160" s="684"/>
      <c r="H160" s="684"/>
      <c r="I160" s="730"/>
      <c r="J160" s="730"/>
      <c r="K160" s="728"/>
      <c r="L160" s="728"/>
      <c r="M160" s="728"/>
      <c r="N160" s="728"/>
      <c r="O160" s="728"/>
      <c r="P160" s="728"/>
      <c r="Q160" s="728"/>
      <c r="R160" s="728"/>
      <c r="S160" s="728"/>
      <c r="T160" s="728"/>
      <c r="U160" s="728"/>
    </row>
    <row r="161" spans="1:21" s="729" customFormat="1" ht="17.100000000000001" customHeight="1">
      <c r="A161" s="701"/>
      <c r="B161" s="701"/>
      <c r="C161" s="701"/>
      <c r="D161" s="701"/>
      <c r="E161" s="701"/>
      <c r="F161" s="701"/>
      <c r="G161" s="684"/>
      <c r="H161" s="684"/>
      <c r="I161" s="730"/>
      <c r="J161" s="730"/>
      <c r="K161" s="728"/>
      <c r="L161" s="728"/>
      <c r="M161" s="728"/>
      <c r="N161" s="728"/>
      <c r="O161" s="728"/>
      <c r="P161" s="728"/>
      <c r="Q161" s="728"/>
      <c r="R161" s="728"/>
      <c r="S161" s="728"/>
      <c r="T161" s="728"/>
      <c r="U161" s="728"/>
    </row>
    <row r="162" spans="1:21" s="729" customFormat="1" ht="17.100000000000001" customHeight="1">
      <c r="A162" s="701"/>
      <c r="B162" s="701"/>
      <c r="C162" s="701"/>
      <c r="D162" s="701"/>
      <c r="E162" s="701"/>
      <c r="F162" s="701"/>
      <c r="G162" s="684"/>
      <c r="H162" s="684"/>
      <c r="I162" s="730"/>
      <c r="J162" s="730"/>
      <c r="K162" s="728"/>
      <c r="L162" s="800"/>
      <c r="M162" s="728"/>
      <c r="N162" s="728"/>
      <c r="O162" s="728"/>
      <c r="P162" s="728"/>
      <c r="Q162" s="728"/>
      <c r="R162" s="728"/>
      <c r="S162" s="728"/>
      <c r="T162" s="728"/>
      <c r="U162" s="728"/>
    </row>
    <row r="163" spans="1:21" s="729" customFormat="1" ht="17.100000000000001" hidden="1" customHeight="1">
      <c r="A163" s="805" t="s">
        <v>327</v>
      </c>
      <c r="B163" s="701"/>
      <c r="C163" s="701"/>
      <c r="D163" s="701"/>
      <c r="E163" s="701"/>
      <c r="F163" s="701"/>
      <c r="G163" s="684"/>
      <c r="H163" s="684"/>
      <c r="I163" s="730"/>
      <c r="J163" s="730"/>
      <c r="K163" s="728"/>
      <c r="L163" s="800" t="str">
        <f>IF(Dados2!$C$67=0,"Ocultar","Não ocultar")</f>
        <v>Ocultar</v>
      </c>
      <c r="M163" s="728"/>
      <c r="N163" s="728"/>
      <c r="O163" s="728"/>
      <c r="P163" s="728"/>
      <c r="Q163" s="728"/>
      <c r="R163" s="728"/>
      <c r="S163" s="728"/>
      <c r="T163" s="728"/>
      <c r="U163" s="728"/>
    </row>
    <row r="164" spans="1:21" s="729" customFormat="1" ht="17.100000000000001" hidden="1" customHeight="1">
      <c r="A164" s="805" t="str">
        <f>"Perfil de Rugosidade com filtro (cut-off "&amp;Dados!N7&amp;" mm)"</f>
        <v>Perfil de Rugosidade com filtro (cut-off  mm)</v>
      </c>
      <c r="B164" s="701"/>
      <c r="C164" s="701"/>
      <c r="D164" s="701"/>
      <c r="E164" s="701"/>
      <c r="F164" s="701"/>
      <c r="G164" s="684"/>
      <c r="H164" s="684"/>
      <c r="I164" s="730"/>
      <c r="J164" s="730"/>
      <c r="K164" s="728"/>
      <c r="L164" s="800" t="str">
        <f>IF(Dados!$N$7="","Ocultar","Não ocultar")</f>
        <v>Ocultar</v>
      </c>
      <c r="M164" s="728"/>
      <c r="N164" s="728"/>
      <c r="O164" s="728"/>
      <c r="P164" s="728"/>
      <c r="Q164" s="728"/>
      <c r="R164" s="728"/>
      <c r="S164" s="728"/>
      <c r="T164" s="728"/>
      <c r="U164" s="728"/>
    </row>
    <row r="165" spans="1:21" s="729" customFormat="1" ht="17.100000000000001" hidden="1" customHeight="1">
      <c r="A165" s="701"/>
      <c r="B165" s="701"/>
      <c r="C165" s="701"/>
      <c r="D165" s="701"/>
      <c r="E165" s="701"/>
      <c r="F165" s="701"/>
      <c r="G165" s="684"/>
      <c r="H165" s="684"/>
      <c r="I165" s="730"/>
      <c r="J165" s="730"/>
      <c r="K165" s="728"/>
      <c r="L165" s="800" t="str">
        <f>IF(Dados!$N$7="","Ocultar","Não ocultar")</f>
        <v>Ocultar</v>
      </c>
      <c r="M165" s="728"/>
      <c r="N165" s="728"/>
      <c r="O165" s="728"/>
      <c r="P165" s="728"/>
      <c r="Q165" s="728"/>
      <c r="R165" s="728"/>
      <c r="S165" s="728"/>
      <c r="T165" s="728"/>
      <c r="U165" s="728"/>
    </row>
    <row r="166" spans="1:21" s="729" customFormat="1" ht="17.100000000000001" hidden="1" customHeight="1">
      <c r="A166" s="701"/>
      <c r="B166" s="701"/>
      <c r="C166" s="701"/>
      <c r="D166" s="701"/>
      <c r="E166" s="701"/>
      <c r="F166" s="701"/>
      <c r="G166" s="684"/>
      <c r="H166" s="684"/>
      <c r="I166" s="730"/>
      <c r="J166" s="730"/>
      <c r="K166" s="728"/>
      <c r="L166" s="800" t="str">
        <f>IF(Dados!$N$7="","Ocultar","Não ocultar")</f>
        <v>Ocultar</v>
      </c>
      <c r="M166" s="728"/>
      <c r="N166" s="728"/>
      <c r="O166" s="728"/>
      <c r="P166" s="728"/>
      <c r="Q166" s="728"/>
      <c r="R166" s="728"/>
      <c r="S166" s="728"/>
      <c r="T166" s="728"/>
      <c r="U166" s="728"/>
    </row>
    <row r="167" spans="1:21" s="729" customFormat="1" ht="17.100000000000001" hidden="1" customHeight="1">
      <c r="A167" s="701"/>
      <c r="B167" s="701"/>
      <c r="C167" s="701"/>
      <c r="D167" s="701"/>
      <c r="E167" s="701"/>
      <c r="F167" s="701"/>
      <c r="G167" s="684"/>
      <c r="H167" s="684"/>
      <c r="I167" s="730"/>
      <c r="J167" s="730"/>
      <c r="K167" s="728"/>
      <c r="L167" s="800" t="str">
        <f>IF(Dados!$N$7="","Ocultar","Não ocultar")</f>
        <v>Ocultar</v>
      </c>
      <c r="M167" s="728"/>
      <c r="N167" s="728"/>
      <c r="O167" s="728"/>
      <c r="P167" s="728"/>
      <c r="Q167" s="728"/>
      <c r="R167" s="728"/>
      <c r="S167" s="728"/>
      <c r="T167" s="728"/>
      <c r="U167" s="728"/>
    </row>
    <row r="168" spans="1:21" s="729" customFormat="1" ht="17.100000000000001" hidden="1" customHeight="1">
      <c r="A168" s="701"/>
      <c r="B168" s="701"/>
      <c r="C168" s="701"/>
      <c r="D168" s="701"/>
      <c r="E168" s="701"/>
      <c r="F168" s="701"/>
      <c r="G168" s="684"/>
      <c r="H168" s="684"/>
      <c r="I168" s="730"/>
      <c r="J168" s="730"/>
      <c r="K168" s="728"/>
      <c r="L168" s="800" t="str">
        <f>IF(Dados!$N$7="","Ocultar","Não ocultar")</f>
        <v>Ocultar</v>
      </c>
      <c r="M168" s="728"/>
      <c r="N168" s="728"/>
      <c r="O168" s="728"/>
      <c r="P168" s="728"/>
      <c r="Q168" s="728"/>
      <c r="R168" s="728"/>
      <c r="S168" s="728"/>
      <c r="T168" s="728"/>
      <c r="U168" s="728"/>
    </row>
    <row r="169" spans="1:21" s="729" customFormat="1" ht="17.100000000000001" hidden="1" customHeight="1">
      <c r="A169" s="701"/>
      <c r="B169" s="701"/>
      <c r="C169" s="701"/>
      <c r="D169" s="701"/>
      <c r="E169" s="701"/>
      <c r="F169" s="701"/>
      <c r="G169" s="684"/>
      <c r="H169" s="684"/>
      <c r="I169" s="730"/>
      <c r="J169" s="730"/>
      <c r="K169" s="728"/>
      <c r="L169" s="800" t="str">
        <f>IF(Dados!$N$7="","Ocultar","Não ocultar")</f>
        <v>Ocultar</v>
      </c>
      <c r="M169" s="728"/>
      <c r="N169" s="728"/>
      <c r="O169" s="728"/>
      <c r="P169" s="728"/>
      <c r="Q169" s="728"/>
      <c r="R169" s="728"/>
      <c r="S169" s="728"/>
      <c r="T169" s="728"/>
      <c r="U169" s="728"/>
    </row>
    <row r="170" spans="1:21" s="729" customFormat="1" ht="17.100000000000001" hidden="1" customHeight="1">
      <c r="A170" s="701"/>
      <c r="B170" s="701"/>
      <c r="C170" s="701"/>
      <c r="D170" s="701"/>
      <c r="E170" s="701"/>
      <c r="F170" s="701"/>
      <c r="G170" s="684"/>
      <c r="H170" s="684"/>
      <c r="I170" s="730"/>
      <c r="J170" s="730"/>
      <c r="K170" s="728"/>
      <c r="L170" s="800" t="str">
        <f>IF(Dados!$N$7="","Ocultar","Não ocultar")</f>
        <v>Ocultar</v>
      </c>
      <c r="M170" s="728"/>
      <c r="N170" s="728"/>
      <c r="O170" s="728"/>
      <c r="P170" s="728"/>
      <c r="Q170" s="728"/>
      <c r="R170" s="728"/>
      <c r="S170" s="728"/>
      <c r="T170" s="728"/>
      <c r="U170" s="728"/>
    </row>
    <row r="171" spans="1:21" s="729" customFormat="1" ht="17.100000000000001" hidden="1" customHeight="1">
      <c r="A171" s="701"/>
      <c r="B171" s="701"/>
      <c r="C171" s="701"/>
      <c r="D171" s="701"/>
      <c r="E171" s="701"/>
      <c r="F171" s="701"/>
      <c r="G171" s="684"/>
      <c r="H171" s="684"/>
      <c r="I171" s="730"/>
      <c r="J171" s="730"/>
      <c r="K171" s="728"/>
      <c r="L171" s="800" t="str">
        <f>IF(Dados!$N$7="","Ocultar","Não ocultar")</f>
        <v>Ocultar</v>
      </c>
      <c r="M171" s="728"/>
      <c r="N171" s="728"/>
      <c r="O171" s="728"/>
      <c r="P171" s="728"/>
      <c r="Q171" s="728"/>
      <c r="R171" s="728"/>
      <c r="S171" s="728"/>
      <c r="T171" s="728"/>
      <c r="U171" s="728"/>
    </row>
    <row r="172" spans="1:21" s="729" customFormat="1" ht="17.100000000000001" hidden="1" customHeight="1">
      <c r="A172" s="701"/>
      <c r="B172" s="701"/>
      <c r="C172" s="701"/>
      <c r="D172" s="701"/>
      <c r="E172" s="701"/>
      <c r="F172" s="701"/>
      <c r="G172" s="684"/>
      <c r="H172" s="684"/>
      <c r="I172" s="730"/>
      <c r="J172" s="730"/>
      <c r="K172" s="728"/>
      <c r="L172" s="800" t="str">
        <f>IF(Dados!$N$7="","Ocultar","Não ocultar")</f>
        <v>Ocultar</v>
      </c>
      <c r="M172" s="728"/>
      <c r="N172" s="728"/>
      <c r="O172" s="728"/>
      <c r="P172" s="728"/>
      <c r="Q172" s="728"/>
      <c r="R172" s="728"/>
      <c r="S172" s="728"/>
      <c r="T172" s="728"/>
      <c r="U172" s="728"/>
    </row>
    <row r="173" spans="1:21" s="729" customFormat="1" ht="17.100000000000001" hidden="1" customHeight="1">
      <c r="A173" s="701"/>
      <c r="B173" s="701"/>
      <c r="C173" s="701"/>
      <c r="D173" s="701"/>
      <c r="E173" s="701"/>
      <c r="F173" s="701"/>
      <c r="G173" s="684"/>
      <c r="H173" s="684"/>
      <c r="I173" s="730"/>
      <c r="J173" s="730"/>
      <c r="K173" s="728"/>
      <c r="L173" s="800" t="str">
        <f>IF(Dados!$N$7="","Ocultar","Não ocultar")</f>
        <v>Ocultar</v>
      </c>
      <c r="M173" s="728"/>
      <c r="N173" s="728"/>
      <c r="O173" s="728"/>
      <c r="P173" s="728"/>
      <c r="Q173" s="728"/>
      <c r="R173" s="728"/>
      <c r="S173" s="728"/>
      <c r="T173" s="728"/>
      <c r="U173" s="728"/>
    </row>
    <row r="174" spans="1:21" s="729" customFormat="1" ht="17.100000000000001" hidden="1" customHeight="1">
      <c r="A174" s="701"/>
      <c r="B174" s="701"/>
      <c r="C174" s="701"/>
      <c r="D174" s="701"/>
      <c r="E174" s="701"/>
      <c r="F174" s="701"/>
      <c r="G174" s="684"/>
      <c r="H174" s="684"/>
      <c r="I174" s="730"/>
      <c r="J174" s="730"/>
      <c r="K174" s="728"/>
      <c r="L174" s="800" t="str">
        <f>IF(Dados!$N$7="","Ocultar","Não ocultar")</f>
        <v>Ocultar</v>
      </c>
      <c r="M174" s="728"/>
      <c r="N174" s="728"/>
      <c r="O174" s="728"/>
      <c r="P174" s="728"/>
      <c r="Q174" s="728"/>
      <c r="R174" s="728"/>
      <c r="S174" s="728"/>
      <c r="T174" s="728"/>
      <c r="U174" s="728"/>
    </row>
    <row r="175" spans="1:21" s="729" customFormat="1" ht="17.100000000000001" hidden="1" customHeight="1">
      <c r="A175" s="701"/>
      <c r="B175" s="701"/>
      <c r="C175" s="701"/>
      <c r="D175" s="701"/>
      <c r="E175" s="701"/>
      <c r="F175" s="701"/>
      <c r="G175" s="684"/>
      <c r="H175" s="684"/>
      <c r="I175" s="730"/>
      <c r="J175" s="730"/>
      <c r="K175" s="728"/>
      <c r="L175" s="800" t="str">
        <f>IF(Dados!$N$7="","Ocultar","Não ocultar")</f>
        <v>Ocultar</v>
      </c>
      <c r="M175" s="728"/>
      <c r="N175" s="728"/>
      <c r="O175" s="728"/>
      <c r="P175" s="728"/>
      <c r="Q175" s="728"/>
      <c r="R175" s="728"/>
      <c r="S175" s="728"/>
      <c r="T175" s="728"/>
      <c r="U175" s="728"/>
    </row>
    <row r="176" spans="1:21" s="729" customFormat="1" ht="17.100000000000001" hidden="1" customHeight="1">
      <c r="A176" s="701"/>
      <c r="B176" s="701"/>
      <c r="C176" s="701"/>
      <c r="D176" s="701"/>
      <c r="E176" s="701"/>
      <c r="F176" s="701"/>
      <c r="G176" s="684"/>
      <c r="H176" s="684"/>
      <c r="I176" s="730"/>
      <c r="J176" s="730"/>
      <c r="K176" s="728"/>
      <c r="L176" s="800" t="str">
        <f>IF(Dados!$N$7="","Ocultar","Não ocultar")</f>
        <v>Ocultar</v>
      </c>
      <c r="M176" s="728"/>
      <c r="N176" s="728"/>
      <c r="O176" s="728"/>
      <c r="P176" s="728"/>
      <c r="Q176" s="728"/>
      <c r="R176" s="728"/>
      <c r="S176" s="728"/>
      <c r="T176" s="728"/>
      <c r="U176" s="728"/>
    </row>
    <row r="177" spans="1:21" s="729" customFormat="1" ht="17.100000000000001" hidden="1" customHeight="1">
      <c r="A177" s="701"/>
      <c r="B177" s="701"/>
      <c r="C177" s="701"/>
      <c r="D177" s="701"/>
      <c r="E177" s="701"/>
      <c r="F177" s="701"/>
      <c r="G177" s="684"/>
      <c r="H177" s="684"/>
      <c r="I177" s="730"/>
      <c r="J177" s="730"/>
      <c r="K177" s="728"/>
      <c r="L177" s="800" t="str">
        <f>IF(Dados!$N$7="","Ocultar","Não ocultar")</f>
        <v>Ocultar</v>
      </c>
      <c r="M177" s="728"/>
      <c r="N177" s="728"/>
      <c r="O177" s="728"/>
      <c r="P177" s="728"/>
      <c r="Q177" s="728"/>
      <c r="R177" s="728"/>
      <c r="S177" s="728"/>
      <c r="T177" s="728"/>
      <c r="U177" s="728"/>
    </row>
    <row r="178" spans="1:21" s="729" customFormat="1" ht="17.100000000000001" hidden="1" customHeight="1">
      <c r="A178" s="701"/>
      <c r="B178" s="701"/>
      <c r="C178" s="701"/>
      <c r="D178" s="701"/>
      <c r="E178" s="701"/>
      <c r="F178" s="701"/>
      <c r="G178" s="684"/>
      <c r="H178" s="684"/>
      <c r="I178" s="730"/>
      <c r="J178" s="730"/>
      <c r="K178" s="728"/>
      <c r="L178" s="800" t="str">
        <f>IF(Dados!$N$7="","Ocultar","Não ocultar")</f>
        <v>Ocultar</v>
      </c>
      <c r="M178" s="728"/>
      <c r="N178" s="728"/>
      <c r="O178" s="728"/>
      <c r="P178" s="728"/>
      <c r="Q178" s="728"/>
      <c r="R178" s="728"/>
      <c r="S178" s="728"/>
      <c r="T178" s="728"/>
      <c r="U178" s="728"/>
    </row>
    <row r="179" spans="1:21" s="729" customFormat="1" ht="17.100000000000001" hidden="1" customHeight="1">
      <c r="A179" s="701"/>
      <c r="B179" s="701"/>
      <c r="C179" s="701"/>
      <c r="D179" s="701"/>
      <c r="E179" s="701"/>
      <c r="F179" s="701"/>
      <c r="G179" s="684"/>
      <c r="H179" s="684"/>
      <c r="I179" s="730"/>
      <c r="J179" s="730"/>
      <c r="K179" s="728"/>
      <c r="L179" s="800" t="str">
        <f>IF(Dados!$N$7="","Ocultar","Não ocultar")</f>
        <v>Ocultar</v>
      </c>
      <c r="M179" s="728"/>
      <c r="N179" s="728"/>
      <c r="O179" s="728"/>
      <c r="P179" s="728"/>
      <c r="Q179" s="728"/>
      <c r="R179" s="728"/>
      <c r="S179" s="728"/>
      <c r="T179" s="728"/>
      <c r="U179" s="728"/>
    </row>
    <row r="180" spans="1:21" s="729" customFormat="1" ht="17.100000000000001" hidden="1" customHeight="1">
      <c r="A180" s="701"/>
      <c r="B180" s="701"/>
      <c r="C180" s="701"/>
      <c r="D180" s="701"/>
      <c r="E180" s="701"/>
      <c r="F180" s="701"/>
      <c r="G180" s="684"/>
      <c r="H180" s="684"/>
      <c r="I180" s="730"/>
      <c r="J180" s="730"/>
      <c r="K180" s="728"/>
      <c r="L180" s="800" t="str">
        <f>IF(Dados!$N$7="","Ocultar","Não ocultar")</f>
        <v>Ocultar</v>
      </c>
      <c r="M180" s="728"/>
      <c r="N180" s="728"/>
      <c r="O180" s="728"/>
      <c r="P180" s="728"/>
      <c r="Q180" s="728"/>
      <c r="R180" s="728"/>
      <c r="S180" s="728"/>
      <c r="T180" s="728"/>
      <c r="U180" s="728"/>
    </row>
    <row r="181" spans="1:21" s="729" customFormat="1" ht="17.100000000000001" customHeight="1">
      <c r="B181" s="706"/>
      <c r="C181" s="706"/>
      <c r="D181" s="706"/>
      <c r="E181" s="706"/>
      <c r="F181" s="706"/>
      <c r="G181" s="706"/>
      <c r="H181" s="706"/>
      <c r="I181" s="706"/>
      <c r="J181" s="706"/>
      <c r="K181" s="728"/>
      <c r="L181" s="728"/>
      <c r="M181" s="728"/>
      <c r="N181" s="728"/>
      <c r="O181" s="728"/>
      <c r="P181" s="728"/>
      <c r="Q181" s="728"/>
      <c r="R181" s="728"/>
      <c r="S181" s="728"/>
      <c r="T181" s="728"/>
      <c r="U181" s="728"/>
    </row>
    <row r="182" spans="1:21" s="729" customFormat="1" ht="17.100000000000001" customHeight="1">
      <c r="A182" s="801" t="s">
        <v>26</v>
      </c>
      <c r="B182" s="706"/>
      <c r="C182" s="706"/>
      <c r="D182" s="706"/>
      <c r="E182" s="706"/>
      <c r="F182" s="706"/>
      <c r="G182" s="706"/>
      <c r="H182" s="706"/>
      <c r="I182" s="706"/>
      <c r="J182" s="706"/>
      <c r="K182" s="728"/>
      <c r="L182" s="728"/>
      <c r="M182" s="728"/>
      <c r="N182" s="728"/>
      <c r="O182" s="728"/>
      <c r="P182" s="728"/>
      <c r="Q182" s="728"/>
      <c r="R182" s="728"/>
      <c r="S182" s="728"/>
      <c r="T182" s="728"/>
      <c r="U182" s="728"/>
    </row>
    <row r="183" spans="1:21" s="729" customFormat="1" ht="17.100000000000001" customHeight="1">
      <c r="A183" s="801"/>
      <c r="B183" s="706"/>
      <c r="C183" s="706"/>
      <c r="D183" s="706"/>
      <c r="E183" s="706"/>
      <c r="F183" s="706"/>
      <c r="G183" s="706"/>
      <c r="H183" s="706"/>
      <c r="I183" s="706"/>
      <c r="J183" s="706"/>
      <c r="K183" s="728"/>
      <c r="L183" s="728"/>
      <c r="M183" s="728"/>
      <c r="N183" s="728"/>
      <c r="O183" s="728"/>
      <c r="P183" s="728"/>
      <c r="Q183" s="728"/>
      <c r="R183" s="728"/>
      <c r="S183" s="728"/>
      <c r="T183" s="728"/>
      <c r="U183" s="728"/>
    </row>
    <row r="184" spans="1:21" s="729" customFormat="1" ht="17.100000000000001" hidden="1" customHeight="1">
      <c r="A184" s="928" t="str">
        <f>IF(Dados!J14="","",Dados!J14)</f>
        <v/>
      </c>
      <c r="B184" s="928"/>
      <c r="C184" s="928"/>
      <c r="D184" s="928"/>
      <c r="E184" s="928"/>
      <c r="F184" s="928"/>
      <c r="G184" s="928"/>
      <c r="H184" s="928"/>
      <c r="I184" s="928"/>
      <c r="J184" s="928"/>
      <c r="K184" s="728"/>
      <c r="L184" s="800" t="str">
        <f>IF(Dados!$J$14="","Ocultar","Não ocultar")</f>
        <v>Ocultar</v>
      </c>
      <c r="M184" s="728"/>
      <c r="N184" s="728"/>
      <c r="O184" s="728"/>
      <c r="P184" s="728"/>
      <c r="Q184" s="728"/>
      <c r="R184" s="728"/>
      <c r="S184" s="728"/>
      <c r="T184" s="728"/>
      <c r="U184" s="728"/>
    </row>
    <row r="185" spans="1:21" s="729" customFormat="1" ht="17.100000000000001" hidden="1" customHeight="1">
      <c r="A185" s="928"/>
      <c r="B185" s="928"/>
      <c r="C185" s="928"/>
      <c r="D185" s="928"/>
      <c r="E185" s="928"/>
      <c r="F185" s="928"/>
      <c r="G185" s="928"/>
      <c r="H185" s="928"/>
      <c r="I185" s="928"/>
      <c r="J185" s="928"/>
      <c r="K185" s="728"/>
      <c r="L185" s="800" t="str">
        <f>IF(Dados!$J$14="","Ocultar","Não ocultar")</f>
        <v>Ocultar</v>
      </c>
      <c r="M185" s="728"/>
      <c r="N185" s="728"/>
      <c r="O185" s="728"/>
      <c r="P185" s="728"/>
      <c r="Q185" s="728"/>
      <c r="R185" s="728"/>
      <c r="S185" s="728"/>
      <c r="T185" s="728"/>
      <c r="U185" s="728"/>
    </row>
    <row r="186" spans="1:21" s="729" customFormat="1" ht="17.100000000000001" customHeight="1">
      <c r="A186" s="704" t="s">
        <v>157</v>
      </c>
      <c r="B186" s="803"/>
      <c r="C186" s="732"/>
      <c r="E186" s="733"/>
      <c r="F186" s="734"/>
      <c r="G186" s="803"/>
      <c r="H186" s="803"/>
      <c r="I186" s="804"/>
      <c r="J186" s="804"/>
      <c r="K186" s="728"/>
      <c r="L186" s="728"/>
      <c r="M186" s="728"/>
      <c r="N186" s="728"/>
      <c r="O186" s="728"/>
      <c r="P186" s="728"/>
      <c r="Q186" s="728"/>
      <c r="R186" s="728"/>
      <c r="S186" s="728"/>
      <c r="T186" s="728"/>
      <c r="U186" s="728"/>
    </row>
    <row r="187" spans="1:21" s="684" customFormat="1" ht="17.100000000000001" customHeight="1">
      <c r="A187" s="705" t="s">
        <v>311</v>
      </c>
      <c r="B187" s="731"/>
      <c r="C187" s="732"/>
      <c r="D187" s="729"/>
      <c r="E187" s="733"/>
      <c r="F187" s="734"/>
      <c r="G187" s="731"/>
      <c r="H187" s="731"/>
      <c r="I187" s="730"/>
      <c r="J187" s="730"/>
      <c r="K187" s="691"/>
      <c r="L187" s="728"/>
      <c r="M187" s="691"/>
      <c r="N187" s="691"/>
      <c r="O187" s="691"/>
      <c r="P187" s="691"/>
      <c r="Q187" s="691"/>
      <c r="R187" s="691"/>
      <c r="S187" s="691"/>
      <c r="T187" s="691" t="str">
        <f>IF(U1="","","Este documento dispensa a assinatura física pois foi assinado eletronicamente, cumprindo integralmente os requisitos de acreditação segundo a ABNT NBR ISO/IEC 17025:2005")</f>
        <v/>
      </c>
      <c r="U187" s="691"/>
    </row>
    <row r="188" spans="1:21" s="684" customFormat="1" ht="17.100000000000001" customHeight="1">
      <c r="A188" s="702" t="str">
        <f>"- Umidade Relativa do Ar: "&amp;Geral!L9</f>
        <v>- Umidade Relativa do Ar: (50 ± 10) %ur</v>
      </c>
      <c r="B188" s="731"/>
      <c r="C188" s="732"/>
      <c r="D188" s="729"/>
      <c r="E188" s="733"/>
      <c r="F188" s="734"/>
      <c r="G188" s="731"/>
      <c r="H188" s="731"/>
      <c r="I188" s="735"/>
      <c r="J188" s="735"/>
      <c r="K188" s="691"/>
      <c r="L188" s="728"/>
      <c r="M188" s="691"/>
      <c r="N188" s="691"/>
      <c r="O188" s="691"/>
      <c r="P188" s="691"/>
      <c r="Q188" s="691"/>
      <c r="R188" s="691"/>
      <c r="S188" s="691"/>
      <c r="T188" s="691"/>
      <c r="U188" s="691"/>
    </row>
    <row r="189" spans="1:21" s="684" customFormat="1" ht="53.25" customHeight="1">
      <c r="A189" s="925" t="s">
        <v>407</v>
      </c>
      <c r="B189" s="925"/>
      <c r="C189" s="925"/>
      <c r="D189" s="925"/>
      <c r="E189" s="925"/>
      <c r="F189" s="925"/>
      <c r="G189" s="925"/>
      <c r="H189" s="925"/>
      <c r="I189" s="925"/>
      <c r="J189" s="925"/>
      <c r="K189" s="691"/>
      <c r="L189" s="691"/>
      <c r="M189" s="691"/>
      <c r="N189" s="691"/>
      <c r="O189" s="691"/>
      <c r="P189" s="691"/>
      <c r="Q189" s="691"/>
      <c r="R189" s="691"/>
      <c r="S189" s="691"/>
      <c r="T189" s="691"/>
      <c r="U189" s="691"/>
    </row>
    <row r="190" spans="1:21" s="684" customFormat="1" ht="28.5" customHeight="1">
      <c r="A190" s="924" t="s">
        <v>415</v>
      </c>
      <c r="B190" s="924"/>
      <c r="C190" s="924"/>
      <c r="D190" s="924"/>
      <c r="E190" s="924"/>
      <c r="F190" s="924"/>
      <c r="G190" s="924"/>
      <c r="H190" s="924"/>
      <c r="I190" s="924"/>
      <c r="J190" s="924"/>
      <c r="K190" s="691"/>
      <c r="L190" s="691"/>
      <c r="M190" s="691"/>
      <c r="N190" s="691"/>
      <c r="O190" s="691"/>
      <c r="P190" s="691"/>
      <c r="Q190" s="691"/>
      <c r="R190" s="691"/>
      <c r="S190" s="691"/>
      <c r="T190" s="691"/>
      <c r="U190" s="691"/>
    </row>
    <row r="191" spans="1:21" s="684" customFormat="1" ht="29.25" customHeight="1">
      <c r="A191" s="924" t="s">
        <v>416</v>
      </c>
      <c r="B191" s="924"/>
      <c r="C191" s="924"/>
      <c r="D191" s="924"/>
      <c r="E191" s="924"/>
      <c r="F191" s="924"/>
      <c r="G191" s="924"/>
      <c r="H191" s="924"/>
      <c r="I191" s="924"/>
      <c r="J191" s="924"/>
      <c r="K191" s="691"/>
      <c r="L191" s="691"/>
      <c r="M191" s="691"/>
      <c r="N191" s="691"/>
      <c r="O191" s="691"/>
      <c r="P191" s="691"/>
      <c r="Q191" s="691"/>
      <c r="R191" s="691"/>
      <c r="S191" s="691"/>
      <c r="T191" s="691"/>
      <c r="U191" s="691"/>
    </row>
    <row r="192" spans="1:21" s="684" customFormat="1" ht="42" customHeight="1">
      <c r="A192" s="924" t="s">
        <v>408</v>
      </c>
      <c r="B192" s="924"/>
      <c r="C192" s="924"/>
      <c r="D192" s="924"/>
      <c r="E192" s="924"/>
      <c r="F192" s="924"/>
      <c r="G192" s="924"/>
      <c r="H192" s="924"/>
      <c r="I192" s="924"/>
      <c r="J192" s="924"/>
      <c r="K192" s="691"/>
      <c r="L192" s="691"/>
      <c r="M192" s="691"/>
      <c r="N192" s="691"/>
      <c r="O192" s="691"/>
      <c r="P192" s="691"/>
      <c r="Q192" s="691"/>
      <c r="R192" s="691"/>
      <c r="S192" s="691"/>
      <c r="T192" s="691"/>
      <c r="U192" s="691"/>
    </row>
    <row r="193" spans="1:21" s="684" customFormat="1" ht="39" customHeight="1">
      <c r="A193" s="924" t="s">
        <v>409</v>
      </c>
      <c r="B193" s="924"/>
      <c r="C193" s="924"/>
      <c r="D193" s="924"/>
      <c r="E193" s="924"/>
      <c r="F193" s="924"/>
      <c r="G193" s="924"/>
      <c r="H193" s="924"/>
      <c r="I193" s="924"/>
      <c r="J193" s="924"/>
      <c r="K193" s="691"/>
      <c r="L193" s="691"/>
      <c r="M193" s="691"/>
      <c r="N193" s="691"/>
      <c r="O193" s="691"/>
      <c r="P193" s="691"/>
      <c r="Q193" s="691"/>
      <c r="R193" s="691"/>
      <c r="S193" s="691"/>
      <c r="T193" s="691"/>
      <c r="U193" s="691"/>
    </row>
    <row r="194" spans="1:21" s="684" customFormat="1" ht="17.100000000000001" customHeight="1">
      <c r="K194" s="691"/>
      <c r="L194" s="691"/>
      <c r="M194" s="691"/>
      <c r="N194" s="691"/>
      <c r="O194" s="691"/>
      <c r="P194" s="691"/>
      <c r="Q194" s="691"/>
      <c r="R194" s="691"/>
      <c r="S194" s="691"/>
      <c r="T194" s="691"/>
      <c r="U194" s="691"/>
    </row>
    <row r="195" spans="1:21" s="684" customFormat="1" ht="17.100000000000001" customHeight="1">
      <c r="A195" s="736"/>
      <c r="B195" s="736"/>
      <c r="C195" s="698"/>
      <c r="E195" s="737"/>
      <c r="F195" s="738"/>
      <c r="G195" s="736"/>
      <c r="H195" s="736"/>
      <c r="I195" s="691"/>
      <c r="J195" s="691"/>
      <c r="K195" s="691"/>
      <c r="L195" s="691"/>
      <c r="M195" s="691"/>
      <c r="N195" s="691"/>
      <c r="O195" s="691"/>
      <c r="P195" s="691"/>
      <c r="Q195" s="691"/>
      <c r="R195" s="691"/>
      <c r="S195" s="691"/>
      <c r="T195" s="691"/>
      <c r="U195" s="691"/>
    </row>
    <row r="196" spans="1:21" s="684" customFormat="1" ht="17.100000000000001" customHeight="1">
      <c r="K196" s="691"/>
      <c r="L196" s="691"/>
      <c r="M196" s="691"/>
      <c r="N196" s="691"/>
      <c r="O196" s="691"/>
      <c r="P196" s="691"/>
      <c r="Q196" s="691"/>
      <c r="R196" s="691"/>
      <c r="S196" s="691"/>
      <c r="T196" s="691"/>
      <c r="U196" s="691"/>
    </row>
    <row r="197" spans="1:21" s="684" customFormat="1" ht="17.100000000000001" customHeight="1">
      <c r="K197" s="730"/>
      <c r="L197" s="691"/>
      <c r="M197" s="730"/>
      <c r="N197" s="730"/>
      <c r="O197" s="730"/>
      <c r="P197" s="730"/>
      <c r="Q197" s="730"/>
      <c r="R197" s="730"/>
      <c r="S197" s="730"/>
      <c r="T197" s="691"/>
      <c r="U197" s="691"/>
    </row>
    <row r="198" spans="1:21" s="684" customFormat="1" ht="17.100000000000001" customHeight="1">
      <c r="A198" s="822"/>
      <c r="B198" s="822"/>
      <c r="C198" s="822"/>
      <c r="D198" s="822"/>
      <c r="E198" s="822"/>
      <c r="F198" s="822"/>
      <c r="G198" s="822"/>
      <c r="H198" s="822"/>
      <c r="I198" s="822"/>
      <c r="J198" s="822"/>
      <c r="K198" s="730"/>
      <c r="L198" s="691"/>
      <c r="M198" s="730"/>
      <c r="N198" s="730"/>
      <c r="O198" s="730"/>
      <c r="P198" s="730"/>
      <c r="Q198" s="730"/>
      <c r="R198" s="730"/>
      <c r="S198" s="730"/>
      <c r="T198" s="691"/>
      <c r="U198" s="691"/>
    </row>
    <row r="199" spans="1:21" s="684" customFormat="1" ht="17.100000000000001" customHeight="1">
      <c r="I199" s="691"/>
      <c r="J199" s="691"/>
      <c r="K199" s="730"/>
      <c r="L199" s="730"/>
      <c r="M199" s="730"/>
      <c r="N199" s="730"/>
      <c r="O199" s="730"/>
      <c r="P199" s="730"/>
      <c r="Q199" s="730"/>
      <c r="R199" s="730"/>
      <c r="S199" s="730"/>
      <c r="T199" s="691"/>
      <c r="U199" s="691"/>
    </row>
    <row r="200" spans="1:21" s="684" customFormat="1" ht="17.100000000000001" customHeight="1">
      <c r="K200" s="730"/>
      <c r="L200" s="730"/>
      <c r="M200" s="730"/>
      <c r="N200" s="730"/>
      <c r="O200" s="730"/>
      <c r="P200" s="730"/>
      <c r="Q200" s="730"/>
      <c r="R200" s="730"/>
      <c r="S200" s="730"/>
      <c r="T200" s="691"/>
      <c r="U200" s="691"/>
    </row>
    <row r="201" spans="1:21" s="684" customFormat="1" ht="17.100000000000001" customHeight="1">
      <c r="K201" s="730"/>
      <c r="L201" s="730"/>
      <c r="M201" s="730"/>
      <c r="N201" s="730"/>
      <c r="O201" s="730"/>
      <c r="P201" s="730"/>
      <c r="Q201" s="730"/>
      <c r="R201" s="730"/>
      <c r="S201" s="730"/>
      <c r="T201" s="691"/>
      <c r="U201" s="691"/>
    </row>
    <row r="202" spans="1:21" s="684" customFormat="1" ht="17.100000000000001" customHeight="1">
      <c r="A202" s="698"/>
      <c r="B202" s="698"/>
      <c r="C202" s="698"/>
      <c r="D202" s="698"/>
      <c r="E202" s="698"/>
      <c r="F202" s="698"/>
      <c r="G202" s="778"/>
      <c r="H202" s="778"/>
      <c r="K202" s="730"/>
      <c r="L202" s="730"/>
      <c r="M202" s="730"/>
      <c r="N202" s="730"/>
      <c r="O202" s="730"/>
      <c r="P202" s="730"/>
      <c r="Q202" s="730"/>
      <c r="R202" s="730"/>
      <c r="S202" s="730"/>
      <c r="T202" s="691"/>
      <c r="U202" s="691"/>
    </row>
    <row r="203" spans="1:21" s="684" customFormat="1" ht="17.100000000000001" customHeight="1">
      <c r="A203" s="698"/>
      <c r="B203" s="698"/>
      <c r="C203" s="698"/>
      <c r="D203" s="698"/>
      <c r="E203" s="698"/>
      <c r="F203" s="698"/>
      <c r="K203" s="730"/>
      <c r="L203" s="730"/>
      <c r="M203" s="730"/>
      <c r="N203" s="730"/>
      <c r="O203" s="730"/>
      <c r="P203" s="730"/>
      <c r="Q203" s="730"/>
      <c r="R203" s="730"/>
      <c r="S203" s="730"/>
      <c r="T203" s="691"/>
      <c r="U203" s="691"/>
    </row>
    <row r="204" spans="1:21" s="684" customFormat="1" ht="17.100000000000001" customHeight="1">
      <c r="E204" s="698"/>
      <c r="F204" s="736"/>
      <c r="K204" s="730"/>
      <c r="L204" s="730"/>
      <c r="M204" s="730"/>
      <c r="N204" s="730"/>
      <c r="O204" s="730"/>
      <c r="P204" s="730"/>
      <c r="Q204" s="730"/>
      <c r="R204" s="730"/>
      <c r="S204" s="730"/>
      <c r="T204" s="691"/>
      <c r="U204" s="691"/>
    </row>
    <row r="205" spans="1:21" s="684" customFormat="1" ht="17.100000000000001" customHeight="1">
      <c r="F205" s="736"/>
      <c r="K205" s="730"/>
      <c r="L205" s="730"/>
      <c r="M205" s="730"/>
      <c r="N205" s="730"/>
      <c r="O205" s="730"/>
      <c r="P205" s="730"/>
      <c r="Q205" s="730"/>
      <c r="R205" s="730"/>
      <c r="S205" s="730"/>
      <c r="T205" s="691"/>
      <c r="U205" s="691"/>
    </row>
    <row r="206" spans="1:21" s="684" customFormat="1" ht="17.100000000000001" customHeight="1">
      <c r="A206" s="693"/>
      <c r="B206" s="736"/>
      <c r="F206" s="736"/>
      <c r="K206" s="730"/>
      <c r="L206" s="730"/>
      <c r="M206" s="730"/>
      <c r="N206" s="730"/>
      <c r="O206" s="730"/>
      <c r="P206" s="730"/>
      <c r="Q206" s="730"/>
      <c r="R206" s="730"/>
      <c r="S206" s="730"/>
      <c r="T206" s="691"/>
      <c r="U206" s="691"/>
    </row>
    <row r="207" spans="1:21" s="684" customFormat="1" ht="17.100000000000001" customHeight="1">
      <c r="A207" s="736"/>
      <c r="B207" s="739"/>
      <c r="C207" s="688"/>
      <c r="D207" s="688"/>
      <c r="E207" s="688"/>
      <c r="F207" s="736"/>
      <c r="K207" s="730"/>
      <c r="L207" s="730"/>
      <c r="M207" s="730"/>
      <c r="N207" s="730"/>
      <c r="O207" s="730"/>
      <c r="P207" s="730"/>
      <c r="Q207" s="730"/>
      <c r="R207" s="730"/>
      <c r="S207" s="730"/>
      <c r="T207" s="691"/>
      <c r="U207" s="691"/>
    </row>
    <row r="208" spans="1:21" s="684" customFormat="1" ht="17.100000000000001" customHeight="1">
      <c r="A208" s="698"/>
      <c r="B208" s="739"/>
      <c r="C208" s="692"/>
      <c r="D208" s="692"/>
      <c r="F208" s="740"/>
      <c r="K208" s="730"/>
      <c r="L208" s="730"/>
      <c r="M208" s="730"/>
      <c r="N208" s="730"/>
      <c r="O208" s="730"/>
      <c r="P208" s="730"/>
      <c r="Q208" s="730"/>
      <c r="R208" s="730"/>
      <c r="S208" s="730"/>
      <c r="T208" s="691"/>
      <c r="U208" s="691"/>
    </row>
    <row r="209" spans="1:21" s="684" customFormat="1" ht="17.100000000000001" customHeight="1">
      <c r="A209" s="736"/>
      <c r="B209" s="739"/>
      <c r="C209" s="692"/>
      <c r="D209" s="692"/>
      <c r="E209" s="692"/>
      <c r="F209" s="736"/>
      <c r="K209" s="730"/>
      <c r="L209" s="730"/>
      <c r="M209" s="730"/>
      <c r="N209" s="730"/>
      <c r="O209" s="730"/>
      <c r="P209" s="730"/>
      <c r="Q209" s="730"/>
      <c r="R209" s="730"/>
      <c r="S209" s="730"/>
      <c r="T209" s="691"/>
      <c r="U209" s="691"/>
    </row>
    <row r="210" spans="1:21" s="684" customFormat="1" ht="17.100000000000001" customHeight="1">
      <c r="E210" s="741"/>
      <c r="F210" s="742"/>
      <c r="I210" s="743"/>
      <c r="J210" s="743"/>
      <c r="K210" s="730"/>
      <c r="L210" s="730"/>
      <c r="M210" s="730"/>
      <c r="N210" s="730"/>
      <c r="O210" s="730"/>
      <c r="P210" s="730"/>
      <c r="Q210" s="730"/>
      <c r="R210" s="730"/>
      <c r="S210" s="730"/>
      <c r="T210" s="691"/>
      <c r="U210" s="691"/>
    </row>
    <row r="211" spans="1:21" s="684" customFormat="1" ht="17.100000000000001" customHeight="1">
      <c r="E211" s="741"/>
      <c r="F211" s="742"/>
      <c r="I211" s="743"/>
      <c r="J211" s="743"/>
      <c r="K211" s="730"/>
      <c r="L211" s="730"/>
      <c r="M211" s="730"/>
      <c r="N211" s="730"/>
      <c r="O211" s="730"/>
      <c r="P211" s="730"/>
      <c r="Q211" s="730"/>
      <c r="R211" s="730"/>
      <c r="S211" s="730"/>
      <c r="T211" s="691"/>
      <c r="U211" s="691"/>
    </row>
    <row r="212" spans="1:21" s="684" customFormat="1" ht="17.100000000000001" customHeight="1">
      <c r="E212" s="741"/>
      <c r="F212" s="742"/>
      <c r="I212" s="745"/>
      <c r="J212" s="745"/>
      <c r="K212" s="730"/>
      <c r="L212" s="730"/>
      <c r="M212" s="730"/>
      <c r="N212" s="730"/>
      <c r="O212" s="730"/>
      <c r="P212" s="730"/>
      <c r="Q212" s="730"/>
      <c r="R212" s="730"/>
      <c r="S212" s="730"/>
      <c r="T212" s="691"/>
      <c r="U212" s="691"/>
    </row>
    <row r="213" spans="1:21" s="684" customFormat="1" ht="17.100000000000001" customHeight="1">
      <c r="E213" s="741"/>
      <c r="F213" s="742"/>
      <c r="I213" s="744"/>
      <c r="J213" s="744"/>
      <c r="K213" s="730"/>
      <c r="L213" s="730"/>
      <c r="M213" s="730"/>
      <c r="N213" s="730"/>
      <c r="O213" s="730"/>
      <c r="P213" s="730"/>
      <c r="Q213" s="730"/>
      <c r="R213" s="730"/>
      <c r="S213" s="730"/>
      <c r="T213" s="691"/>
      <c r="U213" s="691"/>
    </row>
    <row r="214" spans="1:21" s="684" customFormat="1" ht="17.100000000000001" customHeight="1">
      <c r="E214" s="741"/>
      <c r="F214" s="742"/>
      <c r="I214" s="744"/>
      <c r="J214" s="744"/>
      <c r="K214" s="730"/>
      <c r="L214" s="730"/>
      <c r="M214" s="730"/>
      <c r="N214" s="730"/>
      <c r="O214" s="730"/>
      <c r="P214" s="730"/>
      <c r="Q214" s="730"/>
      <c r="R214" s="730"/>
      <c r="S214" s="730"/>
      <c r="T214" s="691"/>
      <c r="U214" s="691"/>
    </row>
    <row r="215" spans="1:21" s="684" customFormat="1" ht="17.100000000000001" customHeight="1">
      <c r="E215" s="741"/>
      <c r="F215" s="742"/>
      <c r="I215" s="744"/>
      <c r="J215" s="744"/>
      <c r="K215" s="730"/>
      <c r="L215" s="730"/>
      <c r="M215" s="730"/>
      <c r="N215" s="730"/>
      <c r="O215" s="730"/>
      <c r="P215" s="730"/>
      <c r="Q215" s="730"/>
      <c r="R215" s="730"/>
      <c r="S215" s="730"/>
      <c r="T215" s="691"/>
      <c r="U215" s="691"/>
    </row>
    <row r="216" spans="1:21" s="684" customFormat="1" ht="17.100000000000001" customHeight="1">
      <c r="A216" s="726"/>
      <c r="B216" s="736"/>
      <c r="C216" s="698"/>
      <c r="E216" s="741"/>
      <c r="F216" s="742"/>
      <c r="I216" s="744"/>
      <c r="J216" s="744"/>
      <c r="K216" s="730"/>
      <c r="L216" s="730"/>
      <c r="M216" s="730"/>
      <c r="N216" s="730"/>
      <c r="O216" s="730"/>
      <c r="P216" s="730"/>
      <c r="Q216" s="730"/>
      <c r="R216" s="730"/>
      <c r="S216" s="730"/>
      <c r="T216" s="691"/>
      <c r="U216" s="691"/>
    </row>
    <row r="217" spans="1:21" s="684" customFormat="1" ht="17.100000000000001" customHeight="1">
      <c r="A217" s="726"/>
      <c r="B217" s="726"/>
      <c r="C217" s="698"/>
      <c r="D217" s="698"/>
      <c r="E217" s="726"/>
      <c r="F217" s="698"/>
      <c r="I217" s="744"/>
      <c r="J217" s="744"/>
      <c r="K217" s="730"/>
      <c r="L217" s="730"/>
      <c r="M217" s="730"/>
      <c r="N217" s="730"/>
      <c r="O217" s="730"/>
      <c r="P217" s="730"/>
      <c r="Q217" s="730"/>
      <c r="R217" s="730"/>
      <c r="S217" s="730"/>
      <c r="T217" s="691"/>
      <c r="U217" s="691"/>
    </row>
    <row r="218" spans="1:21" s="684" customFormat="1" ht="17.100000000000001" customHeight="1">
      <c r="A218" s="726"/>
      <c r="B218" s="726"/>
      <c r="C218" s="698"/>
      <c r="D218" s="698"/>
      <c r="E218" s="726"/>
      <c r="F218" s="698"/>
      <c r="I218" s="744"/>
      <c r="J218" s="744"/>
      <c r="K218" s="735"/>
      <c r="L218" s="730"/>
      <c r="M218" s="735"/>
      <c r="N218" s="735"/>
      <c r="O218" s="735"/>
      <c r="P218" s="735"/>
      <c r="Q218" s="735"/>
      <c r="R218" s="735"/>
      <c r="S218" s="735"/>
      <c r="T218" s="691"/>
      <c r="U218" s="691"/>
    </row>
    <row r="219" spans="1:21" s="684" customFormat="1" ht="17.100000000000001" customHeight="1">
      <c r="A219" s="698"/>
      <c r="B219" s="726"/>
      <c r="C219" s="698"/>
      <c r="D219" s="698"/>
      <c r="E219" s="726"/>
      <c r="F219" s="698"/>
      <c r="G219" s="698"/>
      <c r="H219" s="698"/>
      <c r="I219" s="744"/>
      <c r="J219" s="744"/>
      <c r="K219" s="735"/>
      <c r="L219" s="730"/>
      <c r="M219" s="735"/>
      <c r="N219" s="735"/>
      <c r="O219" s="735"/>
      <c r="P219" s="735"/>
      <c r="Q219" s="735"/>
      <c r="R219" s="735"/>
      <c r="S219" s="735"/>
      <c r="T219" s="691"/>
      <c r="U219" s="691"/>
    </row>
    <row r="220" spans="1:21" s="684" customFormat="1" ht="17.100000000000001" customHeight="1">
      <c r="A220" s="698"/>
      <c r="B220" s="698"/>
      <c r="C220" s="698"/>
      <c r="D220" s="698"/>
      <c r="E220" s="737"/>
      <c r="F220" s="738"/>
      <c r="G220" s="698"/>
      <c r="H220" s="698"/>
      <c r="I220" s="744"/>
      <c r="J220" s="744"/>
      <c r="K220" s="691"/>
      <c r="L220" s="735"/>
      <c r="M220" s="691"/>
      <c r="N220" s="691"/>
      <c r="O220" s="691"/>
      <c r="P220" s="691"/>
      <c r="Q220" s="691"/>
      <c r="R220" s="691"/>
      <c r="S220" s="691"/>
      <c r="T220" s="691"/>
      <c r="U220" s="691"/>
    </row>
    <row r="221" spans="1:21" s="684" customFormat="1" ht="17.100000000000001" customHeight="1">
      <c r="A221" s="698"/>
      <c r="B221" s="698"/>
      <c r="C221" s="698"/>
      <c r="D221" s="698"/>
      <c r="E221" s="737"/>
      <c r="F221" s="738"/>
      <c r="G221" s="698"/>
      <c r="H221" s="698"/>
      <c r="K221" s="691"/>
      <c r="L221" s="735"/>
      <c r="M221" s="691"/>
      <c r="N221" s="691"/>
      <c r="O221" s="691"/>
      <c r="P221" s="691"/>
      <c r="Q221" s="691"/>
      <c r="R221" s="691"/>
      <c r="S221" s="691"/>
      <c r="T221" s="691"/>
      <c r="U221" s="691"/>
    </row>
    <row r="222" spans="1:21" s="684" customFormat="1" ht="17.100000000000001" customHeight="1">
      <c r="A222" s="698"/>
      <c r="B222" s="698"/>
      <c r="C222" s="698"/>
      <c r="D222" s="698"/>
      <c r="E222" s="737"/>
      <c r="F222" s="738"/>
      <c r="G222" s="698"/>
      <c r="H222" s="698"/>
      <c r="K222" s="691"/>
      <c r="L222" s="691"/>
      <c r="M222" s="691"/>
      <c r="N222" s="691"/>
      <c r="O222" s="691"/>
      <c r="P222" s="691"/>
      <c r="Q222" s="691"/>
      <c r="R222" s="691"/>
      <c r="S222" s="691"/>
      <c r="T222" s="691"/>
      <c r="U222" s="691"/>
    </row>
    <row r="223" spans="1:21" s="684" customFormat="1" ht="17.100000000000001" customHeight="1">
      <c r="A223" s="736"/>
      <c r="B223" s="736"/>
      <c r="C223" s="698"/>
      <c r="E223" s="737"/>
      <c r="F223" s="738"/>
      <c r="G223" s="698"/>
      <c r="H223" s="698"/>
      <c r="K223" s="691"/>
      <c r="L223" s="691"/>
      <c r="M223" s="691"/>
      <c r="N223" s="691"/>
      <c r="O223" s="691"/>
      <c r="P223" s="691"/>
      <c r="Q223" s="691"/>
      <c r="R223" s="691"/>
      <c r="S223" s="691"/>
      <c r="T223" s="691"/>
      <c r="U223" s="691"/>
    </row>
    <row r="224" spans="1:21" s="684" customFormat="1" ht="17.100000000000001" customHeight="1">
      <c r="A224" s="736"/>
      <c r="B224" s="736"/>
      <c r="C224" s="698"/>
      <c r="D224" s="698"/>
      <c r="E224" s="698"/>
      <c r="F224" s="736"/>
      <c r="G224" s="779"/>
      <c r="H224" s="779"/>
      <c r="K224" s="691"/>
      <c r="L224" s="691"/>
      <c r="M224" s="691"/>
      <c r="N224" s="691"/>
      <c r="O224" s="691"/>
      <c r="P224" s="691"/>
      <c r="Q224" s="691"/>
      <c r="R224" s="691"/>
      <c r="S224" s="691"/>
      <c r="T224" s="691"/>
      <c r="U224" s="691"/>
    </row>
    <row r="225" spans="1:21" s="684" customFormat="1" ht="17.100000000000001" customHeight="1">
      <c r="A225" s="726"/>
      <c r="B225" s="736"/>
      <c r="C225" s="698"/>
      <c r="D225" s="698"/>
      <c r="E225" s="698"/>
      <c r="F225" s="736"/>
      <c r="G225" s="779"/>
      <c r="H225" s="779"/>
      <c r="K225" s="691"/>
      <c r="L225" s="691"/>
      <c r="M225" s="691"/>
      <c r="N225" s="691"/>
      <c r="O225" s="691"/>
      <c r="P225" s="691"/>
      <c r="Q225" s="691"/>
      <c r="R225" s="691"/>
      <c r="S225" s="691"/>
      <c r="T225" s="691"/>
      <c r="U225" s="691"/>
    </row>
    <row r="226" spans="1:21" s="684" customFormat="1" ht="17.25" customHeight="1">
      <c r="A226" s="736"/>
      <c r="B226" s="736"/>
      <c r="C226" s="698"/>
      <c r="D226" s="698"/>
      <c r="E226" s="698"/>
      <c r="F226" s="736"/>
      <c r="G226" s="779"/>
      <c r="H226" s="779"/>
      <c r="K226" s="691"/>
      <c r="L226" s="691"/>
      <c r="M226" s="691"/>
      <c r="N226" s="691"/>
      <c r="O226" s="691"/>
      <c r="P226" s="691"/>
      <c r="Q226" s="691"/>
      <c r="R226" s="691"/>
      <c r="S226" s="691"/>
      <c r="T226" s="691"/>
      <c r="U226" s="691"/>
    </row>
    <row r="227" spans="1:21" s="684" customFormat="1" ht="17.100000000000001" customHeight="1">
      <c r="G227" s="698"/>
      <c r="H227" s="698"/>
      <c r="K227" s="691"/>
      <c r="L227" s="691"/>
      <c r="M227" s="691"/>
      <c r="N227" s="691"/>
      <c r="O227" s="691"/>
      <c r="P227" s="691"/>
      <c r="Q227" s="691"/>
      <c r="R227" s="691"/>
      <c r="S227" s="691"/>
      <c r="T227" s="691"/>
      <c r="U227" s="691"/>
    </row>
    <row r="228" spans="1:21" s="684" customFormat="1" ht="17.100000000000001" customHeight="1">
      <c r="G228" s="698"/>
      <c r="H228" s="698"/>
      <c r="K228" s="691"/>
      <c r="L228" s="691"/>
      <c r="M228" s="691"/>
      <c r="N228" s="691"/>
      <c r="O228" s="691"/>
      <c r="P228" s="691"/>
      <c r="Q228" s="691"/>
      <c r="R228" s="691"/>
      <c r="S228" s="691"/>
      <c r="T228" s="691"/>
      <c r="U228" s="691"/>
    </row>
    <row r="229" spans="1:21" s="684" customFormat="1" ht="17.100000000000001" customHeight="1">
      <c r="A229" s="692"/>
      <c r="B229" s="746"/>
      <c r="C229" s="746"/>
      <c r="D229" s="747"/>
      <c r="E229" s="748"/>
      <c r="F229" s="749"/>
      <c r="G229" s="698"/>
      <c r="H229" s="698"/>
      <c r="K229" s="691"/>
      <c r="L229" s="691"/>
      <c r="M229" s="691"/>
      <c r="N229" s="691"/>
      <c r="O229" s="691"/>
      <c r="P229" s="691"/>
      <c r="Q229" s="691"/>
      <c r="R229" s="691"/>
      <c r="S229" s="691"/>
      <c r="T229" s="691"/>
      <c r="U229" s="691"/>
    </row>
    <row r="230" spans="1:21" s="684" customFormat="1" ht="17.100000000000001" customHeight="1">
      <c r="B230" s="746"/>
      <c r="C230" s="746"/>
      <c r="D230" s="747"/>
      <c r="E230" s="748"/>
      <c r="F230" s="749"/>
      <c r="G230" s="698"/>
      <c r="H230" s="698"/>
      <c r="K230" s="691"/>
      <c r="L230" s="691"/>
      <c r="M230" s="691"/>
      <c r="N230" s="691"/>
      <c r="O230" s="691"/>
      <c r="P230" s="691"/>
      <c r="Q230" s="691"/>
      <c r="R230" s="691"/>
      <c r="S230" s="691"/>
      <c r="T230" s="691"/>
      <c r="U230" s="691"/>
    </row>
    <row r="231" spans="1:21" s="684" customFormat="1" ht="17.100000000000001" customHeight="1">
      <c r="A231" s="698"/>
      <c r="B231" s="750"/>
      <c r="C231" s="751"/>
      <c r="D231" s="752"/>
      <c r="E231" s="753"/>
      <c r="F231" s="753"/>
      <c r="G231" s="698"/>
      <c r="H231" s="698"/>
      <c r="K231" s="691"/>
      <c r="L231" s="691"/>
      <c r="M231" s="691"/>
      <c r="N231" s="691"/>
      <c r="O231" s="691"/>
      <c r="P231" s="691"/>
      <c r="Q231" s="691"/>
      <c r="R231" s="691"/>
      <c r="S231" s="691"/>
      <c r="T231" s="691"/>
      <c r="U231" s="691"/>
    </row>
    <row r="232" spans="1:21" s="684" customFormat="1" ht="17.100000000000001" customHeight="1">
      <c r="A232" s="726"/>
      <c r="B232" s="726"/>
      <c r="C232" s="726"/>
      <c r="D232" s="726"/>
      <c r="E232" s="698"/>
      <c r="F232" s="698"/>
      <c r="G232" s="698"/>
      <c r="H232" s="698"/>
      <c r="L232" s="691"/>
    </row>
    <row r="233" spans="1:21" s="684" customFormat="1" ht="17.100000000000001" customHeight="1">
      <c r="L233" s="691"/>
    </row>
    <row r="234" spans="1:21" s="684" customFormat="1" ht="17.100000000000001" customHeight="1"/>
    <row r="235" spans="1:21" s="684" customFormat="1" ht="17.100000000000001" customHeight="1"/>
    <row r="236" spans="1:21" s="684" customFormat="1" ht="17.100000000000001" customHeight="1"/>
    <row r="237" spans="1:21" s="684" customFormat="1" ht="17.100000000000001" customHeight="1"/>
    <row r="238" spans="1:21" s="684" customFormat="1" ht="17.100000000000001" customHeight="1"/>
    <row r="239" spans="1:21" s="684" customFormat="1" ht="17.100000000000001" customHeight="1">
      <c r="A239" s="770"/>
      <c r="B239" s="770"/>
      <c r="C239" s="770"/>
      <c r="D239" s="770"/>
      <c r="E239" s="770"/>
      <c r="F239" s="770"/>
      <c r="G239" s="770"/>
      <c r="H239" s="770"/>
      <c r="I239" s="755"/>
      <c r="J239" s="755"/>
    </row>
    <row r="240" spans="1:21" s="684" customFormat="1" ht="17.100000000000001" customHeight="1">
      <c r="A240" s="755"/>
      <c r="B240" s="755"/>
      <c r="C240" s="755"/>
      <c r="D240" s="755"/>
      <c r="E240" s="755"/>
      <c r="F240" s="755"/>
      <c r="G240" s="755"/>
      <c r="H240" s="755"/>
      <c r="I240" s="755"/>
      <c r="J240" s="755"/>
    </row>
    <row r="241" spans="1:21" s="684" customFormat="1" ht="17.100000000000001" customHeight="1">
      <c r="A241" s="755"/>
      <c r="B241" s="755"/>
      <c r="C241" s="755"/>
      <c r="D241" s="755"/>
      <c r="E241" s="755"/>
      <c r="F241" s="755"/>
      <c r="G241" s="755"/>
      <c r="H241" s="755"/>
      <c r="I241" s="755"/>
      <c r="J241" s="755"/>
    </row>
    <row r="242" spans="1:21" s="684" customFormat="1" ht="17.100000000000001" customHeight="1">
      <c r="A242" s="770"/>
      <c r="B242" s="770"/>
      <c r="C242" s="770"/>
      <c r="D242" s="770"/>
      <c r="E242" s="770"/>
      <c r="F242" s="770"/>
      <c r="G242" s="770"/>
      <c r="H242" s="770"/>
      <c r="I242" s="755"/>
      <c r="J242" s="755"/>
      <c r="K242" s="743"/>
      <c r="M242" s="743"/>
      <c r="N242" s="743"/>
      <c r="O242" s="743"/>
      <c r="P242" s="743"/>
      <c r="Q242" s="743"/>
      <c r="R242" s="743"/>
      <c r="S242" s="743"/>
      <c r="T242" s="744"/>
      <c r="U242" s="691"/>
    </row>
    <row r="243" spans="1:21" s="684" customFormat="1" ht="17.100000000000001" customHeight="1">
      <c r="A243" s="770"/>
      <c r="B243" s="770"/>
      <c r="C243" s="770"/>
      <c r="D243" s="770"/>
      <c r="E243" s="770"/>
      <c r="F243" s="770"/>
      <c r="G243" s="755"/>
      <c r="H243" s="755"/>
      <c r="I243" s="755"/>
      <c r="J243" s="755"/>
      <c r="K243" s="743"/>
      <c r="M243" s="743"/>
      <c r="N243" s="743"/>
      <c r="O243" s="743"/>
      <c r="P243" s="743"/>
      <c r="Q243" s="743"/>
      <c r="R243" s="743"/>
      <c r="S243" s="743"/>
      <c r="T243" s="744"/>
      <c r="U243" s="691"/>
    </row>
    <row r="244" spans="1:21" s="684" customFormat="1" ht="17.100000000000001" customHeight="1">
      <c r="A244" s="755"/>
      <c r="B244" s="755"/>
      <c r="C244" s="755"/>
      <c r="D244" s="755"/>
      <c r="E244" s="755"/>
      <c r="F244" s="773"/>
      <c r="G244" s="755"/>
      <c r="H244" s="755"/>
      <c r="I244" s="755"/>
      <c r="J244" s="755"/>
      <c r="K244" s="745"/>
      <c r="L244" s="743"/>
      <c r="M244" s="745"/>
      <c r="N244" s="745"/>
      <c r="O244" s="745"/>
      <c r="P244" s="745"/>
      <c r="Q244" s="745"/>
      <c r="R244" s="745"/>
      <c r="S244" s="745"/>
      <c r="T244" s="744"/>
      <c r="U244" s="691"/>
    </row>
    <row r="245" spans="1:21" s="684" customFormat="1" ht="17.100000000000001" customHeight="1">
      <c r="A245" s="755"/>
      <c r="B245" s="755"/>
      <c r="C245" s="755"/>
      <c r="D245" s="755"/>
      <c r="E245" s="755"/>
      <c r="F245" s="773"/>
      <c r="G245" s="755"/>
      <c r="H245" s="755"/>
      <c r="I245" s="755"/>
      <c r="J245" s="755"/>
      <c r="K245" s="744"/>
      <c r="L245" s="743"/>
      <c r="M245" s="744"/>
      <c r="N245" s="744"/>
      <c r="O245" s="744"/>
      <c r="P245" s="744"/>
      <c r="Q245" s="744"/>
      <c r="R245" s="744"/>
      <c r="S245" s="744"/>
      <c r="T245" s="744"/>
      <c r="U245" s="691"/>
    </row>
    <row r="246" spans="1:21" s="684" customFormat="1" ht="17.100000000000001" customHeight="1">
      <c r="A246" s="755"/>
      <c r="B246" s="755"/>
      <c r="C246" s="755"/>
      <c r="D246" s="755"/>
      <c r="E246" s="755"/>
      <c r="F246" s="773"/>
      <c r="G246" s="755"/>
      <c r="H246" s="755"/>
      <c r="I246" s="755"/>
      <c r="J246" s="755"/>
      <c r="K246" s="744"/>
      <c r="L246" s="745"/>
      <c r="M246" s="744"/>
      <c r="N246" s="744"/>
      <c r="O246" s="744"/>
      <c r="P246" s="744"/>
      <c r="Q246" s="744"/>
      <c r="R246" s="744"/>
      <c r="S246" s="744"/>
      <c r="T246" s="744"/>
      <c r="U246" s="691"/>
    </row>
    <row r="247" spans="1:21" s="684" customFormat="1" ht="17.100000000000001" customHeight="1">
      <c r="A247" s="771"/>
      <c r="B247" s="771"/>
      <c r="C247" s="771"/>
      <c r="D247" s="769"/>
      <c r="E247" s="689"/>
      <c r="F247" s="773"/>
      <c r="G247" s="755"/>
      <c r="H247" s="755"/>
      <c r="I247" s="755"/>
      <c r="J247" s="755"/>
      <c r="K247" s="744"/>
      <c r="L247" s="744"/>
      <c r="M247" s="744"/>
      <c r="N247" s="744"/>
      <c r="O247" s="744"/>
      <c r="P247" s="744"/>
      <c r="Q247" s="744"/>
      <c r="R247" s="744"/>
      <c r="S247" s="744"/>
      <c r="T247" s="744"/>
      <c r="U247" s="691"/>
    </row>
    <row r="248" spans="1:21" s="684" customFormat="1" ht="17.100000000000001" customHeight="1">
      <c r="A248" s="771"/>
      <c r="B248" s="771"/>
      <c r="C248" s="771"/>
      <c r="D248" s="769"/>
      <c r="E248" s="755"/>
      <c r="F248" s="774"/>
      <c r="G248" s="755"/>
      <c r="H248" s="755"/>
      <c r="I248" s="755"/>
      <c r="J248" s="755"/>
      <c r="K248" s="744"/>
      <c r="L248" s="744"/>
      <c r="M248" s="744"/>
      <c r="N248" s="744"/>
      <c r="O248" s="744"/>
      <c r="P248" s="744"/>
      <c r="Q248" s="744"/>
      <c r="R248" s="744"/>
      <c r="S248" s="744"/>
      <c r="T248" s="744"/>
      <c r="U248" s="691"/>
    </row>
    <row r="249" spans="1:21" s="684" customFormat="1" ht="17.100000000000001" customHeight="1">
      <c r="A249" s="771"/>
      <c r="B249" s="771"/>
      <c r="C249" s="771"/>
      <c r="D249" s="769"/>
      <c r="E249" s="769"/>
      <c r="F249" s="773"/>
      <c r="G249" s="755"/>
      <c r="H249" s="755"/>
      <c r="I249" s="755"/>
      <c r="J249" s="755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691"/>
    </row>
    <row r="250" spans="1:21" s="684" customFormat="1" ht="17.100000000000001" customHeight="1">
      <c r="A250" s="771"/>
      <c r="B250" s="771"/>
      <c r="C250" s="771"/>
      <c r="D250" s="770"/>
      <c r="E250" s="770"/>
      <c r="F250" s="776"/>
      <c r="G250" s="755"/>
      <c r="H250" s="755"/>
      <c r="I250" s="755"/>
      <c r="J250" s="755"/>
      <c r="K250" s="744"/>
      <c r="L250" s="744"/>
      <c r="M250" s="744"/>
      <c r="N250" s="744"/>
      <c r="O250" s="744"/>
      <c r="P250" s="744"/>
      <c r="Q250" s="744"/>
      <c r="R250" s="744"/>
      <c r="S250" s="744"/>
      <c r="T250" s="744"/>
      <c r="U250" s="691"/>
    </row>
    <row r="251" spans="1:21" s="684" customFormat="1" ht="17.100000000000001" customHeight="1">
      <c r="A251" s="770"/>
      <c r="B251" s="770"/>
      <c r="C251" s="770"/>
      <c r="D251" s="770"/>
      <c r="E251" s="755"/>
      <c r="F251" s="776"/>
      <c r="G251" s="755"/>
      <c r="H251" s="755"/>
      <c r="I251" s="755"/>
      <c r="J251" s="755"/>
      <c r="K251" s="744"/>
      <c r="L251" s="744"/>
      <c r="M251" s="744"/>
      <c r="N251" s="744"/>
      <c r="O251" s="744"/>
      <c r="P251" s="744"/>
      <c r="Q251" s="744"/>
      <c r="R251" s="744"/>
      <c r="S251" s="744"/>
      <c r="T251" s="744"/>
      <c r="U251" s="691"/>
    </row>
    <row r="252" spans="1:21" s="684" customFormat="1" ht="9" customHeight="1">
      <c r="A252" s="770"/>
      <c r="B252" s="770"/>
      <c r="C252" s="770"/>
      <c r="D252" s="770"/>
      <c r="E252" s="755"/>
      <c r="F252" s="776"/>
      <c r="G252" s="755"/>
      <c r="H252" s="755"/>
      <c r="I252" s="755"/>
      <c r="J252" s="755"/>
      <c r="K252" s="744"/>
      <c r="L252" s="744"/>
      <c r="M252" s="744"/>
      <c r="N252" s="744"/>
      <c r="O252" s="744"/>
      <c r="P252" s="744"/>
      <c r="Q252" s="744"/>
      <c r="R252" s="744"/>
      <c r="S252" s="744"/>
      <c r="T252" s="744"/>
      <c r="U252" s="691"/>
    </row>
    <row r="253" spans="1:21" s="684" customFormat="1" ht="17.100000000000001" customHeight="1">
      <c r="A253" s="772"/>
      <c r="B253" s="773"/>
      <c r="C253" s="770"/>
      <c r="D253" s="755"/>
      <c r="E253" s="775"/>
      <c r="F253" s="776"/>
      <c r="G253" s="755"/>
      <c r="H253" s="755"/>
      <c r="I253" s="755"/>
      <c r="J253" s="755"/>
      <c r="L253" s="744"/>
    </row>
    <row r="254" spans="1:21" s="684" customFormat="1" ht="17.100000000000001" customHeight="1">
      <c r="A254" s="772"/>
      <c r="B254" s="773"/>
      <c r="C254" s="770"/>
      <c r="D254" s="755"/>
      <c r="E254" s="775"/>
      <c r="F254" s="776"/>
      <c r="G254" s="755"/>
      <c r="H254" s="755"/>
      <c r="I254" s="755"/>
      <c r="J254" s="755"/>
      <c r="L254" s="744"/>
    </row>
    <row r="255" spans="1:21" s="684" customFormat="1" ht="17.100000000000001" customHeight="1">
      <c r="A255" s="755"/>
      <c r="B255" s="755"/>
      <c r="C255" s="755"/>
      <c r="D255" s="755"/>
      <c r="E255" s="755"/>
      <c r="F255" s="755"/>
      <c r="G255" s="755"/>
      <c r="H255" s="755"/>
      <c r="I255" s="755"/>
      <c r="J255" s="755"/>
    </row>
    <row r="256" spans="1:21" s="684" customFormat="1" ht="17.100000000000001" customHeight="1">
      <c r="A256" s="755"/>
      <c r="B256" s="755"/>
      <c r="C256" s="755"/>
      <c r="D256" s="755"/>
      <c r="E256" s="755"/>
      <c r="F256" s="755"/>
      <c r="G256" s="755"/>
      <c r="H256" s="755"/>
      <c r="I256" s="755"/>
      <c r="J256" s="755"/>
    </row>
    <row r="257" spans="1:12" s="684" customFormat="1" ht="17.100000000000001" customHeight="1">
      <c r="A257" s="755"/>
      <c r="B257" s="755"/>
      <c r="C257" s="755"/>
      <c r="D257" s="755"/>
      <c r="E257" s="755"/>
      <c r="F257" s="755"/>
      <c r="G257" s="755"/>
      <c r="H257" s="755"/>
      <c r="I257" s="755"/>
      <c r="J257" s="755"/>
    </row>
    <row r="258" spans="1:12" s="684" customFormat="1" ht="17.100000000000001" customHeight="1">
      <c r="A258" s="755"/>
      <c r="B258" s="755"/>
      <c r="C258" s="755"/>
      <c r="D258" s="755"/>
      <c r="E258" s="755"/>
      <c r="F258" s="755"/>
      <c r="G258" s="755"/>
      <c r="H258" s="755"/>
      <c r="I258" s="755"/>
      <c r="J258" s="755"/>
    </row>
    <row r="259" spans="1:12" s="684" customFormat="1" ht="17.100000000000001" customHeight="1">
      <c r="A259" s="755"/>
      <c r="B259" s="755"/>
      <c r="C259" s="755"/>
      <c r="D259" s="755"/>
      <c r="E259" s="755"/>
      <c r="F259" s="755"/>
      <c r="G259" s="755"/>
      <c r="H259" s="755"/>
      <c r="I259" s="755"/>
      <c r="J259" s="755"/>
    </row>
    <row r="260" spans="1:12" s="684" customFormat="1" ht="17.100000000000001" customHeight="1">
      <c r="A260" s="755"/>
      <c r="B260" s="755"/>
      <c r="C260" s="755"/>
      <c r="D260" s="755"/>
      <c r="E260" s="755"/>
      <c r="F260" s="755"/>
      <c r="G260" s="755"/>
      <c r="H260" s="755"/>
      <c r="I260" s="755"/>
      <c r="J260" s="755"/>
    </row>
    <row r="261" spans="1:12" s="684" customFormat="1" ht="17.100000000000001" customHeight="1">
      <c r="A261" s="755"/>
      <c r="B261" s="755"/>
      <c r="C261" s="755"/>
      <c r="D261" s="755"/>
      <c r="E261" s="755"/>
      <c r="F261" s="755"/>
      <c r="G261" s="755"/>
      <c r="H261" s="755"/>
      <c r="I261" s="755"/>
      <c r="J261" s="755"/>
    </row>
    <row r="262" spans="1:12" s="684" customFormat="1" ht="17.100000000000001" customHeight="1">
      <c r="A262" s="755"/>
      <c r="B262" s="755"/>
      <c r="C262" s="755"/>
      <c r="D262" s="755"/>
      <c r="E262" s="755"/>
      <c r="F262" s="755"/>
      <c r="G262" s="755"/>
      <c r="H262" s="755"/>
      <c r="I262" s="755"/>
      <c r="J262" s="755"/>
    </row>
    <row r="263" spans="1:12" s="684" customFormat="1" ht="17.100000000000001" customHeight="1">
      <c r="A263" s="755"/>
      <c r="B263" s="755"/>
      <c r="C263" s="755"/>
      <c r="D263" s="755"/>
      <c r="E263" s="755"/>
      <c r="F263" s="755"/>
      <c r="G263" s="755"/>
      <c r="H263" s="755"/>
      <c r="I263" s="755"/>
      <c r="J263" s="755"/>
    </row>
    <row r="264" spans="1:12" s="684" customFormat="1" ht="17.100000000000001" customHeight="1">
      <c r="A264" s="755"/>
      <c r="B264" s="755"/>
      <c r="C264" s="755"/>
      <c r="D264" s="755"/>
      <c r="E264" s="755"/>
      <c r="F264" s="755"/>
      <c r="G264" s="755"/>
      <c r="H264" s="755"/>
      <c r="I264" s="755"/>
      <c r="J264" s="755"/>
    </row>
    <row r="265" spans="1:12" s="684" customFormat="1" ht="17.100000000000001" customHeight="1">
      <c r="A265" s="755"/>
      <c r="B265" s="755"/>
      <c r="C265" s="755"/>
      <c r="D265" s="755"/>
      <c r="E265" s="755"/>
      <c r="F265" s="755"/>
      <c r="G265" s="755"/>
      <c r="H265" s="755"/>
      <c r="I265" s="755"/>
      <c r="J265" s="755"/>
    </row>
    <row r="266" spans="1:12" s="684" customFormat="1" ht="17.100000000000001" customHeight="1">
      <c r="A266" s="755"/>
      <c r="B266" s="755"/>
      <c r="C266" s="755"/>
      <c r="D266" s="755"/>
      <c r="E266" s="755"/>
      <c r="F266" s="755"/>
      <c r="G266" s="755"/>
      <c r="H266" s="755"/>
      <c r="I266" s="755"/>
      <c r="J266" s="755"/>
    </row>
    <row r="267" spans="1:12" s="684" customFormat="1" ht="17.100000000000001" customHeight="1">
      <c r="A267" s="755"/>
      <c r="B267" s="755"/>
      <c r="C267" s="755"/>
      <c r="D267" s="755"/>
      <c r="E267" s="755"/>
      <c r="F267" s="755"/>
      <c r="G267" s="755"/>
      <c r="H267" s="755"/>
      <c r="I267" s="755"/>
      <c r="J267" s="755"/>
    </row>
    <row r="268" spans="1:12" s="684" customFormat="1" ht="17.100000000000001" customHeight="1">
      <c r="A268" s="755"/>
      <c r="B268" s="755"/>
      <c r="C268" s="755"/>
      <c r="D268" s="755"/>
      <c r="E268" s="755"/>
      <c r="F268" s="755"/>
      <c r="G268" s="755"/>
      <c r="H268" s="755"/>
      <c r="I268" s="755"/>
      <c r="J268" s="755"/>
    </row>
    <row r="269" spans="1:12" s="684" customFormat="1" ht="17.100000000000001" customHeight="1">
      <c r="A269" s="755"/>
      <c r="B269" s="755"/>
      <c r="C269" s="755"/>
      <c r="D269" s="755"/>
      <c r="E269" s="755"/>
      <c r="F269" s="755"/>
      <c r="G269" s="755"/>
      <c r="H269" s="755"/>
      <c r="I269" s="755"/>
      <c r="J269" s="755"/>
    </row>
    <row r="270" spans="1:12" s="684" customFormat="1" ht="17.100000000000001" customHeight="1">
      <c r="A270" s="755"/>
      <c r="B270" s="755"/>
      <c r="C270" s="755"/>
      <c r="D270" s="755"/>
      <c r="E270" s="755"/>
      <c r="F270" s="755"/>
      <c r="G270" s="755"/>
      <c r="H270" s="755"/>
      <c r="I270" s="755"/>
      <c r="J270" s="755"/>
    </row>
    <row r="271" spans="1:12" ht="17.100000000000001" customHeight="1">
      <c r="L271" s="684"/>
    </row>
    <row r="272" spans="1:12" ht="17.100000000000001" customHeight="1">
      <c r="L272" s="684"/>
    </row>
  </sheetData>
  <sheetProtection password="F7E3" sheet="1" objects="1" scenarios="1"/>
  <mergeCells count="237">
    <mergeCell ref="A93:J93"/>
    <mergeCell ref="A128:J128"/>
    <mergeCell ref="A53:J53"/>
    <mergeCell ref="A184:J185"/>
    <mergeCell ref="A190:J190"/>
    <mergeCell ref="A191:J191"/>
    <mergeCell ref="G108:H108"/>
    <mergeCell ref="A105:B105"/>
    <mergeCell ref="C105:D105"/>
    <mergeCell ref="E105:F105"/>
    <mergeCell ref="A192:J192"/>
    <mergeCell ref="A193:J193"/>
    <mergeCell ref="A189:J189"/>
    <mergeCell ref="A107:B107"/>
    <mergeCell ref="C107:D107"/>
    <mergeCell ref="E107:F107"/>
    <mergeCell ref="G107:H107"/>
    <mergeCell ref="A108:B108"/>
    <mergeCell ref="C108:D108"/>
    <mergeCell ref="E108:F108"/>
    <mergeCell ref="G105:H105"/>
    <mergeCell ref="A106:B106"/>
    <mergeCell ref="C106:D106"/>
    <mergeCell ref="E106:F106"/>
    <mergeCell ref="G106:H106"/>
    <mergeCell ref="A103:B103"/>
    <mergeCell ref="C103:D103"/>
    <mergeCell ref="E103:F103"/>
    <mergeCell ref="G103:H103"/>
    <mergeCell ref="A104:B104"/>
    <mergeCell ref="C104:D104"/>
    <mergeCell ref="E104:F104"/>
    <mergeCell ref="A100:B100"/>
    <mergeCell ref="C100:D100"/>
    <mergeCell ref="E100:F100"/>
    <mergeCell ref="G100:H100"/>
    <mergeCell ref="G104:H104"/>
    <mergeCell ref="I100:J100"/>
    <mergeCell ref="A101:B101"/>
    <mergeCell ref="C101:D101"/>
    <mergeCell ref="E101:F101"/>
    <mergeCell ref="G101:H101"/>
    <mergeCell ref="I101:J101"/>
    <mergeCell ref="I98:J98"/>
    <mergeCell ref="A99:B99"/>
    <mergeCell ref="C99:D99"/>
    <mergeCell ref="E99:F99"/>
    <mergeCell ref="G99:H99"/>
    <mergeCell ref="I99:J99"/>
    <mergeCell ref="E97:F97"/>
    <mergeCell ref="G97:H97"/>
    <mergeCell ref="A98:B98"/>
    <mergeCell ref="C98:D98"/>
    <mergeCell ref="E98:F98"/>
    <mergeCell ref="G98:H98"/>
    <mergeCell ref="A118:B118"/>
    <mergeCell ref="C118:D118"/>
    <mergeCell ref="E118:F118"/>
    <mergeCell ref="G118:H118"/>
    <mergeCell ref="I118:J118"/>
    <mergeCell ref="A96:B96"/>
    <mergeCell ref="C96:D96"/>
    <mergeCell ref="E96:F96"/>
    <mergeCell ref="G96:H96"/>
    <mergeCell ref="I96:J96"/>
    <mergeCell ref="A117:B117"/>
    <mergeCell ref="C117:D117"/>
    <mergeCell ref="E117:F117"/>
    <mergeCell ref="G117:H117"/>
    <mergeCell ref="I117:J117"/>
    <mergeCell ref="A119:B119"/>
    <mergeCell ref="C119:D119"/>
    <mergeCell ref="E119:F119"/>
    <mergeCell ref="G119:H119"/>
    <mergeCell ref="I119:J119"/>
    <mergeCell ref="A116:B116"/>
    <mergeCell ref="C116:D116"/>
    <mergeCell ref="E116:F116"/>
    <mergeCell ref="G116:H116"/>
    <mergeCell ref="I116:J116"/>
    <mergeCell ref="A120:B120"/>
    <mergeCell ref="C120:D120"/>
    <mergeCell ref="E120:F120"/>
    <mergeCell ref="G120:H120"/>
    <mergeCell ref="I120:J120"/>
    <mergeCell ref="G89:H89"/>
    <mergeCell ref="G88:H88"/>
    <mergeCell ref="I97:J97"/>
    <mergeCell ref="A115:B115"/>
    <mergeCell ref="C115:D115"/>
    <mergeCell ref="E115:F115"/>
    <mergeCell ref="G115:H115"/>
    <mergeCell ref="I115:J115"/>
    <mergeCell ref="A97:B97"/>
    <mergeCell ref="C97:D97"/>
    <mergeCell ref="G87:H87"/>
    <mergeCell ref="E92:F92"/>
    <mergeCell ref="E91:F91"/>
    <mergeCell ref="E90:F90"/>
    <mergeCell ref="E89:F89"/>
    <mergeCell ref="E88:F88"/>
    <mergeCell ref="E87:F87"/>
    <mergeCell ref="G92:H92"/>
    <mergeCell ref="G91:H91"/>
    <mergeCell ref="G90:H90"/>
    <mergeCell ref="C92:D92"/>
    <mergeCell ref="C91:D91"/>
    <mergeCell ref="C90:D90"/>
    <mergeCell ref="C89:D89"/>
    <mergeCell ref="C88:D88"/>
    <mergeCell ref="C87:D87"/>
    <mergeCell ref="A92:B92"/>
    <mergeCell ref="A91:B91"/>
    <mergeCell ref="A90:B90"/>
    <mergeCell ref="A89:B89"/>
    <mergeCell ref="A88:B88"/>
    <mergeCell ref="A87:B87"/>
    <mergeCell ref="I85:J85"/>
    <mergeCell ref="I84:J84"/>
    <mergeCell ref="I83:J83"/>
    <mergeCell ref="I82:J82"/>
    <mergeCell ref="I81:J81"/>
    <mergeCell ref="I80:J80"/>
    <mergeCell ref="E80:F80"/>
    <mergeCell ref="G85:H85"/>
    <mergeCell ref="G84:H84"/>
    <mergeCell ref="G83:H83"/>
    <mergeCell ref="G82:H82"/>
    <mergeCell ref="G81:H81"/>
    <mergeCell ref="G80:H80"/>
    <mergeCell ref="C84:D84"/>
    <mergeCell ref="C83:D83"/>
    <mergeCell ref="C82:D82"/>
    <mergeCell ref="C81:D81"/>
    <mergeCell ref="C80:D80"/>
    <mergeCell ref="E85:F85"/>
    <mergeCell ref="E84:F84"/>
    <mergeCell ref="E83:F83"/>
    <mergeCell ref="E82:F82"/>
    <mergeCell ref="E81:F81"/>
    <mergeCell ref="A56:J57"/>
    <mergeCell ref="A58:J58"/>
    <mergeCell ref="A66:J68"/>
    <mergeCell ref="A80:B80"/>
    <mergeCell ref="A85:B85"/>
    <mergeCell ref="A84:B84"/>
    <mergeCell ref="A83:B83"/>
    <mergeCell ref="A82:B82"/>
    <mergeCell ref="A81:B81"/>
    <mergeCell ref="C85:D85"/>
    <mergeCell ref="A2:J2"/>
    <mergeCell ref="A1:J1"/>
    <mergeCell ref="A5:J5"/>
    <mergeCell ref="A4:J4"/>
    <mergeCell ref="A3:J3"/>
    <mergeCell ref="E9:J12"/>
    <mergeCell ref="A7:J7"/>
    <mergeCell ref="E14:J17"/>
    <mergeCell ref="A122:B122"/>
    <mergeCell ref="C122:D122"/>
    <mergeCell ref="E122:F122"/>
    <mergeCell ref="G122:H122"/>
    <mergeCell ref="A123:B123"/>
    <mergeCell ref="C123:D123"/>
    <mergeCell ref="E123:F123"/>
    <mergeCell ref="G123:H123"/>
    <mergeCell ref="A54:J55"/>
    <mergeCell ref="A124:B124"/>
    <mergeCell ref="C124:D124"/>
    <mergeCell ref="E124:F124"/>
    <mergeCell ref="G124:H124"/>
    <mergeCell ref="A125:B125"/>
    <mergeCell ref="C125:D125"/>
    <mergeCell ref="E125:F125"/>
    <mergeCell ref="G125:H125"/>
    <mergeCell ref="A126:B126"/>
    <mergeCell ref="C126:D126"/>
    <mergeCell ref="E126:F126"/>
    <mergeCell ref="G126:H126"/>
    <mergeCell ref="A127:B127"/>
    <mergeCell ref="C127:D127"/>
    <mergeCell ref="E127:F127"/>
    <mergeCell ref="G127:H127"/>
    <mergeCell ref="A131:B131"/>
    <mergeCell ref="C131:D131"/>
    <mergeCell ref="E131:F131"/>
    <mergeCell ref="G131:H131"/>
    <mergeCell ref="I131:J131"/>
    <mergeCell ref="A132:B132"/>
    <mergeCell ref="C132:D132"/>
    <mergeCell ref="E132:F132"/>
    <mergeCell ref="G132:H132"/>
    <mergeCell ref="I132:J132"/>
    <mergeCell ref="A133:B133"/>
    <mergeCell ref="C133:D133"/>
    <mergeCell ref="E133:F133"/>
    <mergeCell ref="G133:H133"/>
    <mergeCell ref="I133:J133"/>
    <mergeCell ref="A134:B134"/>
    <mergeCell ref="C134:D134"/>
    <mergeCell ref="E134:F134"/>
    <mergeCell ref="G134:H134"/>
    <mergeCell ref="I134:J134"/>
    <mergeCell ref="A135:B135"/>
    <mergeCell ref="C135:D135"/>
    <mergeCell ref="E135:F135"/>
    <mergeCell ref="G135:H135"/>
    <mergeCell ref="I135:J135"/>
    <mergeCell ref="A136:B136"/>
    <mergeCell ref="C136:D136"/>
    <mergeCell ref="E136:F136"/>
    <mergeCell ref="G136:H136"/>
    <mergeCell ref="I136:J136"/>
    <mergeCell ref="A139:B139"/>
    <mergeCell ref="C139:D139"/>
    <mergeCell ref="E139:F139"/>
    <mergeCell ref="G139:H139"/>
    <mergeCell ref="A140:B140"/>
    <mergeCell ref="C140:D140"/>
    <mergeCell ref="E140:F140"/>
    <mergeCell ref="G140:H140"/>
    <mergeCell ref="A141:B141"/>
    <mergeCell ref="C141:D141"/>
    <mergeCell ref="E141:F141"/>
    <mergeCell ref="G141:H141"/>
    <mergeCell ref="A142:B142"/>
    <mergeCell ref="C142:D142"/>
    <mergeCell ref="E142:F142"/>
    <mergeCell ref="G142:H142"/>
    <mergeCell ref="A143:B143"/>
    <mergeCell ref="C143:D143"/>
    <mergeCell ref="E143:F143"/>
    <mergeCell ref="G143:H143"/>
    <mergeCell ref="A144:B144"/>
    <mergeCell ref="C144:D144"/>
    <mergeCell ref="E144:F144"/>
    <mergeCell ref="G144:H144"/>
  </mergeCells>
  <phoneticPr fontId="0" type="noConversion"/>
  <pageMargins left="0.59055118110236227" right="0.39370078740157483" top="0.31496062992125984" bottom="1.299212598425197" header="0.31496062992125984" footer="0.51181102362204722"/>
  <pageSetup paperSize="9" orientation="portrait" r:id="rId1"/>
  <headerFooter scaleWithDoc="0">
    <oddHeader xml:space="preserve">&amp;L&amp;G&amp;R&amp;G
</oddHeader>
    <oddFooter>&amp;L&amp;G&amp;R&amp;"Nunito Sans,Negrito"&amp;K00578DPágina &amp;P de &amp;N</oddFooter>
  </headerFooter>
  <rowBreaks count="4" manualBreakCount="4">
    <brk id="45" max="9" man="1"/>
    <brk id="73" max="9" man="1"/>
    <brk id="145" max="16383" man="1"/>
    <brk id="180" max="9" man="1"/>
  </rowBreaks>
  <colBreaks count="1" manualBreakCount="1">
    <brk id="11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30</vt:i4>
      </vt:variant>
    </vt:vector>
  </HeadingPairs>
  <TitlesOfParts>
    <vt:vector size="43" baseType="lpstr">
      <vt:lpstr>Geral</vt:lpstr>
      <vt:lpstr>Padroes</vt:lpstr>
      <vt:lpstr>CalAnterior</vt:lpstr>
      <vt:lpstr>Cola</vt:lpstr>
      <vt:lpstr>Cola2</vt:lpstr>
      <vt:lpstr>Dados</vt:lpstr>
      <vt:lpstr>Dados2</vt:lpstr>
      <vt:lpstr>Tabelle1</vt:lpstr>
      <vt:lpstr>certificado</vt:lpstr>
      <vt:lpstr>certificado (2)</vt:lpstr>
      <vt:lpstr>Ra</vt:lpstr>
      <vt:lpstr>RSm</vt:lpstr>
      <vt:lpstr>cut-off</vt:lpstr>
      <vt:lpstr>certificado!Area_de_impressao</vt:lpstr>
      <vt:lpstr>'certificado (2)'!Area_de_impressao</vt:lpstr>
      <vt:lpstr>Cola!Area_de_impressao</vt:lpstr>
      <vt:lpstr>Cola2!Area_de_impressao</vt:lpstr>
      <vt:lpstr>'cut-off'!Area_de_impressao</vt:lpstr>
      <vt:lpstr>Ra!Area_de_impressao</vt:lpstr>
      <vt:lpstr>RSm!Area_de_impressao</vt:lpstr>
      <vt:lpstr>'cut-off'!balanço</vt:lpstr>
      <vt:lpstr>RSm!balanço</vt:lpstr>
      <vt:lpstr>'certificado (2)'!certificado</vt:lpstr>
      <vt:lpstr>certificado</vt:lpstr>
      <vt:lpstr>Cola2!nome</vt:lpstr>
      <vt:lpstr>nome</vt:lpstr>
      <vt:lpstr>Cola2!planilha</vt:lpstr>
      <vt:lpstr>planilha</vt:lpstr>
      <vt:lpstr>ra</vt:lpstr>
      <vt:lpstr>'cut-off'!Ret</vt:lpstr>
      <vt:lpstr>Ret</vt:lpstr>
      <vt:lpstr>'cut-off'!rsm</vt:lpstr>
      <vt:lpstr>rsm</vt:lpstr>
      <vt:lpstr>Cola2!SERV</vt:lpstr>
      <vt:lpstr>'cut-off'!SERV</vt:lpstr>
      <vt:lpstr>RSm!SERV</vt:lpstr>
      <vt:lpstr>SERV</vt:lpstr>
      <vt:lpstr>Cola2!temp</vt:lpstr>
      <vt:lpstr>temp</vt:lpstr>
      <vt:lpstr>certificado!Titulos_de_impressao</vt:lpstr>
      <vt:lpstr>'certificado (2)'!Titulos_de_impressao</vt:lpstr>
      <vt:lpstr>Cola!Titulos_de_impressao</vt:lpstr>
      <vt:lpstr>Cola2!Titulos_de_impressao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Gustavo Torres</cp:lastModifiedBy>
  <cp:lastPrinted>2023-05-15T11:51:48Z</cp:lastPrinted>
  <dcterms:created xsi:type="dcterms:W3CDTF">2000-01-13T12:13:39Z</dcterms:created>
  <dcterms:modified xsi:type="dcterms:W3CDTF">2024-01-24T12:33:44Z</dcterms:modified>
</cp:coreProperties>
</file>