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sine_and_cosine/Development/Property/ChatAIBackend/dev/data/excel/"/>
    </mc:Choice>
  </mc:AlternateContent>
  <xr:revisionPtr revIDLastSave="0" documentId="13_ncr:1_{9F8A6F10-0968-9743-B92E-0D518A3E0674}" xr6:coauthVersionLast="47" xr6:coauthVersionMax="47" xr10:uidLastSave="{00000000-0000-0000-0000-000000000000}"/>
  <bookViews>
    <workbookView xWindow="10440" yWindow="660" windowWidth="27800" windowHeight="19500" xr2:uid="{00000000-000D-0000-FFFF-FFFF00000000}"/>
  </bookViews>
  <sheets>
    <sheet name="pages" sheetId="1" r:id="rId1"/>
    <sheet name="fileds" sheetId="6" r:id="rId2"/>
    <sheet name="components" sheetId="7" r:id="rId3"/>
    <sheet name="actions" sheetId="8" r:id="rId4"/>
    <sheet name="states" sheetId="9" r:id="rId5"/>
    <sheet name=".DESC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7" l="1"/>
  <c r="A8" i="6"/>
  <c r="A1" i="9"/>
  <c r="B1" i="9"/>
  <c r="C1" i="9"/>
  <c r="D1" i="9"/>
  <c r="E1" i="9"/>
  <c r="F1" i="9"/>
  <c r="A2" i="9"/>
  <c r="B2" i="9"/>
  <c r="C2" i="9"/>
  <c r="D2" i="9"/>
  <c r="E2" i="9"/>
  <c r="F2" i="9"/>
  <c r="A3" i="9"/>
  <c r="B3" i="9"/>
  <c r="C3" i="9"/>
  <c r="D3" i="9"/>
  <c r="E3" i="9"/>
  <c r="F3" i="9"/>
  <c r="A4" i="9"/>
  <c r="B4" i="9"/>
  <c r="C4" i="9"/>
  <c r="D4" i="9"/>
  <c r="E4" i="9"/>
  <c r="F4" i="9"/>
  <c r="A5" i="9"/>
  <c r="B5" i="9"/>
  <c r="C5" i="9"/>
  <c r="D5" i="9"/>
  <c r="E5" i="9"/>
  <c r="F5" i="9"/>
  <c r="A6" i="9"/>
  <c r="B6" i="9"/>
  <c r="C6" i="9"/>
  <c r="D6" i="9"/>
  <c r="E6" i="9"/>
  <c r="F6" i="9"/>
  <c r="A7" i="9"/>
  <c r="B7" i="9"/>
  <c r="C7" i="9"/>
  <c r="D7" i="9"/>
  <c r="E7" i="9"/>
  <c r="F7" i="9"/>
  <c r="A8" i="9"/>
  <c r="B8" i="9"/>
  <c r="C8" i="9"/>
  <c r="D8" i="9"/>
  <c r="E8" i="9"/>
  <c r="F8" i="9"/>
  <c r="A9" i="9"/>
  <c r="B9" i="9"/>
  <c r="C9" i="9"/>
  <c r="D9" i="9"/>
  <c r="E9" i="9"/>
  <c r="F9" i="9"/>
  <c r="A10" i="9"/>
  <c r="B10" i="9"/>
  <c r="C10" i="9"/>
  <c r="D10" i="9"/>
  <c r="E10" i="9"/>
  <c r="F10" i="9"/>
  <c r="A11" i="9"/>
  <c r="B11" i="9"/>
  <c r="C11" i="9"/>
  <c r="D11" i="9"/>
  <c r="E11" i="9"/>
  <c r="F11" i="9"/>
  <c r="A12" i="9"/>
  <c r="B12" i="9"/>
  <c r="C12" i="9"/>
  <c r="D12" i="9"/>
  <c r="E12" i="9"/>
  <c r="F12" i="9"/>
  <c r="A13" i="9"/>
  <c r="B13" i="9"/>
  <c r="C13" i="9"/>
  <c r="D13" i="9"/>
  <c r="E13" i="9"/>
  <c r="F13" i="9"/>
  <c r="A14" i="9"/>
  <c r="B14" i="9"/>
  <c r="C14" i="9"/>
  <c r="D14" i="9"/>
  <c r="E14" i="9"/>
  <c r="F14" i="9"/>
  <c r="A1" i="8"/>
  <c r="B1" i="8"/>
  <c r="C1" i="8"/>
  <c r="D1" i="8"/>
  <c r="E1" i="8"/>
  <c r="F1" i="8"/>
  <c r="G1" i="8"/>
  <c r="A2" i="8"/>
  <c r="B2" i="8"/>
  <c r="C2" i="8"/>
  <c r="D2" i="8"/>
  <c r="E2" i="8"/>
  <c r="F2" i="8"/>
  <c r="G2" i="8"/>
  <c r="A3" i="8"/>
  <c r="B3" i="8"/>
  <c r="C3" i="8"/>
  <c r="D3" i="8"/>
  <c r="E3" i="8"/>
  <c r="F3" i="8"/>
  <c r="G3" i="8"/>
  <c r="A4" i="8"/>
  <c r="B4" i="8"/>
  <c r="C4" i="8"/>
  <c r="D4" i="8"/>
  <c r="E4" i="8"/>
  <c r="F4" i="8"/>
  <c r="G4" i="8"/>
  <c r="A5" i="8"/>
  <c r="B5" i="8"/>
  <c r="C5" i="8"/>
  <c r="D5" i="8"/>
  <c r="E5" i="8"/>
  <c r="F5" i="8"/>
  <c r="G5" i="8"/>
  <c r="A6" i="8"/>
  <c r="B6" i="8"/>
  <c r="C6" i="8"/>
  <c r="D6" i="8"/>
  <c r="E6" i="8"/>
  <c r="F6" i="8"/>
  <c r="G6" i="8"/>
  <c r="A7" i="8"/>
  <c r="B7" i="8"/>
  <c r="C7" i="8"/>
  <c r="D7" i="8"/>
  <c r="E7" i="8"/>
  <c r="F7" i="8"/>
  <c r="G7" i="8"/>
  <c r="A8" i="8"/>
  <c r="B8" i="8"/>
  <c r="C8" i="8"/>
  <c r="D8" i="8"/>
  <c r="E8" i="8"/>
  <c r="F8" i="8"/>
  <c r="G8" i="8"/>
  <c r="A9" i="8"/>
  <c r="B9" i="8"/>
  <c r="C9" i="8"/>
  <c r="D9" i="8"/>
  <c r="E9" i="8"/>
  <c r="F9" i="8"/>
  <c r="G9" i="8"/>
  <c r="A10" i="8"/>
  <c r="B10" i="8"/>
  <c r="C10" i="8"/>
  <c r="D10" i="8"/>
  <c r="E10" i="8"/>
  <c r="F10" i="8"/>
  <c r="G10" i="8"/>
  <c r="A11" i="8"/>
  <c r="B11" i="8"/>
  <c r="C11" i="8"/>
  <c r="D11" i="8"/>
  <c r="E11" i="8"/>
  <c r="F11" i="8"/>
  <c r="G11" i="8"/>
  <c r="A12" i="8"/>
  <c r="B12" i="8"/>
  <c r="C12" i="8"/>
  <c r="D12" i="8"/>
  <c r="E12" i="8"/>
  <c r="F12" i="8"/>
  <c r="G12" i="8"/>
  <c r="A13" i="8"/>
  <c r="B13" i="8"/>
  <c r="C13" i="8"/>
  <c r="D13" i="8"/>
  <c r="E13" i="8"/>
  <c r="F13" i="8"/>
  <c r="G13" i="8"/>
  <c r="A14" i="8"/>
  <c r="B14" i="8"/>
  <c r="C14" i="8"/>
  <c r="D14" i="8"/>
  <c r="E14" i="8"/>
  <c r="F14" i="8"/>
  <c r="G14" i="8"/>
  <c r="A15" i="8"/>
  <c r="B15" i="8"/>
  <c r="C15" i="8"/>
  <c r="D15" i="8"/>
  <c r="E15" i="8"/>
  <c r="F15" i="8"/>
  <c r="G15" i="8"/>
  <c r="A16" i="8"/>
  <c r="B16" i="8"/>
  <c r="C16" i="8"/>
  <c r="D16" i="8"/>
  <c r="E16" i="8"/>
  <c r="F16" i="8"/>
  <c r="G16" i="8"/>
  <c r="A17" i="8"/>
  <c r="B17" i="8"/>
  <c r="C17" i="8"/>
  <c r="D17" i="8"/>
  <c r="E17" i="8"/>
  <c r="F17" i="8"/>
  <c r="G17" i="8"/>
  <c r="A18" i="8"/>
  <c r="B18" i="8"/>
  <c r="C18" i="8"/>
  <c r="D18" i="8"/>
  <c r="E18" i="8"/>
  <c r="F18" i="8"/>
  <c r="G18" i="8"/>
  <c r="A19" i="8"/>
  <c r="B19" i="8"/>
  <c r="C19" i="8"/>
  <c r="D19" i="8"/>
  <c r="E19" i="8"/>
  <c r="F19" i="8"/>
  <c r="G19" i="8"/>
  <c r="A20" i="8"/>
  <c r="B20" i="8"/>
  <c r="C20" i="8"/>
  <c r="D20" i="8"/>
  <c r="E20" i="8"/>
  <c r="F20" i="8"/>
  <c r="G20" i="8"/>
  <c r="A1" i="7"/>
  <c r="B1" i="7"/>
  <c r="C1" i="7"/>
  <c r="D1" i="7"/>
  <c r="E1" i="7"/>
  <c r="F1" i="7"/>
  <c r="G1" i="7"/>
  <c r="A2" i="7"/>
  <c r="B2" i="7"/>
  <c r="C2" i="7"/>
  <c r="D2" i="7"/>
  <c r="E2" i="7"/>
  <c r="F2" i="7"/>
  <c r="G2" i="7"/>
  <c r="A3" i="7"/>
  <c r="B3" i="7"/>
  <c r="C3" i="7"/>
  <c r="D3" i="7"/>
  <c r="E3" i="7"/>
  <c r="F3" i="7"/>
  <c r="G3" i="7"/>
  <c r="A4" i="7"/>
  <c r="B4" i="7"/>
  <c r="C4" i="7"/>
  <c r="D4" i="7"/>
  <c r="E4" i="7"/>
  <c r="F4" i="7"/>
  <c r="G4" i="7"/>
  <c r="A5" i="7"/>
  <c r="B5" i="7"/>
  <c r="C5" i="7"/>
  <c r="D5" i="7"/>
  <c r="E5" i="7"/>
  <c r="F5" i="7"/>
  <c r="G5" i="7"/>
  <c r="A6" i="7"/>
  <c r="B6" i="7"/>
  <c r="C6" i="7"/>
  <c r="D6" i="7"/>
  <c r="E6" i="7"/>
  <c r="F6" i="7"/>
  <c r="G6" i="7"/>
  <c r="A7" i="7"/>
  <c r="B7" i="7"/>
  <c r="C7" i="7"/>
  <c r="D7" i="7"/>
  <c r="E7" i="7"/>
  <c r="F7" i="7"/>
  <c r="G7" i="7"/>
  <c r="A8" i="7"/>
  <c r="B8" i="7"/>
  <c r="C8" i="7"/>
  <c r="D8" i="7"/>
  <c r="E8" i="7"/>
  <c r="F8" i="7"/>
  <c r="G8" i="7"/>
  <c r="B9" i="7"/>
  <c r="C9" i="7"/>
  <c r="D9" i="7"/>
  <c r="E9" i="7"/>
  <c r="F9" i="7"/>
  <c r="G9" i="7"/>
  <c r="A10" i="7"/>
  <c r="B10" i="7"/>
  <c r="C10" i="7"/>
  <c r="D10" i="7"/>
  <c r="E10" i="7"/>
  <c r="F10" i="7"/>
  <c r="G10" i="7"/>
  <c r="A11" i="7"/>
  <c r="B11" i="7"/>
  <c r="C11" i="7"/>
  <c r="D11" i="7"/>
  <c r="E11" i="7"/>
  <c r="F11" i="7"/>
  <c r="G11" i="7"/>
  <c r="A12" i="7"/>
  <c r="B12" i="7"/>
  <c r="C12" i="7"/>
  <c r="D12" i="7"/>
  <c r="E12" i="7"/>
  <c r="F12" i="7"/>
  <c r="G12" i="7"/>
  <c r="A13" i="7"/>
  <c r="B13" i="7"/>
  <c r="C13" i="7"/>
  <c r="D13" i="7"/>
  <c r="E13" i="7"/>
  <c r="F13" i="7"/>
  <c r="G13" i="7"/>
  <c r="A14" i="7"/>
  <c r="B14" i="7"/>
  <c r="C14" i="7"/>
  <c r="D14" i="7"/>
  <c r="E14" i="7"/>
  <c r="F14" i="7"/>
  <c r="G14" i="7"/>
  <c r="A15" i="7"/>
  <c r="B15" i="7"/>
  <c r="C15" i="7"/>
  <c r="D15" i="7"/>
  <c r="E15" i="7"/>
  <c r="F15" i="7"/>
  <c r="G15" i="7"/>
  <c r="A16" i="7"/>
  <c r="B16" i="7"/>
  <c r="C16" i="7"/>
  <c r="D16" i="7"/>
  <c r="E16" i="7"/>
  <c r="F16" i="7"/>
  <c r="G16" i="7"/>
  <c r="A17" i="7"/>
  <c r="B17" i="7"/>
  <c r="C17" i="7"/>
  <c r="D17" i="7"/>
  <c r="E17" i="7"/>
  <c r="F17" i="7"/>
  <c r="G17" i="7"/>
  <c r="A18" i="7"/>
  <c r="B18" i="7"/>
  <c r="C18" i="7"/>
  <c r="D18" i="7"/>
  <c r="E18" i="7"/>
  <c r="F18" i="7"/>
  <c r="G18" i="7"/>
  <c r="A19" i="7"/>
  <c r="B19" i="7"/>
  <c r="C19" i="7"/>
  <c r="D19" i="7"/>
  <c r="E19" i="7"/>
  <c r="F19" i="7"/>
  <c r="G19" i="7"/>
  <c r="A20" i="7"/>
  <c r="B20" i="7"/>
  <c r="C20" i="7"/>
  <c r="D20" i="7"/>
  <c r="E20" i="7"/>
  <c r="F20" i="7"/>
  <c r="G20" i="7"/>
  <c r="A21" i="7"/>
  <c r="B21" i="7"/>
  <c r="C21" i="7"/>
  <c r="D21" i="7"/>
  <c r="E21" i="7"/>
  <c r="F21" i="7"/>
  <c r="G21" i="7"/>
  <c r="A22" i="7"/>
  <c r="B22" i="7"/>
  <c r="C22" i="7"/>
  <c r="D22" i="7"/>
  <c r="E22" i="7"/>
  <c r="F22" i="7"/>
  <c r="G22" i="7"/>
  <c r="A23" i="7"/>
  <c r="B23" i="7"/>
  <c r="C23" i="7"/>
  <c r="D23" i="7"/>
  <c r="E23" i="7"/>
  <c r="F23" i="7"/>
  <c r="G23" i="7"/>
  <c r="A24" i="7"/>
  <c r="B24" i="7"/>
  <c r="C24" i="7"/>
  <c r="D24" i="7"/>
  <c r="E24" i="7"/>
  <c r="F24" i="7"/>
  <c r="G24" i="7"/>
  <c r="A25" i="7"/>
  <c r="B25" i="7"/>
  <c r="C25" i="7"/>
  <c r="D25" i="7"/>
  <c r="E25" i="7"/>
  <c r="F25" i="7"/>
  <c r="G25" i="7"/>
  <c r="A26" i="7"/>
  <c r="B26" i="7"/>
  <c r="C26" i="7"/>
  <c r="D26" i="7"/>
  <c r="E26" i="7"/>
  <c r="F26" i="7"/>
  <c r="G26" i="7"/>
  <c r="A27" i="7"/>
  <c r="B27" i="7"/>
  <c r="C27" i="7"/>
  <c r="D27" i="7"/>
  <c r="E27" i="7"/>
  <c r="F27" i="7"/>
  <c r="G27" i="7"/>
  <c r="A28" i="7"/>
  <c r="B28" i="7"/>
  <c r="C28" i="7"/>
  <c r="D28" i="7"/>
  <c r="E28" i="7"/>
  <c r="F28" i="7"/>
  <c r="G28" i="7"/>
  <c r="A29" i="7"/>
  <c r="B29" i="7"/>
  <c r="C29" i="7"/>
  <c r="D29" i="7"/>
  <c r="E29" i="7"/>
  <c r="F29" i="7"/>
  <c r="G29" i="7"/>
  <c r="A30" i="7"/>
  <c r="B30" i="7"/>
  <c r="C30" i="7"/>
  <c r="D30" i="7"/>
  <c r="E30" i="7"/>
  <c r="F30" i="7"/>
  <c r="G30" i="7"/>
  <c r="A1" i="6"/>
  <c r="B1" i="6"/>
  <c r="C1" i="6"/>
  <c r="D1" i="6"/>
  <c r="E1" i="6"/>
  <c r="F1" i="6"/>
  <c r="G1" i="6"/>
  <c r="H1" i="6"/>
  <c r="I1" i="6"/>
  <c r="J1" i="6"/>
  <c r="A2" i="6"/>
  <c r="B2" i="6"/>
  <c r="C2" i="6"/>
  <c r="D2" i="6"/>
  <c r="E2" i="6"/>
  <c r="F2" i="6"/>
  <c r="G2" i="6"/>
  <c r="H2" i="6"/>
  <c r="I2" i="6"/>
  <c r="J2" i="6"/>
  <c r="A3" i="6"/>
  <c r="B3" i="6"/>
  <c r="C3" i="6"/>
  <c r="D3" i="6"/>
  <c r="E3" i="6"/>
  <c r="F3" i="6"/>
  <c r="G3" i="6"/>
  <c r="H3" i="6"/>
  <c r="I3" i="6"/>
  <c r="J3" i="6"/>
  <c r="A4" i="6"/>
  <c r="B4" i="6"/>
  <c r="C4" i="6"/>
  <c r="D4" i="6"/>
  <c r="E4" i="6"/>
  <c r="F4" i="6"/>
  <c r="G4" i="6"/>
  <c r="H4" i="6"/>
  <c r="I4" i="6"/>
  <c r="J4" i="6"/>
  <c r="A5" i="6"/>
  <c r="B5" i="6"/>
  <c r="C5" i="6"/>
  <c r="D5" i="6"/>
  <c r="E5" i="6"/>
  <c r="F5" i="6"/>
  <c r="G5" i="6"/>
  <c r="H5" i="6"/>
  <c r="I5" i="6"/>
  <c r="J5" i="6"/>
  <c r="A6" i="6"/>
  <c r="B6" i="6"/>
  <c r="C6" i="6"/>
  <c r="D6" i="6"/>
  <c r="E6" i="6"/>
  <c r="F6" i="6"/>
  <c r="G6" i="6"/>
  <c r="H6" i="6"/>
  <c r="I6" i="6"/>
  <c r="J6" i="6"/>
  <c r="A7" i="6"/>
  <c r="B7" i="6"/>
  <c r="C7" i="6"/>
  <c r="D7" i="6"/>
  <c r="E7" i="6"/>
  <c r="F7" i="6"/>
  <c r="G7" i="6"/>
  <c r="H7" i="6"/>
  <c r="I7" i="6"/>
  <c r="J7" i="6"/>
  <c r="B8" i="6"/>
  <c r="C8" i="6"/>
  <c r="D8" i="6"/>
  <c r="E8" i="6"/>
  <c r="F8" i="6"/>
  <c r="G8" i="6"/>
  <c r="H8" i="6"/>
  <c r="I8" i="6"/>
  <c r="J8" i="6"/>
  <c r="A9" i="6"/>
  <c r="B9" i="6"/>
  <c r="C9" i="6"/>
  <c r="D9" i="6"/>
  <c r="E9" i="6"/>
  <c r="F9" i="6"/>
  <c r="G9" i="6"/>
  <c r="H9" i="6"/>
  <c r="I9" i="6"/>
  <c r="J9" i="6"/>
  <c r="A10" i="6"/>
  <c r="B10" i="6"/>
  <c r="C10" i="6"/>
  <c r="D10" i="6"/>
  <c r="E10" i="6"/>
  <c r="F10" i="6"/>
  <c r="G10" i="6"/>
  <c r="H10" i="6"/>
  <c r="I10" i="6"/>
  <c r="J10" i="6"/>
  <c r="A11" i="6"/>
  <c r="B11" i="6"/>
  <c r="C11" i="6"/>
  <c r="D11" i="6"/>
  <c r="E11" i="6"/>
  <c r="F11" i="6"/>
  <c r="G11" i="6"/>
  <c r="H11" i="6"/>
  <c r="I11" i="6"/>
  <c r="J11" i="6"/>
  <c r="A12" i="6"/>
  <c r="B12" i="6"/>
  <c r="C12" i="6"/>
  <c r="D12" i="6"/>
  <c r="E12" i="6"/>
  <c r="F12" i="6"/>
  <c r="G12" i="6"/>
  <c r="H12" i="6"/>
  <c r="I12" i="6"/>
  <c r="J12" i="6"/>
  <c r="A13" i="6"/>
  <c r="B13" i="6"/>
  <c r="C13" i="6"/>
  <c r="D13" i="6"/>
  <c r="E13" i="6"/>
  <c r="F13" i="6"/>
  <c r="G13" i="6"/>
  <c r="H13" i="6"/>
  <c r="I13" i="6"/>
  <c r="J13" i="6"/>
  <c r="A14" i="6"/>
  <c r="B14" i="6"/>
  <c r="C14" i="6"/>
  <c r="D14" i="6"/>
  <c r="E14" i="6"/>
  <c r="F14" i="6"/>
  <c r="G14" i="6"/>
  <c r="H14" i="6"/>
  <c r="I14" i="6"/>
  <c r="J14" i="6"/>
  <c r="A15" i="6"/>
  <c r="B15" i="6"/>
  <c r="C15" i="6"/>
  <c r="D15" i="6"/>
  <c r="E15" i="6"/>
  <c r="F15" i="6"/>
  <c r="G15" i="6"/>
  <c r="H15" i="6"/>
  <c r="I15" i="6"/>
  <c r="J15" i="6"/>
  <c r="A16" i="6"/>
  <c r="B16" i="6"/>
  <c r="C16" i="6"/>
  <c r="D16" i="6"/>
  <c r="E16" i="6"/>
  <c r="F16" i="6"/>
  <c r="G16" i="6"/>
  <c r="H16" i="6"/>
  <c r="I16" i="6"/>
  <c r="J16" i="6"/>
  <c r="A17" i="6"/>
  <c r="B17" i="6"/>
  <c r="C17" i="6"/>
  <c r="D17" i="6"/>
  <c r="E17" i="6"/>
  <c r="F17" i="6"/>
  <c r="G17" i="6"/>
  <c r="H17" i="6"/>
  <c r="I17" i="6"/>
  <c r="J17" i="6"/>
  <c r="A18" i="6"/>
  <c r="B18" i="6"/>
  <c r="C18" i="6"/>
  <c r="D18" i="6"/>
  <c r="E18" i="6"/>
  <c r="F18" i="6"/>
  <c r="G18" i="6"/>
  <c r="H18" i="6"/>
  <c r="I18" i="6"/>
  <c r="J18" i="6"/>
  <c r="A19" i="6"/>
  <c r="B19" i="6"/>
  <c r="C19" i="6"/>
  <c r="D19" i="6"/>
  <c r="E19" i="6"/>
  <c r="F19" i="6"/>
  <c r="G19" i="6"/>
  <c r="H19" i="6"/>
  <c r="I19" i="6"/>
  <c r="J19" i="6"/>
  <c r="A20" i="6"/>
  <c r="B20" i="6"/>
  <c r="C20" i="6"/>
  <c r="D20" i="6"/>
  <c r="E20" i="6"/>
  <c r="F20" i="6"/>
  <c r="G20" i="6"/>
  <c r="H20" i="6"/>
  <c r="I20" i="6"/>
  <c r="J20" i="6"/>
  <c r="A21" i="6"/>
  <c r="B21" i="6"/>
  <c r="C21" i="6"/>
  <c r="D21" i="6"/>
  <c r="E21" i="6"/>
  <c r="F21" i="6"/>
  <c r="G21" i="6"/>
  <c r="H21" i="6"/>
  <c r="I21" i="6"/>
  <c r="J21" i="6"/>
  <c r="A22" i="6"/>
  <c r="B22" i="6"/>
  <c r="C22" i="6"/>
  <c r="D22" i="6"/>
  <c r="E22" i="6"/>
  <c r="F22" i="6"/>
  <c r="G22" i="6"/>
  <c r="H22" i="6"/>
  <c r="I22" i="6"/>
  <c r="J22" i="6"/>
  <c r="A23" i="6"/>
  <c r="B23" i="6"/>
  <c r="C23" i="6"/>
  <c r="D23" i="6"/>
  <c r="E23" i="6"/>
  <c r="F23" i="6"/>
  <c r="G23" i="6"/>
  <c r="H23" i="6"/>
  <c r="I23" i="6"/>
  <c r="J23" i="6"/>
  <c r="A24" i="6"/>
  <c r="B24" i="6"/>
  <c r="C24" i="6"/>
  <c r="D24" i="6"/>
  <c r="E24" i="6"/>
  <c r="F24" i="6"/>
  <c r="G24" i="6"/>
  <c r="H24" i="6"/>
  <c r="I24" i="6"/>
  <c r="J24" i="6"/>
  <c r="A25" i="6"/>
  <c r="B25" i="6"/>
  <c r="C25" i="6"/>
  <c r="D25" i="6"/>
  <c r="E25" i="6"/>
  <c r="F25" i="6"/>
  <c r="G25" i="6"/>
  <c r="H25" i="6"/>
  <c r="I25" i="6"/>
  <c r="J25" i="6"/>
  <c r="A26" i="6"/>
  <c r="B26" i="6"/>
  <c r="C26" i="6"/>
  <c r="D26" i="6"/>
  <c r="E26" i="6"/>
  <c r="F26" i="6"/>
  <c r="G26" i="6"/>
  <c r="H26" i="6"/>
  <c r="I26" i="6"/>
  <c r="J26" i="6"/>
  <c r="A27" i="6"/>
  <c r="B27" i="6"/>
  <c r="C27" i="6"/>
  <c r="D27" i="6"/>
  <c r="E27" i="6"/>
  <c r="F27" i="6"/>
  <c r="G27" i="6"/>
  <c r="H27" i="6"/>
  <c r="I27" i="6"/>
  <c r="J27" i="6"/>
  <c r="A28" i="6"/>
  <c r="B28" i="6"/>
  <c r="C28" i="6"/>
  <c r="D28" i="6"/>
  <c r="E28" i="6"/>
  <c r="F28" i="6"/>
  <c r="G28" i="6"/>
  <c r="H28" i="6"/>
  <c r="I28" i="6"/>
  <c r="J28" i="6"/>
  <c r="A29" i="6"/>
  <c r="B29" i="6"/>
  <c r="C29" i="6"/>
  <c r="D29" i="6"/>
  <c r="E29" i="6"/>
  <c r="F29" i="6"/>
  <c r="G29" i="6"/>
  <c r="H29" i="6"/>
  <c r="I29" i="6"/>
  <c r="J29" i="6"/>
  <c r="A30" i="6"/>
  <c r="B30" i="6"/>
  <c r="C30" i="6"/>
  <c r="D30" i="6"/>
  <c r="E30" i="6"/>
  <c r="F30" i="6"/>
  <c r="G30" i="6"/>
  <c r="H30" i="6"/>
  <c r="I30" i="6"/>
  <c r="J30" i="6"/>
  <c r="A31" i="6"/>
  <c r="B31" i="6"/>
  <c r="C31" i="6"/>
  <c r="D31" i="6"/>
  <c r="E31" i="6"/>
  <c r="F31" i="6"/>
  <c r="G31" i="6"/>
  <c r="H31" i="6"/>
  <c r="I31" i="6"/>
  <c r="J31" i="6"/>
  <c r="A32" i="6"/>
  <c r="B32" i="6"/>
  <c r="C32" i="6"/>
  <c r="D32" i="6"/>
  <c r="E32" i="6"/>
  <c r="F32" i="6"/>
  <c r="G32" i="6"/>
  <c r="H32" i="6"/>
  <c r="I32" i="6"/>
  <c r="J32" i="6"/>
  <c r="A33" i="6"/>
  <c r="B33" i="6"/>
  <c r="C33" i="6"/>
  <c r="D33" i="6"/>
  <c r="E33" i="6"/>
  <c r="F33" i="6"/>
  <c r="G33" i="6"/>
  <c r="H33" i="6"/>
  <c r="I33" i="6"/>
  <c r="J33" i="6"/>
  <c r="A34" i="6"/>
  <c r="B34" i="6"/>
  <c r="C34" i="6"/>
  <c r="D34" i="6"/>
  <c r="E34" i="6"/>
  <c r="F34" i="6"/>
  <c r="G34" i="6"/>
  <c r="H34" i="6"/>
  <c r="I34" i="6"/>
  <c r="J34" i="6"/>
  <c r="A35" i="6"/>
  <c r="B35" i="6"/>
  <c r="C35" i="6"/>
  <c r="D35" i="6"/>
  <c r="E35" i="6"/>
  <c r="F35" i="6"/>
  <c r="G35" i="6"/>
  <c r="H35" i="6"/>
  <c r="I35" i="6"/>
  <c r="J35" i="6"/>
  <c r="A36" i="6"/>
  <c r="B36" i="6"/>
  <c r="C36" i="6"/>
  <c r="D36" i="6"/>
  <c r="E36" i="6"/>
  <c r="F36" i="6"/>
  <c r="G36" i="6"/>
  <c r="H36" i="6"/>
  <c r="I36" i="6"/>
  <c r="J36" i="6"/>
  <c r="A37" i="6"/>
  <c r="B37" i="6"/>
  <c r="C37" i="6"/>
  <c r="D37" i="6"/>
  <c r="E37" i="6"/>
  <c r="F37" i="6"/>
  <c r="G37" i="6"/>
  <c r="H37" i="6"/>
  <c r="I37" i="6"/>
  <c r="J37" i="6"/>
  <c r="A38" i="6"/>
  <c r="B38" i="6"/>
  <c r="C38" i="6"/>
  <c r="D38" i="6"/>
  <c r="E38" i="6"/>
  <c r="F38" i="6"/>
  <c r="G38" i="6"/>
  <c r="H38" i="6"/>
  <c r="I38" i="6"/>
  <c r="J38" i="6"/>
  <c r="A39" i="6"/>
  <c r="B39" i="6"/>
  <c r="C39" i="6"/>
  <c r="D39" i="6"/>
  <c r="E39" i="6"/>
  <c r="F39" i="6"/>
  <c r="G39" i="6"/>
  <c r="H39" i="6"/>
  <c r="I39" i="6"/>
  <c r="J39" i="6"/>
  <c r="A40" i="6"/>
  <c r="B40" i="6"/>
  <c r="C40" i="6"/>
  <c r="D40" i="6"/>
  <c r="E40" i="6"/>
  <c r="F40" i="6"/>
  <c r="G40" i="6"/>
  <c r="H40" i="6"/>
  <c r="I40" i="6"/>
  <c r="J40" i="6"/>
  <c r="A41" i="6"/>
  <c r="B41" i="6"/>
  <c r="C41" i="6"/>
  <c r="D41" i="6"/>
  <c r="E41" i="6"/>
  <c r="F41" i="6"/>
  <c r="G41" i="6"/>
  <c r="H41" i="6"/>
  <c r="I41" i="6"/>
  <c r="J41" i="6"/>
  <c r="A42" i="6"/>
  <c r="B42" i="6"/>
  <c r="C42" i="6"/>
  <c r="D42" i="6"/>
  <c r="E42" i="6"/>
  <c r="F42" i="6"/>
  <c r="G42" i="6"/>
  <c r="H42" i="6"/>
  <c r="I42" i="6"/>
  <c r="J42" i="6"/>
  <c r="A43" i="6"/>
  <c r="B43" i="6"/>
  <c r="C43" i="6"/>
  <c r="D43" i="6"/>
  <c r="E43" i="6"/>
  <c r="F43" i="6"/>
  <c r="G43" i="6"/>
  <c r="H43" i="6"/>
  <c r="I43" i="6"/>
  <c r="J43" i="6"/>
  <c r="A44" i="6"/>
  <c r="B44" i="6"/>
  <c r="C44" i="6"/>
  <c r="D44" i="6"/>
  <c r="E44" i="6"/>
  <c r="F44" i="6"/>
  <c r="G44" i="6"/>
  <c r="H44" i="6"/>
  <c r="I44" i="6"/>
  <c r="J44" i="6"/>
  <c r="A45" i="6"/>
  <c r="B45" i="6"/>
  <c r="C45" i="6"/>
  <c r="D45" i="6"/>
  <c r="E45" i="6"/>
  <c r="F45" i="6"/>
  <c r="G45" i="6"/>
  <c r="H45" i="6"/>
  <c r="I45" i="6"/>
  <c r="J45" i="6"/>
  <c r="A46" i="6"/>
  <c r="B46" i="6"/>
  <c r="C46" i="6"/>
  <c r="D46" i="6"/>
  <c r="E46" i="6"/>
  <c r="F46" i="6"/>
  <c r="G46" i="6"/>
  <c r="H46" i="6"/>
  <c r="I46" i="6"/>
  <c r="J46" i="6"/>
  <c r="A47" i="6"/>
  <c r="B47" i="6"/>
  <c r="C47" i="6"/>
  <c r="D47" i="6"/>
  <c r="E47" i="6"/>
  <c r="F47" i="6"/>
  <c r="G47" i="6"/>
  <c r="H47" i="6"/>
  <c r="I47" i="6"/>
  <c r="J47" i="6"/>
  <c r="A48" i="6"/>
  <c r="B48" i="6"/>
  <c r="C48" i="6"/>
  <c r="D48" i="6"/>
  <c r="E48" i="6"/>
  <c r="F48" i="6"/>
  <c r="G48" i="6"/>
  <c r="H48" i="6"/>
  <c r="I48" i="6"/>
  <c r="J48" i="6"/>
  <c r="A49" i="6"/>
  <c r="B49" i="6"/>
  <c r="C49" i="6"/>
  <c r="D49" i="6"/>
  <c r="E49" i="6"/>
  <c r="F49" i="6"/>
  <c r="G49" i="6"/>
  <c r="H49" i="6"/>
  <c r="I49" i="6"/>
  <c r="J49" i="6"/>
  <c r="A50" i="6"/>
  <c r="B50" i="6"/>
  <c r="C50" i="6"/>
  <c r="D50" i="6"/>
  <c r="E50" i="6"/>
  <c r="F50" i="6"/>
  <c r="G50" i="6"/>
  <c r="H50" i="6"/>
  <c r="I50" i="6"/>
  <c r="J50" i="6"/>
  <c r="A51" i="6"/>
  <c r="B51" i="6"/>
  <c r="C51" i="6"/>
  <c r="D51" i="6"/>
  <c r="E51" i="6"/>
  <c r="F51" i="6"/>
  <c r="G51" i="6"/>
  <c r="H51" i="6"/>
  <c r="I51" i="6"/>
  <c r="J51" i="6"/>
  <c r="A52" i="6"/>
  <c r="B52" i="6"/>
  <c r="C52" i="6"/>
  <c r="D52" i="6"/>
  <c r="E52" i="6"/>
  <c r="F52" i="6"/>
  <c r="G52" i="6"/>
  <c r="H52" i="6"/>
  <c r="I52" i="6"/>
  <c r="J52" i="6"/>
  <c r="A53" i="6"/>
  <c r="B53" i="6"/>
  <c r="C53" i="6"/>
  <c r="D53" i="6"/>
  <c r="E53" i="6"/>
  <c r="F53" i="6"/>
  <c r="G53" i="6"/>
  <c r="H53" i="6"/>
  <c r="I53" i="6"/>
  <c r="J53" i="6"/>
  <c r="A54" i="6"/>
  <c r="B54" i="6"/>
  <c r="C54" i="6"/>
  <c r="D54" i="6"/>
  <c r="E54" i="6"/>
  <c r="F54" i="6"/>
  <c r="G54" i="6"/>
  <c r="H54" i="6"/>
  <c r="I54" i="6"/>
  <c r="J54" i="6"/>
  <c r="A55" i="6"/>
  <c r="B55" i="6"/>
  <c r="C55" i="6"/>
  <c r="D55" i="6"/>
  <c r="E55" i="6"/>
  <c r="F55" i="6"/>
  <c r="G55" i="6"/>
  <c r="H55" i="6"/>
  <c r="I55" i="6"/>
  <c r="J55" i="6"/>
  <c r="A56" i="6"/>
  <c r="B56" i="6"/>
  <c r="C56" i="6"/>
  <c r="D56" i="6"/>
  <c r="E56" i="6"/>
  <c r="F56" i="6"/>
  <c r="G56" i="6"/>
  <c r="H56" i="6"/>
  <c r="I56" i="6"/>
  <c r="J56" i="6"/>
  <c r="A57" i="6"/>
  <c r="B57" i="6"/>
  <c r="C57" i="6"/>
  <c r="D57" i="6"/>
  <c r="E57" i="6"/>
  <c r="F57" i="6"/>
  <c r="G57" i="6"/>
  <c r="H57" i="6"/>
  <c r="I57" i="6"/>
  <c r="J57" i="6"/>
  <c r="A58" i="6"/>
  <c r="B58" i="6"/>
  <c r="C58" i="6"/>
  <c r="D58" i="6"/>
  <c r="E58" i="6"/>
  <c r="F58" i="6"/>
  <c r="G58" i="6"/>
  <c r="H58" i="6"/>
  <c r="I58" i="6"/>
  <c r="J58" i="6"/>
  <c r="A59" i="6"/>
  <c r="B59" i="6"/>
  <c r="C59" i="6"/>
  <c r="D59" i="6"/>
  <c r="E59" i="6"/>
  <c r="F59" i="6"/>
  <c r="G59" i="6"/>
  <c r="H59" i="6"/>
  <c r="I59" i="6"/>
  <c r="J59" i="6"/>
  <c r="A60" i="6"/>
  <c r="B60" i="6"/>
  <c r="C60" i="6"/>
  <c r="D60" i="6"/>
  <c r="E60" i="6"/>
  <c r="F60" i="6"/>
  <c r="G60" i="6"/>
  <c r="H60" i="6"/>
  <c r="I60" i="6"/>
  <c r="J60" i="6"/>
  <c r="A61" i="6"/>
  <c r="B61" i="6"/>
  <c r="C61" i="6"/>
  <c r="D61" i="6"/>
  <c r="E61" i="6"/>
  <c r="F61" i="6"/>
  <c r="G61" i="6"/>
  <c r="H61" i="6"/>
  <c r="I61" i="6"/>
  <c r="J61" i="6"/>
  <c r="A62" i="6"/>
  <c r="B62" i="6"/>
  <c r="C62" i="6"/>
  <c r="D62" i="6"/>
  <c r="E62" i="6"/>
  <c r="F62" i="6"/>
  <c r="G62" i="6"/>
  <c r="H62" i="6"/>
  <c r="I62" i="6"/>
  <c r="J62" i="6"/>
  <c r="A63" i="6"/>
  <c r="B63" i="6"/>
  <c r="C63" i="6"/>
  <c r="D63" i="6"/>
  <c r="E63" i="6"/>
  <c r="F63" i="6"/>
  <c r="G63" i="6"/>
  <c r="H63" i="6"/>
  <c r="I63" i="6"/>
  <c r="J63" i="6"/>
  <c r="A64" i="6"/>
  <c r="B64" i="6"/>
  <c r="C64" i="6"/>
  <c r="D64" i="6"/>
  <c r="E64" i="6"/>
  <c r="F64" i="6"/>
  <c r="G64" i="6"/>
  <c r="H64" i="6"/>
  <c r="I64" i="6"/>
  <c r="J64" i="6"/>
  <c r="A65" i="6"/>
  <c r="B65" i="6"/>
  <c r="C65" i="6"/>
  <c r="D65" i="6"/>
  <c r="E65" i="6"/>
  <c r="F65" i="6"/>
  <c r="G65" i="6"/>
  <c r="H65" i="6"/>
  <c r="I65" i="6"/>
  <c r="J65" i="6"/>
  <c r="A66" i="6"/>
  <c r="B66" i="6"/>
  <c r="C66" i="6"/>
  <c r="D66" i="6"/>
  <c r="E66" i="6"/>
  <c r="F66" i="6"/>
  <c r="G66" i="6"/>
  <c r="H66" i="6"/>
  <c r="I66" i="6"/>
  <c r="J66" i="6"/>
</calcChain>
</file>

<file path=xl/sharedStrings.xml><?xml version="1.0" encoding="utf-8"?>
<sst xmlns="http://schemas.openxmlformats.org/spreadsheetml/2006/main" count="112" uniqueCount="104">
  <si>
    <t>支持的数据类型</t>
  </si>
  <si>
    <t>string</t>
  </si>
  <si>
    <t>Excel格式说明</t>
  </si>
  <si>
    <t>Excel文件格式说明</t>
  </si>
  <si>
    <t>第一行：列名</t>
  </si>
  <si>
    <t>第一行必须是列名，作为字典的键</t>
  </si>
  <si>
    <t>第二行：描述（可选）</t>
  </si>
  <si>
    <t>第二行是描述，不参与转换</t>
  </si>
  <si>
    <t>第三行：类型定义</t>
  </si>
  <si>
    <t>第三行定义每列的数据类型</t>
  </si>
  <si>
    <t>第四行开始：数据</t>
  </si>
  <si>
    <t>从第四行开始是实际数据</t>
  </si>
  <si>
    <t>string, int, float, bool, list, json, yaml</t>
  </si>
  <si>
    <t>string类型</t>
  </si>
  <si>
    <t>字符串类型，支持任意文本</t>
  </si>
  <si>
    <t>int类型</t>
  </si>
  <si>
    <t>整数类型，如：123</t>
  </si>
  <si>
    <t>float类型</t>
  </si>
  <si>
    <t>浮点数类型，如：123.45</t>
  </si>
  <si>
    <t>bool类型</t>
  </si>
  <si>
    <t>布尔类型，如：true/false/1/0/yes/no/是/否</t>
  </si>
  <si>
    <t>list类型</t>
  </si>
  <si>
    <t>列表类型，格式：[a, b, c]</t>
  </si>
  <si>
    <t>json类型</t>
  </si>
  <si>
    <t>JSON对象类型，格式：{"key": "value"}</t>
  </si>
  <si>
    <t>yaml类型</t>
  </si>
  <si>
    <t>YAML格式，如：- item1\n- item2</t>
  </si>
  <si>
    <t>列表格式要求</t>
  </si>
  <si>
    <t>必须用中括号包围，如：[a, b, c]</t>
  </si>
  <si>
    <t>JSON格式要求</t>
  </si>
  <si>
    <t>必须用大括号包围，如：{"key": "value"}</t>
  </si>
  <si>
    <t>YAML格式要求</t>
  </si>
  <si>
    <t>支持YAML语法，如：- item1\n- item2</t>
  </si>
  <si>
    <t>/splash_screen</t>
  </si>
  <si>
    <t>启动页</t>
  </si>
  <si>
    <t>system</t>
  </si>
  <si>
    <t>应用启动过渡页</t>
  </si>
  <si>
    <t>启动,过渡</t>
  </si>
  <si>
    <t>/onboarding_screen</t>
  </si>
  <si>
    <t>引导页</t>
  </si>
  <si>
    <t>首次使用引导与权限提示</t>
  </si>
  <si>
    <t>引导,教程,权限</t>
  </si>
  <si>
    <t>/login_screen</t>
  </si>
  <si>
    <t>登录</t>
  </si>
  <si>
    <t>auth</t>
  </si>
  <si>
    <t>用户登录页面（支持账号/密码/记住我）</t>
  </si>
  <si>
    <t>登录,认证</t>
  </si>
  <si>
    <t>/register_screen</t>
  </si>
  <si>
    <t>注册</t>
  </si>
  <si>
    <t>用户注册页面</t>
  </si>
  <si>
    <t>注册,账户</t>
  </si>
  <si>
    <t>/settings_screen</t>
  </si>
  <si>
    <t>设置</t>
  </si>
  <si>
    <t>系统设置与个性化配置</t>
  </si>
  <si>
    <t>设置,系统,主题</t>
  </si>
  <si>
    <t>/language_settings_screen</t>
  </si>
  <si>
    <t>语言设置</t>
  </si>
  <si>
    <t>选择应用语言</t>
  </si>
  <si>
    <t>语言,设置</t>
  </si>
  <si>
    <t>/user_profile_screen</t>
  </si>
  <si>
    <t>个人资料</t>
  </si>
  <si>
    <t>profile</t>
  </si>
  <si>
    <t>查看与编辑用户信息</t>
  </si>
  <si>
    <t>个人,资料</t>
  </si>
  <si>
    <t>/dashboard_screen</t>
  </si>
  <si>
    <t>仪表板</t>
  </si>
  <si>
    <t>main</t>
  </si>
  <si>
    <t>健康数据总览与趋势分析</t>
  </si>
  <si>
    <t>健康,概览,趋势,卡片,统计</t>
  </si>
  <si>
    <t>/social_hub_screen</t>
  </si>
  <si>
    <t>社交中心</t>
  </si>
  <si>
    <t>social</t>
  </si>
  <si>
    <t>社交功能聚合入口</t>
  </si>
  <si>
    <t>社交,内容,互动</t>
  </si>
  <si>
    <t>/society_screen</t>
  </si>
  <si>
    <t>社区</t>
  </si>
  <si>
    <t>community</t>
  </si>
  <si>
    <t>社区内容浏览与互动</t>
  </si>
  <si>
    <t>社区,话题</t>
  </si>
  <si>
    <t>/improvement_screen</t>
  </si>
  <si>
    <t>改进中心</t>
  </si>
  <si>
    <t>growth</t>
  </si>
  <si>
    <t>个人改进目标与进步跟踪</t>
  </si>
  <si>
    <t>改进,目标,进步</t>
  </si>
  <si>
    <t>/agent_screen</t>
  </si>
  <si>
    <t>AI助手</t>
  </si>
  <si>
    <t>ai</t>
  </si>
  <si>
    <t>智能助手建议与操作</t>
  </si>
  <si>
    <t>AI,建议,个性化</t>
  </si>
  <si>
    <t>route</t>
  </si>
  <si>
    <t>page_name</t>
  </si>
  <si>
    <t>category</t>
  </si>
  <si>
    <t>description</t>
  </si>
  <si>
    <t>tags</t>
  </si>
  <si>
    <t>页面路由，作为键</t>
  </si>
  <si>
    <t>页面名称</t>
  </si>
  <si>
    <t>页面分类</t>
  </si>
  <si>
    <t>页面描述</t>
  </si>
  <si>
    <t>标签（逗号分隔或list）</t>
  </si>
  <si>
    <t>list</t>
  </si>
  <si>
    <t>数据</t>
  </si>
  <si>
    <t>Sleep 7.5 小时 Good sleep
Body Metrics 65 kg 170 cm BMI 22.5
Blood Pressure 120 mmHg 80 mmHg Normal 72 bpm
Blood Glucose 5.8 mmol/L Normal 餐后2小时
Exercise Running 45 分钟 320 kcal
Water 1200 / 2000 ml Good
Mood 8/10 Very good 今天心情不错
Overview 85 Good 运动 饮食 睡眠 饮水 心情</t>
  </si>
  <si>
    <t>statistics</t>
  </si>
  <si>
    <t>Energetic Average daily steps +15% 8,500 steps 1,200 more steps than last week
Mood Average heart rate -8% 72 bpm Heart rate variability increased by 12%
Sleeping Sleep duration +20% 7.5 hours Deep sleep time increased by 45 minutes
Exercise Exercise intensity +25% Moderate Aerobic exercise increased by 2 hours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</si>
</sst>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zoomScale="96" zoomScaleNormal="96" workbookViewId="0">
      <selection activeCell="E28" sqref="E28"/>
    </sheetView>
  </sheetViews>
  <sheetFormatPr baseColWidth="10" defaultColWidth="8.83203125" defaultRowHeight="15" x14ac:dyDescent="0.2"/>
  <cols>
    <col min="1" max="1" width="32" style="1" customWidth="1"/>
    <col min="2" max="2" width="14.6640625" style="1" customWidth="1"/>
    <col min="3" max="3" width="15.1640625" style="1" customWidth="1"/>
    <col min="4" max="4" width="33.1640625" style="1" customWidth="1"/>
    <col min="5" max="5" width="56.83203125" style="1" customWidth="1"/>
    <col min="6" max="6" width="62.5" style="1" customWidth="1"/>
    <col min="7" max="7" width="51.6640625" style="1" customWidth="1"/>
    <col min="8" max="16384" width="8.83203125" style="1"/>
  </cols>
  <sheetData>
    <row r="1" spans="1:7" s="5" customFormat="1" ht="16" x14ac:dyDescent="0.2">
      <c r="A1" s="3" t="s">
        <v>89</v>
      </c>
      <c r="B1" s="3" t="s">
        <v>90</v>
      </c>
      <c r="C1" s="3" t="s">
        <v>91</v>
      </c>
      <c r="D1" s="3" t="s">
        <v>92</v>
      </c>
      <c r="E1" s="3" t="s">
        <v>93</v>
      </c>
      <c r="F1" s="3" t="s">
        <v>102</v>
      </c>
      <c r="G1" s="4"/>
    </row>
    <row r="2" spans="1:7" s="5" customFormat="1" ht="49" customHeight="1" x14ac:dyDescent="0.2">
      <c r="A2" s="5" t="s">
        <v>94</v>
      </c>
      <c r="B2" s="5" t="s">
        <v>95</v>
      </c>
      <c r="C2" s="5" t="s">
        <v>96</v>
      </c>
      <c r="D2" s="5" t="s">
        <v>97</v>
      </c>
      <c r="E2" s="5" t="s">
        <v>98</v>
      </c>
      <c r="F2" s="5" t="s">
        <v>100</v>
      </c>
      <c r="G2" s="6"/>
    </row>
    <row r="3" spans="1:7" s="5" customFormat="1" ht="16" x14ac:dyDescent="0.2">
      <c r="A3" s="5" t="s">
        <v>1</v>
      </c>
      <c r="B3" s="5" t="s">
        <v>1</v>
      </c>
      <c r="C3" s="5" t="s">
        <v>1</v>
      </c>
      <c r="D3" s="5" t="s">
        <v>1</v>
      </c>
      <c r="E3" s="5" t="s">
        <v>99</v>
      </c>
      <c r="F3" s="5" t="s">
        <v>1</v>
      </c>
      <c r="G3" s="6"/>
    </row>
    <row r="4" spans="1:7" x14ac:dyDescent="0.2">
      <c r="A4" t="s">
        <v>33</v>
      </c>
      <c r="B4" t="s">
        <v>34</v>
      </c>
      <c r="C4" t="s">
        <v>35</v>
      </c>
      <c r="D4" t="s">
        <v>36</v>
      </c>
      <c r="E4" t="s">
        <v>37</v>
      </c>
      <c r="G4" s="2"/>
    </row>
    <row r="5" spans="1:7" x14ac:dyDescent="0.2">
      <c r="A5" t="s">
        <v>38</v>
      </c>
      <c r="B5" t="s">
        <v>39</v>
      </c>
      <c r="C5" t="s">
        <v>35</v>
      </c>
      <c r="D5" t="s">
        <v>40</v>
      </c>
      <c r="E5" t="s">
        <v>41</v>
      </c>
      <c r="G5" s="2"/>
    </row>
    <row r="6" spans="1:7" x14ac:dyDescent="0.2">
      <c r="A6" t="s">
        <v>42</v>
      </c>
      <c r="B6" t="s">
        <v>43</v>
      </c>
      <c r="C6" t="s">
        <v>44</v>
      </c>
      <c r="D6" t="s">
        <v>45</v>
      </c>
      <c r="E6" t="s">
        <v>46</v>
      </c>
      <c r="G6" s="2"/>
    </row>
    <row r="7" spans="1:7" x14ac:dyDescent="0.2">
      <c r="A7" t="s">
        <v>47</v>
      </c>
      <c r="B7" t="s">
        <v>48</v>
      </c>
      <c r="C7" t="s">
        <v>44</v>
      </c>
      <c r="D7" t="s">
        <v>49</v>
      </c>
      <c r="E7" t="s">
        <v>50</v>
      </c>
      <c r="G7" s="2"/>
    </row>
    <row r="8" spans="1:7" x14ac:dyDescent="0.2">
      <c r="A8" t="s">
        <v>51</v>
      </c>
      <c r="B8" t="s">
        <v>52</v>
      </c>
      <c r="C8" t="s">
        <v>35</v>
      </c>
      <c r="D8" t="s">
        <v>53</v>
      </c>
      <c r="E8" t="s">
        <v>54</v>
      </c>
      <c r="G8" s="2"/>
    </row>
    <row r="9" spans="1:7" x14ac:dyDescent="0.2">
      <c r="A9" t="s">
        <v>55</v>
      </c>
      <c r="B9" t="s">
        <v>56</v>
      </c>
      <c r="C9" t="s">
        <v>35</v>
      </c>
      <c r="D9" t="s">
        <v>57</v>
      </c>
      <c r="E9" t="s">
        <v>58</v>
      </c>
      <c r="G9" s="2"/>
    </row>
    <row r="10" spans="1:7" x14ac:dyDescent="0.2">
      <c r="A10" t="s">
        <v>59</v>
      </c>
      <c r="B10" t="s">
        <v>60</v>
      </c>
      <c r="C10" t="s">
        <v>61</v>
      </c>
      <c r="D10" t="s">
        <v>62</v>
      </c>
      <c r="E10" t="s">
        <v>63</v>
      </c>
    </row>
    <row r="11" spans="1:7" ht="128" x14ac:dyDescent="0.2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s="1" t="s">
        <v>101</v>
      </c>
    </row>
    <row r="12" spans="1:7" x14ac:dyDescent="0.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s="2"/>
    </row>
    <row r="13" spans="1:7" x14ac:dyDescent="0.2">
      <c r="A13" t="s">
        <v>74</v>
      </c>
      <c r="B13" t="s">
        <v>75</v>
      </c>
      <c r="C13" t="s">
        <v>76</v>
      </c>
      <c r="D13" t="s">
        <v>77</v>
      </c>
      <c r="E13" t="s">
        <v>78</v>
      </c>
    </row>
    <row r="14" spans="1:7" ht="89" customHeight="1" x14ac:dyDescent="0.2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s="1" t="s">
        <v>103</v>
      </c>
    </row>
    <row r="15" spans="1:7" x14ac:dyDescent="0.2">
      <c r="A15" t="s">
        <v>84</v>
      </c>
      <c r="B15" t="s">
        <v>85</v>
      </c>
      <c r="C15" t="s">
        <v>86</v>
      </c>
      <c r="D15" t="s">
        <v>87</v>
      </c>
      <c r="E15" t="s">
        <v>88</v>
      </c>
    </row>
    <row r="16" spans="1:7" x14ac:dyDescent="0.2">
      <c r="A16"/>
      <c r="B16"/>
      <c r="C16"/>
      <c r="D16"/>
      <c r="E16"/>
    </row>
    <row r="17" spans="1:5" x14ac:dyDescent="0.2">
      <c r="A17"/>
      <c r="B17"/>
      <c r="C17"/>
      <c r="D17"/>
      <c r="E17"/>
    </row>
    <row r="18" spans="1:5" x14ac:dyDescent="0.2">
      <c r="A18"/>
      <c r="B18"/>
      <c r="C18"/>
      <c r="D18"/>
      <c r="E18"/>
    </row>
    <row r="19" spans="1:5" x14ac:dyDescent="0.2">
      <c r="A19"/>
      <c r="B19"/>
      <c r="C19"/>
      <c r="D19"/>
      <c r="E19"/>
    </row>
    <row r="20" spans="1:5" x14ac:dyDescent="0.2">
      <c r="A20"/>
      <c r="B20"/>
      <c r="C20"/>
      <c r="D20"/>
      <c r="E20"/>
    </row>
    <row r="21" spans="1:5" x14ac:dyDescent="0.2">
      <c r="A21"/>
      <c r="B21"/>
      <c r="C21"/>
      <c r="D21"/>
      <c r="E21"/>
    </row>
    <row r="22" spans="1:5" x14ac:dyDescent="0.2">
      <c r="A22"/>
      <c r="B22"/>
      <c r="C22"/>
      <c r="D22"/>
      <c r="E22"/>
    </row>
    <row r="23" spans="1:5" x14ac:dyDescent="0.2">
      <c r="A23"/>
      <c r="B23"/>
      <c r="C23"/>
      <c r="D23"/>
      <c r="E23"/>
    </row>
    <row r="24" spans="1:5" x14ac:dyDescent="0.2">
      <c r="A24"/>
      <c r="B24"/>
      <c r="C24"/>
      <c r="D24"/>
      <c r="E24"/>
    </row>
    <row r="25" spans="1:5" x14ac:dyDescent="0.2">
      <c r="A25"/>
      <c r="B25"/>
      <c r="C25"/>
      <c r="D25"/>
      <c r="E25"/>
    </row>
    <row r="26" spans="1:5" x14ac:dyDescent="0.2">
      <c r="A26"/>
      <c r="B26"/>
      <c r="C26"/>
      <c r="D26"/>
      <c r="E26"/>
    </row>
    <row r="27" spans="1:5" x14ac:dyDescent="0.2">
      <c r="A27"/>
      <c r="B27"/>
      <c r="C27"/>
      <c r="D27"/>
      <c r="E27"/>
    </row>
    <row r="28" spans="1:5" x14ac:dyDescent="0.2">
      <c r="A28"/>
      <c r="B28"/>
      <c r="C28"/>
      <c r="D28"/>
      <c r="E28"/>
    </row>
    <row r="29" spans="1:5" x14ac:dyDescent="0.2">
      <c r="A29"/>
      <c r="B29"/>
      <c r="C29"/>
      <c r="D29"/>
    </row>
    <row r="30" spans="1:5" x14ac:dyDescent="0.2">
      <c r="A30"/>
      <c r="B30"/>
      <c r="C30"/>
      <c r="D30"/>
      <c r="E30"/>
    </row>
    <row r="31" spans="1:5" x14ac:dyDescent="0.2">
      <c r="A31"/>
      <c r="B31"/>
      <c r="C31"/>
      <c r="D31"/>
      <c r="E31"/>
    </row>
    <row r="32" spans="1:5" x14ac:dyDescent="0.2">
      <c r="A32"/>
      <c r="B32"/>
      <c r="C32"/>
      <c r="D32"/>
      <c r="E32"/>
    </row>
    <row r="33" spans="1:5" x14ac:dyDescent="0.2">
      <c r="A33"/>
      <c r="B33"/>
      <c r="C33"/>
      <c r="D33"/>
      <c r="E33"/>
    </row>
    <row r="34" spans="1:5" x14ac:dyDescent="0.2">
      <c r="A34"/>
      <c r="B34"/>
      <c r="C34"/>
      <c r="D34"/>
      <c r="E34"/>
    </row>
    <row r="35" spans="1:5" x14ac:dyDescent="0.2">
      <c r="A35"/>
      <c r="B35"/>
      <c r="C35"/>
      <c r="D35"/>
      <c r="E35"/>
    </row>
    <row r="36" spans="1:5" x14ac:dyDescent="0.2">
      <c r="A36"/>
      <c r="B36"/>
      <c r="C36"/>
      <c r="D36"/>
      <c r="E36"/>
    </row>
    <row r="37" spans="1:5" x14ac:dyDescent="0.2">
      <c r="A37"/>
      <c r="B37"/>
      <c r="C37"/>
      <c r="D37"/>
      <c r="E37"/>
    </row>
    <row r="38" spans="1:5" x14ac:dyDescent="0.2">
      <c r="A38"/>
      <c r="B38"/>
      <c r="C38"/>
      <c r="D38"/>
      <c r="E38"/>
    </row>
    <row r="39" spans="1:5" x14ac:dyDescent="0.2">
      <c r="A39"/>
      <c r="B39"/>
      <c r="C39"/>
      <c r="D39"/>
      <c r="E39"/>
    </row>
    <row r="40" spans="1:5" x14ac:dyDescent="0.2">
      <c r="A40"/>
      <c r="B40"/>
      <c r="C40"/>
      <c r="D40"/>
      <c r="E40"/>
    </row>
    <row r="41" spans="1:5" x14ac:dyDescent="0.2">
      <c r="A41"/>
      <c r="B41"/>
      <c r="C41"/>
      <c r="D41"/>
      <c r="E41"/>
    </row>
    <row r="42" spans="1:5" x14ac:dyDescent="0.2">
      <c r="A42"/>
      <c r="B42"/>
      <c r="C42"/>
      <c r="D42"/>
      <c r="E42"/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2507-603A-9F46-99C3-ED0A8C2F8B7A}">
  <dimension ref="A1:J66"/>
  <sheetViews>
    <sheetView topLeftCell="A30" zoomScale="75" workbookViewId="0">
      <selection activeCell="E61" sqref="E61"/>
    </sheetView>
  </sheetViews>
  <sheetFormatPr baseColWidth="10" defaultRowHeight="15" x14ac:dyDescent="0.2"/>
  <cols>
    <col min="1" max="1" width="11.83203125" style="1" customWidth="1"/>
    <col min="2" max="2" width="33" style="1" customWidth="1"/>
    <col min="3" max="3" width="25.6640625" style="1" customWidth="1"/>
    <col min="8" max="8" width="16.83203125" customWidth="1"/>
  </cols>
  <sheetData>
    <row r="1" spans="1:10" s="7" customFormat="1" ht="16" x14ac:dyDescent="0.2">
      <c r="A1" s="3" t="str">
        <f>"field_id"</f>
        <v>field_id</v>
      </c>
      <c r="B1" s="3" t="str">
        <f>"route"</f>
        <v>route</v>
      </c>
      <c r="C1" s="4" t="str">
        <f>"data_category"</f>
        <v>data_category</v>
      </c>
      <c r="D1" s="7" t="str">
        <f>"display_name"</f>
        <v>display_name</v>
      </c>
      <c r="E1" s="7" t="str">
        <f>"data_type"</f>
        <v>data_type</v>
      </c>
      <c r="F1" s="7" t="str">
        <f>"unit"</f>
        <v>unit</v>
      </c>
      <c r="G1" s="7" t="str">
        <f>"format"</f>
        <v>format</v>
      </c>
      <c r="H1" s="7" t="str">
        <f>"description"</f>
        <v>description</v>
      </c>
      <c r="I1" s="7" t="str">
        <f>"example"</f>
        <v>example</v>
      </c>
      <c r="J1" s="7" t="str">
        <f>"synonyms"</f>
        <v>synonyms</v>
      </c>
    </row>
    <row r="2" spans="1:10" s="7" customFormat="1" ht="16" x14ac:dyDescent="0.2">
      <c r="A2" s="5" t="str">
        <f>"字段唯一ID"</f>
        <v>字段唯一ID</v>
      </c>
      <c r="B2" s="5" t="str">
        <f>"页面路由"</f>
        <v>页面路由</v>
      </c>
      <c r="C2" s="5" t="str">
        <f>"数据类别"</f>
        <v>数据类别</v>
      </c>
      <c r="D2" s="7" t="str">
        <f>"前端显示名"</f>
        <v>前端显示名</v>
      </c>
      <c r="E2" s="7" t="str">
        <f>"数据类型"</f>
        <v>数据类型</v>
      </c>
      <c r="F2" s="7" t="str">
        <f>"单位"</f>
        <v>单位</v>
      </c>
      <c r="G2" s="7" t="str">
        <f>"展示格式"</f>
        <v>展示格式</v>
      </c>
      <c r="H2" s="7" t="str">
        <f>"字段说明"</f>
        <v>字段说明</v>
      </c>
      <c r="I2" s="7" t="str">
        <f>"示例值"</f>
        <v>示例值</v>
      </c>
      <c r="J2" s="7" t="str">
        <f>"同义词（逗号或list）"</f>
        <v>同义词（逗号或list）</v>
      </c>
    </row>
    <row r="3" spans="1:10" s="7" customFormat="1" ht="16" x14ac:dyDescent="0.2">
      <c r="A3" s="5" t="str">
        <f t="shared" ref="A3:I3" si="0">"string"</f>
        <v>string</v>
      </c>
      <c r="B3" s="5" t="str">
        <f t="shared" si="0"/>
        <v>string</v>
      </c>
      <c r="C3" s="5" t="str">
        <f t="shared" si="0"/>
        <v>string</v>
      </c>
      <c r="D3" s="7" t="str">
        <f t="shared" si="0"/>
        <v>string</v>
      </c>
      <c r="E3" s="7" t="str">
        <f t="shared" si="0"/>
        <v>string</v>
      </c>
      <c r="F3" s="7" t="str">
        <f t="shared" si="0"/>
        <v>string</v>
      </c>
      <c r="G3" s="7" t="str">
        <f t="shared" si="0"/>
        <v>string</v>
      </c>
      <c r="H3" s="7" t="str">
        <f t="shared" si="0"/>
        <v>string</v>
      </c>
      <c r="I3" s="7" t="str">
        <f t="shared" si="0"/>
        <v>string</v>
      </c>
      <c r="J3" s="7" t="str">
        <f>"list"</f>
        <v>list</v>
      </c>
    </row>
    <row r="4" spans="1:10" ht="16" x14ac:dyDescent="0.2">
      <c r="A4" s="1" t="str">
        <f>"steps"</f>
        <v>steps</v>
      </c>
      <c r="B4" s="1" t="str">
        <f t="shared" ref="B4:B32" si="1">"/dashboard_screen"</f>
        <v>/dashboard_screen</v>
      </c>
      <c r="C4" s="2" t="str">
        <f>"步数"</f>
        <v>步数</v>
      </c>
      <c r="D4" t="str">
        <f>"今日步数"</f>
        <v>今日步数</v>
      </c>
      <c r="E4" t="str">
        <f>"int"</f>
        <v>int</v>
      </c>
      <c r="F4" t="str">
        <f>"步"</f>
        <v>步</v>
      </c>
      <c r="G4" t="str">
        <f>"数字+进度条"</f>
        <v>数字+进度条</v>
      </c>
      <c r="H4" t="str">
        <f>"统计当日步数"</f>
        <v>统计当日步数</v>
      </c>
      <c r="I4" t="str">
        <f>"8500"</f>
        <v>8500</v>
      </c>
      <c r="J4" t="str">
        <f>"step,今日步数,步数"</f>
        <v>step,今日步数,步数</v>
      </c>
    </row>
    <row r="5" spans="1:10" ht="16" x14ac:dyDescent="0.2">
      <c r="A5" s="1" t="str">
        <f>"steps_target"</f>
        <v>steps_target</v>
      </c>
      <c r="B5" s="1" t="str">
        <f t="shared" si="1"/>
        <v>/dashboard_screen</v>
      </c>
      <c r="C5" s="2" t="str">
        <f>"步数"</f>
        <v>步数</v>
      </c>
      <c r="D5" t="str">
        <f>"步数目标"</f>
        <v>步数目标</v>
      </c>
      <c r="E5" t="str">
        <f>"int"</f>
        <v>int</v>
      </c>
      <c r="F5" t="str">
        <f>"步"</f>
        <v>步</v>
      </c>
      <c r="G5" t="str">
        <f>"数字"</f>
        <v>数字</v>
      </c>
      <c r="H5" t="str">
        <f>"每日步数目标"</f>
        <v>每日步数目标</v>
      </c>
      <c r="I5" t="str">
        <f>"10000"</f>
        <v>10000</v>
      </c>
      <c r="J5" t="str">
        <f>"目标步数"</f>
        <v>目标步数</v>
      </c>
    </row>
    <row r="6" spans="1:10" ht="32" x14ac:dyDescent="0.2">
      <c r="A6" s="1" t="str">
        <f>"steps_progress"</f>
        <v>steps_progress</v>
      </c>
      <c r="B6" s="1" t="str">
        <f t="shared" si="1"/>
        <v>/dashboard_screen</v>
      </c>
      <c r="C6" s="2" t="str">
        <f>"步数"</f>
        <v>步数</v>
      </c>
      <c r="D6" t="str">
        <f>"步数达成度"</f>
        <v>步数达成度</v>
      </c>
      <c r="E6" t="str">
        <f>"percentage"</f>
        <v>percentage</v>
      </c>
      <c r="F6" t="str">
        <f>"%"</f>
        <v>%</v>
      </c>
      <c r="G6" t="str">
        <f>"百分比"</f>
        <v>百分比</v>
      </c>
      <c r="H6" t="str">
        <f>"今日步数/目标"</f>
        <v>今日步数/目标</v>
      </c>
      <c r="I6" t="str">
        <f>"85"</f>
        <v>85</v>
      </c>
      <c r="J6" t="str">
        <f>"步数完成度"</f>
        <v>步数完成度</v>
      </c>
    </row>
    <row r="7" spans="1:10" ht="32" x14ac:dyDescent="0.2">
      <c r="A7" s="1" t="str">
        <f>"sleep_duration"</f>
        <v>sleep_duration</v>
      </c>
      <c r="B7" s="1" t="str">
        <f t="shared" si="1"/>
        <v>/dashboard_screen</v>
      </c>
      <c r="C7" s="2" t="str">
        <f>"睡眠"</f>
        <v>睡眠</v>
      </c>
      <c r="D7" t="str">
        <f>"睡眠时长"</f>
        <v>睡眠时长</v>
      </c>
      <c r="E7" t="str">
        <f>"float"</f>
        <v>float</v>
      </c>
      <c r="F7" t="str">
        <f>"小时"</f>
        <v>小时</v>
      </c>
      <c r="G7" t="str">
        <f>"小时+分钟"</f>
        <v>小时+分钟</v>
      </c>
      <c r="H7" t="str">
        <f>"前一晚总睡眠时长"</f>
        <v>前一晚总睡眠时长</v>
      </c>
      <c r="I7" t="str">
        <f>"7.5"</f>
        <v>7.5</v>
      </c>
      <c r="J7" t="str">
        <f>"睡眠总时长"</f>
        <v>睡眠总时长</v>
      </c>
    </row>
    <row r="8" spans="1:10" ht="16" x14ac:dyDescent="0.2">
      <c r="A8" s="1" t="str">
        <f>"sleep_quality"</f>
        <v>sleep_quality</v>
      </c>
      <c r="B8" s="1" t="str">
        <f t="shared" si="1"/>
        <v>/dashboard_screen</v>
      </c>
      <c r="C8" s="2" t="str">
        <f>"睡眠"</f>
        <v>睡眠</v>
      </c>
      <c r="D8" t="str">
        <f>"睡眠质量"</f>
        <v>睡眠质量</v>
      </c>
      <c r="E8" t="str">
        <f>"string"</f>
        <v>string</v>
      </c>
      <c r="F8" t="str">
        <f>""</f>
        <v/>
      </c>
      <c r="G8" t="str">
        <f>"文字+图标"</f>
        <v>文字+图标</v>
      </c>
      <c r="H8" t="str">
        <f>"睡眠质量评估"</f>
        <v>睡眠质量评估</v>
      </c>
      <c r="I8" t="str">
        <f>"良好"</f>
        <v>良好</v>
      </c>
      <c r="J8" t="str">
        <f>"睡眠质量"</f>
        <v>睡眠质量</v>
      </c>
    </row>
    <row r="9" spans="1:10" ht="16" x14ac:dyDescent="0.2">
      <c r="A9" s="1" t="str">
        <f>"sleep_score"</f>
        <v>sleep_score</v>
      </c>
      <c r="B9" s="1" t="str">
        <f t="shared" si="1"/>
        <v>/dashboard_screen</v>
      </c>
      <c r="C9" s="2" t="str">
        <f>"睡眠"</f>
        <v>睡眠</v>
      </c>
      <c r="D9" t="str">
        <f>"睡眠分数"</f>
        <v>睡眠分数</v>
      </c>
      <c r="E9" t="str">
        <f>"int"</f>
        <v>int</v>
      </c>
      <c r="F9" t="str">
        <f>"分"</f>
        <v>分</v>
      </c>
      <c r="G9" t="str">
        <f>"分数"</f>
        <v>分数</v>
      </c>
      <c r="H9" t="str">
        <f>"睡眠综合评分"</f>
        <v>睡眠综合评分</v>
      </c>
      <c r="I9" t="str">
        <f>"82"</f>
        <v>82</v>
      </c>
      <c r="J9" t="str">
        <f>"睡眠评分"</f>
        <v>睡眠评分</v>
      </c>
    </row>
    <row r="10" spans="1:10" ht="16" x14ac:dyDescent="0.2">
      <c r="A10" s="1" t="str">
        <f>"water_intake"</f>
        <v>water_intake</v>
      </c>
      <c r="B10" s="1" t="str">
        <f t="shared" si="1"/>
        <v>/dashboard_screen</v>
      </c>
      <c r="C10" s="2" t="str">
        <f>"饮水"</f>
        <v>饮水</v>
      </c>
      <c r="D10" t="str">
        <f>"今日饮水量"</f>
        <v>今日饮水量</v>
      </c>
      <c r="E10" t="str">
        <f>"int"</f>
        <v>int</v>
      </c>
      <c r="F10" t="str">
        <f>"ml"</f>
        <v>ml</v>
      </c>
      <c r="G10" t="str">
        <f>"数字"</f>
        <v>数字</v>
      </c>
      <c r="H10" t="str">
        <f>"当日总饮水量"</f>
        <v>当日总饮水量</v>
      </c>
      <c r="I10" t="str">
        <f>"1200"</f>
        <v>1200</v>
      </c>
      <c r="J10" t="str">
        <f>"饮水量"</f>
        <v>饮水量</v>
      </c>
    </row>
    <row r="11" spans="1:10" ht="16" x14ac:dyDescent="0.2">
      <c r="A11" s="1" t="str">
        <f>"water_target"</f>
        <v>water_target</v>
      </c>
      <c r="B11" s="1" t="str">
        <f t="shared" si="1"/>
        <v>/dashboard_screen</v>
      </c>
      <c r="C11" s="1" t="str">
        <f>"饮水"</f>
        <v>饮水</v>
      </c>
      <c r="D11" t="str">
        <f>"饮水目标"</f>
        <v>饮水目标</v>
      </c>
      <c r="E11" t="str">
        <f>"int"</f>
        <v>int</v>
      </c>
      <c r="F11" t="str">
        <f>"ml"</f>
        <v>ml</v>
      </c>
      <c r="G11" t="str">
        <f>"数字"</f>
        <v>数字</v>
      </c>
      <c r="H11" t="str">
        <f>"每日饮水目标"</f>
        <v>每日饮水目标</v>
      </c>
      <c r="I11" t="str">
        <f>"2000"</f>
        <v>2000</v>
      </c>
      <c r="J11" t="str">
        <f>"目标饮水量"</f>
        <v>目标饮水量</v>
      </c>
    </row>
    <row r="12" spans="1:10" ht="32" x14ac:dyDescent="0.2">
      <c r="A12" s="1" t="str">
        <f>"water_progress"</f>
        <v>water_progress</v>
      </c>
      <c r="B12" s="1" t="str">
        <f t="shared" si="1"/>
        <v>/dashboard_screen</v>
      </c>
      <c r="C12" s="1" t="str">
        <f>"饮水"</f>
        <v>饮水</v>
      </c>
      <c r="D12" t="str">
        <f>"饮水达成度"</f>
        <v>饮水达成度</v>
      </c>
      <c r="E12" t="str">
        <f>"percentage"</f>
        <v>percentage</v>
      </c>
      <c r="F12" t="str">
        <f>"%"</f>
        <v>%</v>
      </c>
      <c r="G12" t="str">
        <f>"百分比"</f>
        <v>百分比</v>
      </c>
      <c r="H12" t="str">
        <f>"今日饮水/目标"</f>
        <v>今日饮水/目标</v>
      </c>
      <c r="I12" t="str">
        <f>"60"</f>
        <v>60</v>
      </c>
      <c r="J12" t="str">
        <f>"饮水完成度"</f>
        <v>饮水完成度</v>
      </c>
    </row>
    <row r="13" spans="1:10" ht="32" x14ac:dyDescent="0.2">
      <c r="A13" s="1" t="str">
        <f>"exercise_duration"</f>
        <v>exercise_duration</v>
      </c>
      <c r="B13" s="1" t="str">
        <f t="shared" si="1"/>
        <v>/dashboard_screen</v>
      </c>
      <c r="C13" s="1" t="str">
        <f>"运动"</f>
        <v>运动</v>
      </c>
      <c r="D13" t="str">
        <f>"运动时长"</f>
        <v>运动时长</v>
      </c>
      <c r="E13" t="str">
        <f>"int"</f>
        <v>int</v>
      </c>
      <c r="F13" t="str">
        <f>"分钟"</f>
        <v>分钟</v>
      </c>
      <c r="G13" t="str">
        <f>"数字"</f>
        <v>数字</v>
      </c>
      <c r="H13" t="str">
        <f>"当日总运动分钟"</f>
        <v>当日总运动分钟</v>
      </c>
      <c r="I13" t="str">
        <f>"45"</f>
        <v>45</v>
      </c>
      <c r="J13" t="str">
        <f>"运动时间"</f>
        <v>运动时间</v>
      </c>
    </row>
    <row r="14" spans="1:10" ht="32" x14ac:dyDescent="0.2">
      <c r="A14" s="1" t="str">
        <f>"exercise_calories"</f>
        <v>exercise_calories</v>
      </c>
      <c r="B14" s="1" t="str">
        <f t="shared" si="1"/>
        <v>/dashboard_screen</v>
      </c>
      <c r="C14" s="1" t="str">
        <f>"运动"</f>
        <v>运动</v>
      </c>
      <c r="D14" t="str">
        <f>"消耗卡路里"</f>
        <v>消耗卡路里</v>
      </c>
      <c r="E14" t="str">
        <f>"int"</f>
        <v>int</v>
      </c>
      <c r="F14" t="str">
        <f>"kcal"</f>
        <v>kcal</v>
      </c>
      <c r="G14" t="str">
        <f>"数字"</f>
        <v>数字</v>
      </c>
      <c r="H14" t="str">
        <f>"运动消耗热量"</f>
        <v>运动消耗热量</v>
      </c>
      <c r="I14" t="str">
        <f>"320"</f>
        <v>320</v>
      </c>
      <c r="J14" t="str">
        <f>"卡路里,能量"</f>
        <v>卡路里,能量</v>
      </c>
    </row>
    <row r="15" spans="1:10" ht="16" x14ac:dyDescent="0.2">
      <c r="A15" s="1" t="str">
        <f>"exercise_type"</f>
        <v>exercise_type</v>
      </c>
      <c r="B15" s="1" t="str">
        <f t="shared" si="1"/>
        <v>/dashboard_screen</v>
      </c>
      <c r="C15" s="1" t="str">
        <f>"运动"</f>
        <v>运动</v>
      </c>
      <c r="D15" t="str">
        <f>"运动类型"</f>
        <v>运动类型</v>
      </c>
      <c r="E15" t="str">
        <f>"string"</f>
        <v>string</v>
      </c>
      <c r="F15" t="str">
        <f>""</f>
        <v/>
      </c>
      <c r="G15" t="str">
        <f>"文字+图标"</f>
        <v>文字+图标</v>
      </c>
      <c r="H15" t="str">
        <f>"当日主要运动类型"</f>
        <v>当日主要运动类型</v>
      </c>
      <c r="I15" t="str">
        <f>"跑步"</f>
        <v>跑步</v>
      </c>
      <c r="J15" t="str">
        <f>"运动项目"</f>
        <v>运动项目</v>
      </c>
    </row>
    <row r="16" spans="1:10" ht="16" x14ac:dyDescent="0.2">
      <c r="A16" s="1" t="str">
        <f>"mood_score"</f>
        <v>mood_score</v>
      </c>
      <c r="B16" s="1" t="str">
        <f t="shared" si="1"/>
        <v>/dashboard_screen</v>
      </c>
      <c r="C16" s="1" t="str">
        <f>"心情"</f>
        <v>心情</v>
      </c>
      <c r="D16" t="str">
        <f>"心情评分"</f>
        <v>心情评分</v>
      </c>
      <c r="E16" t="str">
        <f>"int"</f>
        <v>int</v>
      </c>
      <c r="F16" t="str">
        <f>"分"</f>
        <v>分</v>
      </c>
      <c r="G16" t="str">
        <f>"分数"</f>
        <v>分数</v>
      </c>
      <c r="H16" t="str">
        <f>"当日主观情绪评分"</f>
        <v>当日主观情绪评分</v>
      </c>
      <c r="I16" t="str">
        <f>"8"</f>
        <v>8</v>
      </c>
      <c r="J16" t="str">
        <f>"心情分数"</f>
        <v>心情分数</v>
      </c>
    </row>
    <row r="17" spans="1:10" ht="16" x14ac:dyDescent="0.2">
      <c r="A17" s="1" t="str">
        <f>"mood_status"</f>
        <v>mood_status</v>
      </c>
      <c r="B17" s="1" t="str">
        <f t="shared" si="1"/>
        <v>/dashboard_screen</v>
      </c>
      <c r="C17" s="1" t="str">
        <f>"心情"</f>
        <v>心情</v>
      </c>
      <c r="D17" t="str">
        <f>"心情状态"</f>
        <v>心情状态</v>
      </c>
      <c r="E17" t="str">
        <f>"string"</f>
        <v>string</v>
      </c>
      <c r="F17" t="str">
        <f>""</f>
        <v/>
      </c>
      <c r="G17" t="str">
        <f>"表情+文字"</f>
        <v>表情+文字</v>
      </c>
      <c r="H17" t="str">
        <f>"心情状态标签"</f>
        <v>心情状态标签</v>
      </c>
      <c r="I17" t="str">
        <f>"开心"</f>
        <v>开心</v>
      </c>
      <c r="J17" t="str">
        <f>"情绪状态"</f>
        <v>情绪状态</v>
      </c>
    </row>
    <row r="18" spans="1:10" ht="16" x14ac:dyDescent="0.2">
      <c r="A18" s="1" t="str">
        <f>"mood_note"</f>
        <v>mood_note</v>
      </c>
      <c r="B18" s="1" t="str">
        <f t="shared" si="1"/>
        <v>/dashboard_screen</v>
      </c>
      <c r="C18" s="1" t="str">
        <f>"心情"</f>
        <v>心情</v>
      </c>
      <c r="D18" t="str">
        <f>"心情备注"</f>
        <v>心情备注</v>
      </c>
      <c r="E18" t="str">
        <f>"string"</f>
        <v>string</v>
      </c>
      <c r="F18" t="str">
        <f>""</f>
        <v/>
      </c>
      <c r="G18" t="str">
        <f>"文本"</f>
        <v>文本</v>
      </c>
      <c r="H18" t="str">
        <f>"心情备注摘要"</f>
        <v>心情备注摘要</v>
      </c>
      <c r="I18" t="str">
        <f>"今天天气很好"</f>
        <v>今天天气很好</v>
      </c>
      <c r="J18" t="str">
        <f>"备注"</f>
        <v>备注</v>
      </c>
    </row>
    <row r="19" spans="1:10" ht="16" x14ac:dyDescent="0.2">
      <c r="A19" s="1" t="str">
        <f>"bp_sys"</f>
        <v>bp_sys</v>
      </c>
      <c r="B19" s="1" t="str">
        <f t="shared" si="1"/>
        <v>/dashboard_screen</v>
      </c>
      <c r="C19" s="1" t="str">
        <f>"血压"</f>
        <v>血压</v>
      </c>
      <c r="D19" t="str">
        <f>"收缩压"</f>
        <v>收缩压</v>
      </c>
      <c r="E19" t="str">
        <f>"int"</f>
        <v>int</v>
      </c>
      <c r="F19" t="str">
        <f>"mmHg"</f>
        <v>mmHg</v>
      </c>
      <c r="G19" t="str">
        <f>"数字"</f>
        <v>数字</v>
      </c>
      <c r="H19" t="str">
        <f>"血压上压"</f>
        <v>血压上压</v>
      </c>
      <c r="I19" t="str">
        <f>"120"</f>
        <v>120</v>
      </c>
      <c r="J19" t="str">
        <f>"systolic,高压"</f>
        <v>systolic,高压</v>
      </c>
    </row>
    <row r="20" spans="1:10" ht="16" x14ac:dyDescent="0.2">
      <c r="A20" s="1" t="str">
        <f>"bp_dia"</f>
        <v>bp_dia</v>
      </c>
      <c r="B20" s="1" t="str">
        <f t="shared" si="1"/>
        <v>/dashboard_screen</v>
      </c>
      <c r="C20" s="1" t="str">
        <f>"血压"</f>
        <v>血压</v>
      </c>
      <c r="D20" t="str">
        <f>"舒张压"</f>
        <v>舒张压</v>
      </c>
      <c r="E20" t="str">
        <f>"int"</f>
        <v>int</v>
      </c>
      <c r="F20" t="str">
        <f>"mmHg"</f>
        <v>mmHg</v>
      </c>
      <c r="G20" t="str">
        <f>"数字"</f>
        <v>数字</v>
      </c>
      <c r="H20" t="str">
        <f>"血压下压"</f>
        <v>血压下压</v>
      </c>
      <c r="I20" t="str">
        <f>"80"</f>
        <v>80</v>
      </c>
      <c r="J20" t="str">
        <f>"diastolic,低压"</f>
        <v>diastolic,低压</v>
      </c>
    </row>
    <row r="21" spans="1:10" ht="16" x14ac:dyDescent="0.2">
      <c r="A21" s="1" t="str">
        <f>"bp_pulse"</f>
        <v>bp_pulse</v>
      </c>
      <c r="B21" s="1" t="str">
        <f t="shared" si="1"/>
        <v>/dashboard_screen</v>
      </c>
      <c r="C21" s="1" t="str">
        <f>"血压"</f>
        <v>血压</v>
      </c>
      <c r="D21" t="str">
        <f>"脉搏"</f>
        <v>脉搏</v>
      </c>
      <c r="E21" t="str">
        <f>"int"</f>
        <v>int</v>
      </c>
      <c r="F21" t="str">
        <f>"bpm"</f>
        <v>bpm</v>
      </c>
      <c r="G21" t="str">
        <f>"数字"</f>
        <v>数字</v>
      </c>
      <c r="H21" t="str">
        <f>"心率脉搏值"</f>
        <v>心率脉搏值</v>
      </c>
      <c r="I21" t="str">
        <f>"72"</f>
        <v>72</v>
      </c>
      <c r="J21" t="str">
        <f>"心率"</f>
        <v>心率</v>
      </c>
    </row>
    <row r="22" spans="1:10" ht="16" x14ac:dyDescent="0.2">
      <c r="A22" s="1" t="str">
        <f>"bp_status"</f>
        <v>bp_status</v>
      </c>
      <c r="B22" s="1" t="str">
        <f t="shared" si="1"/>
        <v>/dashboard_screen</v>
      </c>
      <c r="C22" s="1" t="str">
        <f>"血压"</f>
        <v>血压</v>
      </c>
      <c r="D22" t="str">
        <f>"血压状态"</f>
        <v>血压状态</v>
      </c>
      <c r="E22" t="str">
        <f>"string"</f>
        <v>string</v>
      </c>
      <c r="F22" t="str">
        <f>""</f>
        <v/>
      </c>
      <c r="G22" t="str">
        <f>"文字+颜色"</f>
        <v>文字+颜色</v>
      </c>
      <c r="H22" t="str">
        <f>"基于血压数值计算的状态"</f>
        <v>基于血压数值计算的状态</v>
      </c>
      <c r="I22" t="str">
        <f>"正常"</f>
        <v>正常</v>
      </c>
      <c r="J22" t="str">
        <f>"状态"</f>
        <v>状态</v>
      </c>
    </row>
    <row r="23" spans="1:10" ht="16" x14ac:dyDescent="0.2">
      <c r="A23" s="1" t="str">
        <f>"glucose"</f>
        <v>glucose</v>
      </c>
      <c r="B23" s="1" t="str">
        <f t="shared" si="1"/>
        <v>/dashboard_screen</v>
      </c>
      <c r="C23" s="1" t="str">
        <f>"血糖"</f>
        <v>血糖</v>
      </c>
      <c r="D23" t="str">
        <f>"血糖水平"</f>
        <v>血糖水平</v>
      </c>
      <c r="E23" t="str">
        <f>"float"</f>
        <v>float</v>
      </c>
      <c r="F23" t="str">
        <f>"mmol/L"</f>
        <v>mmol/L</v>
      </c>
      <c r="G23" t="str">
        <f>"数字"</f>
        <v>数字</v>
      </c>
      <c r="H23" t="str">
        <f>"当前血糖"</f>
        <v>当前血糖</v>
      </c>
      <c r="I23" t="str">
        <f>"5.8"</f>
        <v>5.8</v>
      </c>
      <c r="J23" t="str">
        <f>"血糖值"</f>
        <v>血糖值</v>
      </c>
    </row>
    <row r="24" spans="1:10" ht="16" x14ac:dyDescent="0.2">
      <c r="A24" s="1" t="str">
        <f>"glucose_time"</f>
        <v>glucose_time</v>
      </c>
      <c r="B24" s="1" t="str">
        <f t="shared" si="1"/>
        <v>/dashboard_screen</v>
      </c>
      <c r="C24" s="1" t="str">
        <f>"血糖"</f>
        <v>血糖</v>
      </c>
      <c r="D24" t="str">
        <f>"测量时间"</f>
        <v>测量时间</v>
      </c>
      <c r="E24" t="str">
        <f>"string"</f>
        <v>string</v>
      </c>
      <c r="F24" t="str">
        <f>""</f>
        <v/>
      </c>
      <c r="G24" t="str">
        <f>"时间"</f>
        <v>时间</v>
      </c>
      <c r="H24" t="str">
        <f>"最近一次测量时间点"</f>
        <v>最近一次测量时间点</v>
      </c>
      <c r="I24" t="str">
        <f>"餐后2小时"</f>
        <v>餐后2小时</v>
      </c>
      <c r="J24" t="str">
        <f>"测量时间"</f>
        <v>测量时间</v>
      </c>
    </row>
    <row r="25" spans="1:10" ht="32" x14ac:dyDescent="0.2">
      <c r="A25" s="1" t="str">
        <f>"glucose_status"</f>
        <v>glucose_status</v>
      </c>
      <c r="B25" s="1" t="str">
        <f t="shared" si="1"/>
        <v>/dashboard_screen</v>
      </c>
      <c r="C25" s="1" t="str">
        <f>"血糖"</f>
        <v>血糖</v>
      </c>
      <c r="D25" t="str">
        <f>"血糖状态"</f>
        <v>血糖状态</v>
      </c>
      <c r="E25" t="str">
        <f>"string"</f>
        <v>string</v>
      </c>
      <c r="F25" t="str">
        <f>""</f>
        <v/>
      </c>
      <c r="G25" t="str">
        <f>"文字+颜色"</f>
        <v>文字+颜色</v>
      </c>
      <c r="H25" t="str">
        <f>"基于血糖范围的状态"</f>
        <v>基于血糖范围的状态</v>
      </c>
      <c r="I25" t="str">
        <f>"正常"</f>
        <v>正常</v>
      </c>
      <c r="J25" t="str">
        <f>"状态"</f>
        <v>状态</v>
      </c>
    </row>
    <row r="26" spans="1:10" ht="16" x14ac:dyDescent="0.2">
      <c r="A26" s="1" t="str">
        <f>"weight"</f>
        <v>weight</v>
      </c>
      <c r="B26" s="1" t="str">
        <f t="shared" si="1"/>
        <v>/dashboard_screen</v>
      </c>
      <c r="C26" s="1" t="str">
        <f>"体重"</f>
        <v>体重</v>
      </c>
      <c r="D26" t="str">
        <f>"当前体重"</f>
        <v>当前体重</v>
      </c>
      <c r="E26" t="str">
        <f>"float"</f>
        <v>float</v>
      </c>
      <c r="F26" t="str">
        <f>"kg"</f>
        <v>kg</v>
      </c>
      <c r="G26" t="str">
        <f>"数字"</f>
        <v>数字</v>
      </c>
      <c r="H26" t="str">
        <f>"当日体重"</f>
        <v>当日体重</v>
      </c>
      <c r="I26" t="str">
        <f>"65.5"</f>
        <v>65.5</v>
      </c>
      <c r="J26" t="str">
        <f>"体重"</f>
        <v>体重</v>
      </c>
    </row>
    <row r="27" spans="1:10" ht="16" x14ac:dyDescent="0.2">
      <c r="A27" s="1" t="str">
        <f>"bmi"</f>
        <v>bmi</v>
      </c>
      <c r="B27" s="1" t="str">
        <f t="shared" si="1"/>
        <v>/dashboard_screen</v>
      </c>
      <c r="C27" s="1" t="str">
        <f>"体重"</f>
        <v>体重</v>
      </c>
      <c r="D27" t="str">
        <f>"BMI"</f>
        <v>BMI</v>
      </c>
      <c r="E27" t="str">
        <f>"float"</f>
        <v>float</v>
      </c>
      <c r="F27" t="str">
        <f>""</f>
        <v/>
      </c>
      <c r="G27" t="str">
        <f>"数字"</f>
        <v>数字</v>
      </c>
      <c r="H27" t="str">
        <f>"身体质量指数"</f>
        <v>身体质量指数</v>
      </c>
      <c r="I27" t="str">
        <f>"22.1"</f>
        <v>22.1</v>
      </c>
      <c r="J27" t="str">
        <f>"体脂指数"</f>
        <v>体脂指数</v>
      </c>
    </row>
    <row r="28" spans="1:10" ht="16" x14ac:dyDescent="0.2">
      <c r="A28" s="1" t="str">
        <f>"weight_trend"</f>
        <v>weight_trend</v>
      </c>
      <c r="B28" s="1" t="str">
        <f t="shared" si="1"/>
        <v>/dashboard_screen</v>
      </c>
      <c r="C28" s="1" t="str">
        <f>"体重"</f>
        <v>体重</v>
      </c>
      <c r="D28" t="str">
        <f>"体重趋势"</f>
        <v>体重趋势</v>
      </c>
      <c r="E28" t="str">
        <f>"string"</f>
        <v>string</v>
      </c>
      <c r="F28" t="str">
        <f>""</f>
        <v/>
      </c>
      <c r="G28" t="str">
        <f>"趋势"</f>
        <v>趋势</v>
      </c>
      <c r="H28" t="str">
        <f>"一段时间体重变化"</f>
        <v>一段时间体重变化</v>
      </c>
      <c r="I28" t="str">
        <f>"下降"</f>
        <v>下降</v>
      </c>
      <c r="J28" t="str">
        <f>"趋势"</f>
        <v>趋势</v>
      </c>
    </row>
    <row r="29" spans="1:10" ht="16" x14ac:dyDescent="0.2">
      <c r="A29" s="1" t="str">
        <f>"heart_rate"</f>
        <v>heart_rate</v>
      </c>
      <c r="B29" s="1" t="str">
        <f t="shared" si="1"/>
        <v>/dashboard_screen</v>
      </c>
      <c r="C29" s="1" t="str">
        <f>"心率"</f>
        <v>心率</v>
      </c>
      <c r="D29" t="str">
        <f>"平均心率"</f>
        <v>平均心率</v>
      </c>
      <c r="E29" t="str">
        <f>"int"</f>
        <v>int</v>
      </c>
      <c r="F29" t="str">
        <f>"bpm"</f>
        <v>bpm</v>
      </c>
      <c r="G29" t="str">
        <f>"数字"</f>
        <v>数字</v>
      </c>
      <c r="H29" t="str">
        <f>"当日平均心率"</f>
        <v>当日平均心率</v>
      </c>
      <c r="I29" t="str">
        <f>"75"</f>
        <v>75</v>
      </c>
      <c r="J29" t="str">
        <f>"心率"</f>
        <v>心率</v>
      </c>
    </row>
    <row r="30" spans="1:10" ht="32" x14ac:dyDescent="0.2">
      <c r="A30" s="1" t="str">
        <f>"heart_rate_status"</f>
        <v>heart_rate_status</v>
      </c>
      <c r="B30" s="1" t="str">
        <f t="shared" si="1"/>
        <v>/dashboard_screen</v>
      </c>
      <c r="C30" s="1" t="str">
        <f>"心率"</f>
        <v>心率</v>
      </c>
      <c r="D30" t="str">
        <f>"心率状态"</f>
        <v>心率状态</v>
      </c>
      <c r="E30" t="str">
        <f>"string"</f>
        <v>string</v>
      </c>
      <c r="F30" t="str">
        <f>""</f>
        <v/>
      </c>
      <c r="G30" t="str">
        <f>"文字+颜色"</f>
        <v>文字+颜色</v>
      </c>
      <c r="H30" t="str">
        <f>"基于心率的状态"</f>
        <v>基于心率的状态</v>
      </c>
      <c r="I30" t="str">
        <f>"正常"</f>
        <v>正常</v>
      </c>
      <c r="J30" t="str">
        <f>"状态"</f>
        <v>状态</v>
      </c>
    </row>
    <row r="31" spans="1:10" ht="16" x14ac:dyDescent="0.2">
      <c r="A31" s="1" t="str">
        <f>"health_score"</f>
        <v>health_score</v>
      </c>
      <c r="B31" s="1" t="str">
        <f t="shared" si="1"/>
        <v>/dashboard_screen</v>
      </c>
      <c r="C31" s="1" t="str">
        <f>"健康分数"</f>
        <v>健康分数</v>
      </c>
      <c r="D31" t="str">
        <f>"健康分数"</f>
        <v>健康分数</v>
      </c>
      <c r="E31" t="str">
        <f>"int"</f>
        <v>int</v>
      </c>
      <c r="F31" t="str">
        <f>"分"</f>
        <v>分</v>
      </c>
      <c r="G31" t="str">
        <f>"分数+颜色"</f>
        <v>分数+颜色</v>
      </c>
      <c r="H31" t="str">
        <f>"综合健康评分"</f>
        <v>综合健康评分</v>
      </c>
      <c r="I31" t="str">
        <f>"85"</f>
        <v>85</v>
      </c>
      <c r="J31" t="str">
        <f>"分数"</f>
        <v>分数</v>
      </c>
    </row>
    <row r="32" spans="1:10" ht="16" x14ac:dyDescent="0.2">
      <c r="A32" s="1" t="str">
        <f>"health_level"</f>
        <v>health_level</v>
      </c>
      <c r="B32" s="1" t="str">
        <f t="shared" si="1"/>
        <v>/dashboard_screen</v>
      </c>
      <c r="C32" s="1" t="str">
        <f>"健康分数"</f>
        <v>健康分数</v>
      </c>
      <c r="D32" t="str">
        <f>"健康等级"</f>
        <v>健康等级</v>
      </c>
      <c r="E32" t="str">
        <f>"string"</f>
        <v>string</v>
      </c>
      <c r="F32" t="str">
        <f>""</f>
        <v/>
      </c>
      <c r="G32" t="str">
        <f>"文字+颜色"</f>
        <v>文字+颜色</v>
      </c>
      <c r="H32" t="str">
        <f>"健康等级标签"</f>
        <v>健康等级标签</v>
      </c>
      <c r="I32" t="str">
        <f>"良好"</f>
        <v>良好</v>
      </c>
      <c r="J32" t="str">
        <f>"等级"</f>
        <v>等级</v>
      </c>
    </row>
    <row r="33" spans="1:10" ht="16" x14ac:dyDescent="0.2">
      <c r="A33" s="1" t="str">
        <f>"vc_state"</f>
        <v>vc_state</v>
      </c>
      <c r="B33" s="1" t="str">
        <f>"/voice_chat_screen"</f>
        <v>/voice_chat_screen</v>
      </c>
      <c r="C33" s="1" t="str">
        <f>"语音"</f>
        <v>语音</v>
      </c>
      <c r="D33" t="str">
        <f>"AI状态"</f>
        <v>AI状态</v>
      </c>
      <c r="E33" t="str">
        <f>"string"</f>
        <v>string</v>
      </c>
      <c r="F33" t="str">
        <f>""</f>
        <v/>
      </c>
      <c r="G33" t="str">
        <f>"状态"</f>
        <v>状态</v>
      </c>
      <c r="H33" t="str">
        <f>"聆听/思考/回答三态"</f>
        <v>聆听/思考/回答三态</v>
      </c>
      <c r="I33" t="str">
        <f>"回答"</f>
        <v>回答</v>
      </c>
      <c r="J33" t="str">
        <f>"AI状态"</f>
        <v>AI状态</v>
      </c>
    </row>
    <row r="34" spans="1:10" ht="16" x14ac:dyDescent="0.2">
      <c r="A34" s="1" t="str">
        <f>"vc_subtitle"</f>
        <v>vc_subtitle</v>
      </c>
      <c r="B34" s="1" t="str">
        <f>"/voice_chat_screen"</f>
        <v>/voice_chat_screen</v>
      </c>
      <c r="C34" s="1" t="str">
        <f>"语音"</f>
        <v>语音</v>
      </c>
      <c r="D34" t="str">
        <f>"字幕文本"</f>
        <v>字幕文本</v>
      </c>
      <c r="E34" t="str">
        <f>"string"</f>
        <v>string</v>
      </c>
      <c r="F34" t="str">
        <f>""</f>
        <v/>
      </c>
      <c r="G34" t="str">
        <f>"文本"</f>
        <v>文本</v>
      </c>
      <c r="H34" t="str">
        <f>"当前播放段落字幕"</f>
        <v>当前播放段落字幕</v>
      </c>
      <c r="I34" t="str">
        <f>"好的，我来帮你…"</f>
        <v>好的，我来帮你…</v>
      </c>
      <c r="J34" t="str">
        <f>"字幕"</f>
        <v>字幕</v>
      </c>
    </row>
    <row r="35" spans="1:10" ht="32" x14ac:dyDescent="0.2">
      <c r="A35" s="1" t="str">
        <f>"vc_segment_index"</f>
        <v>vc_segment_index</v>
      </c>
      <c r="B35" s="1" t="str">
        <f>"/voice_chat_screen"</f>
        <v>/voice_chat_screen</v>
      </c>
      <c r="C35" s="1" t="str">
        <f>"语音"</f>
        <v>语音</v>
      </c>
      <c r="D35" t="str">
        <f>"当前段序号"</f>
        <v>当前段序号</v>
      </c>
      <c r="E35" t="str">
        <f>"int"</f>
        <v>int</v>
      </c>
      <c r="F35" t="str">
        <f>""</f>
        <v/>
      </c>
      <c r="G35" t="str">
        <f>"数字"</f>
        <v>数字</v>
      </c>
      <c r="H35" t="str">
        <f>"正在播放的段索引"</f>
        <v>正在播放的段索引</v>
      </c>
      <c r="I35" t="str">
        <f>"1"</f>
        <v>1</v>
      </c>
      <c r="J35" t="str">
        <f>"段索引"</f>
        <v>段索引</v>
      </c>
    </row>
    <row r="36" spans="1:10" ht="32" x14ac:dyDescent="0.2">
      <c r="A36" s="1" t="str">
        <f>"vc_segment_total"</f>
        <v>vc_segment_total</v>
      </c>
      <c r="B36" s="1" t="str">
        <f>"/voice_chat_screen"</f>
        <v>/voice_chat_screen</v>
      </c>
      <c r="C36" s="1" t="str">
        <f>"语音"</f>
        <v>语音</v>
      </c>
      <c r="D36" t="str">
        <f>"总段数"</f>
        <v>总段数</v>
      </c>
      <c r="E36" t="str">
        <f>"int"</f>
        <v>int</v>
      </c>
      <c r="F36" t="str">
        <f>""</f>
        <v/>
      </c>
      <c r="G36" t="str">
        <f>"数字"</f>
        <v>数字</v>
      </c>
      <c r="H36" t="str">
        <f>"本次回复总段数"</f>
        <v>本次回复总段数</v>
      </c>
      <c r="I36" t="str">
        <f>"3"</f>
        <v>3</v>
      </c>
      <c r="J36" t="str">
        <f>"段总数"</f>
        <v>段总数</v>
      </c>
    </row>
    <row r="37" spans="1:10" ht="32" x14ac:dyDescent="0.2">
      <c r="A37" s="1" t="str">
        <f>"vc_listen_level"</f>
        <v>vc_listen_level</v>
      </c>
      <c r="B37" s="1" t="str">
        <f>"/voice_chat_screen"</f>
        <v>/voice_chat_screen</v>
      </c>
      <c r="C37" s="1" t="str">
        <f>"语音"</f>
        <v>语音</v>
      </c>
      <c r="D37" t="str">
        <f>"聆听强度"</f>
        <v>聆听强度</v>
      </c>
      <c r="E37" t="str">
        <f>"float"</f>
        <v>float</v>
      </c>
      <c r="F37" t="str">
        <f>""</f>
        <v/>
      </c>
      <c r="G37" t="str">
        <f>"0-1"</f>
        <v>0-1</v>
      </c>
      <c r="H37" t="str">
        <f>"动画用的聆听强度"</f>
        <v>动画用的聆听强度</v>
      </c>
      <c r="I37" t="str">
        <f>"0.68"</f>
        <v>0.68</v>
      </c>
      <c r="J37" t="str">
        <f>"强度"</f>
        <v>强度</v>
      </c>
    </row>
    <row r="38" spans="1:10" ht="32" x14ac:dyDescent="0.2">
      <c r="A38" s="1" t="str">
        <f>"chat_history_len"</f>
        <v>chat_history_len</v>
      </c>
      <c r="B38" s="1" t="str">
        <f>"/chat_screen"</f>
        <v>/chat_screen</v>
      </c>
      <c r="C38" s="1" t="str">
        <f>"聊天"</f>
        <v>聊天</v>
      </c>
      <c r="D38" t="str">
        <f>"历史消息数"</f>
        <v>历史消息数</v>
      </c>
      <c r="E38" t="str">
        <f>"int"</f>
        <v>int</v>
      </c>
      <c r="F38" t="str">
        <f>"条"</f>
        <v>条</v>
      </c>
      <c r="G38" t="str">
        <f>"数字"</f>
        <v>数字</v>
      </c>
      <c r="H38" t="str">
        <f>"当前会话消息条数"</f>
        <v>当前会话消息条数</v>
      </c>
      <c r="I38" t="str">
        <f>"28"</f>
        <v>28</v>
      </c>
      <c r="J38" t="str">
        <f>"历史条数"</f>
        <v>历史条数</v>
      </c>
    </row>
    <row r="39" spans="1:10" ht="32" x14ac:dyDescent="0.2">
      <c r="A39" s="1" t="str">
        <f>"chat_input_len"</f>
        <v>chat_input_len</v>
      </c>
      <c r="B39" s="1" t="str">
        <f>"/chat_screen"</f>
        <v>/chat_screen</v>
      </c>
      <c r="C39" s="1" t="str">
        <f>"聊天"</f>
        <v>聊天</v>
      </c>
      <c r="D39" t="str">
        <f>"输入长度"</f>
        <v>输入长度</v>
      </c>
      <c r="E39" t="str">
        <f>"int"</f>
        <v>int</v>
      </c>
      <c r="F39" t="str">
        <f>"字符"</f>
        <v>字符</v>
      </c>
      <c r="G39" t="str">
        <f>"数字"</f>
        <v>数字</v>
      </c>
      <c r="H39" t="str">
        <f>"输入框文本长度"</f>
        <v>输入框文本长度</v>
      </c>
      <c r="I39" t="str">
        <f>"12"</f>
        <v>12</v>
      </c>
      <c r="J39" t="str">
        <f>"输入长度"</f>
        <v>输入长度</v>
      </c>
    </row>
    <row r="40" spans="1:10" ht="16" x14ac:dyDescent="0.2">
      <c r="A40" s="1" t="str">
        <f>"bp_sys_d"</f>
        <v>bp_sys_d</v>
      </c>
      <c r="B40" s="1" t="str">
        <f>"/blood_pressure_detail_screen"</f>
        <v>/blood_pressure_detail_screen</v>
      </c>
      <c r="C40" s="1" t="str">
        <f>"血压"</f>
        <v>血压</v>
      </c>
      <c r="D40" t="str">
        <f>"收缩压"</f>
        <v>收缩压</v>
      </c>
      <c r="E40" t="str">
        <f>"int"</f>
        <v>int</v>
      </c>
      <c r="F40" t="str">
        <f>"mmHg"</f>
        <v>mmHg</v>
      </c>
      <c r="G40" t="str">
        <f>"数字"</f>
        <v>数字</v>
      </c>
      <c r="H40" t="str">
        <f>"当前或最近一次收缩压"</f>
        <v>当前或最近一次收缩压</v>
      </c>
      <c r="I40" t="str">
        <f>"122"</f>
        <v>122</v>
      </c>
      <c r="J40" t="str">
        <f>"systolic,高压"</f>
        <v>systolic,高压</v>
      </c>
    </row>
    <row r="41" spans="1:10" ht="16" x14ac:dyDescent="0.2">
      <c r="A41" s="1" t="str">
        <f>"bp_dia_d"</f>
        <v>bp_dia_d</v>
      </c>
      <c r="B41" s="1" t="str">
        <f>"/blood_pressure_detail_screen"</f>
        <v>/blood_pressure_detail_screen</v>
      </c>
      <c r="C41" s="1" t="str">
        <f>"血压"</f>
        <v>血压</v>
      </c>
      <c r="D41" t="str">
        <f>"舒张压"</f>
        <v>舒张压</v>
      </c>
      <c r="E41" t="str">
        <f>"int"</f>
        <v>int</v>
      </c>
      <c r="F41" t="str">
        <f>"mmHg"</f>
        <v>mmHg</v>
      </c>
      <c r="G41" t="str">
        <f>"数字"</f>
        <v>数字</v>
      </c>
      <c r="H41" t="str">
        <f>"当前或最近一次舒张压"</f>
        <v>当前或最近一次舒张压</v>
      </c>
      <c r="I41" t="str">
        <f>"78"</f>
        <v>78</v>
      </c>
      <c r="J41" t="str">
        <f>"diastolic,低压"</f>
        <v>diastolic,低压</v>
      </c>
    </row>
    <row r="42" spans="1:10" ht="16" x14ac:dyDescent="0.2">
      <c r="A42" s="1" t="str">
        <f>"bp_trend_7d"</f>
        <v>bp_trend_7d</v>
      </c>
      <c r="B42" s="1" t="str">
        <f>"/blood_pressure_detail_screen"</f>
        <v>/blood_pressure_detail_screen</v>
      </c>
      <c r="C42" s="1" t="str">
        <f>"血压"</f>
        <v>血压</v>
      </c>
      <c r="D42" t="str">
        <f>"7日趋势"</f>
        <v>7日趋势</v>
      </c>
      <c r="E42" t="str">
        <f>"string"</f>
        <v>string</v>
      </c>
      <c r="F42" t="str">
        <f>""</f>
        <v/>
      </c>
      <c r="G42" t="str">
        <f>"趋势"</f>
        <v>趋势</v>
      </c>
      <c r="H42" t="str">
        <f>"最近7日血压趋势"</f>
        <v>最近7日血压趋势</v>
      </c>
      <c r="I42" t="str">
        <f>"稳定"</f>
        <v>稳定</v>
      </c>
      <c r="J42" t="str">
        <f>"趋势"</f>
        <v>趋势</v>
      </c>
    </row>
    <row r="43" spans="1:10" ht="16" x14ac:dyDescent="0.2">
      <c r="A43" s="1" t="str">
        <f>"glu_val_d"</f>
        <v>glu_val_d</v>
      </c>
      <c r="B43" s="1" t="str">
        <f>"/blood_sugar_detail_screen"</f>
        <v>/blood_sugar_detail_screen</v>
      </c>
      <c r="C43" s="1" t="str">
        <f>"血糖"</f>
        <v>血糖</v>
      </c>
      <c r="D43" t="str">
        <f>"血糖水平"</f>
        <v>血糖水平</v>
      </c>
      <c r="E43" t="str">
        <f>"float"</f>
        <v>float</v>
      </c>
      <c r="F43" t="str">
        <f>"mmol/L"</f>
        <v>mmol/L</v>
      </c>
      <c r="G43" t="str">
        <f>"数字"</f>
        <v>数字</v>
      </c>
      <c r="H43" t="str">
        <f>"当前或最近一次血糖"</f>
        <v>当前或最近一次血糖</v>
      </c>
      <c r="I43" t="str">
        <f>"6.0"</f>
        <v>6.0</v>
      </c>
      <c r="J43" t="str">
        <f>"血糖"</f>
        <v>血糖</v>
      </c>
    </row>
    <row r="44" spans="1:10" ht="16" x14ac:dyDescent="0.2">
      <c r="A44" s="1" t="str">
        <f>"glu_time_d"</f>
        <v>glu_time_d</v>
      </c>
      <c r="B44" s="1" t="str">
        <f>"/blood_sugar_detail_screen"</f>
        <v>/blood_sugar_detail_screen</v>
      </c>
      <c r="C44" s="1" t="str">
        <f>"血糖"</f>
        <v>血糖</v>
      </c>
      <c r="D44" t="str">
        <f>"测量时间"</f>
        <v>测量时间</v>
      </c>
      <c r="E44" t="str">
        <f>"string"</f>
        <v>string</v>
      </c>
      <c r="F44" t="str">
        <f>""</f>
        <v/>
      </c>
      <c r="G44" t="str">
        <f>"时间"</f>
        <v>时间</v>
      </c>
      <c r="H44" t="str">
        <f>"最近测量时间"</f>
        <v>最近测量时间</v>
      </c>
      <c r="I44" t="str">
        <f>"早餐后"</f>
        <v>早餐后</v>
      </c>
      <c r="J44" t="str">
        <f>"时间"</f>
        <v>时间</v>
      </c>
    </row>
    <row r="45" spans="1:10" ht="16" x14ac:dyDescent="0.2">
      <c r="A45" s="1" t="str">
        <f>"glu_trend_7d"</f>
        <v>glu_trend_7d</v>
      </c>
      <c r="B45" s="1" t="str">
        <f>"/blood_sugar_detail_screen"</f>
        <v>/blood_sugar_detail_screen</v>
      </c>
      <c r="C45" s="1" t="str">
        <f>"血糖"</f>
        <v>血糖</v>
      </c>
      <c r="D45" t="str">
        <f>"7日趋势"</f>
        <v>7日趋势</v>
      </c>
      <c r="E45" t="str">
        <f>"string"</f>
        <v>string</v>
      </c>
      <c r="F45" t="str">
        <f>""</f>
        <v/>
      </c>
      <c r="G45" t="str">
        <f>"趋势"</f>
        <v>趋势</v>
      </c>
      <c r="H45" t="str">
        <f>"最近7日血糖趋势"</f>
        <v>最近7日血糖趋势</v>
      </c>
      <c r="I45" t="str">
        <f>"轻微上升"</f>
        <v>轻微上升</v>
      </c>
      <c r="J45" t="str">
        <f>"趋势"</f>
        <v>趋势</v>
      </c>
    </row>
    <row r="46" spans="1:10" ht="32" x14ac:dyDescent="0.2">
      <c r="A46" s="1" t="str">
        <f>"sleep_duration_d"</f>
        <v>sleep_duration_d</v>
      </c>
      <c r="B46" s="1" t="str">
        <f>"/sleep_detail_screen"</f>
        <v>/sleep_detail_screen</v>
      </c>
      <c r="C46" s="1" t="str">
        <f>"睡眠"</f>
        <v>睡眠</v>
      </c>
      <c r="D46" t="str">
        <f>"睡眠时长"</f>
        <v>睡眠时长</v>
      </c>
      <c r="E46" t="str">
        <f>"float"</f>
        <v>float</v>
      </c>
      <c r="F46" t="str">
        <f>"小时"</f>
        <v>小时</v>
      </c>
      <c r="G46" t="str">
        <f>"小时+分钟"</f>
        <v>小时+分钟</v>
      </c>
      <c r="H46" t="str">
        <f>"昨日睡眠时长"</f>
        <v>昨日睡眠时长</v>
      </c>
      <c r="I46" t="str">
        <f>"7.2"</f>
        <v>7.2</v>
      </c>
      <c r="J46" t="str">
        <f>"睡眠时长"</f>
        <v>睡眠时长</v>
      </c>
    </row>
    <row r="47" spans="1:10" ht="32" x14ac:dyDescent="0.2">
      <c r="A47" s="1" t="str">
        <f>"sleep_quality_d"</f>
        <v>sleep_quality_d</v>
      </c>
      <c r="B47" s="1" t="str">
        <f>"/sleep_detail_screen"</f>
        <v>/sleep_detail_screen</v>
      </c>
      <c r="C47" s="1" t="str">
        <f>"睡眠"</f>
        <v>睡眠</v>
      </c>
      <c r="D47" t="str">
        <f>"睡眠质量"</f>
        <v>睡眠质量</v>
      </c>
      <c r="E47" t="str">
        <f>"string"</f>
        <v>string</v>
      </c>
      <c r="F47" t="str">
        <f>""</f>
        <v/>
      </c>
      <c r="G47" t="str">
        <f>"文字+图标"</f>
        <v>文字+图标</v>
      </c>
      <c r="H47" t="str">
        <f>"睡眠质量评估"</f>
        <v>睡眠质量评估</v>
      </c>
      <c r="I47" t="str">
        <f>"良好"</f>
        <v>良好</v>
      </c>
      <c r="J47" t="str">
        <f>"质量"</f>
        <v>质量</v>
      </c>
    </row>
    <row r="48" spans="1:10" ht="32" x14ac:dyDescent="0.2">
      <c r="A48" s="1" t="str">
        <f>"sleep_segments"</f>
        <v>sleep_segments</v>
      </c>
      <c r="B48" s="1" t="str">
        <f>"/sleep_detail_screen"</f>
        <v>/sleep_detail_screen</v>
      </c>
      <c r="C48" s="1" t="str">
        <f>"睡眠"</f>
        <v>睡眠</v>
      </c>
      <c r="D48" t="str">
        <f>"睡眠阶段"</f>
        <v>睡眠阶段</v>
      </c>
      <c r="E48" t="str">
        <f>"string"</f>
        <v>string</v>
      </c>
      <c r="F48" t="str">
        <f>""</f>
        <v/>
      </c>
      <c r="G48" t="str">
        <f>"阶段"</f>
        <v>阶段</v>
      </c>
      <c r="H48" t="str">
        <f>"深睡/浅睡/REM占比"</f>
        <v>深睡/浅睡/REM占比</v>
      </c>
      <c r="I48" t="str">
        <f>"深睡30%"</f>
        <v>深睡30%</v>
      </c>
      <c r="J48" t="str">
        <f>"阶段"</f>
        <v>阶段</v>
      </c>
    </row>
    <row r="49" spans="1:10" ht="16" x14ac:dyDescent="0.2">
      <c r="A49" s="1" t="str">
        <f>"steps_total_w"</f>
        <v>steps_total_w</v>
      </c>
      <c r="B49" s="1" t="str">
        <f>"/steps_detail_screen"</f>
        <v>/steps_detail_screen</v>
      </c>
      <c r="C49" s="1" t="str">
        <f>"步数"</f>
        <v>步数</v>
      </c>
      <c r="D49" t="str">
        <f>"本周步数总计"</f>
        <v>本周步数总计</v>
      </c>
      <c r="E49" t="str">
        <f>"int"</f>
        <v>int</v>
      </c>
      <c r="F49" t="str">
        <f>"步"</f>
        <v>步</v>
      </c>
      <c r="G49" t="str">
        <f>"数字"</f>
        <v>数字</v>
      </c>
      <c r="H49" t="str">
        <f>"周累计步数"</f>
        <v>周累计步数</v>
      </c>
      <c r="I49" t="str">
        <f>"54000"</f>
        <v>54000</v>
      </c>
      <c r="J49" t="str">
        <f>"步数总计"</f>
        <v>步数总计</v>
      </c>
    </row>
    <row r="50" spans="1:10" ht="32" x14ac:dyDescent="0.2">
      <c r="A50" s="1" t="str">
        <f>"steps_best_day"</f>
        <v>steps_best_day</v>
      </c>
      <c r="B50" s="1" t="str">
        <f>"/steps_detail_screen"</f>
        <v>/steps_detail_screen</v>
      </c>
      <c r="C50" s="1" t="str">
        <f>"步数"</f>
        <v>步数</v>
      </c>
      <c r="D50" t="str">
        <f>"本周最佳日"</f>
        <v>本周最佳日</v>
      </c>
      <c r="E50" t="str">
        <f>"int"</f>
        <v>int</v>
      </c>
      <c r="F50" t="str">
        <f>"步"</f>
        <v>步</v>
      </c>
      <c r="G50" t="str">
        <f>"数字"</f>
        <v>数字</v>
      </c>
      <c r="H50" t="str">
        <f>"单日最高步数"</f>
        <v>单日最高步数</v>
      </c>
      <c r="I50" t="str">
        <f>"12500"</f>
        <v>12500</v>
      </c>
      <c r="J50" t="str">
        <f>"最佳步数"</f>
        <v>最佳步数</v>
      </c>
    </row>
    <row r="51" spans="1:10" ht="32" x14ac:dyDescent="0.2">
      <c r="A51" s="1" t="str">
        <f>"exercise_minutes_w"</f>
        <v>exercise_minutes_w</v>
      </c>
      <c r="B51" s="1" t="str">
        <f>"/exercise_detail_screen"</f>
        <v>/exercise_detail_screen</v>
      </c>
      <c r="C51" s="1" t="str">
        <f>"运动"</f>
        <v>运动</v>
      </c>
      <c r="D51" t="str">
        <f>"本周运动时长"</f>
        <v>本周运动时长</v>
      </c>
      <c r="E51" t="str">
        <f>"int"</f>
        <v>int</v>
      </c>
      <c r="F51" t="str">
        <f>"分钟"</f>
        <v>分钟</v>
      </c>
      <c r="G51" t="str">
        <f>"数字"</f>
        <v>数字</v>
      </c>
      <c r="H51" t="str">
        <f>"本周总运动分钟"</f>
        <v>本周总运动分钟</v>
      </c>
      <c r="I51" t="str">
        <f>"210"</f>
        <v>210</v>
      </c>
      <c r="J51" t="str">
        <f>"运动总时长"</f>
        <v>运动总时长</v>
      </c>
    </row>
    <row r="52" spans="1:10" ht="32" x14ac:dyDescent="0.2">
      <c r="A52" s="1" t="str">
        <f>"exercise_hi_types"</f>
        <v>exercise_hi_types</v>
      </c>
      <c r="B52" s="1" t="str">
        <f>"/exercise_detail_screen"</f>
        <v>/exercise_detail_screen</v>
      </c>
      <c r="C52" s="1" t="str">
        <f>"运动"</f>
        <v>运动</v>
      </c>
      <c r="D52" t="str">
        <f>"高频运动类型"</f>
        <v>高频运动类型</v>
      </c>
      <c r="E52" t="str">
        <f>"string"</f>
        <v>string</v>
      </c>
      <c r="F52" t="str">
        <f>""</f>
        <v/>
      </c>
      <c r="G52" t="str">
        <f>"文字"</f>
        <v>文字</v>
      </c>
      <c r="H52" t="str">
        <f>"一周内最常见运动类型"</f>
        <v>一周内最常见运动类型</v>
      </c>
      <c r="I52" t="str">
        <f>"跑步/健走"</f>
        <v>跑步/健走</v>
      </c>
      <c r="J52" t="str">
        <f>"运动类型"</f>
        <v>运动类型</v>
      </c>
    </row>
    <row r="53" spans="1:10" ht="16" x14ac:dyDescent="0.2">
      <c r="A53" s="1" t="str">
        <f>"mood_avg_w"</f>
        <v>mood_avg_w</v>
      </c>
      <c r="B53" s="1" t="str">
        <f>"/mood_detail_screen"</f>
        <v>/mood_detail_screen</v>
      </c>
      <c r="C53" s="1" t="str">
        <f>"心情"</f>
        <v>心情</v>
      </c>
      <c r="D53" t="str">
        <f>"本周平均心情分"</f>
        <v>本周平均心情分</v>
      </c>
      <c r="E53" t="str">
        <f>"int"</f>
        <v>int</v>
      </c>
      <c r="F53" t="str">
        <f>"分"</f>
        <v>分</v>
      </c>
      <c r="G53" t="str">
        <f>"分数"</f>
        <v>分数</v>
      </c>
      <c r="H53" t="str">
        <f>"周平均心情评分"</f>
        <v>周平均心情评分</v>
      </c>
      <c r="I53" t="str">
        <f>"7"</f>
        <v>7</v>
      </c>
      <c r="J53" t="str">
        <f>"平均心情"</f>
        <v>平均心情</v>
      </c>
    </row>
    <row r="54" spans="1:10" ht="32" x14ac:dyDescent="0.2">
      <c r="A54" s="1" t="str">
        <f>"water_total_w"</f>
        <v>water_total_w</v>
      </c>
      <c r="B54" s="1" t="str">
        <f>"/water_intake_detail_screen"</f>
        <v>/water_intake_detail_screen</v>
      </c>
      <c r="C54" s="1" t="str">
        <f>"饮水"</f>
        <v>饮水</v>
      </c>
      <c r="D54" t="str">
        <f>"本周饮水总量"</f>
        <v>本周饮水总量</v>
      </c>
      <c r="E54" t="str">
        <f>"int"</f>
        <v>int</v>
      </c>
      <c r="F54" t="str">
        <f>"ml"</f>
        <v>ml</v>
      </c>
      <c r="G54" t="str">
        <f>"数字"</f>
        <v>数字</v>
      </c>
      <c r="H54" t="str">
        <f>"本周累计饮水量"</f>
        <v>本周累计饮水量</v>
      </c>
      <c r="I54" t="str">
        <f>"9800"</f>
        <v>9800</v>
      </c>
      <c r="J54" t="str">
        <f>"饮水总量"</f>
        <v>饮水总量</v>
      </c>
    </row>
    <row r="55" spans="1:10" ht="16" x14ac:dyDescent="0.2">
      <c r="A55" s="1" t="str">
        <f>"weight_curr"</f>
        <v>weight_curr</v>
      </c>
      <c r="B55" s="1" t="str">
        <f>"/body_metrics_detail_screen"</f>
        <v>/body_metrics_detail_screen</v>
      </c>
      <c r="C55" s="1" t="str">
        <f>"体征"</f>
        <v>体征</v>
      </c>
      <c r="D55" t="str">
        <f>"当前体重"</f>
        <v>当前体重</v>
      </c>
      <c r="E55" t="str">
        <f>"float"</f>
        <v>float</v>
      </c>
      <c r="F55" t="str">
        <f>"kg"</f>
        <v>kg</v>
      </c>
      <c r="G55" t="str">
        <f>"数字"</f>
        <v>数字</v>
      </c>
      <c r="H55" t="str">
        <f>"最新体重"</f>
        <v>最新体重</v>
      </c>
      <c r="I55" t="str">
        <f>"65.2"</f>
        <v>65.2</v>
      </c>
      <c r="J55" t="str">
        <f>"体重"</f>
        <v>体重</v>
      </c>
    </row>
    <row r="56" spans="1:10" ht="16" x14ac:dyDescent="0.2">
      <c r="A56" s="1" t="str">
        <f>"bmi_curr"</f>
        <v>bmi_curr</v>
      </c>
      <c r="B56" s="1" t="str">
        <f>"/body_metrics_detail_screen"</f>
        <v>/body_metrics_detail_screen</v>
      </c>
      <c r="C56" s="1" t="str">
        <f>"体征"</f>
        <v>体征</v>
      </c>
      <c r="D56" t="str">
        <f>"当前BMI"</f>
        <v>当前BMI</v>
      </c>
      <c r="E56" t="str">
        <f>"float"</f>
        <v>float</v>
      </c>
      <c r="F56" t="str">
        <f>""</f>
        <v/>
      </c>
      <c r="G56" t="str">
        <f>"数字"</f>
        <v>数字</v>
      </c>
      <c r="H56" t="str">
        <f>"最新BMI"</f>
        <v>最新BMI</v>
      </c>
      <c r="I56" t="str">
        <f>"22.0"</f>
        <v>22.0</v>
      </c>
      <c r="J56" t="str">
        <f>"BMI"</f>
        <v>BMI</v>
      </c>
    </row>
    <row r="57" spans="1:10" ht="16" x14ac:dyDescent="0.2">
      <c r="A57" s="1" t="str">
        <f>"recipe_kcal"</f>
        <v>recipe_kcal</v>
      </c>
      <c r="B57" s="1" t="str">
        <f>"/recipe_detail_screen"</f>
        <v>/recipe_detail_screen</v>
      </c>
      <c r="C57" s="1" t="str">
        <f>"食谱"</f>
        <v>食谱</v>
      </c>
      <c r="D57" t="str">
        <f>"热量"</f>
        <v>热量</v>
      </c>
      <c r="E57" t="str">
        <f>"int"</f>
        <v>int</v>
      </c>
      <c r="F57" t="str">
        <f>"kcal"</f>
        <v>kcal</v>
      </c>
      <c r="G57" t="str">
        <f>"数字"</f>
        <v>数字</v>
      </c>
      <c r="H57" t="str">
        <f>"该食谱总热量"</f>
        <v>该食谱总热量</v>
      </c>
      <c r="I57" t="str">
        <f>"420"</f>
        <v>420</v>
      </c>
      <c r="J57" t="str">
        <f>"热量"</f>
        <v>热量</v>
      </c>
    </row>
    <row r="58" spans="1:10" ht="32" x14ac:dyDescent="0.2">
      <c r="A58" s="1" t="str">
        <f>"recipe_macros"</f>
        <v>recipe_macros</v>
      </c>
      <c r="B58" s="1" t="str">
        <f>"/recipe_detail_screen"</f>
        <v>/recipe_detail_screen</v>
      </c>
      <c r="C58" s="1" t="str">
        <f>"食谱"</f>
        <v>食谱</v>
      </c>
      <c r="D58" t="str">
        <f>"宏量营养"</f>
        <v>宏量营养</v>
      </c>
      <c r="E58" t="str">
        <f>"string"</f>
        <v>string</v>
      </c>
      <c r="F58" t="str">
        <f>""</f>
        <v/>
      </c>
      <c r="G58" t="str">
        <f>"文字"</f>
        <v>文字</v>
      </c>
      <c r="H58" t="str">
        <f>"碳水/蛋白/脂肪比例"</f>
        <v>碳水/蛋白/脂肪比例</v>
      </c>
      <c r="I58" t="str">
        <f>"45/25/30"</f>
        <v>45/25/30</v>
      </c>
      <c r="J58" t="str">
        <f>"营养比例"</f>
        <v>营养比例</v>
      </c>
    </row>
    <row r="59" spans="1:10" ht="32" x14ac:dyDescent="0.2">
      <c r="A59" s="1" t="str">
        <f>"weather_temp"</f>
        <v>weather_temp</v>
      </c>
      <c r="B59" s="1" t="str">
        <f>"/weather_detail_screen"</f>
        <v>/weather_detail_screen</v>
      </c>
      <c r="C59" s="1" t="str">
        <f>"天气"</f>
        <v>天气</v>
      </c>
      <c r="D59" t="str">
        <f>"当前温度"</f>
        <v>当前温度</v>
      </c>
      <c r="E59" t="str">
        <f>"float"</f>
        <v>float</v>
      </c>
      <c r="F59" t="str">
        <f>"℃"</f>
        <v>℃</v>
      </c>
      <c r="G59" t="str">
        <f>"数字"</f>
        <v>数字</v>
      </c>
      <c r="H59" t="str">
        <f>"当前温度值"</f>
        <v>当前温度值</v>
      </c>
      <c r="I59" t="str">
        <f>"28.5"</f>
        <v>28.5</v>
      </c>
      <c r="J59" t="str">
        <f>"温度"</f>
        <v>温度</v>
      </c>
    </row>
    <row r="60" spans="1:10" ht="16" x14ac:dyDescent="0.2">
      <c r="A60" s="1" t="str">
        <f>"weather_sugg"</f>
        <v>weather_sugg</v>
      </c>
      <c r="B60" s="1" t="str">
        <f>"/weather_detail_screen"</f>
        <v>/weather_detail_screen</v>
      </c>
      <c r="C60" s="1" t="str">
        <f>"天气"</f>
        <v>天气</v>
      </c>
      <c r="D60" t="str">
        <f>"户外建议"</f>
        <v>户外建议</v>
      </c>
      <c r="E60" t="str">
        <f>"string"</f>
        <v>string</v>
      </c>
      <c r="F60" t="str">
        <f>""</f>
        <v/>
      </c>
      <c r="G60" t="str">
        <f>"文字"</f>
        <v>文字</v>
      </c>
      <c r="H60" t="str">
        <f>"结合天气的运动建议"</f>
        <v>结合天气的运动建议</v>
      </c>
      <c r="I60" t="str">
        <f>"晚间步行30分钟"</f>
        <v>晚间步行30分钟</v>
      </c>
      <c r="J60" t="str">
        <f>"建议"</f>
        <v>建议</v>
      </c>
    </row>
    <row r="61" spans="1:10" ht="32" x14ac:dyDescent="0.2">
      <c r="A61" s="1" t="str">
        <f>"progress_streak"</f>
        <v>progress_streak</v>
      </c>
      <c r="B61" s="1" t="str">
        <f>"/progress_detail_screen"</f>
        <v>/progress_detail_screen</v>
      </c>
      <c r="C61" s="1" t="str">
        <f>"改进"</f>
        <v>改进</v>
      </c>
      <c r="D61" t="str">
        <f>"连续打卡天数"</f>
        <v>连续打卡天数</v>
      </c>
      <c r="E61" t="str">
        <f t="shared" ref="E61:E68" si="2">"int"</f>
        <v>int</v>
      </c>
      <c r="F61" t="str">
        <f>"天"</f>
        <v>天</v>
      </c>
      <c r="G61" t="str">
        <f>"数字"</f>
        <v>数字</v>
      </c>
      <c r="H61" t="str">
        <f>"连续完成目标的天数"</f>
        <v>连续完成目标的天数</v>
      </c>
      <c r="I61" t="str">
        <f>"9"</f>
        <v>9</v>
      </c>
      <c r="J61" t="str">
        <f>"连胜"</f>
        <v>连胜</v>
      </c>
    </row>
    <row r="62" spans="1:10" ht="32" x14ac:dyDescent="0.2">
      <c r="A62" s="1" t="str">
        <f>"progress_score"</f>
        <v>progress_score</v>
      </c>
      <c r="B62" s="1" t="str">
        <f>"/progress_detail_screen"</f>
        <v>/progress_detail_screen</v>
      </c>
      <c r="C62" s="1" t="str">
        <f>"改进"</f>
        <v>改进</v>
      </c>
      <c r="D62" t="str">
        <f>"改进评分"</f>
        <v>改进评分</v>
      </c>
      <c r="E62" t="str">
        <f t="shared" si="2"/>
        <v>int</v>
      </c>
      <c r="F62" t="str">
        <f>"分"</f>
        <v>分</v>
      </c>
      <c r="G62" t="str">
        <f>"分数"</f>
        <v>分数</v>
      </c>
      <c r="H62" t="str">
        <f>"综合改进得分"</f>
        <v>综合改进得分</v>
      </c>
      <c r="I62" t="str">
        <f>"78"</f>
        <v>78</v>
      </c>
      <c r="J62" t="str">
        <f>"评分"</f>
        <v>评分</v>
      </c>
    </row>
    <row r="63" spans="1:10" ht="16" x14ac:dyDescent="0.2">
      <c r="A63" s="1" t="str">
        <f>"posts_count"</f>
        <v>posts_count</v>
      </c>
      <c r="B63" s="1" t="str">
        <f>"/moments_hub_screen"</f>
        <v>/moments_hub_screen</v>
      </c>
      <c r="C63" s="1" t="str">
        <f>"动态"</f>
        <v>动态</v>
      </c>
      <c r="D63" t="str">
        <f>"动态数量"</f>
        <v>动态数量</v>
      </c>
      <c r="E63" t="str">
        <f t="shared" si="2"/>
        <v>int</v>
      </c>
      <c r="F63" t="str">
        <f>"条"</f>
        <v>条</v>
      </c>
      <c r="G63" t="str">
        <f t="shared" ref="G63:G68" si="3">"数字"</f>
        <v>数字</v>
      </c>
      <c r="H63" t="str">
        <f>"已发布动态总数"</f>
        <v>已发布动态总数</v>
      </c>
      <c r="I63" t="str">
        <f>"36"</f>
        <v>36</v>
      </c>
      <c r="J63" t="str">
        <f>"动态数"</f>
        <v>动态数</v>
      </c>
    </row>
    <row r="64" spans="1:10" ht="16" x14ac:dyDescent="0.2">
      <c r="A64" s="1" t="str">
        <f>"videos_count"</f>
        <v>videos_count</v>
      </c>
      <c r="B64" s="1" t="str">
        <f>"/video_share_hub_screen"</f>
        <v>/video_share_hub_screen</v>
      </c>
      <c r="C64" s="1" t="str">
        <f>"视频"</f>
        <v>视频</v>
      </c>
      <c r="D64" t="str">
        <f>"视频数量"</f>
        <v>视频数量</v>
      </c>
      <c r="E64" t="str">
        <f t="shared" si="2"/>
        <v>int</v>
      </c>
      <c r="F64" t="str">
        <f>"条"</f>
        <v>条</v>
      </c>
      <c r="G64" t="str">
        <f t="shared" si="3"/>
        <v>数字</v>
      </c>
      <c r="H64" t="str">
        <f>"上传视频总数"</f>
        <v>上传视频总数</v>
      </c>
      <c r="I64" t="str">
        <f>"12"</f>
        <v>12</v>
      </c>
      <c r="J64" t="str">
        <f>"视频数"</f>
        <v>视频数</v>
      </c>
    </row>
    <row r="65" spans="1:10" ht="16" x14ac:dyDescent="0.2">
      <c r="A65" s="1" t="str">
        <f>"achieve_total"</f>
        <v>achieve_total</v>
      </c>
      <c r="B65" s="1" t="str">
        <f>"/achievements_hub_screen"</f>
        <v>/achievements_hub_screen</v>
      </c>
      <c r="C65" s="1" t="str">
        <f>"成就"</f>
        <v>成就</v>
      </c>
      <c r="D65" t="str">
        <f>"成就总数"</f>
        <v>成就总数</v>
      </c>
      <c r="E65" t="str">
        <f t="shared" si="2"/>
        <v>int</v>
      </c>
      <c r="F65" t="str">
        <f>"枚"</f>
        <v>枚</v>
      </c>
      <c r="G65" t="str">
        <f t="shared" si="3"/>
        <v>数字</v>
      </c>
      <c r="H65" t="str">
        <f>"累计成就数量"</f>
        <v>累计成就数量</v>
      </c>
      <c r="I65" t="str">
        <f>"18"</f>
        <v>18</v>
      </c>
      <c r="J65" t="str">
        <f>"成就数"</f>
        <v>成就数</v>
      </c>
    </row>
    <row r="66" spans="1:10" ht="32" x14ac:dyDescent="0.2">
      <c r="A66" s="1" t="str">
        <f>"offers_available"</f>
        <v>offers_available</v>
      </c>
      <c r="B66" s="1" t="str">
        <f>"/exclusive_offers_hub_screen"</f>
        <v>/exclusive_offers_hub_screen</v>
      </c>
      <c r="C66" s="1" t="str">
        <f>"优惠"</f>
        <v>优惠</v>
      </c>
      <c r="D66" t="str">
        <f>"可用优惠"</f>
        <v>可用优惠</v>
      </c>
      <c r="E66" t="str">
        <f t="shared" si="2"/>
        <v>int</v>
      </c>
      <c r="F66" t="str">
        <f>"项"</f>
        <v>项</v>
      </c>
      <c r="G66" t="str">
        <f t="shared" si="3"/>
        <v>数字</v>
      </c>
      <c r="H66" t="str">
        <f>"当前可用优惠项"</f>
        <v>当前可用优惠项</v>
      </c>
      <c r="I66" t="str">
        <f>"5"</f>
        <v>5</v>
      </c>
      <c r="J66" t="str">
        <f>"优惠数"</f>
        <v>优惠数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DA40C-481D-384C-85C2-9EA9E6E6531F}">
  <dimension ref="A1:G30"/>
  <sheetViews>
    <sheetView workbookViewId="0">
      <selection activeCell="G27" sqref="G27"/>
    </sheetView>
  </sheetViews>
  <sheetFormatPr baseColWidth="10" defaultRowHeight="15" x14ac:dyDescent="0.2"/>
  <cols>
    <col min="6" max="6" width="20" customWidth="1"/>
    <col min="7" max="7" width="57" customWidth="1"/>
  </cols>
  <sheetData>
    <row r="1" spans="1:7" s="8" customFormat="1" x14ac:dyDescent="0.2">
      <c r="A1" s="8" t="str">
        <f>"component_id"</f>
        <v>component_id</v>
      </c>
      <c r="B1" s="8" t="str">
        <f>"route"</f>
        <v>route</v>
      </c>
      <c r="C1" s="8" t="str">
        <f>"name"</f>
        <v>name</v>
      </c>
      <c r="D1" s="8" t="str">
        <f>"type"</f>
        <v>type</v>
      </c>
      <c r="E1" s="8" t="str">
        <f>"display"</f>
        <v>display</v>
      </c>
      <c r="F1" s="8" t="str">
        <f>"description"</f>
        <v>description</v>
      </c>
      <c r="G1" s="8" t="str">
        <f>"related_fields"</f>
        <v>related_fields</v>
      </c>
    </row>
    <row r="2" spans="1:7" s="8" customFormat="1" x14ac:dyDescent="0.2">
      <c r="A2" s="8" t="str">
        <f>"组件ID"</f>
        <v>组件ID</v>
      </c>
      <c r="B2" s="8" t="str">
        <f>"页面路由"</f>
        <v>页面路由</v>
      </c>
      <c r="C2" s="8" t="str">
        <f>"组件名称"</f>
        <v>组件名称</v>
      </c>
      <c r="D2" s="8" t="str">
        <f>"组件类型"</f>
        <v>组件类型</v>
      </c>
      <c r="E2" s="8" t="str">
        <f>"主要展示内容"</f>
        <v>主要展示内容</v>
      </c>
      <c r="F2" s="8" t="str">
        <f>"组件说明"</f>
        <v>组件说明</v>
      </c>
      <c r="G2" s="8" t="str">
        <f>"关联字段ID（逗号或list）"</f>
        <v>关联字段ID（逗号或list）</v>
      </c>
    </row>
    <row r="3" spans="1:7" s="8" customFormat="1" x14ac:dyDescent="0.2">
      <c r="A3" s="8" t="str">
        <f t="shared" ref="A3:F3" si="0">"string"</f>
        <v>string</v>
      </c>
      <c r="B3" s="8" t="str">
        <f t="shared" si="0"/>
        <v>string</v>
      </c>
      <c r="C3" s="8" t="str">
        <f t="shared" si="0"/>
        <v>string</v>
      </c>
      <c r="D3" s="8" t="str">
        <f t="shared" si="0"/>
        <v>string</v>
      </c>
      <c r="E3" s="8" t="str">
        <f t="shared" si="0"/>
        <v>string</v>
      </c>
      <c r="F3" s="8" t="str">
        <f t="shared" si="0"/>
        <v>string</v>
      </c>
      <c r="G3" s="8" t="str">
        <f>"list"</f>
        <v>list</v>
      </c>
    </row>
    <row r="4" spans="1:7" x14ac:dyDescent="0.2">
      <c r="A4" t="str">
        <f>"steps_card"</f>
        <v>steps_card</v>
      </c>
      <c r="B4" t="str">
        <f t="shared" ref="B4:B13" si="1">"/dashboard_screen"</f>
        <v>/dashboard_screen</v>
      </c>
      <c r="C4" t="str">
        <f>"步数卡片"</f>
        <v>步数卡片</v>
      </c>
      <c r="D4" t="str">
        <f t="shared" ref="D4:D10" si="2">"数据卡片"</f>
        <v>数据卡片</v>
      </c>
      <c r="E4" t="str">
        <f>"步数/目标/进度"</f>
        <v>步数/目标/进度</v>
      </c>
      <c r="F4" t="str">
        <f>"显示今日步数与完成度"</f>
        <v>显示今日步数与完成度</v>
      </c>
      <c r="G4" t="str">
        <f>"steps,steps_target,steps_progress"</f>
        <v>steps,steps_target,steps_progress</v>
      </c>
    </row>
    <row r="5" spans="1:7" x14ac:dyDescent="0.2">
      <c r="A5" t="str">
        <f>"sleep_card"</f>
        <v>sleep_card</v>
      </c>
      <c r="B5" t="str">
        <f t="shared" si="1"/>
        <v>/dashboard_screen</v>
      </c>
      <c r="C5" t="str">
        <f>"睡眠卡片"</f>
        <v>睡眠卡片</v>
      </c>
      <c r="D5" t="str">
        <f t="shared" si="2"/>
        <v>数据卡片</v>
      </c>
      <c r="E5" t="str">
        <f>"时长/质量/分数"</f>
        <v>时长/质量/分数</v>
      </c>
      <c r="F5" t="str">
        <f>"显示睡眠质量与分数"</f>
        <v>显示睡眠质量与分数</v>
      </c>
      <c r="G5" t="str">
        <f>"sleep_duration,sleep_quality,sleep_score"</f>
        <v>sleep_duration,sleep_quality,sleep_score</v>
      </c>
    </row>
    <row r="6" spans="1:7" x14ac:dyDescent="0.2">
      <c r="A6" t="str">
        <f>"water_card"</f>
        <v>water_card</v>
      </c>
      <c r="B6" t="str">
        <f t="shared" si="1"/>
        <v>/dashboard_screen</v>
      </c>
      <c r="C6" t="str">
        <f>"饮水卡片"</f>
        <v>饮水卡片</v>
      </c>
      <c r="D6" t="str">
        <f t="shared" si="2"/>
        <v>数据卡片</v>
      </c>
      <c r="E6" t="str">
        <f>"饮水/目标/进度"</f>
        <v>饮水/目标/进度</v>
      </c>
      <c r="F6" t="str">
        <f>"饮水数据与目标达成度"</f>
        <v>饮水数据与目标达成度</v>
      </c>
      <c r="G6" t="str">
        <f>"water_intake,water_target,water_progress"</f>
        <v>water_intake,water_target,water_progress</v>
      </c>
    </row>
    <row r="7" spans="1:7" x14ac:dyDescent="0.2">
      <c r="A7" t="str">
        <f>"exercise_card"</f>
        <v>exercise_card</v>
      </c>
      <c r="B7" t="str">
        <f t="shared" si="1"/>
        <v>/dashboard_screen</v>
      </c>
      <c r="C7" t="str">
        <f>"运动卡片"</f>
        <v>运动卡片</v>
      </c>
      <c r="D7" t="str">
        <f t="shared" si="2"/>
        <v>数据卡片</v>
      </c>
      <c r="E7" t="str">
        <f>"时长/卡路里/类型"</f>
        <v>时长/卡路里/类型</v>
      </c>
      <c r="F7" t="str">
        <f>"展示运动概况"</f>
        <v>展示运动概况</v>
      </c>
      <c r="G7" t="str">
        <f>"exercise_duration,exercise_calories,exercise_type"</f>
        <v>exercise_duration,exercise_calories,exercise_type</v>
      </c>
    </row>
    <row r="8" spans="1:7" x14ac:dyDescent="0.2">
      <c r="A8" t="str">
        <f>"mood_card"</f>
        <v>mood_card</v>
      </c>
      <c r="B8" t="str">
        <f t="shared" si="1"/>
        <v>/dashboard_screen</v>
      </c>
      <c r="C8" t="str">
        <f>"心情卡片"</f>
        <v>心情卡片</v>
      </c>
      <c r="D8" t="str">
        <f t="shared" si="2"/>
        <v>数据卡片</v>
      </c>
      <c r="E8" t="str">
        <f>"分数/状态/备注"</f>
        <v>分数/状态/备注</v>
      </c>
      <c r="F8" t="str">
        <f>"展示心情状态"</f>
        <v>展示心情状态</v>
      </c>
      <c r="G8" t="str">
        <f>"mood_score,mood_status,mood_note"</f>
        <v>mood_score,mood_status,mood_note</v>
      </c>
    </row>
    <row r="9" spans="1:7" x14ac:dyDescent="0.2">
      <c r="A9" t="str">
        <f>"bp_card"</f>
        <v>bp_card</v>
      </c>
      <c r="B9" t="str">
        <f t="shared" si="1"/>
        <v>/dashboard_screen</v>
      </c>
      <c r="C9" t="str">
        <f>"血压卡片"</f>
        <v>血压卡片</v>
      </c>
      <c r="D9" t="str">
        <f t="shared" si="2"/>
        <v>数据卡片</v>
      </c>
      <c r="E9" t="str">
        <f>"收缩压/舒张压/脉搏"</f>
        <v>收缩压/舒张压/脉搏</v>
      </c>
      <c r="F9" t="str">
        <f>"展示血压监测数据"</f>
        <v>展示血压监测数据</v>
      </c>
      <c r="G9" t="str">
        <f>"bp_sys,bp_dia,bp_pulse,bp_status"</f>
        <v>bp_sys,bp_dia,bp_pulse,bp_status</v>
      </c>
    </row>
    <row r="10" spans="1:7" x14ac:dyDescent="0.2">
      <c r="A10" t="str">
        <f>"glucose_card"</f>
        <v>glucose_card</v>
      </c>
      <c r="B10" t="str">
        <f t="shared" si="1"/>
        <v>/dashboard_screen</v>
      </c>
      <c r="C10" t="str">
        <f>"血糖卡片"</f>
        <v>血糖卡片</v>
      </c>
      <c r="D10" t="str">
        <f t="shared" si="2"/>
        <v>数据卡片</v>
      </c>
      <c r="E10" t="str">
        <f>"血糖/时间/状态"</f>
        <v>血糖/时间/状态</v>
      </c>
      <c r="F10" t="str">
        <f>"展示血糖监测数据"</f>
        <v>展示血糖监测数据</v>
      </c>
      <c r="G10" t="str">
        <f>"glucose,glucose_time,glucose_status"</f>
        <v>glucose,glucose_time,glucose_status</v>
      </c>
    </row>
    <row r="11" spans="1:7" x14ac:dyDescent="0.2">
      <c r="A11" t="str">
        <f>"health_score_card"</f>
        <v>health_score_card</v>
      </c>
      <c r="B11" t="str">
        <f t="shared" si="1"/>
        <v>/dashboard_screen</v>
      </c>
      <c r="C11" t="str">
        <f>"健康分数卡片"</f>
        <v>健康分数卡片</v>
      </c>
      <c r="D11" t="str">
        <f>"综合卡片"</f>
        <v>综合卡片</v>
      </c>
      <c r="E11" t="str">
        <f>"分数/等级/建议"</f>
        <v>分数/等级/建议</v>
      </c>
      <c r="F11" t="str">
        <f>"综合健康评估"</f>
        <v>综合健康评估</v>
      </c>
      <c r="G11" t="str">
        <f>"health_score,health_level"</f>
        <v>health_score,health_level</v>
      </c>
    </row>
    <row r="12" spans="1:7" x14ac:dyDescent="0.2">
      <c r="A12" t="str">
        <f>"top_scroll_cards"</f>
        <v>top_scroll_cards</v>
      </c>
      <c r="B12" t="str">
        <f t="shared" si="1"/>
        <v>/dashboard_screen</v>
      </c>
      <c r="C12" t="str">
        <f>"水平滑动卡片"</f>
        <v>水平滑动卡片</v>
      </c>
      <c r="D12" t="str">
        <f>"滑动组件"</f>
        <v>滑动组件</v>
      </c>
      <c r="E12" t="str">
        <f>"运动/卡路里/心率/睡眠/饮水"</f>
        <v>运动/卡路里/心率/睡眠/饮水</v>
      </c>
      <c r="F12" t="str">
        <f>"顶部滑动统计卡组"</f>
        <v>顶部滑动统计卡组</v>
      </c>
      <c r="G12" t="str">
        <f>"exercise_duration,exercise_calories,heart_rate,sleep_duration,water_intake"</f>
        <v>exercise_duration,exercise_calories,heart_rate,sleep_duration,water_intake</v>
      </c>
    </row>
    <row r="13" spans="1:7" x14ac:dyDescent="0.2">
      <c r="A13" t="str">
        <f>"trend_charts"</f>
        <v>trend_charts</v>
      </c>
      <c r="B13" t="str">
        <f t="shared" si="1"/>
        <v>/dashboard_screen</v>
      </c>
      <c r="C13" t="str">
        <f>"趋势图表"</f>
        <v>趋势图表</v>
      </c>
      <c r="D13" t="str">
        <f>"图表"</f>
        <v>图表</v>
      </c>
      <c r="E13" t="str">
        <f>"多指标趋势"</f>
        <v>多指标趋势</v>
      </c>
      <c r="F13" t="str">
        <f>"展示历史趋势"</f>
        <v>展示历史趋势</v>
      </c>
      <c r="G13" t="str">
        <f>"steps,health_score,bp_sys,glucose"</f>
        <v>steps,health_score,bp_sys,glucose</v>
      </c>
    </row>
    <row r="14" spans="1:7" x14ac:dyDescent="0.2">
      <c r="A14" t="str">
        <f>"vc_wave"</f>
        <v>vc_wave</v>
      </c>
      <c r="B14" t="str">
        <f>"/voice_chat_screen"</f>
        <v>/voice_chat_screen</v>
      </c>
      <c r="C14" t="str">
        <f>"语音波形"</f>
        <v>语音波形</v>
      </c>
      <c r="D14" t="str">
        <f>"动画组件"</f>
        <v>动画组件</v>
      </c>
      <c r="E14" t="str">
        <f>"实时听觉波形"</f>
        <v>实时听觉波形</v>
      </c>
      <c r="F14" t="str">
        <f>"录音强度变化"</f>
        <v>录音强度变化</v>
      </c>
      <c r="G14" t="str">
        <f>"vc_listen_level"</f>
        <v>vc_listen_level</v>
      </c>
    </row>
    <row r="15" spans="1:7" x14ac:dyDescent="0.2">
      <c r="A15" t="str">
        <f>"vc_subtitle"</f>
        <v>vc_subtitle</v>
      </c>
      <c r="B15" t="str">
        <f>"/voice_chat_screen"</f>
        <v>/voice_chat_screen</v>
      </c>
      <c r="C15" t="str">
        <f>"字幕显示"</f>
        <v>字幕显示</v>
      </c>
      <c r="D15" t="str">
        <f>"文本组件"</f>
        <v>文本组件</v>
      </c>
      <c r="E15" t="str">
        <f>"AI分段字幕"</f>
        <v>AI分段字幕</v>
      </c>
      <c r="F15" t="str">
        <f>"展示AI播放文本"</f>
        <v>展示AI播放文本</v>
      </c>
      <c r="G15" t="str">
        <f>"vc_subtitle,vc_segment_index,vc_segment_total"</f>
        <v>vc_subtitle,vc_segment_index,vc_segment_total</v>
      </c>
    </row>
    <row r="16" spans="1:7" x14ac:dyDescent="0.2">
      <c r="A16" t="str">
        <f>"vc_status"</f>
        <v>vc_status</v>
      </c>
      <c r="B16" t="str">
        <f>"/voice_chat_screen"</f>
        <v>/voice_chat_screen</v>
      </c>
      <c r="C16" t="str">
        <f>"状态指示器"</f>
        <v>状态指示器</v>
      </c>
      <c r="D16" t="str">
        <f>"状态组件"</f>
        <v>状态组件</v>
      </c>
      <c r="E16" t="str">
        <f>"聆听/思考/回答"</f>
        <v>聆听/思考/回答</v>
      </c>
      <c r="F16" t="str">
        <f>"AI当前状态"</f>
        <v>AI当前状态</v>
      </c>
      <c r="G16" t="str">
        <f>"vc_state"</f>
        <v>vc_state</v>
      </c>
    </row>
    <row r="17" spans="1:7" x14ac:dyDescent="0.2">
      <c r="A17" t="str">
        <f>"chat_list"</f>
        <v>chat_list</v>
      </c>
      <c r="B17" t="str">
        <f>"/chat_screen"</f>
        <v>/chat_screen</v>
      </c>
      <c r="C17" t="str">
        <f>"消息列表"</f>
        <v>消息列表</v>
      </c>
      <c r="D17" t="str">
        <f>"列表组件"</f>
        <v>列表组件</v>
      </c>
      <c r="E17" t="str">
        <f>"历史消息"</f>
        <v>历史消息</v>
      </c>
      <c r="F17" t="str">
        <f>"展示聊天记录"</f>
        <v>展示聊天记录</v>
      </c>
      <c r="G17" t="str">
        <f>""</f>
        <v/>
      </c>
    </row>
    <row r="18" spans="1:7" x14ac:dyDescent="0.2">
      <c r="A18" t="str">
        <f>"chat_input"</f>
        <v>chat_input</v>
      </c>
      <c r="B18" t="str">
        <f>"/chat_screen"</f>
        <v>/chat_screen</v>
      </c>
      <c r="C18" t="str">
        <f>"输入框"</f>
        <v>输入框</v>
      </c>
      <c r="D18" t="str">
        <f>"输入组件"</f>
        <v>输入组件</v>
      </c>
      <c r="E18" t="str">
        <f>"文字输入"</f>
        <v>文字输入</v>
      </c>
      <c r="F18" t="str">
        <f>"用户输入文本"</f>
        <v>用户输入文本</v>
      </c>
      <c r="G18" t="str">
        <f>"chat_input_len"</f>
        <v>chat_input_len</v>
      </c>
    </row>
    <row r="19" spans="1:7" x14ac:dyDescent="0.2">
      <c r="A19" t="str">
        <f>"chat_send"</f>
        <v>chat_send</v>
      </c>
      <c r="B19" t="str">
        <f>"/chat_screen"</f>
        <v>/chat_screen</v>
      </c>
      <c r="C19" t="str">
        <f>"发送按钮"</f>
        <v>发送按钮</v>
      </c>
      <c r="D19" t="str">
        <f>"按钮"</f>
        <v>按钮</v>
      </c>
      <c r="E19" t="str">
        <f>"发送消息"</f>
        <v>发送消息</v>
      </c>
      <c r="F19" t="str">
        <f>"触发发送动作"</f>
        <v>触发发送动作</v>
      </c>
      <c r="G19" t="str">
        <f>""</f>
        <v/>
      </c>
    </row>
    <row r="20" spans="1:7" x14ac:dyDescent="0.2">
      <c r="A20" t="str">
        <f>"bp_trend_chart"</f>
        <v>bp_trend_chart</v>
      </c>
      <c r="B20" t="str">
        <f>"/blood_pressure_detail_screen"</f>
        <v>/blood_pressure_detail_screen</v>
      </c>
      <c r="C20" t="str">
        <f>"血压趋势图"</f>
        <v>血压趋势图</v>
      </c>
      <c r="D20" t="str">
        <f>"图表"</f>
        <v>图表</v>
      </c>
      <c r="E20" t="str">
        <f>"7日血压趋势"</f>
        <v>7日血压趋势</v>
      </c>
      <c r="F20" t="str">
        <f>"收缩/舒张趋势"</f>
        <v>收缩/舒张趋势</v>
      </c>
      <c r="G20" t="str">
        <f>"bp_sys_d,bp_dia_d,bp_trend_7d"</f>
        <v>bp_sys_d,bp_dia_d,bp_trend_7d</v>
      </c>
    </row>
    <row r="21" spans="1:7" x14ac:dyDescent="0.2">
      <c r="A21" t="str">
        <f>"glu_trend_chart"</f>
        <v>glu_trend_chart</v>
      </c>
      <c r="B21" t="str">
        <f>"/blood_sugar_detail_screen"</f>
        <v>/blood_sugar_detail_screen</v>
      </c>
      <c r="C21" t="str">
        <f>"血糖趋势图"</f>
        <v>血糖趋势图</v>
      </c>
      <c r="D21" t="str">
        <f>"图表"</f>
        <v>图表</v>
      </c>
      <c r="E21" t="str">
        <f>"7日血糖趋势"</f>
        <v>7日血糖趋势</v>
      </c>
      <c r="F21" t="str">
        <f>"血糖变化"</f>
        <v>血糖变化</v>
      </c>
      <c r="G21" t="str">
        <f>"glu_val_d,glu_trend_7d"</f>
        <v>glu_val_d,glu_trend_7d</v>
      </c>
    </row>
    <row r="22" spans="1:7" x14ac:dyDescent="0.2">
      <c r="A22" t="str">
        <f>"sleep_stage_chart"</f>
        <v>sleep_stage_chart</v>
      </c>
      <c r="B22" t="str">
        <f>"/sleep_detail_screen"</f>
        <v>/sleep_detail_screen</v>
      </c>
      <c r="C22" t="str">
        <f>"睡眠阶段图"</f>
        <v>睡眠阶段图</v>
      </c>
      <c r="D22" t="str">
        <f>"图表"</f>
        <v>图表</v>
      </c>
      <c r="E22" t="str">
        <f>"深浅睡/REM占比"</f>
        <v>深浅睡/REM占比</v>
      </c>
      <c r="F22" t="str">
        <f>"睡眠结构"</f>
        <v>睡眠结构</v>
      </c>
      <c r="G22" t="str">
        <f>"sleep_segments,sleep_duration_d"</f>
        <v>sleep_segments,sleep_duration_d</v>
      </c>
    </row>
    <row r="23" spans="1:7" x14ac:dyDescent="0.2">
      <c r="A23" t="str">
        <f>"steps_week_chart"</f>
        <v>steps_week_chart</v>
      </c>
      <c r="B23" t="str">
        <f>"/steps_detail_screen"</f>
        <v>/steps_detail_screen</v>
      </c>
      <c r="C23" t="str">
        <f>"步数周图"</f>
        <v>步数周图</v>
      </c>
      <c r="D23" t="str">
        <f>"图表"</f>
        <v>图表</v>
      </c>
      <c r="E23" t="str">
        <f>"周步数与最佳日"</f>
        <v>周步数与最佳日</v>
      </c>
      <c r="F23" t="str">
        <f>"本周统计"</f>
        <v>本周统计</v>
      </c>
      <c r="G23" t="str">
        <f>"steps_total_w,steps_best_day"</f>
        <v>steps_total_w,steps_best_day</v>
      </c>
    </row>
    <row r="24" spans="1:7" x14ac:dyDescent="0.2">
      <c r="A24" t="str">
        <f>"exercise_week_card"</f>
        <v>exercise_week_card</v>
      </c>
      <c r="B24" t="str">
        <f>"/exercise_detail_screen"</f>
        <v>/exercise_detail_screen</v>
      </c>
      <c r="C24" t="str">
        <f>"运动周卡"</f>
        <v>运动周卡</v>
      </c>
      <c r="D24" t="str">
        <f t="shared" ref="D24:D30" si="3">"数据卡片"</f>
        <v>数据卡片</v>
      </c>
      <c r="E24" t="str">
        <f>"本周运动与类型"</f>
        <v>本周运动与类型</v>
      </c>
      <c r="F24" t="str">
        <f>"运动概况"</f>
        <v>运动概况</v>
      </c>
      <c r="G24" t="str">
        <f>"exercise_minutes_w,exercise_hi_types"</f>
        <v>exercise_minutes_w,exercise_hi_types</v>
      </c>
    </row>
    <row r="25" spans="1:7" x14ac:dyDescent="0.2">
      <c r="A25" t="str">
        <f>"mood_week_card"</f>
        <v>mood_week_card</v>
      </c>
      <c r="B25" t="str">
        <f>"/mood_detail_screen"</f>
        <v>/mood_detail_screen</v>
      </c>
      <c r="C25" t="str">
        <f>"心情周卡"</f>
        <v>心情周卡</v>
      </c>
      <c r="D25" t="str">
        <f t="shared" si="3"/>
        <v>数据卡片</v>
      </c>
      <c r="E25" t="str">
        <f>"周平均心情分"</f>
        <v>周平均心情分</v>
      </c>
      <c r="F25" t="str">
        <f>"心情概览"</f>
        <v>心情概览</v>
      </c>
      <c r="G25" t="str">
        <f>"mood_avg_w"</f>
        <v>mood_avg_w</v>
      </c>
    </row>
    <row r="26" spans="1:7" x14ac:dyDescent="0.2">
      <c r="A26" t="str">
        <f>"water_week_card"</f>
        <v>water_week_card</v>
      </c>
      <c r="B26" t="str">
        <f>"/water_intake_detail_screen"</f>
        <v>/water_intake_detail_screen</v>
      </c>
      <c r="C26" t="str">
        <f>"饮水周卡"</f>
        <v>饮水周卡</v>
      </c>
      <c r="D26" t="str">
        <f t="shared" si="3"/>
        <v>数据卡片</v>
      </c>
      <c r="E26" t="str">
        <f>"周饮水总量"</f>
        <v>周饮水总量</v>
      </c>
      <c r="F26" t="str">
        <f>"饮水概览"</f>
        <v>饮水概览</v>
      </c>
      <c r="G26" t="str">
        <f>"water_total_w"</f>
        <v>water_total_w</v>
      </c>
    </row>
    <row r="27" spans="1:7" x14ac:dyDescent="0.2">
      <c r="A27" t="str">
        <f>"body_metrics_card"</f>
        <v>body_metrics_card</v>
      </c>
      <c r="B27" t="str">
        <f>"/body_metrics_detail_screen"</f>
        <v>/body_metrics_detail_screen</v>
      </c>
      <c r="C27" t="str">
        <f>"体征卡片"</f>
        <v>体征卡片</v>
      </c>
      <c r="D27" t="str">
        <f t="shared" si="3"/>
        <v>数据卡片</v>
      </c>
      <c r="E27" t="str">
        <f>"体重/BMI"</f>
        <v>体重/BMI</v>
      </c>
      <c r="F27" t="str">
        <f>"当前体征"</f>
        <v>当前体征</v>
      </c>
      <c r="G27" t="str">
        <f>"weight_curr,bmi_curr"</f>
        <v>weight_curr,bmi_curr</v>
      </c>
    </row>
    <row r="28" spans="1:7" x14ac:dyDescent="0.2">
      <c r="A28" t="str">
        <f>"recipe_nutrition_card"</f>
        <v>recipe_nutrition_card</v>
      </c>
      <c r="B28" t="str">
        <f>"/recipe_detail_screen"</f>
        <v>/recipe_detail_screen</v>
      </c>
      <c r="C28" t="str">
        <f>"营养信息卡"</f>
        <v>营养信息卡</v>
      </c>
      <c r="D28" t="str">
        <f t="shared" si="3"/>
        <v>数据卡片</v>
      </c>
      <c r="E28" t="str">
        <f>"热量与宏营养"</f>
        <v>热量与宏营养</v>
      </c>
      <c r="F28" t="str">
        <f>"营养概览"</f>
        <v>营养概览</v>
      </c>
      <c r="G28" t="str">
        <f>"recipe_kcal,recipe_macros"</f>
        <v>recipe_kcal,recipe_macros</v>
      </c>
    </row>
    <row r="29" spans="1:7" x14ac:dyDescent="0.2">
      <c r="A29" t="str">
        <f>"weather_card"</f>
        <v>weather_card</v>
      </c>
      <c r="B29" t="str">
        <f>"/weather_detail_screen"</f>
        <v>/weather_detail_screen</v>
      </c>
      <c r="C29" t="str">
        <f>"天气信息卡"</f>
        <v>天气信息卡</v>
      </c>
      <c r="D29" t="str">
        <f t="shared" si="3"/>
        <v>数据卡片</v>
      </c>
      <c r="E29" t="str">
        <f>"温度与建议"</f>
        <v>温度与建议</v>
      </c>
      <c r="F29" t="str">
        <f>"天气+活动建议"</f>
        <v>天气+活动建议</v>
      </c>
      <c r="G29" t="str">
        <f>"weather_temp,weather_sugg"</f>
        <v>weather_temp,weather_sugg</v>
      </c>
    </row>
    <row r="30" spans="1:7" x14ac:dyDescent="0.2">
      <c r="A30" t="str">
        <f>"progress_card"</f>
        <v>progress_card</v>
      </c>
      <c r="B30" t="str">
        <f>"/progress_detail_screen"</f>
        <v>/progress_detail_screen</v>
      </c>
      <c r="C30" t="str">
        <f>"改进信息卡"</f>
        <v>改进信息卡</v>
      </c>
      <c r="D30" t="str">
        <f t="shared" si="3"/>
        <v>数据卡片</v>
      </c>
      <c r="E30" t="str">
        <f>"打卡/评分"</f>
        <v>打卡/评分</v>
      </c>
      <c r="F30" t="str">
        <f>"改进概览"</f>
        <v>改进概览</v>
      </c>
      <c r="G30" t="str">
        <f>"progress_streak,progress_score"</f>
        <v>progress_streak,progress_score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D9E3-1EE2-2141-B9D8-226F46F61BF1}">
  <dimension ref="A1:G20"/>
  <sheetViews>
    <sheetView workbookViewId="0">
      <selection activeCell="E21" sqref="E21:E22"/>
    </sheetView>
  </sheetViews>
  <sheetFormatPr baseColWidth="10" defaultRowHeight="15" x14ac:dyDescent="0.2"/>
  <cols>
    <col min="1" max="1" width="23.6640625" customWidth="1"/>
    <col min="2" max="2" width="32.33203125" customWidth="1"/>
    <col min="3" max="3" width="17" customWidth="1"/>
  </cols>
  <sheetData>
    <row r="1" spans="1:7" s="7" customFormat="1" x14ac:dyDescent="0.2">
      <c r="A1" s="7" t="str">
        <f>"action_id"</f>
        <v>action_id</v>
      </c>
      <c r="B1" s="7" t="str">
        <f>"route"</f>
        <v>route</v>
      </c>
      <c r="C1" s="7" t="str">
        <f>"name"</f>
        <v>name</v>
      </c>
      <c r="D1" s="7" t="str">
        <f>"type"</f>
        <v>type</v>
      </c>
      <c r="E1" s="7" t="str">
        <f>"trigger"</f>
        <v>trigger</v>
      </c>
      <c r="F1" s="7" t="str">
        <f>"result"</f>
        <v>result</v>
      </c>
      <c r="G1" s="7" t="str">
        <f>"related"</f>
        <v>related</v>
      </c>
    </row>
    <row r="2" spans="1:7" s="7" customFormat="1" x14ac:dyDescent="0.2">
      <c r="A2" s="7" t="str">
        <f>"操作ID"</f>
        <v>操作ID</v>
      </c>
      <c r="B2" s="7" t="str">
        <f>"页面路由"</f>
        <v>页面路由</v>
      </c>
      <c r="C2" s="7" t="str">
        <f>"操作名称"</f>
        <v>操作名称</v>
      </c>
      <c r="D2" s="7" t="str">
        <f>"操作类型"</f>
        <v>操作类型</v>
      </c>
      <c r="E2" s="7" t="str">
        <f>"触发条件"</f>
        <v>触发条件</v>
      </c>
      <c r="F2" s="7" t="str">
        <f>"操作结果"</f>
        <v>操作结果</v>
      </c>
      <c r="G2" s="7" t="str">
        <f>"相关字段/组件ID"</f>
        <v>相关字段/组件ID</v>
      </c>
    </row>
    <row r="3" spans="1:7" s="7" customFormat="1" x14ac:dyDescent="0.2">
      <c r="A3" s="7" t="str">
        <f t="shared" ref="A3:F3" si="0">"string"</f>
        <v>string</v>
      </c>
      <c r="B3" s="7" t="str">
        <f t="shared" si="0"/>
        <v>string</v>
      </c>
      <c r="C3" s="7" t="str">
        <f t="shared" si="0"/>
        <v>string</v>
      </c>
      <c r="D3" s="7" t="str">
        <f t="shared" si="0"/>
        <v>string</v>
      </c>
      <c r="E3" s="7" t="str">
        <f t="shared" si="0"/>
        <v>string</v>
      </c>
      <c r="F3" s="7" t="str">
        <f t="shared" si="0"/>
        <v>string</v>
      </c>
      <c r="G3" s="7" t="str">
        <f>"list"</f>
        <v>list</v>
      </c>
    </row>
    <row r="4" spans="1:7" x14ac:dyDescent="0.2">
      <c r="A4" t="str">
        <f>"view_steps_detail"</f>
        <v>view_steps_detail</v>
      </c>
      <c r="B4" t="str">
        <f t="shared" ref="B4:B11" si="1">"/dashboard_screen"</f>
        <v>/dashboard_screen</v>
      </c>
      <c r="C4" t="str">
        <f>"查看步数详情"</f>
        <v>查看步数详情</v>
      </c>
      <c r="D4" t="str">
        <f t="shared" ref="D4:D11" si="2">"导航"</f>
        <v>导航</v>
      </c>
      <c r="E4" t="str">
        <f>"点击步数卡片"</f>
        <v>点击步数卡片</v>
      </c>
      <c r="F4" t="str">
        <f>"跳转到步数详情页"</f>
        <v>跳转到步数详情页</v>
      </c>
      <c r="G4" t="str">
        <f>"steps_card,steps"</f>
        <v>steps_card,steps</v>
      </c>
    </row>
    <row r="5" spans="1:7" x14ac:dyDescent="0.2">
      <c r="A5" t="str">
        <f>"/dashboard/sleep_detail"</f>
        <v>/dashboard/sleep_detail</v>
      </c>
      <c r="B5" t="str">
        <f t="shared" si="1"/>
        <v>/dashboard_screen</v>
      </c>
      <c r="C5" t="str">
        <f>"查看睡眠详情"</f>
        <v>查看睡眠详情</v>
      </c>
      <c r="D5" t="str">
        <f t="shared" si="2"/>
        <v>导航</v>
      </c>
      <c r="E5" t="str">
        <f>"点击睡眠卡片"</f>
        <v>点击睡眠卡片</v>
      </c>
      <c r="F5" t="str">
        <f>"跳转到睡眠详情页"</f>
        <v>跳转到睡眠详情页</v>
      </c>
      <c r="G5" t="str">
        <f>"sleep_card,sleep_duration"</f>
        <v>sleep_card,sleep_duration</v>
      </c>
    </row>
    <row r="6" spans="1:7" x14ac:dyDescent="0.2">
      <c r="A6" t="str">
        <f>"view_water_detail"</f>
        <v>view_water_detail</v>
      </c>
      <c r="B6" t="str">
        <f t="shared" si="1"/>
        <v>/dashboard_screen</v>
      </c>
      <c r="C6" t="str">
        <f>"查看饮水详情"</f>
        <v>查看饮水详情</v>
      </c>
      <c r="D6" t="str">
        <f t="shared" si="2"/>
        <v>导航</v>
      </c>
      <c r="E6" t="str">
        <f>"点击饮水卡片"</f>
        <v>点击饮水卡片</v>
      </c>
      <c r="F6" t="str">
        <f>"跳转到饮水详情页"</f>
        <v>跳转到饮水详情页</v>
      </c>
      <c r="G6" t="str">
        <f>"water_card,water_intake"</f>
        <v>water_card,water_intake</v>
      </c>
    </row>
    <row r="7" spans="1:7" x14ac:dyDescent="0.2">
      <c r="A7" t="str">
        <f>"view_exercise_detail"</f>
        <v>view_exercise_detail</v>
      </c>
      <c r="B7" t="str">
        <f t="shared" si="1"/>
        <v>/dashboard_screen</v>
      </c>
      <c r="C7" t="str">
        <f>"查看运动详情"</f>
        <v>查看运动详情</v>
      </c>
      <c r="D7" t="str">
        <f t="shared" si="2"/>
        <v>导航</v>
      </c>
      <c r="E7" t="str">
        <f>"点击运动卡片"</f>
        <v>点击运动卡片</v>
      </c>
      <c r="F7" t="str">
        <f>"跳转到运动详情页"</f>
        <v>跳转到运动详情页</v>
      </c>
      <c r="G7" t="str">
        <f>"exercise_card,exercise_duration"</f>
        <v>exercise_card,exercise_duration</v>
      </c>
    </row>
    <row r="8" spans="1:7" x14ac:dyDescent="0.2">
      <c r="A8" t="str">
        <f>"view_mood_detail"</f>
        <v>view_mood_detail</v>
      </c>
      <c r="B8" t="str">
        <f t="shared" si="1"/>
        <v>/dashboard_screen</v>
      </c>
      <c r="C8" t="str">
        <f>"查看心情详情"</f>
        <v>查看心情详情</v>
      </c>
      <c r="D8" t="str">
        <f t="shared" si="2"/>
        <v>导航</v>
      </c>
      <c r="E8" t="str">
        <f>"点击心情卡片"</f>
        <v>点击心情卡片</v>
      </c>
      <c r="F8" t="str">
        <f>"跳转到心情详情页"</f>
        <v>跳转到心情详情页</v>
      </c>
      <c r="G8" t="str">
        <f>"mood_card,mood_score"</f>
        <v>mood_card,mood_score</v>
      </c>
    </row>
    <row r="9" spans="1:7" x14ac:dyDescent="0.2">
      <c r="A9" t="str">
        <f>"view_bp_detail"</f>
        <v>view_bp_detail</v>
      </c>
      <c r="B9" t="str">
        <f t="shared" si="1"/>
        <v>/dashboard_screen</v>
      </c>
      <c r="C9" t="str">
        <f>"查看血压详情"</f>
        <v>查看血压详情</v>
      </c>
      <c r="D9" t="str">
        <f t="shared" si="2"/>
        <v>导航</v>
      </c>
      <c r="E9" t="str">
        <f>"点击血压卡片"</f>
        <v>点击血压卡片</v>
      </c>
      <c r="F9" t="str">
        <f>"跳转到血压详情页"</f>
        <v>跳转到血压详情页</v>
      </c>
      <c r="G9" t="str">
        <f>"bp_card,bp_sys,bp_dia"</f>
        <v>bp_card,bp_sys,bp_dia</v>
      </c>
    </row>
    <row r="10" spans="1:7" x14ac:dyDescent="0.2">
      <c r="A10" t="str">
        <f>"view_glucose_detail"</f>
        <v>view_glucose_detail</v>
      </c>
      <c r="B10" t="str">
        <f t="shared" si="1"/>
        <v>/dashboard_screen</v>
      </c>
      <c r="C10" t="str">
        <f>"查看血糖详情"</f>
        <v>查看血糖详情</v>
      </c>
      <c r="D10" t="str">
        <f t="shared" si="2"/>
        <v>导航</v>
      </c>
      <c r="E10" t="str">
        <f>"点击血糖卡片"</f>
        <v>点击血糖卡片</v>
      </c>
      <c r="F10" t="str">
        <f>"跳转到血糖详情页"</f>
        <v>跳转到血糖详情页</v>
      </c>
      <c r="G10" t="str">
        <f>"glucose_card,glucose"</f>
        <v>glucose_card,glucose</v>
      </c>
    </row>
    <row r="11" spans="1:7" x14ac:dyDescent="0.2">
      <c r="A11" t="str">
        <f>"view_health_summary"</f>
        <v>view_health_summary</v>
      </c>
      <c r="B11" t="str">
        <f t="shared" si="1"/>
        <v>/dashboard_screen</v>
      </c>
      <c r="C11" t="str">
        <f>"查看健康概览"</f>
        <v>查看健康概览</v>
      </c>
      <c r="D11" t="str">
        <f t="shared" si="2"/>
        <v>导航</v>
      </c>
      <c r="E11" t="str">
        <f>"点击健康分数卡片"</f>
        <v>点击健康分数卡片</v>
      </c>
      <c r="F11" t="str">
        <f>"跳转到健康概览详情页"</f>
        <v>跳转到健康概览详情页</v>
      </c>
      <c r="G11" t="str">
        <f>"health_score_card,health_score"</f>
        <v>health_score_card,health_score</v>
      </c>
    </row>
    <row r="12" spans="1:7" x14ac:dyDescent="0.2">
      <c r="A12" t="str">
        <f>"vc_start_record"</f>
        <v>vc_start_record</v>
      </c>
      <c r="B12" t="str">
        <f>"/voice_chat_screen"</f>
        <v>/voice_chat_screen</v>
      </c>
      <c r="C12" t="str">
        <f>"开始录音"</f>
        <v>开始录音</v>
      </c>
      <c r="D12" t="str">
        <f>"语音"</f>
        <v>语音</v>
      </c>
      <c r="E12" t="str">
        <f>"点击开始/自动启动"</f>
        <v>点击开始/自动启动</v>
      </c>
      <c r="F12" t="str">
        <f>"开始语音采集"</f>
        <v>开始语音采集</v>
      </c>
      <c r="G12" t="str">
        <f>"vc_wave"</f>
        <v>vc_wave</v>
      </c>
    </row>
    <row r="13" spans="1:7" x14ac:dyDescent="0.2">
      <c r="A13" t="str">
        <f>"vc_stop_record"</f>
        <v>vc_stop_record</v>
      </c>
      <c r="B13" t="str">
        <f>"/voice_chat_screen"</f>
        <v>/voice_chat_screen</v>
      </c>
      <c r="C13" t="str">
        <f>"停止录音"</f>
        <v>停止录音</v>
      </c>
      <c r="D13" t="str">
        <f>"语音"</f>
        <v>语音</v>
      </c>
      <c r="E13" t="str">
        <f>"静音阈值触发或手动停止"</f>
        <v>静音阈值触发或手动停止</v>
      </c>
      <c r="F13" t="str">
        <f>"结束本轮语音并送模"</f>
        <v>结束本轮语音并送模</v>
      </c>
      <c r="G13" t="str">
        <f>""</f>
        <v/>
      </c>
    </row>
    <row r="14" spans="1:7" x14ac:dyDescent="0.2">
      <c r="A14" t="str">
        <f>"vc_play_ai"</f>
        <v>vc_play_ai</v>
      </c>
      <c r="B14" t="str">
        <f>"/voice_chat_screen"</f>
        <v>/voice_chat_screen</v>
      </c>
      <c r="C14" t="str">
        <f>"播放AI回复"</f>
        <v>播放AI回复</v>
      </c>
      <c r="D14" t="str">
        <f>"音频"</f>
        <v>音频</v>
      </c>
      <c r="E14" t="str">
        <f>"AI分段生成后"</f>
        <v>AI分段生成后</v>
      </c>
      <c r="F14" t="str">
        <f>"播放AI音频"</f>
        <v>播放AI音频</v>
      </c>
      <c r="G14" t="str">
        <f>"vc_subtitle"</f>
        <v>vc_subtitle</v>
      </c>
    </row>
    <row r="15" spans="1:7" x14ac:dyDescent="0.2">
      <c r="A15" t="str">
        <f>"chat_send_msg"</f>
        <v>chat_send_msg</v>
      </c>
      <c r="B15" t="str">
        <f>"/chat_screen"</f>
        <v>/chat_screen</v>
      </c>
      <c r="C15" t="str">
        <f>"发送消息"</f>
        <v>发送消息</v>
      </c>
      <c r="D15" t="str">
        <f>"消息"</f>
        <v>消息</v>
      </c>
      <c r="E15" t="str">
        <f>"点击发送按钮"</f>
        <v>点击发送按钮</v>
      </c>
      <c r="F15" t="str">
        <f>"发送文本到AI"</f>
        <v>发送文本到AI</v>
      </c>
      <c r="G15" t="str">
        <f>"chat_input,chat_send"</f>
        <v>chat_input,chat_send</v>
      </c>
    </row>
    <row r="16" spans="1:7" x14ac:dyDescent="0.2">
      <c r="A16" t="str">
        <f>"chat_scroll_history"</f>
        <v>chat_scroll_history</v>
      </c>
      <c r="B16" t="str">
        <f>"/chat_screen"</f>
        <v>/chat_screen</v>
      </c>
      <c r="C16" t="str">
        <f>"查看历史"</f>
        <v>查看历史</v>
      </c>
      <c r="D16" t="str">
        <f>"查看"</f>
        <v>查看</v>
      </c>
      <c r="E16" t="str">
        <f>"滚动消息列表"</f>
        <v>滚动消息列表</v>
      </c>
      <c r="F16" t="str">
        <f>"加载更多历史消息"</f>
        <v>加载更多历史消息</v>
      </c>
      <c r="G16" t="str">
        <f>"chat_list"</f>
        <v>chat_list</v>
      </c>
    </row>
    <row r="17" spans="1:7" x14ac:dyDescent="0.2">
      <c r="A17" t="str">
        <f>"follow_expert"</f>
        <v>follow_expert</v>
      </c>
      <c r="B17" t="str">
        <f>"/expert_articles_hub_screen"</f>
        <v>/expert_articles_hub_screen</v>
      </c>
      <c r="C17" t="str">
        <f>"关注专家"</f>
        <v>关注专家</v>
      </c>
      <c r="D17" t="str">
        <f>"互动"</f>
        <v>互动</v>
      </c>
      <c r="E17" t="str">
        <f>"点击关注按钮"</f>
        <v>点击关注按钮</v>
      </c>
      <c r="F17" t="str">
        <f>"专家加入关注列表"</f>
        <v>专家加入关注列表</v>
      </c>
      <c r="G17" t="str">
        <f>""</f>
        <v/>
      </c>
    </row>
    <row r="18" spans="1:7" x14ac:dyDescent="0.2">
      <c r="A18" t="str">
        <f>"collect_article"</f>
        <v>collect_article</v>
      </c>
      <c r="B18" t="str">
        <f>"/knowledge_base_hub_screen"</f>
        <v>/knowledge_base_hub_screen</v>
      </c>
      <c r="C18" t="str">
        <f>"收藏文章"</f>
        <v>收藏文章</v>
      </c>
      <c r="D18" t="str">
        <f>"互动"</f>
        <v>互动</v>
      </c>
      <c r="E18" t="str">
        <f>"点击收藏按钮"</f>
        <v>点击收藏按钮</v>
      </c>
      <c r="F18" t="str">
        <f>"文章加入收藏夹"</f>
        <v>文章加入收藏夹</v>
      </c>
      <c r="G18" t="str">
        <f>""</f>
        <v/>
      </c>
    </row>
    <row r="19" spans="1:7" x14ac:dyDescent="0.2">
      <c r="A19" t="str">
        <f>"upload_video"</f>
        <v>upload_video</v>
      </c>
      <c r="B19" t="str">
        <f>"/video_share_hub_screen"</f>
        <v>/video_share_hub_screen</v>
      </c>
      <c r="C19" t="str">
        <f>"上传视频"</f>
        <v>上传视频</v>
      </c>
      <c r="D19" t="str">
        <f>"发布"</f>
        <v>发布</v>
      </c>
      <c r="E19" t="str">
        <f>"点击上传按钮"</f>
        <v>点击上传按钮</v>
      </c>
      <c r="F19" t="str">
        <f>"进入上传流程"</f>
        <v>进入上传流程</v>
      </c>
      <c r="G19" t="str">
        <f>"videos_count"</f>
        <v>videos_count</v>
      </c>
    </row>
    <row r="20" spans="1:7" x14ac:dyDescent="0.2">
      <c r="A20" t="str">
        <f>"claim_offer"</f>
        <v>claim_offer</v>
      </c>
      <c r="B20" t="str">
        <f>"/exclusive_offers_hub_screen"</f>
        <v>/exclusive_offers_hub_screen</v>
      </c>
      <c r="C20" t="str">
        <f>"领取优惠"</f>
        <v>领取优惠</v>
      </c>
      <c r="D20" t="str">
        <f>"兑换"</f>
        <v>兑换</v>
      </c>
      <c r="E20" t="str">
        <f>"点击领取按钮"</f>
        <v>点击领取按钮</v>
      </c>
      <c r="F20" t="str">
        <f>"生成兑换码或直接使用"</f>
        <v>生成兑换码或直接使用</v>
      </c>
      <c r="G20" t="str">
        <f>"offers_available"</f>
        <v>offers_available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669B-8313-9547-A09E-13ACEB909D77}">
  <dimension ref="A1:F14"/>
  <sheetViews>
    <sheetView workbookViewId="0">
      <selection activeCell="E18" sqref="E18"/>
    </sheetView>
  </sheetViews>
  <sheetFormatPr baseColWidth="10" defaultRowHeight="15" x14ac:dyDescent="0.2"/>
  <cols>
    <col min="6" max="6" width="17.1640625" customWidth="1"/>
  </cols>
  <sheetData>
    <row r="1" spans="1:6" s="7" customFormat="1" x14ac:dyDescent="0.2">
      <c r="A1" s="7" t="str">
        <f>"state_id"</f>
        <v>state_id</v>
      </c>
      <c r="B1" s="7" t="str">
        <f>"route"</f>
        <v>route</v>
      </c>
      <c r="C1" s="7" t="str">
        <f>"name"</f>
        <v>name</v>
      </c>
      <c r="D1" s="7" t="str">
        <f>"type"</f>
        <v>type</v>
      </c>
      <c r="E1" s="7" t="str">
        <f>"values"</f>
        <v>values</v>
      </c>
      <c r="F1" s="7" t="str">
        <f>"description"</f>
        <v>description</v>
      </c>
    </row>
    <row r="2" spans="1:6" s="7" customFormat="1" x14ac:dyDescent="0.2">
      <c r="A2" s="7" t="str">
        <f>"状态ID"</f>
        <v>状态ID</v>
      </c>
      <c r="B2" s="7" t="str">
        <f>"页面路由"</f>
        <v>页面路由</v>
      </c>
      <c r="C2" s="7" t="str">
        <f>"状态名称"</f>
        <v>状态名称</v>
      </c>
      <c r="D2" s="7" t="str">
        <f>"状态类型"</f>
        <v>状态类型</v>
      </c>
      <c r="E2" s="7" t="str">
        <f>"可能取值"</f>
        <v>可能取值</v>
      </c>
      <c r="F2" s="7" t="str">
        <f>"状态说明"</f>
        <v>状态说明</v>
      </c>
    </row>
    <row r="3" spans="1:6" s="7" customFormat="1" x14ac:dyDescent="0.2">
      <c r="A3" s="7" t="str">
        <f>"string"</f>
        <v>string</v>
      </c>
      <c r="B3" s="7" t="str">
        <f>"string"</f>
        <v>string</v>
      </c>
      <c r="C3" s="7" t="str">
        <f>"string"</f>
        <v>string</v>
      </c>
      <c r="D3" s="7" t="str">
        <f>"string"</f>
        <v>string</v>
      </c>
      <c r="E3" s="7" t="str">
        <f>"list"</f>
        <v>list</v>
      </c>
      <c r="F3" s="7" t="str">
        <f>"string"</f>
        <v>string</v>
      </c>
    </row>
    <row r="4" spans="1:6" x14ac:dyDescent="0.2">
      <c r="A4" t="str">
        <f>"loading"</f>
        <v>loading</v>
      </c>
      <c r="B4" t="str">
        <f>"/dashboard_screen"</f>
        <v>/dashboard_screen</v>
      </c>
      <c r="C4" t="str">
        <f>"数据加载状态"</f>
        <v>数据加载状态</v>
      </c>
      <c r="D4" t="str">
        <f>"loading"</f>
        <v>loading</v>
      </c>
      <c r="E4" t="str">
        <f>"加载中,完成,失败"</f>
        <v>加载中,完成,失败</v>
      </c>
      <c r="F4" t="str">
        <f>"健康数据加载过程状态"</f>
        <v>健康数据加载过程状态</v>
      </c>
    </row>
    <row r="5" spans="1:6" x14ac:dyDescent="0.2">
      <c r="A5" t="str">
        <f>"freshness"</f>
        <v>freshness</v>
      </c>
      <c r="B5" t="str">
        <f>"/dashboard_screen"</f>
        <v>/dashboard_screen</v>
      </c>
      <c r="C5" t="str">
        <f>"数据更新状态"</f>
        <v>数据更新状态</v>
      </c>
      <c r="D5" t="str">
        <f>"freshness"</f>
        <v>freshness</v>
      </c>
      <c r="E5" t="str">
        <f>"最新,更新中,需要刷新"</f>
        <v>最新,更新中,需要刷新</v>
      </c>
      <c r="F5" t="str">
        <f>"是否最新数据"</f>
        <v>是否最新数据</v>
      </c>
    </row>
    <row r="6" spans="1:6" x14ac:dyDescent="0.2">
      <c r="A6" t="str">
        <f>"rec_state"</f>
        <v>rec_state</v>
      </c>
      <c r="B6" t="str">
        <f>"/voice_chat_screen"</f>
        <v>/voice_chat_screen</v>
      </c>
      <c r="C6" t="str">
        <f>"录音状态"</f>
        <v>录音状态</v>
      </c>
      <c r="D6" t="str">
        <f>"recording"</f>
        <v>recording</v>
      </c>
      <c r="E6" t="str">
        <f>"未开始,录音中,已停止"</f>
        <v>未开始,录音中,已停止</v>
      </c>
      <c r="F6" t="str">
        <f>"语音录音状态"</f>
        <v>语音录音状态</v>
      </c>
    </row>
    <row r="7" spans="1:6" x14ac:dyDescent="0.2">
      <c r="A7" t="str">
        <f>"ai_state"</f>
        <v>ai_state</v>
      </c>
      <c r="B7" t="str">
        <f>"/voice_chat_screen"</f>
        <v>/voice_chat_screen</v>
      </c>
      <c r="C7" t="str">
        <f>"AI状态"</f>
        <v>AI状态</v>
      </c>
      <c r="D7" t="str">
        <f>"ai"</f>
        <v>ai</v>
      </c>
      <c r="E7" t="str">
        <f>"聆听,思考,回答"</f>
        <v>聆听,思考,回答</v>
      </c>
      <c r="F7" t="str">
        <f>"AI处理过程三态"</f>
        <v>AI处理过程三态</v>
      </c>
    </row>
    <row r="8" spans="1:6" x14ac:dyDescent="0.2">
      <c r="A8" t="str">
        <f>"play_state"</f>
        <v>play_state</v>
      </c>
      <c r="B8" t="str">
        <f>"/voice_chat_screen"</f>
        <v>/voice_chat_screen</v>
      </c>
      <c r="C8" t="str">
        <f>"音频播放状态"</f>
        <v>音频播放状态</v>
      </c>
      <c r="D8" t="str">
        <f>"player"</f>
        <v>player</v>
      </c>
      <c r="E8" t="str">
        <f>"未播放,播放中,已暂停"</f>
        <v>未播放,播放中,已暂停</v>
      </c>
      <c r="F8" t="str">
        <f>"AI回复播放状态"</f>
        <v>AI回复播放状态</v>
      </c>
    </row>
    <row r="9" spans="1:6" x14ac:dyDescent="0.2">
      <c r="A9" t="str">
        <f>"input_state"</f>
        <v>input_state</v>
      </c>
      <c r="B9" t="str">
        <f>"/chat_screen"</f>
        <v>/chat_screen</v>
      </c>
      <c r="C9" t="str">
        <f>"输入状态"</f>
        <v>输入状态</v>
      </c>
      <c r="D9" t="str">
        <f>"input"</f>
        <v>input</v>
      </c>
      <c r="E9" t="str">
        <f>"空,输入中,发送中"</f>
        <v>空,输入中,发送中</v>
      </c>
      <c r="F9" t="str">
        <f>"文本输入框状态"</f>
        <v>文本输入框状态</v>
      </c>
    </row>
    <row r="10" spans="1:6" x14ac:dyDescent="0.2">
      <c r="A10" t="str">
        <f>"msg_state"</f>
        <v>msg_state</v>
      </c>
      <c r="B10" t="str">
        <f>"/chat_screen"</f>
        <v>/chat_screen</v>
      </c>
      <c r="C10" t="str">
        <f>"消息状态"</f>
        <v>消息状态</v>
      </c>
      <c r="D10" t="str">
        <f>"message"</f>
        <v>message</v>
      </c>
      <c r="E10" t="str">
        <f>"发送中,已发送,失败"</f>
        <v>发送中,已发送,失败</v>
      </c>
      <c r="F10" t="str">
        <f>"消息发送结果状态"</f>
        <v>消息发送结果状态</v>
      </c>
    </row>
    <row r="11" spans="1:6" x14ac:dyDescent="0.2">
      <c r="A11" t="str">
        <f>"bp_detail_state"</f>
        <v>bp_detail_state</v>
      </c>
      <c r="B11" t="str">
        <f>"/blood_pressure_detail_screen"</f>
        <v>/blood_pressure_detail_screen</v>
      </c>
      <c r="C11" t="str">
        <f>"数据状态"</f>
        <v>数据状态</v>
      </c>
      <c r="D11" t="str">
        <f>"data"</f>
        <v>data</v>
      </c>
      <c r="E11" t="str">
        <f>"加载中,完成,失败"</f>
        <v>加载中,完成,失败</v>
      </c>
      <c r="F11" t="str">
        <f>"血压详情数据状态"</f>
        <v>血压详情数据状态</v>
      </c>
    </row>
    <row r="12" spans="1:6" x14ac:dyDescent="0.2">
      <c r="A12" t="str">
        <f>"glu_detail_state"</f>
        <v>glu_detail_state</v>
      </c>
      <c r="B12" t="str">
        <f>"/blood_sugar_detail_screen"</f>
        <v>/blood_sugar_detail_screen</v>
      </c>
      <c r="C12" t="str">
        <f>"数据状态"</f>
        <v>数据状态</v>
      </c>
      <c r="D12" t="str">
        <f>"data"</f>
        <v>data</v>
      </c>
      <c r="E12" t="str">
        <f>"加载中,完成,失败"</f>
        <v>加载中,完成,失败</v>
      </c>
      <c r="F12" t="str">
        <f>"血糖详情数据状态"</f>
        <v>血糖详情数据状态</v>
      </c>
    </row>
    <row r="13" spans="1:6" x14ac:dyDescent="0.2">
      <c r="A13" t="str">
        <f>"sleep_detail_state"</f>
        <v>sleep_detail_state</v>
      </c>
      <c r="B13" t="str">
        <f>"/sleep_detail_screen"</f>
        <v>/sleep_detail_screen</v>
      </c>
      <c r="C13" t="str">
        <f>"数据状态"</f>
        <v>数据状态</v>
      </c>
      <c r="D13" t="str">
        <f>"data"</f>
        <v>data</v>
      </c>
      <c r="E13" t="str">
        <f>"加载中,完成,失败"</f>
        <v>加载中,完成,失败</v>
      </c>
      <c r="F13" t="str">
        <f>"睡眠详情数据状态"</f>
        <v>睡眠详情数据状态</v>
      </c>
    </row>
    <row r="14" spans="1:6" x14ac:dyDescent="0.2">
      <c r="A14" t="str">
        <f>"generic_state"</f>
        <v>generic_state</v>
      </c>
      <c r="B14" t="str">
        <f>"/knowledge_base_hub_screen"</f>
        <v>/knowledge_base_hub_screen</v>
      </c>
      <c r="C14" t="str">
        <f>"内容加载状态"</f>
        <v>内容加载状态</v>
      </c>
      <c r="D14" t="str">
        <f>"loading"</f>
        <v>loading</v>
      </c>
      <c r="E14" t="str">
        <f>"加载中,完成,失败"</f>
        <v>加载中,完成,失败</v>
      </c>
      <c r="F14" t="str">
        <f>"知识库内容加载"</f>
        <v>知识库内容加载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workbookViewId="0">
      <selection activeCell="N11" sqref="N11"/>
    </sheetView>
  </sheetViews>
  <sheetFormatPr baseColWidth="10" defaultColWidth="8.83203125" defaultRowHeight="15" x14ac:dyDescent="0.2"/>
  <cols>
    <col min="1" max="1" width="25.5" style="1" customWidth="1"/>
    <col min="2" max="2" width="47.33203125" style="1" customWidth="1"/>
    <col min="3" max="16384" width="8.83203125" style="1"/>
  </cols>
  <sheetData>
    <row r="1" spans="1:2" ht="16" x14ac:dyDescent="0.2">
      <c r="A1" s="1" t="s">
        <v>2</v>
      </c>
      <c r="B1" s="1" t="s">
        <v>3</v>
      </c>
    </row>
    <row r="2" spans="1:2" ht="16" x14ac:dyDescent="0.2">
      <c r="A2" s="1" t="s">
        <v>4</v>
      </c>
      <c r="B2" s="1" t="s">
        <v>5</v>
      </c>
    </row>
    <row r="3" spans="1:2" ht="16" x14ac:dyDescent="0.2">
      <c r="A3" s="1" t="s">
        <v>6</v>
      </c>
      <c r="B3" s="1" t="s">
        <v>7</v>
      </c>
    </row>
    <row r="4" spans="1:2" ht="16" x14ac:dyDescent="0.2">
      <c r="A4" s="1" t="s">
        <v>8</v>
      </c>
      <c r="B4" s="1" t="s">
        <v>9</v>
      </c>
    </row>
    <row r="5" spans="1:2" ht="16" x14ac:dyDescent="0.2">
      <c r="A5" s="1" t="s">
        <v>10</v>
      </c>
      <c r="B5" s="1" t="s">
        <v>11</v>
      </c>
    </row>
    <row r="6" spans="1:2" ht="16" x14ac:dyDescent="0.2">
      <c r="A6" s="1" t="s">
        <v>0</v>
      </c>
      <c r="B6" s="1" t="s">
        <v>12</v>
      </c>
    </row>
    <row r="7" spans="1:2" ht="16" x14ac:dyDescent="0.2">
      <c r="A7" s="1" t="s">
        <v>13</v>
      </c>
      <c r="B7" s="1" t="s">
        <v>14</v>
      </c>
    </row>
    <row r="8" spans="1:2" ht="16" x14ac:dyDescent="0.2">
      <c r="A8" s="1" t="s">
        <v>15</v>
      </c>
      <c r="B8" s="1" t="s">
        <v>16</v>
      </c>
    </row>
    <row r="9" spans="1:2" ht="16" x14ac:dyDescent="0.2">
      <c r="A9" s="1" t="s">
        <v>17</v>
      </c>
      <c r="B9" s="1" t="s">
        <v>18</v>
      </c>
    </row>
    <row r="10" spans="1:2" ht="16" x14ac:dyDescent="0.2">
      <c r="A10" s="1" t="s">
        <v>19</v>
      </c>
      <c r="B10" s="1" t="s">
        <v>20</v>
      </c>
    </row>
    <row r="11" spans="1:2" ht="16" x14ac:dyDescent="0.2">
      <c r="A11" s="1" t="s">
        <v>21</v>
      </c>
      <c r="B11" s="1" t="s">
        <v>22</v>
      </c>
    </row>
    <row r="12" spans="1:2" ht="16" x14ac:dyDescent="0.2">
      <c r="A12" s="1" t="s">
        <v>23</v>
      </c>
      <c r="B12" s="1" t="s">
        <v>24</v>
      </c>
    </row>
    <row r="13" spans="1:2" ht="16" x14ac:dyDescent="0.2">
      <c r="A13" s="1" t="s">
        <v>25</v>
      </c>
      <c r="B13" s="1" t="s">
        <v>26</v>
      </c>
    </row>
    <row r="14" spans="1:2" ht="16" x14ac:dyDescent="0.2">
      <c r="A14" s="1" t="s">
        <v>27</v>
      </c>
      <c r="B14" s="1" t="s">
        <v>28</v>
      </c>
    </row>
    <row r="15" spans="1:2" ht="16" x14ac:dyDescent="0.2">
      <c r="A15" s="1" t="s">
        <v>29</v>
      </c>
      <c r="B15" s="1" t="s">
        <v>30</v>
      </c>
    </row>
    <row r="16" spans="1:2" ht="16" x14ac:dyDescent="0.2">
      <c r="A16" s="1" t="s">
        <v>31</v>
      </c>
      <c r="B16" s="1" t="s">
        <v>32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pages</vt:lpstr>
      <vt:lpstr>fileds</vt:lpstr>
      <vt:lpstr>components</vt:lpstr>
      <vt:lpstr>actions</vt:lpstr>
      <vt:lpstr>states</vt:lpstr>
      <vt:lpstr>.DESC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t1758</cp:lastModifiedBy>
  <dcterms:created xsi:type="dcterms:W3CDTF">2025-07-29T04:30:44Z</dcterms:created>
  <dcterms:modified xsi:type="dcterms:W3CDTF">2025-10-06T05:01:40Z</dcterms:modified>
</cp:coreProperties>
</file>