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AB79F447-4276-4EF6-960D-7DA254E3BFB3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romRow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rks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Next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Sub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g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opPos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Row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Blk" hidden="1" xlm="1">#NAME?</definedName>
    <definedName name="_xlpm.vCount" hidden="1" xlm="1">#NAME?</definedName>
    <definedName name="_xlpm.vFrom" hidden="1" xlm="1">#NAME?</definedName>
    <definedName name="_xlpm.vHit" hidden="1" xlm="1">#NAME?</definedName>
    <definedName name="_xlpm.vitally_ok" hidden="1" xlm="1">#NAME?</definedName>
    <definedName name="_xlpm.vm" hidden="1" xlm="1">#NAME?</definedName>
    <definedName name="_xlpm.vMarks" hidden="1" xlm="1">#NAME?</definedName>
    <definedName name="_xlpm.vNextPos" hidden="1" xlm="1">#NAME?</definedName>
    <definedName name="_xlpm.vPieces" hidden="1" xlm="1">#NAME?</definedName>
    <definedName name="_xlpm.vQty" hidden="1" xlm="1">#NAME?</definedName>
    <definedName name="_xlpm.vSeg" hidden="1" xlm="1">#NAME?</definedName>
    <definedName name="_xlpm.vSel" hidden="1" xlm="1">#NAME?</definedName>
    <definedName name="_xlpm.vSubPos" hidden="1" xlm="1">#NAME?</definedName>
    <definedName name="_xlpm.vTitlePos" hidden="1" xlm="1">#NAME?</definedName>
    <definedName name="_xlpm.vTo" hidden="1" xlm="1">#NAME?</definedName>
    <definedName name="_xlpm.vTop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Dropdown!$F$2:INDEX(Dropdown!$F$2:$F$40,IFERROR(MATCH(2,1/(Dropdown!$F$2:$F$40&lt;&gt;""),1),1))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1" i="38" l="1"/>
  <c r="F71" i="38"/>
  <c r="F521" i="38"/>
  <c r="F491" i="38"/>
  <c r="F461" i="38"/>
  <c r="F431" i="38"/>
  <c r="F401" i="38"/>
  <c r="F371" i="38"/>
  <c r="F341" i="38"/>
  <c r="G311" i="38"/>
  <c r="F311" i="38"/>
  <c r="F281" i="38"/>
  <c r="F251" i="38"/>
  <c r="F221" i="38"/>
  <c r="F191" i="38"/>
  <c r="F161" i="38"/>
  <c r="F101" i="38"/>
  <c r="Q466" i="38" l="1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T459" i="38" l="1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71" i="38" a="1"/>
  <c r="W371" i="38" s="1"/>
  <c r="P371" i="38" s="1" a="1"/>
  <c r="P371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J361" i="38"/>
  <c r="W22" i="38" a="1"/>
  <c r="W22" i="38" s="1"/>
  <c r="T13" i="38" a="1"/>
  <c r="T13" i="38" s="1"/>
  <c r="U13" i="38"/>
  <c r="T12" i="38" a="1"/>
  <c r="T12" i="38" s="1"/>
  <c r="R12" i="38" s="1"/>
  <c r="Q12" i="38" a="1"/>
  <c r="Q12" i="38" s="1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219" i="38" l="1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9" i="36" l="1"/>
  <c r="W13" i="38" s="1" a="1"/>
  <c r="W13" i="38" s="1"/>
  <c r="P13" i="38" s="1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T161" i="38" a="1"/>
  <c r="T161" i="38" s="1"/>
  <c r="R161" i="38" s="1"/>
  <c r="T160" i="38" a="1"/>
  <c r="T160" i="38" s="1"/>
  <c r="R160" i="38" s="1"/>
  <c r="P162" i="38" a="1"/>
  <c r="P162" i="38" s="1"/>
  <c r="Q178" i="38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390" i="38" l="1" a="1"/>
  <c r="W390" i="38" s="1"/>
  <c r="P390" i="38" s="1" a="1"/>
  <c r="P390" i="38" s="1"/>
  <c r="W330" i="38" a="1"/>
  <c r="W330" i="38" s="1"/>
  <c r="W180" i="38" a="1"/>
  <c r="W180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AC43" i="36" s="1"/>
  <c r="Y44" i="36"/>
  <c r="AC44" i="36" s="1"/>
  <c r="Y45" i="36"/>
  <c r="AC45" i="36" s="1"/>
  <c r="Y46" i="36"/>
  <c r="AC46" i="36" s="1"/>
  <c r="Y47" i="36"/>
  <c r="AC47" i="36" s="1"/>
  <c r="Y22" i="36"/>
  <c r="AC22" i="36" s="1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328" i="38" l="1" a="1"/>
  <c r="W328" i="38" s="1"/>
  <c r="W388" i="38" a="1"/>
  <c r="W388" i="38" s="1"/>
  <c r="P388" i="38" s="1" a="1"/>
  <c r="P388" i="38" s="1"/>
  <c r="W178" i="38" a="1"/>
  <c r="W17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F2" i="19" l="1" a="1"/>
  <c r="F1" i="19" a="1"/>
  <c r="F1" i="19" s="1"/>
  <c r="B42" i="19" a="1"/>
  <c r="B42" i="19" s="1"/>
  <c r="B41" i="19" s="1" a="1"/>
  <c r="B41" i="19" s="1"/>
  <c r="A1" i="19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F2" i="19" l="1"/>
  <c r="B17" i="1" a="1"/>
  <c r="B17" i="1" s="1"/>
  <c r="B32" i="1" a="1"/>
  <c r="B32" i="1" s="1"/>
  <c r="B15" i="1" a="1"/>
  <c r="B15" i="1" s="1"/>
  <c r="L2" i="19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AC28" i="36" s="1"/>
  <c r="Y27" i="36"/>
  <c r="AC27" i="36" s="1"/>
  <c r="Y26" i="36"/>
  <c r="AC26" i="36" s="1"/>
  <c r="W177" i="38" s="1" a="1"/>
  <c r="W177" i="38" s="1"/>
  <c r="Y25" i="36"/>
  <c r="AC25" i="36" s="1"/>
  <c r="Y24" i="36"/>
  <c r="AC24" i="36" s="1"/>
  <c r="Y23" i="36"/>
  <c r="AC23" i="36" s="1"/>
  <c r="W119" i="38" a="1"/>
  <c r="W119" i="38" s="1"/>
  <c r="AC48" i="36"/>
  <c r="W174" i="38" s="1" a="1"/>
  <c r="W174" i="38" s="1"/>
  <c r="W329" i="38" l="1" a="1"/>
  <c r="W329" i="38" s="1"/>
  <c r="W389" i="38" a="1"/>
  <c r="W389" i="38" s="1"/>
  <c r="P389" i="38" s="1" a="1"/>
  <c r="P389" i="38" s="1"/>
  <c r="W76" i="38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109" i="36" l="1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O697" i="10"/>
  <c r="Q697" i="10" s="1"/>
  <c r="P697" i="10"/>
  <c r="P696" i="10"/>
  <c r="BA4" i="10" a="1"/>
  <c r="BA4" i="10" s="1"/>
  <c r="E24" i="32"/>
  <c r="E23" i="32"/>
  <c r="E22" i="32"/>
  <c r="E21" i="32"/>
  <c r="E20" i="32"/>
  <c r="E19" i="32"/>
  <c r="E18" i="32"/>
  <c r="E17" i="32"/>
  <c r="E16" i="32"/>
  <c r="E15" i="32"/>
  <c r="E14" i="32"/>
  <c r="E13" i="32"/>
  <c r="B8" i="32"/>
  <c r="F19" i="32" s="1"/>
  <c r="B5" i="32"/>
  <c r="H16" i="32" l="1"/>
  <c r="H22" i="32"/>
  <c r="H15" i="32"/>
  <c r="H64" i="36"/>
  <c r="I64" i="36"/>
  <c r="I98" i="36"/>
  <c r="H88" i="36"/>
  <c r="H67" i="36"/>
  <c r="I67" i="36"/>
  <c r="I88" i="36"/>
  <c r="H106" i="36"/>
  <c r="H68" i="36"/>
  <c r="I68" i="36"/>
  <c r="I106" i="36"/>
  <c r="H89" i="36"/>
  <c r="H69" i="36"/>
  <c r="I69" i="36"/>
  <c r="I89" i="36"/>
  <c r="H99" i="36"/>
  <c r="H70" i="36"/>
  <c r="I70" i="36"/>
  <c r="I99" i="36"/>
  <c r="H90" i="36"/>
  <c r="H71" i="36"/>
  <c r="I71" i="36"/>
  <c r="I90" i="36"/>
  <c r="H104" i="36"/>
  <c r="H72" i="36"/>
  <c r="I72" i="36"/>
  <c r="I104" i="36"/>
  <c r="H91" i="36"/>
  <c r="H73" i="36"/>
  <c r="I73" i="36"/>
  <c r="I91" i="36"/>
  <c r="H100" i="36"/>
  <c r="H74" i="36"/>
  <c r="I74" i="36"/>
  <c r="I100" i="36"/>
  <c r="H92" i="36"/>
  <c r="H75" i="36"/>
  <c r="I75" i="36"/>
  <c r="I92" i="36"/>
  <c r="H108" i="36"/>
  <c r="H76" i="36"/>
  <c r="I76" i="36"/>
  <c r="I108" i="36"/>
  <c r="H1046" i="36"/>
  <c r="H77" i="36"/>
  <c r="I77" i="36"/>
  <c r="H93" i="36"/>
  <c r="I93" i="36"/>
  <c r="H78" i="36"/>
  <c r="I78" i="36"/>
  <c r="H101" i="36"/>
  <c r="I101" i="36"/>
  <c r="H79" i="36"/>
  <c r="I79" i="36"/>
  <c r="H94" i="36"/>
  <c r="I94" i="36"/>
  <c r="H80" i="36"/>
  <c r="I80" i="36"/>
  <c r="H105" i="36"/>
  <c r="I105" i="36"/>
  <c r="H81" i="36"/>
  <c r="I81" i="36"/>
  <c r="H95" i="36"/>
  <c r="I95" i="36"/>
  <c r="H82" i="36"/>
  <c r="I82" i="36"/>
  <c r="H102" i="36"/>
  <c r="I102" i="36"/>
  <c r="H83" i="36"/>
  <c r="I83" i="36"/>
  <c r="H96" i="36"/>
  <c r="I96" i="36"/>
  <c r="H84" i="36"/>
  <c r="I84" i="36"/>
  <c r="H107" i="36"/>
  <c r="I107" i="36"/>
  <c r="H85" i="36"/>
  <c r="I85" i="36"/>
  <c r="H97" i="36"/>
  <c r="I97" i="36"/>
  <c r="H86" i="36"/>
  <c r="I86" i="36"/>
  <c r="H103" i="36"/>
  <c r="I103" i="36"/>
  <c r="H87" i="36"/>
  <c r="I87" i="36"/>
  <c r="H9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H1042" i="36"/>
  <c r="H1045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K76" i="36"/>
  <c r="J1058" i="36"/>
  <c r="J1068" i="36"/>
  <c r="J1073" i="36"/>
  <c r="J1060" i="36"/>
  <c r="J1081" i="36"/>
  <c r="J1061" i="36"/>
  <c r="J1077" i="36"/>
  <c r="J1054" i="36"/>
  <c r="J1076" i="36"/>
  <c r="J1047" i="36"/>
  <c r="J1074" i="36"/>
  <c r="J1051" i="36"/>
  <c r="J1071" i="36"/>
  <c r="J1053" i="36"/>
  <c r="J1078" i="36"/>
  <c r="J1065" i="36"/>
  <c r="J1083" i="36"/>
  <c r="J1045" i="36"/>
  <c r="J1069" i="36"/>
  <c r="J1084" i="36"/>
  <c r="J1064" i="36"/>
  <c r="J1056" i="36"/>
  <c r="J1079" i="36"/>
  <c r="J1057" i="36"/>
  <c r="J1063" i="36"/>
  <c r="J1046" i="36"/>
  <c r="J1070" i="36"/>
  <c r="J1059" i="36"/>
  <c r="J1042" i="36"/>
  <c r="J1066" i="36"/>
  <c r="J1082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J1067" i="36"/>
  <c r="J1080" i="36"/>
  <c r="J1048" i="36"/>
  <c r="J1072" i="36"/>
  <c r="J1085" i="36"/>
  <c r="J1055" i="36"/>
  <c r="J1052" i="36"/>
  <c r="J1075" i="36"/>
  <c r="J64" i="36"/>
  <c r="K64" i="36"/>
  <c r="J67" i="36"/>
  <c r="K67" i="36"/>
  <c r="J68" i="36"/>
  <c r="K68" i="36"/>
  <c r="J69" i="36"/>
  <c r="K69" i="36"/>
  <c r="J70" i="36"/>
  <c r="K70" i="36"/>
  <c r="J71" i="36"/>
  <c r="K71" i="36"/>
  <c r="J72" i="36"/>
  <c r="K72" i="36"/>
  <c r="J73" i="36"/>
  <c r="K73" i="36"/>
  <c r="J74" i="36"/>
  <c r="K74" i="36"/>
  <c r="J75" i="36"/>
  <c r="K75" i="36"/>
  <c r="J76" i="36"/>
  <c r="J77" i="36"/>
  <c r="K77" i="36"/>
  <c r="J78" i="36"/>
  <c r="K78" i="36"/>
  <c r="J79" i="36"/>
  <c r="K79" i="36"/>
  <c r="J80" i="36"/>
  <c r="K80" i="36"/>
  <c r="J81" i="36"/>
  <c r="K81" i="36"/>
  <c r="J82" i="36"/>
  <c r="K82" i="36"/>
  <c r="J83" i="36"/>
  <c r="K83" i="36"/>
  <c r="J84" i="36"/>
  <c r="K84" i="36"/>
  <c r="J85" i="36"/>
  <c r="K85" i="36"/>
  <c r="J86" i="36"/>
  <c r="K86" i="36"/>
  <c r="J87" i="36"/>
  <c r="K87" i="36"/>
  <c r="J88" i="36"/>
  <c r="K88" i="36"/>
  <c r="J1050" i="36"/>
  <c r="J89" i="36"/>
  <c r="K89" i="36"/>
  <c r="J90" i="36"/>
  <c r="K90" i="36"/>
  <c r="J91" i="36"/>
  <c r="K91" i="36"/>
  <c r="J92" i="36"/>
  <c r="K92" i="36"/>
  <c r="J93" i="36"/>
  <c r="K93" i="36"/>
  <c r="J94" i="36"/>
  <c r="K94" i="36"/>
  <c r="J95" i="36"/>
  <c r="K95" i="36"/>
  <c r="J96" i="36"/>
  <c r="K96" i="36"/>
  <c r="J97" i="36"/>
  <c r="K97" i="36"/>
  <c r="J98" i="36"/>
  <c r="K98" i="36"/>
  <c r="J99" i="36"/>
  <c r="K99" i="36"/>
  <c r="J100" i="36"/>
  <c r="K100" i="36"/>
  <c r="J101" i="36"/>
  <c r="K101" i="36"/>
  <c r="J102" i="36"/>
  <c r="K102" i="36"/>
  <c r="J103" i="36"/>
  <c r="K103" i="36"/>
  <c r="J104" i="36"/>
  <c r="K104" i="36"/>
  <c r="J105" i="36"/>
  <c r="K105" i="36"/>
  <c r="J106" i="36"/>
  <c r="K106" i="36"/>
  <c r="J107" i="36"/>
  <c r="K107" i="36"/>
  <c r="J108" i="36"/>
  <c r="K108" i="36"/>
  <c r="J1062" i="36"/>
  <c r="J1049" i="36"/>
  <c r="J1086" i="36"/>
  <c r="I23" i="36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W108" i="38" s="1" a="1"/>
  <c r="W108" i="38" s="1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F18" i="32"/>
  <c r="F20" i="32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H17" i="32"/>
  <c r="H19" i="32"/>
  <c r="H18" i="32"/>
  <c r="I19" i="32"/>
  <c r="H24" i="32"/>
  <c r="G19" i="32"/>
  <c r="J19" i="32" s="1"/>
  <c r="G21" i="32"/>
  <c r="J21" i="32" s="1"/>
  <c r="H14" i="32"/>
  <c r="H23" i="32"/>
  <c r="H21" i="32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29" i="34"/>
  <c r="F19" i="34"/>
  <c r="F17" i="34"/>
  <c r="G12" i="34"/>
  <c r="C12" i="34"/>
  <c r="B12" i="34"/>
  <c r="G11" i="34"/>
  <c r="C11" i="34"/>
  <c r="B11" i="34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161" i="38" l="1" a="1"/>
  <c r="W161" i="38" s="1"/>
  <c r="W151" i="38" a="1"/>
  <c r="W151" i="38" s="1"/>
  <c r="W159" i="38" a="1"/>
  <c r="W159" i="38" s="1"/>
  <c r="H12" i="34"/>
  <c r="F22" i="34"/>
  <c r="W160" i="38" a="1"/>
  <c r="W160" i="38" s="1"/>
  <c r="W301" i="38" a="1"/>
  <c r="W301" i="38" s="1"/>
  <c r="W152" i="38" a="1"/>
  <c r="W152" i="38" s="1"/>
  <c r="W154" i="38" a="1"/>
  <c r="W154" i="38" s="1"/>
  <c r="G16" i="32"/>
  <c r="J16" i="32" s="1"/>
  <c r="I16" i="32"/>
  <c r="I18" i="32"/>
  <c r="G18" i="32"/>
  <c r="G20" i="32"/>
  <c r="I20" i="32"/>
  <c r="I17" i="32"/>
  <c r="G17" i="32"/>
  <c r="I24" i="32"/>
  <c r="G24" i="32"/>
  <c r="H11" i="34"/>
  <c r="F21" i="34"/>
  <c r="B10" i="34"/>
  <c r="B33" i="34"/>
  <c r="W93" i="38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G22" i="32"/>
  <c r="K22" i="32" s="1"/>
  <c r="G15" i="32"/>
  <c r="K15" i="32" s="1"/>
  <c r="K21" i="32"/>
  <c r="K23" i="32"/>
  <c r="K13" i="32"/>
  <c r="L13" i="32" s="1"/>
  <c r="K16" i="32"/>
  <c r="K19" i="32"/>
  <c r="J22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J18" i="32" l="1"/>
  <c r="K18" i="32"/>
  <c r="K17" i="32"/>
  <c r="J17" i="32"/>
  <c r="K24" i="32"/>
  <c r="J24" i="32"/>
  <c r="K14" i="32"/>
  <c r="J14" i="32"/>
  <c r="C48" i="35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I21" i="33" l="1"/>
  <c r="G5" i="34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I5" i="34" s="1"/>
  <c r="G16" i="34"/>
  <c r="H16" i="34" s="1"/>
  <c r="B42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I20" i="33" s="1"/>
  <c r="B37" i="33"/>
  <c r="B42" i="33" s="1"/>
  <c r="C36" i="33"/>
  <c r="AA25" i="32"/>
  <c r="AY242" i="10"/>
  <c r="BB241" i="10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BB242" i="10" l="1"/>
  <c r="AY243" i="10"/>
  <c r="BB243" i="10" s="1"/>
  <c r="H16" i="33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D30" i="25" s="1"/>
  <c r="E7" i="25"/>
  <c r="C8" i="25"/>
  <c r="D8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F53" i="25" l="1"/>
  <c r="F7" i="25"/>
  <c r="F8" i="25"/>
  <c r="F52" i="25"/>
  <c r="V295" i="38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60" i="35" l="1"/>
  <c r="C61" i="35"/>
  <c r="C39" i="35"/>
  <c r="J11" i="35" s="1"/>
  <c r="B39" i="35"/>
  <c r="C57" i="35"/>
  <c r="B36" i="35"/>
  <c r="C36" i="35"/>
  <c r="P8" i="38"/>
  <c r="Q409" i="36"/>
  <c r="P4" i="36" s="1" a="1"/>
  <c r="P4" i="36" s="1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C40" i="35" l="1"/>
  <c r="B40" i="35"/>
  <c r="J5" i="35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Q1224" i="10"/>
  <c r="Q1226" i="10"/>
  <c r="AY251" i="10"/>
  <c r="BB251" i="10" s="1"/>
  <c r="Q1291" i="10"/>
  <c r="Q1261" i="10"/>
  <c r="P1225" i="10"/>
  <c r="O1217" i="10"/>
  <c r="P14" i="1"/>
  <c r="K8" i="35" l="1"/>
  <c r="K6" i="35"/>
  <c r="K9" i="35"/>
  <c r="K7" i="35"/>
  <c r="K5" i="35"/>
  <c r="S5" i="35" s="1"/>
  <c r="K4" i="35"/>
  <c r="S4" i="35" s="1"/>
  <c r="K3" i="35"/>
  <c r="K10" i="35"/>
  <c r="K11" i="35"/>
  <c r="K12" i="35"/>
  <c r="W112" i="38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S3" i="35" l="1"/>
  <c r="S15" i="35" s="1"/>
  <c r="K15" i="35"/>
  <c r="Q3" i="35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<sst xmlns="http://schemas.openxmlformats.org/spreadsheetml/2006/main" count="12247" uniqueCount="2152">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</sst>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0" fillId="0" borderId="0" xfId="0"/>
    <xf numFmtId="0" fontId="15" fillId="17" borderId="0" xfId="0" applyFont="1" applyFill="1" applyAlignment="1">
      <alignment horizontal="left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A17" sqref="A17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 Panel Supply &amp; Delivery Casement Window Standard M/B Default 08-Box Lattice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 t="str">
        <f>IF(B14&lt;&gt;"", B14, IFERROR(ROUNDUP(B6*304.8/B15,0),""))</f>
        <v/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0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403" t="str" cm="1">
        <f t="array" ref="B17">IF(SUMPRODUCT(--(LEN(Dropdown!$B$42:$B$80)&gt;0))&gt;0,"↓Product Subtype↓","")</f>
        <v>↓Product Subtype↓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1792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2085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 t="e">
        <f>ROUNDUP(Enginuity!B6 * 304.8 / Enginuity!B15, 0) * 2</f>
        <v>#DIV/0!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 t="e">
        <f>ROUNDUP(Enginuity!B6 * 304.8 / Enginuity!B15, 0) * 8</f>
        <v>#DIV/0!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64" zoomScale="70" zoomScaleNormal="70" workbookViewId="0">
      <selection activeCell="F91" sqref="F9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1.55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1.53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 t="str">
        <f>IFERROR(IF(OR(Enginuity!$B$7="",IF(Enginuity!$B$14&lt;&gt;"",Enginuity!$B$14,Enginuity!$B$13)=""),"",IF(Enginuity!$B$14&lt;&gt;"",Enginuity!$B$14,Enginuity!$B$13)*2*Enginuity!$B$7),"")</f>
        <v/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1.19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11.628000000000002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3.81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 t="str">
        <f>IFERROR(IF(OR(Enginuity!$B$7="",IF(Enginuity!$B$14&lt;&gt;"",Enginuity!$B$14,Enginuity!$B$13)=""),"",IF(Enginuity!$B$14&lt;&gt;"",Enginuity!$B$14,Enginuity!$B$13)*2*Enginuity!$B$7),"")</f>
        <v/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2.79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12.192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1.75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 t="str">
        <f>IF(OR(Enginuity!B13="",Enginuity!B6="",Enginuity!B7=""),"",Enginuity!B13*Enginuity!B7+Enginuity!B13*3*Enginuity!B6)</f>
        <v/>
      </c>
      <c r="W14" s="399" t="str">
        <f>IFERROR(IF(V14="","",V14*($W$12+$W$13)),"")</f>
        <v/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 t="str">
        <f>IF(OR(Enginuity!B13="",Enginuity!B6="",Enginuity!B7=""),"",Enginuity!B13*Enginuity!B7+Enginuity!B13*5*Enginuity!B6)</f>
        <v/>
      </c>
      <c r="W15" s="399" t="str">
        <f t="shared" ref="W15:W16" si="1">IFERROR(IF(V15="","",V15*($W$12+$W$13)),"")</f>
        <v/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 t="str">
        <f>IF(OR(Enginuity!B13="",Enginuity!B6="",Enginuity!B7=""),"",Enginuity!B13*2*Enginuity!B7+Enginuity!B13*7*Enginuity!B6)</f>
        <v/>
      </c>
      <c r="W16" s="412" t="str">
        <f t="shared" si="1"/>
        <v/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418" t="s">
        <v>254</v>
      </c>
      <c r="B61" s="414" t="s">
        <v>1845</v>
      </c>
      <c r="C61" s="414" t="s">
        <v>3</v>
      </c>
      <c r="D61" s="414" t="s">
        <v>1791</v>
      </c>
      <c r="E61" s="414" t="str" cm="1">
        <f t="array" ref="E61:E70">IFERROR(INDEX(_xlfn._xlws.FILTER(CostData!$P$3:$P$12,CostData!$P$3:$P$12&lt;&gt;""),_xlfn.SEQUENCE(10)),"")</f>
        <v>Default</v>
      </c>
      <c r="F61" s="414"/>
      <c r="G61" s="414" t="str">
        <f>"▼ [Fix - Casement]"</f>
        <v>▼ [Fix - Casement]</v>
      </c>
      <c r="H61" s="414" t="str">
        <f>"▼ [Hung Window - Casement]"</f>
        <v>▼ [Hung Window - Casement]</v>
      </c>
      <c r="I61" s="414" t="s">
        <v>1857</v>
      </c>
      <c r="J61" s="414" t="s">
        <v>1858</v>
      </c>
      <c r="K61" s="414" t="s">
        <v>1859</v>
      </c>
      <c r="L61" s="414" t="s">
        <v>1860</v>
      </c>
      <c r="M61" s="419">
        <v>0.54649999999999999</v>
      </c>
      <c r="N61" s="414">
        <v>609.6</v>
      </c>
      <c r="O61" s="414"/>
      <c r="P61" s="408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408" t="str" cm="1">
        <f t="array" ref="Q61">_xlfn.LET(_xlpm.cd,INDEX($S:$S,ROW()),IF(_xlpm.cd="","",IFERROR(_xlfn.XLOOKUP(_xlpm.cd,CostData!$C$22:$C$1000,CostData!$B$22:$B$1000,""),"")))</f>
        <v>Aluminium</v>
      </c>
      <c r="R61" s="424" t="s">
        <v>1811</v>
      </c>
      <c r="S61" s="416" t="s">
        <v>1924</v>
      </c>
      <c r="T61" s="408" t="str" cm="1">
        <f t="array" ref="T61">_xlfn.LET(_xlpm.cd,INDEX($S:$S,ROW()),IF(_xlpm.cd="","",IFERROR(_xlfn.XLOOKUP(_xlpm.cd,CostData!$C$22:$C$1000,CostData!$E$22:$E$1000,""),"")))</f>
        <v>Outer</v>
      </c>
      <c r="U61" s="408" t="s">
        <v>103</v>
      </c>
      <c r="V61" s="4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420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2.59</v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G62" s="369" t="s">
        <v>1865</v>
      </c>
      <c r="H62" s="369" t="s">
        <v>1865</v>
      </c>
      <c r="P62" s="1" t="e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t="e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3.97</v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G63" s="369" t="s">
        <v>1866</v>
      </c>
      <c r="H63" s="369" t="s">
        <v>1866</v>
      </c>
      <c r="P63" s="1" t="e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4.1500000000000004</v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F71" s="369" t="str">
        <f>"▼ [Lattice Option]"</f>
        <v>▼ [Lattice Option]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F72" s="369" t="s">
        <v>2085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F73" s="369" t="s">
        <v>2086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F74" s="369" t="s">
        <v>2087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 t="str">
        <f>IF(Enginuity!$B$13&gt;0,Enginuity!$B$13,"")</f>
        <v/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t="str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C86" s="369" t="s">
        <v>3</v>
      </c>
      <c r="P86" s="1" t="e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 t="e">
        <f>IF(SUM($V$61:$V$64)=0,"",SUM($V$61:$V$64))</f>
        <v>#VALUE!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C87" s="369" t="s">
        <v>3</v>
      </c>
      <c r="P87" s="1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C88" s="369" t="s">
        <v>3</v>
      </c>
      <c r="P88" s="1" t="e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 t="e">
        <f>IF($V$62="","",$V$62)</f>
        <v>#VALUE!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C89" s="369" t="s">
        <v>3</v>
      </c>
      <c r="P89" s="1" t="e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 t="e">
        <f>IF($V$62="","",$V$62)</f>
        <v>#VALUE!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e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 t="e">
        <f>IF(SUM($V$63:$V$64)=0,"",SUM($V$63:$V$64)*2)</f>
        <v>#VALUE!</v>
      </c>
      <c r="W90" s="412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/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C101" s="369" t="s">
        <v>1989</v>
      </c>
      <c r="F101" s="369" t="str">
        <f>"▼ [Lattice Option]"</f>
        <v>▼ [Lattice Option]</v>
      </c>
      <c r="P101" s="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C102" s="369" t="s">
        <v>1989</v>
      </c>
      <c r="F102" s="369" t="s">
        <v>2085</v>
      </c>
      <c r="P102" s="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C103" s="369" t="s">
        <v>1989</v>
      </c>
      <c r="F103" s="369" t="s">
        <v>2086</v>
      </c>
      <c r="P103" s="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C104" s="369" t="s">
        <v>1989</v>
      </c>
      <c r="F104" s="369" t="s">
        <v>2087</v>
      </c>
      <c r="P104" s="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 t="str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/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>⬒ Default</v>
      </c>
      <c r="T112" s="1" t="str">
        <f>IF(Enginuity!$A$20="","",Enginuity!$A$20)</f>
        <v>Default</v>
      </c>
      <c r="U112" s="1" t="s">
        <v>121</v>
      </c>
      <c r="V112" s="1">
        <f>IF(Enginuity!$B$9="","",Enginuity!$B$9)</f>
        <v>60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>
        <f>IF(OR(TRIM(Enginuity!A21)=TRIM(G92),TRIM(Enginuity!A22)=TRIM(G92)),1,"")</f>
        <v>1</v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68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414"/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t="str" cm="1">
        <f t="array" ref="V151">_xlfn.LET(_xlpm.p,IF(Enginuity!$B$14&lt;&gt;"",Enginuity!$B$14,Enginuity!$B$13),_xlpm.h,Enginuity!$B$7,IF(OR(_xlpm.p="",_xlpm.h=""),"",_xlfn.SWITCH(_xlpm.p,2,2*_xlpm.h,3,2*_xlpm.h,4,2*_xlpm.h,6,4*_xlpm.h,"")))</f>
        <v/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t="str" cm="1">
        <f t="array" ref="V152">_xlfn.LET(_xlpm.p,IF(Enginuity!$B$14&lt;&gt;"",Enginuity!$B$14,Enginuity!$B$13),_xlpm.w,Enginuity!$B$6,IF(OR(_xlpm.p="",_xlpm.w=""),"",_xlfn.SWITCH(_xlpm.p,2,_xlpm.w,3,_xlpm.w,4,_xlpm.w,6,2*_xlpm.w,"")))</f>
        <v/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t="str" cm="1">
        <f t="array" ref="V153">_xlfn.LET(_xlpm.p,IF(Enginuity!$B$14&lt;&gt;"",Enginuity!$B$14,Enginuity!$B$13),_xlpm.w,Enginuity!$B$6,IF(OR(_xlpm.p="",_xlpm.w=""),"",_xlfn.SWITCH(_xlpm.p,2,_xlpm.w,3,_xlpm.w,4,_xlpm.w,6,2*_xlpm.w,"")))</f>
        <v/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t="str" cm="1">
        <f t="array" ref="V154">_xlfn.LET(_xlpm.p,IF(Enginuity!$B$14&lt;&gt;"",Enginuity!$B$14,Enginuity!$B$13),_xlpm.h,Enginuity!$B$7,IF(OR(_xlpm.p="",_xlpm.h=""),"",_xlfn.SWITCH(_xlpm.p,2,2*_xlpm.h,3,4*_xlpm.h,4,2*_xlpm.h,6,8*_xlpm.h,"")))</f>
        <v/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t="str" cm="1">
        <f t="array" ref="V156">_xlfn.LET(_xlpm.p,IF(Enginuity!$B$14&lt;&gt;"",Enginuity!$B$14,Enginuity!$B$13),_xlpm.w,Enginuity!$B$6,IF(OR(_xlpm.p="",_xlpm.w=""),"",_xlfn.SWITCH(_xlpm.p,2,_xlpm.w,3,_xlpm.w,4,_xlpm.w,6,_xlpm.w,"")))</f>
        <v/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t="str" cm="1">
        <f t="array" ref="V157">_xlfn.LET(_xlpm.p,IF(Enginuity!$B$14&lt;&gt;"",Enginuity!$B$14,Enginuity!$B$13),_xlpm.w,Enginuity!$B$6,IF(OR(_xlpm.p="",_xlpm.w=""),"",_xlfn.SWITCH(_xlpm.p,2,_xlpm.w,3,_xlpm.w,4,_xlpm.w,6,_xlpm.w,"")))</f>
        <v/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F161" s="369" t="str">
        <f>"▼ [Lattice Option]"</f>
        <v>▼ [Lattice Option]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t="str" cm="1">
        <f t="array" ref="V161">_xlfn.LET(_xlpm.p,IF(Enginuity!$B$14&lt;&gt;"",Enginuity!$B$14,Enginuity!$B$13),_xlpm.h,Enginuity!$B$7,IF(OR(_xlpm.p="",_xlpm.h=""),"",_xlfn.SWITCH(_xlpm.p,4,_xlpm.h,6,_xlpm.h,"")))</f>
        <v/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F162" s="369" t="s">
        <v>2085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08-Box Lattice</v>
      </c>
      <c r="T162" s="1" t="str">
        <f>IF(Enginuity!$A$21="","",Enginuity!$A$21)</f>
        <v>08-Box Lattice</v>
      </c>
      <c r="U162" s="1" t="s">
        <v>176</v>
      </c>
      <c r="V162" s="1">
        <f>IF(OR(TRIM(SUBSTITUTE(Enginuity!A21,CHAR(160)," "))=TRIM(SUBSTITUTE(F152,CHAR(160)," ")),TRIM(SUBSTITUTE(Enginuity!A22,CHAR(160)," "))=TRIM(SUBSTITUTE(F152,CHAR(160)," "))),1,"")</f>
        <v>1</v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F163" s="369" t="s">
        <v>2086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F164" s="369" t="s">
        <v>2087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 t="str">
        <f>_xlfn.LET(_xlpm.p,IF(Enginuity!$B$14&lt;&gt;"",Enginuity!$B$14,Enginuity!$B$13),IF(_xlpm.p="","",4*_xlpm.p))</f>
        <v/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 t="str">
        <f>_xlfn.LET(_xlpm.p,IF(Enginuity!$B$14&lt;&gt;"",Enginuity!$B$14,Enginuity!$B$13),IF(_xlpm.p="","",2*_xlpm.p))</f>
        <v/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 t="str">
        <f>IF(SUM(V151:V161)=0,"",SUM(V151:V161))</f>
        <v/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e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 t="e">
        <f>IF(SUM($V$63:$V$64)=0,"",SUM($V$63:$V$64)*2)</f>
        <v>#VALUE!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414"/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t="str" cm="1">
        <f t="array" ref="V181">_xlfn.LET(_xlpm.p,IF(Enginuity!$B$14&lt;&gt;"",Enginuity!$B$14,Enginuity!$B$13),_xlpm.h,Enginuity!$B$7,IF(OR(_xlpm.p="",_xlpm.h=""),"",_xlfn.SWITCH(_xlpm.p,2,2*_xlpm.h,3,2*_xlpm.h,4,2*_xlpm.h,6,4*_xlpm.h,"")))</f>
        <v/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t="str" cm="1">
        <f t="array" ref="V182">_xlfn.LET(_xlpm.p,IF(Enginuity!$B$14&lt;&gt;"",Enginuity!$B$14,Enginuity!$B$13),_xlpm.w,Enginuity!$B$6,IF(OR(_xlpm.p="",_xlpm.w=""),"",_xlfn.SWITCH(_xlpm.p,2,_xlpm.w,3,_xlpm.w,4,_xlpm.w,6,2*_xlpm.w,"")))</f>
        <v/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t="str" cm="1">
        <f t="array" ref="V183">_xlfn.LET(_xlpm.p,IF(Enginuity!$B$14&lt;&gt;"",Enginuity!$B$14,Enginuity!$B$13),_xlpm.w,Enginuity!$B$6,IF(OR(_xlpm.p="",_xlpm.w=""),"",_xlfn.SWITCH(_xlpm.p,2,_xlpm.w,3,_xlpm.w,4,_xlpm.w,6,2*_xlpm.w,"")))</f>
        <v/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t="str" cm="1">
        <f t="array" ref="V184">_xlfn.LET(_xlpm.p,IF(Enginuity!$B$14&lt;&gt;"",Enginuity!$B$14,Enginuity!$B$13),_xlpm.h,Enginuity!$B$7,IF(OR(_xlpm.p="",_xlpm.h=""),"",_xlfn.SWITCH(_xlpm.p,2,2*_xlpm.h,3,4*_xlpm.h,4,2*_xlpm.h,6,8*_xlpm.h,"")))</f>
        <v/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t="str" cm="1">
        <f t="array" ref="V186">_xlfn.LET(_xlpm.p,IF(Enginuity!$B$14&lt;&gt;"",Enginuity!$B$14,Enginuity!$B$13),_xlpm.w,Enginuity!$B$6,IF(OR(_xlpm.p="",_xlpm.w=""),"",_xlfn.SWITCH(_xlpm.p,2,_xlpm.w,3,_xlpm.w,4,_xlpm.w,6,_xlpm.w,"")))</f>
        <v/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t="str" cm="1">
        <f t="array" ref="V187">_xlfn.LET(_xlpm.p,IF(Enginuity!$B$14&lt;&gt;"",Enginuity!$B$14,Enginuity!$B$13),_xlpm.w,Enginuity!$B$6,IF(OR(_xlpm.p="",_xlpm.w=""),"",_xlfn.SWITCH(_xlpm.p,2,_xlpm.w,3,_xlpm.w,4,_xlpm.w,6,_xlpm.w,"")))</f>
        <v/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F191" s="369" t="str">
        <f>"▼ [Lattice Option]"</f>
        <v>▼ [Lattice Option]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t="str" cm="1">
        <f t="array" ref="V191">_xlfn.LET(_xlpm.p,IF(Enginuity!$B$14&lt;&gt;"",Enginuity!$B$14,Enginuity!$B$13),_xlpm.h,Enginuity!$B$7,IF(OR(_xlpm.p="",_xlpm.h=""),"",_xlfn.SWITCH(_xlpm.p,4,_xlpm.h,6,_xlpm.h,"")))</f>
        <v/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F192" s="369" t="s">
        <v>2085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F193" s="369" t="s">
        <v>2086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F194" s="369" t="s">
        <v>2087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 t="str">
        <f>IF(Enginuity!$B$13="","",1)</f>
        <v/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 t="str">
        <f>IF(Enginuity!$B$13="","",4*Enginuity!$B$13)</f>
        <v/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 t="str">
        <f>IF(Enginuity!$B$13="","",2*Enginuity!$B$13)</f>
        <v/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 t="str">
        <f>IF(SUM($V$151:$V$161)=0,"",SUM($V$151:$V$161))</f>
        <v/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e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 t="e">
        <f>IF(SUM($V$63:$V$64)=0,"",SUM($V$63:$V$64)*2)</f>
        <v>#VALUE!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414"/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t="str" cm="1">
        <f t="array" ref="V211">_xlfn.LET(_xlpm.p,IF(Enginuity!$B$14&lt;&gt;"",Enginuity!$B$14,Enginuity!$B$13),_xlpm.h,Enginuity!$B$7,IF(OR(_xlpm.p="",_xlpm.h=""),"",_xlfn.SWITCH(_xlpm.p,2,2*_xlpm.h,3,2*_xlpm.h,4,2*_xlpm.h,6,4*_xlpm.h,"")))</f>
        <v/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t="str" cm="1">
        <f t="array" ref="V212">_xlfn.LET(_xlpm.p,IF(Enginuity!$B$14&lt;&gt;"",Enginuity!$B$14,Enginuity!$B$13),_xlpm.w,Enginuity!$B$6,IF(OR(_xlpm.p="",_xlpm.w=""),"",_xlfn.SWITCH(_xlpm.p,2,_xlpm.w,3,_xlpm.w,4,_xlpm.w,6,2*_xlpm.w,"")))</f>
        <v/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t="str" cm="1">
        <f t="array" ref="V213">_xlfn.LET(_xlpm.p,IF(Enginuity!$B$14&lt;&gt;"",Enginuity!$B$14,Enginuity!$B$13),_xlpm.w,Enginuity!$B$6,IF(OR(_xlpm.p="",_xlpm.w=""),"",_xlfn.SWITCH(_xlpm.p,2,_xlpm.w,3,_xlpm.w,4,_xlpm.w,6,2*_xlpm.w,"")))</f>
        <v/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t="str" cm="1">
        <f t="array" ref="V214">_xlfn.LET(_xlpm.p,IF(Enginuity!$B$14&lt;&gt;"",Enginuity!$B$14,Enginuity!$B$13),_xlpm.h,Enginuity!$B$7,IF(OR(_xlpm.p="",_xlpm.h=""),"",_xlfn.SWITCH(_xlpm.p,2,2*_xlpm.h,3,4*_xlpm.h,4,2*_xlpm.h,6,8*_xlpm.h,"")))</f>
        <v/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t="str" cm="1">
        <f t="array" ref="V216">_xlfn.LET(_xlpm.p,IF(Enginuity!$B$14&lt;&gt;"",Enginuity!$B$14,Enginuity!$B$13),_xlpm.w,Enginuity!$B$6,IF(OR(_xlpm.p="",_xlpm.w=""),"",_xlfn.SWITCH(_xlpm.p,2,_xlpm.w,3,_xlpm.w,4,_xlpm.w,6,_xlpm.w,"")))</f>
        <v/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t="str" cm="1">
        <f t="array" ref="V217">_xlfn.LET(_xlpm.p,IF(Enginuity!$B$14&lt;&gt;"",Enginuity!$B$14,Enginuity!$B$13),_xlpm.w,Enginuity!$B$6,IF(OR(_xlpm.p="",_xlpm.w=""),"",_xlfn.SWITCH(_xlpm.p,2,_xlpm.w,3,_xlpm.w,4,_xlpm.w,6,_xlpm.w,"")))</f>
        <v/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F221" s="369" t="str">
        <f>"▼ [Lattice Option]"</f>
        <v>▼ [Lattice Option]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t="str" cm="1">
        <f t="array" ref="V221">_xlfn.LET(_xlpm.p,IF(Enginuity!$B$14&lt;&gt;"",Enginuity!$B$14,Enginuity!$B$13),_xlpm.h,Enginuity!$B$7,IF(OR(_xlpm.p="",_xlpm.h=""),"",_xlfn.SWITCH(_xlpm.p,4,_xlpm.h,6,_xlpm.h,"")))</f>
        <v/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F222" s="369" t="s">
        <v>2085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F223" s="369" t="s">
        <v>2086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F224" s="369" t="s">
        <v>2087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 t="str">
        <f>IF(Enginuity!$B$13="","",1)</f>
        <v/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 t="str">
        <f>IF(Enginuity!$B$13="","",4*Enginuity!$B$13)</f>
        <v/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 t="str">
        <f>IF(Enginuity!$B$13="","",2*Enginuity!$B$13)</f>
        <v/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 t="str">
        <f>IF(SUM($V$151:$V$161)=0,"",SUM($V$151:$V$161))</f>
        <v/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e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 t="e">
        <f>IF(SUM($V$63:$V$64)=0,"",SUM($V$63:$V$64)*2)</f>
        <v>#VALUE!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414"/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t="str" cm="1">
        <f t="array" ref="V241">_xlfn.LET(_xlpm.p,IF(Enginuity!$B$14&lt;&gt;"",Enginuity!$B$14,Enginuity!$B$13),_xlpm.h,Enginuity!$B$7,IF(OR(_xlpm.p="",_xlpm.h=""),"",_xlfn.SWITCH(_xlpm.p,2,2*_xlpm.h,3,2*_xlpm.h,4,2*_xlpm.h,6,4*_xlpm.h,"")))</f>
        <v/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t="str" cm="1">
        <f t="array" ref="V242">_xlfn.LET(_xlpm.p,IF(Enginuity!$B$14&lt;&gt;"",Enginuity!$B$14,Enginuity!$B$13),_xlpm.w,Enginuity!$B$6,IF(OR(_xlpm.p="",_xlpm.w=""),"",_xlfn.SWITCH(_xlpm.p,2,_xlpm.w,3,_xlpm.w,4,_xlpm.w,6,2*_xlpm.w,"")))</f>
        <v/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t="str" cm="1">
        <f t="array" ref="V243">_xlfn.LET(_xlpm.p,IF(Enginuity!$B$14&lt;&gt;"",Enginuity!$B$14,Enginuity!$B$13),_xlpm.w,Enginuity!$B$6,IF(OR(_xlpm.p="",_xlpm.w=""),"",_xlfn.SWITCH(_xlpm.p,2,_xlpm.w,3,_xlpm.w,4,_xlpm.w,6,2*_xlpm.w,"")))</f>
        <v/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t="str" cm="1">
        <f t="array" ref="V244">_xlfn.LET(_xlpm.p,IF(Enginuity!$B$14&lt;&gt;"",Enginuity!$B$14,Enginuity!$B$13),_xlpm.h,Enginuity!$B$7,IF(OR(_xlpm.p="",_xlpm.h=""),"",_xlfn.SWITCH(_xlpm.p,2,2*_xlpm.h,3,4*_xlpm.h,4,2*_xlpm.h,6,8*_xlpm.h,"")))</f>
        <v/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t="str" cm="1">
        <f t="array" ref="V246">_xlfn.LET(_xlpm.p,IF(Enginuity!$B$14&lt;&gt;"",Enginuity!$B$14,Enginuity!$B$13),_xlpm.w,Enginuity!$B$6,IF(OR(_xlpm.p="",_xlpm.w=""),"",_xlfn.SWITCH(_xlpm.p,2,_xlpm.w,3,_xlpm.w,4,_xlpm.w,6,_xlpm.w,"")))</f>
        <v/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t="str" cm="1">
        <f t="array" ref="V247">_xlfn.LET(_xlpm.p,IF(Enginuity!$B$14&lt;&gt;"",Enginuity!$B$14,Enginuity!$B$13),_xlpm.w,Enginuity!$B$6,IF(OR(_xlpm.p="",_xlpm.w=""),"",_xlfn.SWITCH(_xlpm.p,2,_xlpm.w,3,_xlpm.w,4,_xlpm.w,6,_xlpm.w,"")))</f>
        <v/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F251" s="369" t="str">
        <f>"▼ [Lattice Option]"</f>
        <v>▼ [Lattice Option]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t="str" cm="1">
        <f t="array" ref="V251">_xlfn.LET(_xlpm.p,IF(Enginuity!$B$14&lt;&gt;"",Enginuity!$B$14,Enginuity!$B$13),_xlpm.h,Enginuity!$B$7,IF(OR(_xlpm.p="",_xlpm.h=""),"",_xlfn.SWITCH(_xlpm.p,4,_xlpm.h,6,_xlpm.h,"")))</f>
        <v/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F252" s="369" t="s">
        <v>2085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F253" s="369" t="s">
        <v>2086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F254" s="369" t="s">
        <v>2087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 t="str">
        <f>IF(Enginuity!$B$13="","",1)</f>
        <v/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 t="str">
        <f>IF(Enginuity!$B$13="","",4*Enginuity!$B$13)</f>
        <v/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 t="str">
        <f>IF(Enginuity!$B$13="","",2*Enginuity!$B$13)</f>
        <v/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 t="str">
        <f>IF(SUM($V$151:$V$161)=0,"",SUM($V$151:$V$161))</f>
        <v/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e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 t="e">
        <f>IF(SUM($V$63:$V$64)=0,"",SUM($V$63:$V$64)*2)</f>
        <v>#VALUE!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414"/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 t="str">
        <f>IF(OR(Enginuity!$B$13="",Enginuity!$B$7=""),"",Enginuity!$B$13*2*Enginuity!$B$7)</f>
        <v/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 t="str">
        <f>IF(OR(Enginuity!$B$13="",Enginuity!$B$6=""),"",Enginuity!$B$13*2*Enginuity!$B$6)</f>
        <v/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165.24013829938127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F281" s="369" t="str">
        <f>"▼ [Lattice Option]"</f>
        <v>▼ [Lattice Option]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F282" s="369" t="s">
        <v>2085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F283" s="369" t="s">
        <v>2086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165.24013829938127</v>
      </c>
    </row>
    <row r="284" spans="1:23" x14ac:dyDescent="0.25">
      <c r="A284" s="274" t="s">
        <v>254</v>
      </c>
      <c r="C284" s="369" t="s">
        <v>2067</v>
      </c>
      <c r="F284" s="369" t="s">
        <v>2087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 t="str">
        <f>IF(OR(Enginuity!$B$7="",Enginuity!$B$13=""),"",
Enginuity!$B$13*
IF(Enginuity!$B$7&lt;=7,3,
IF(Enginuity!$B$7&lt;=9,4,
IF(Enginuity!$B$7&lt;=11,5,6))))</f>
        <v/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 t="str">
        <f>Enginuity!$B$13</f>
        <v/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e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 t="e">
        <f>IF(Enginuity!B13-1=0,"",(Enginuity!B13-1)*2)</f>
        <v>#VALUE!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e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 t="e">
        <f>IF(Enginuity!B13-1=0,"",(Enginuity!B13-1)*2)</f>
        <v>#VALUE!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 t="str">
        <f>IFERROR(V271+V272,"")</f>
        <v/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 t="str">
        <f>IFERROR(V271+V272,"")</f>
        <v/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/>
      <c r="G301" s="414"/>
      <c r="H301" s="414" t="str">
        <f t="shared" ref="H301:L301" si="16">IFERROR(IF(D1=0,"",D1),"")</f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6.5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F311" s="369" t="str">
        <f t="shared" ref="F311" si="18">IFERROR(IF(B11=0,"",B11),"")</f>
        <v/>
      </c>
      <c r="G311" s="369" t="str">
        <f t="shared" ref="G311" si="19">IFERROR(IF(C11=0,"",C11),"")</f>
        <v/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414"/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G332" s="369" t="s">
        <v>1936</v>
      </c>
      <c r="P332" s="1" t="e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P333" s="1" t="e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 t="e">
        <f>IF(AND(Enginuity!$B$7&gt;0,Enginuity!$B$13&gt;1),(Enginuity!$B$13-1)*Enginuity!$B$7,"")</f>
        <v>#VALUE!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F341" s="369" t="str">
        <f>"▼ [Lattice Option]"</f>
        <v>▼ [Lattice Option]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F342" s="369" t="s">
        <v>2085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F343" s="369" t="s">
        <v>2086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F344" s="369" t="s">
        <v>2087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 t="str">
        <f>IF(TRIM(Enginuity!$A$22)="Fix Window","",IF(Enginuity!$B$13&gt;0,Enginuity!$B$13,""))</f>
        <v/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 t="str">
        <f>IF(TRIM(Enginuity!$A$22)="Fix Window","",IF(Enginuity!$B$13="","",Enginuity!$B$13))</f>
        <v/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e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 t="e">
        <f>IF(SUM($V$391:$V$394)=0,"",SUM($V$391:$V$394))</f>
        <v>#VALUE!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e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 t="e">
        <f>IF($V$392="","",$V$392)</f>
        <v>#VALUE!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e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 t="e">
        <f>IF($V$392="","",$V$392)</f>
        <v>#VALUE!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 t="e">
        <f>IF(SUM($V$393:$V$394)=0,"",SUM($V$393:$V$394)*2)</f>
        <v>#VALUE!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/>
      <c r="G361" s="414" t="str">
        <f t="shared" ref="G361" si="20">IFERROR(IF(C61=0,"",C61),"")</f>
        <v>Casement Window Standard</v>
      </c>
      <c r="H361" s="414" t="str">
        <f t="shared" ref="H361" si="21">IFERROR(IF(D61=0,"",D61),"")</f>
        <v>N/A</v>
      </c>
      <c r="I361" s="414" t="str">
        <f t="shared" ref="I361" si="22">IFERROR(IF(E61=0,"",E61),"")</f>
        <v>Default</v>
      </c>
      <c r="J361" s="414" t="str">
        <f t="shared" ref="J361" si="23">IFERROR(IF(F61=0,"",F61),"")</f>
        <v/>
      </c>
      <c r="K361" s="414" t="str">
        <f t="shared" ref="K361" si="24">IFERROR(IF(G61=0,"",G61),"")</f>
        <v>▼ [Fix - Casement]</v>
      </c>
      <c r="L361" s="414" t="str">
        <f t="shared" ref="L361" si="25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6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6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6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6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6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6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F371" s="369" t="str">
        <f>"▼ [Lattice Option]"</f>
        <v>▼ [Lattice Option]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6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F372" s="369" t="s">
        <v>2085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F373" s="369" t="s">
        <v>2086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F374" s="369" t="s">
        <v>2087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414"/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e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e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 t="e">
        <f>IF(AND(Enginuity!$B$7&gt;0,Enginuity!$B$13&gt;1),(Enginuity!$B$13-1)*Enginuity!$B$7,"")</f>
        <v>#VALUE!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F401" s="369" t="str">
        <f>"▼ [Lattice Option]"</f>
        <v>▼ [Lattice Option]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F402" s="369" t="s">
        <v>2085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F403" s="369" t="s">
        <v>2086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F404" s="369" t="s">
        <v>2087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 t="str">
        <f>IF(TRIM(Enginuity!$A$22)="Fix Window","",IF(Enginuity!$B$13&gt;0,Enginuity!$B$13,""))</f>
        <v/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 t="str">
        <f>IF(TRIM(Enginuity!$A$22)="Fix Window","",IF(Enginuity!$B$13="","",Enginuity!$B$13))</f>
        <v/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e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 t="e">
        <f>IF(SUM($V$391:$V$394)=0,"",SUM($V$391:$V$394))</f>
        <v>#VALUE!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e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 t="e">
        <f>IF($V$392="","",$V$392)</f>
        <v>#VALUE!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e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 t="e">
        <f>IF($V$392="","",$V$392)</f>
        <v>#VALUE!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 t="e">
        <f>IF(SUM($V$393:$V$394)=0,"",SUM($V$393:$V$394)*2)</f>
        <v>#VALUE!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414"/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e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 t="e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#VALUE!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e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 t="e">
        <f>IF(AND(Enginuity!$B$7&gt;0,Enginuity!$B$13&gt;1),(Enginuity!$B$13-1)*Enginuity!$B$7,"")</f>
        <v>#VALUE!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F431" s="369" t="str">
        <f>"▼ [Lattice Option]"</f>
        <v>▼ [Lattice Option]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F432" s="369" t="s">
        <v>2085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F433" s="369" t="s">
        <v>2086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F434" s="369" t="s">
        <v>2087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 t="str">
        <f>IF(TRIM(Enginuity!$A$22)="Fix Window","",IF(Enginuity!$B$13&gt;0,Enginuity!$B$13,""))</f>
        <v/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 t="str">
        <f>IF(TRIM(Enginuity!$A$22)="Fix Window","",IF(Enginuity!$B$13="","",Enginuity!$B$13))</f>
        <v/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e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 t="e">
        <f>IF(SUM($V$391:$V$394)=0,"",SUM($V$391:$V$394))</f>
        <v>#VALUE!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e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 t="e">
        <f>IF($V$392="","",$V$392)</f>
        <v>#VALUE!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e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 t="e">
        <f>IF($V$392="","",$V$392)</f>
        <v>#VALUE!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 t="e">
        <f>IF(SUM($V$393:$V$394)=0,"",SUM($V$393:$V$394)*2)</f>
        <v>#VALUE!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414"/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7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7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7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7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7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 t="str">
        <f>IF(OR(Enginuity!$B$7="",Enginuity!$B$6="",Enginuity!$B$13=""),"",((Enginuity!$B$13*2)*Enginuity!$B$7)+(Enginuity!$B$6*2))</f>
        <v/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7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 t="str">
        <f>IF(OR(Enginuity!$B$7="",Enginuity!$B$6="",Enginuity!$B$13=""),"",((Enginuity!$B$13*2)*Enginuity!$B$7)+(Enginuity!$B$6*2))</f>
        <v/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7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F461" s="369" t="str">
        <f>"▼ [Lattice Option]"</f>
        <v>▼ [Lattice Option]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F462" s="369" t="s">
        <v>2085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F463" s="369" t="s">
        <v>2086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F464" s="369" t="s">
        <v>2087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8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8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8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8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8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8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8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8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 t="str">
        <f>IF(TRIM(Enginuity!$A$22)="Fix Window","",IF(Enginuity!$B$13&gt;0,Enginuity!$B$13,""))</f>
        <v/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9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 t="str">
        <f>IF(TRIM(Enginuity!$A$22)="Fix Window","",IF(Enginuity!$B$13="","",Enginuity!$B$13))</f>
        <v/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e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6" s="1" t="str">
        <f>IF($S476="","",IFERROR(_xlfn.XLOOKUP($S476,CostData!$U$22:$U$1000,CostData!$T$22:$T$1000,""),""))</f>
        <v>Black Tape</v>
      </c>
      <c r="R476" s="16" t="str">
        <f t="shared" si="29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 t="e">
        <f>IF(SUM($V$391:$V$394)=0,"",SUM($V$391:$V$394))</f>
        <v>#VALUE!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9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e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8" s="1" t="str">
        <f>IF($S478="","",IFERROR(_xlfn.XLOOKUP($S478,CostData!$U$22:$U$1000,CostData!$T$22:$T$1000,""),""))</f>
        <v>Weather Strip</v>
      </c>
      <c r="R478" s="16" t="str">
        <f t="shared" si="29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 t="e">
        <f>IF($V$392="","",$V$392)</f>
        <v>#VALUE!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e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 t="e">
        <f>IF($V$392="","",$V$392)</f>
        <v>#VALUE!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 t="e">
        <f>IF(SUM($V$393:$V$394)=0,"",SUM($V$393:$V$394)*2)</f>
        <v>#VALUE!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414"/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e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t="e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e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F491" s="369" t="str">
        <f>"▼ [Lattice Option]"</f>
        <v>▼ [Lattice Option]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F492" s="369" t="s">
        <v>2085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F493" s="369" t="s">
        <v>2086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F494" s="369" t="s">
        <v>2087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 t="str">
        <f>IF(Enginuity!$B$13&gt;0,Enginuity!$B$13,"")</f>
        <v/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t="str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e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 t="e">
        <f>IF(SUM($V$61:$V$64)=0,"",SUM($V$61:$V$64))</f>
        <v>#VALUE!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e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 t="e">
        <f>IF($V$62="","",$V$62)</f>
        <v>#VALUE!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e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 t="e">
        <f>IF($V$62="","",$V$62)</f>
        <v>#VALUE!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 t="e">
        <f>IF(SUM($V$63:$V$64)=0,"",SUM($V$63:$V$64)*2)</f>
        <v>#VALUE!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414"/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e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t="e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#VALUE!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e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 t="e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#VALUE!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F521" s="369" t="str">
        <f>"▼ [Lattice Option]"</f>
        <v>▼ [Lattice Option]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F522" s="369" t="s">
        <v>2085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F523" s="369" t="s">
        <v>2086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F524" s="369" t="s">
        <v>2087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 t="str">
        <f>IF(Enginuity!$B$13&gt;0,Enginuity!$B$13,"")</f>
        <v/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t="str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/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e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 t="e">
        <f>IF(SUM($V$61:$V$64)=0,"",SUM($V$61:$V$64))</f>
        <v>#VALUE!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e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 t="e">
        <f>IF($V$62="","",$V$62)</f>
        <v>#VALUE!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e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>#VALUE!</v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 t="e">
        <f>IF($V$62="","",$V$62)</f>
        <v>#VALUE!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 t="e">
        <f>IF(SUM($V$63:$V$64)=0,"",SUM($V$63:$V$64)*2)</f>
        <v>#VALUE!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4" priority="5"/>
  </conditionalFormatting>
  <conditionalFormatting sqref="T31:W31 P31">
    <cfRule type="duplicateValues" dxfId="3" priority="1"/>
  </conditionalFormatting>
  <conditionalFormatting sqref="T60:W60 P60">
    <cfRule type="duplicateValues" dxfId="2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11.628000000000002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12.192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11.628000000000002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12.192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40" topLeftCell="A41" activePane="bottomLeft" state="frozen"/>
      <selection pane="bottomLeft" activeCell="F1" sqref="F1"/>
    </sheetView>
  </sheetViews>
  <sheetFormatPr defaultRowHeight="15" x14ac:dyDescent="0.25"/>
  <cols>
    <col min="1" max="1" width="31" bestFit="1" customWidth="1"/>
    <col min="2" max="2" width="17.28515625" bestFit="1" customWidth="1"/>
    <col min="3" max="3" width="30" bestFit="1" customWidth="1"/>
    <col min="4" max="4" width="16.5703125" bestFit="1" customWidth="1"/>
    <col min="5" max="5" width="17.85546875" bestFit="1" customWidth="1"/>
    <col min="6" max="6" width="20" bestFit="1" customWidth="1"/>
    <col min="7" max="7" width="18.7109375" bestFit="1" customWidth="1"/>
    <col min="8" max="8" width="28.42578125" bestFit="1" customWidth="1"/>
    <col min="9" max="12" width="6.855468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Subtype]"),1),0),IF(_xlpm.vTitlePos=0,"",INDEX(_xlpm.vBlk,_xlpm.vTitlePos))),"")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4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TitlePos,IFERROR(INDEX(_xlfn._xlws.FILTER(_xlpm.vMarks,TRIM(INDEX(_xlpm.vBlk,_xlpm.vMarks))&lt;&gt;"▼ [Product Subtype]"),1),0),_xlpm.vNextPos,IF(_xlpm.vTitlePos=0,0,IFERROR(INDEX(_xlfn._xlws.FILTER(_xlpm.vMarks,_xlpm.vMarks&gt;_xlpm.vTitlePos),1),0)),_xlpm.vFrom,_xlpm.vTitlePos+1,_xlpm.vTo,IF(_xlpm.vNextPos=0,ROWS(_xlpm.vBlk),_xlpm.vNextPos-1),_xlpm.vSeg,IF(OR(_xlpm.vTitlePos=0,_xlpm.vFrom&gt;_xlpm.vTo),"",INDEX(_xlpm.vBlk,_xlfn.SEQUENCE(_xlpm.vTo-_xlpm.vFrom+1,,_xlpm.vFrom))),_xlfn._xlws.FILTER(_xlpm.vSeg,TRIM(_xlpm.vSeg)&lt;&gt;"")),""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G5" t="str">
        <v>L + R</v>
      </c>
      <c r="H5" t="str">
        <v>L + R</v>
      </c>
    </row>
    <row r="6" spans="1:12" x14ac:dyDescent="0.25">
      <c r="C6" t="str">
        <v>Sliding Door Standard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369"/>
    </row>
    <row r="41" spans="2:2" x14ac:dyDescent="0.25">
      <c r="B41" s="369" t="str" cm="1">
        <f t="array" ref="B41">IF(SUMPRODUCT(--(LEN(B42:B80)&gt;0))&gt;0,"▼ [Product Subtype]","")</f>
        <v>▼ [Product Subtype]</v>
      </c>
    </row>
    <row r="42" spans="2:2" x14ac:dyDescent="0.25">
      <c r="B42" t="str" cm="1">
        <f t="array" ref="B42">IFERROR(_xlfn.LET(_xlpm.vHit,_xlfn._xlws.FILTER(ROW(CalcEngine!$A$60:$A$5000),(TRIM(CalcEngine!$A$60:$A$5000)=TRIM(Enginuity!$A$1))*(TRIM(CalcEngine!$C$60:$C$5000)=TRIM(Enginuity!$A$18))*(TRIM(CalcEngine!$D$60:$D$5000)=TRIM(Enginuity!$A$19))),_xlpm.vTop,INDEX(_xlpm.vHit,1),_xlpm.vBlk,INDEX(CalcEngine!$F:$F,_xlpm.vTop):INDEX(CalcEngine!$F:$F,_xlpm.vTop+29),_xlpm.vMarks,_xlfn._xlws.FILTER(_xlfn.SEQUENCE(ROWS(_xlpm.vBlk)),LEFT(TRIM(_xlpm.vBlk),1)="▼"),_xlpm.vSubPos,IFERROR(_xlfn.XMATCH("▼ [Product Subtype]",TRIM(_xlpm.vBlk),0),0),_xlpm.vNextPos,IF(_xlpm.vSubPos=0,0,IFERROR(INDEX(_xlfn._xlws.FILTER(_xlpm.vMarks,_xlpm.vMarks&gt;_xlpm.vSubPos),1),0)),_xlpm.vFrom,_xlpm.vSubPos+1,_xlpm.vTo,IF(_xlpm.vNextPos=0,ROWS(_xlpm.vBlk),_xlpm.vNextPos-1),_xlpm.vSeg,IF(OR(_xlpm.vSubPos=0,_xlpm.vFrom&gt;_xlpm.vTo),"",INDEX(_xlpm.vBlk,_xlfn.SEQUENCE(_xlpm.vTo-_xlpm.vFrom+1,,_xlpm.vFrom))),_xlfn._xlws.FILTER(_xlpm.vSeg,TRIM(_xlpm.vSeg)&lt;&gt;"")),"")</f>
        <v>Curtain Wall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M/B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 t="e">
        <f>IF(AND(Enginuity!$B$6&gt;0, Enginuity!$B$7&gt;0, Enginuity!$B$13&gt;0), (2 * Enginuity!$B$7 * Enginuity!$B$13) + (2 * Enginuity!$B$6), "")</f>
        <v>#VALUE!</v>
      </c>
      <c r="U3" s="103" t="e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>#VALUE!</v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 t="e">
        <f>IF(AND(Enginuity!$B$6&gt;0, Enginuity!$B$7&gt;0, Enginuity!$B$13&gt;0), (2 * Enginuity!$B$7 * Enginuity!$B$13) + (2 * Enginuity!$B$6), "")</f>
        <v>#VALUE!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 t="e">
        <f>IF(AND(Enginuity!$B$6&gt;0, Enginuity!$B$7&gt;0, Enginuity!$B$13&gt;0), ((2*Enginuity!$B$7*Enginuity!$B$13)+(2*Enginuity!$B$6))*2, "")</f>
        <v>#VALUE!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P6" s="14" t="s">
        <v>265</v>
      </c>
      <c r="Q6" s="82" t="e">
        <f>IF(AND(Enginuity!$B$7&gt;0, Enginuity!$B$13&gt;1), (Enginuity!$B$13 - 1) * Enginuity!$B$7, "")</f>
        <v>#VALUE!</v>
      </c>
      <c r="U6" s="103" t="e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>#VALUE!</v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 t="e">
        <f xml:space="preserve"> ((2*1*Enginuity!$B$13 + 2*Enginuity!$B$6) * $B$7)
+ (((Enginuity!$B$13-1)*1) * $B$8)
+ ($B$2 * Enginuity!$B$13)
+ ($B$3 * Enginuity!$B$13)</f>
        <v>#VALUE!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 t="str">
        <f>Enginuity!$B$13</f>
        <v/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 t="e">
        <f xml:space="preserve"> ((2*1*Enginuity!$B$13 + 2*Enginuity!$B$6) * $B$9)
+ (((Enginuity!$B$13-1)*1) * $B$8)</f>
        <v>#VALUE!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 t="e">
        <f>(3*Enginuity!$B$6)+(Enginuity!$B$7*Enginuity!$B$13)</f>
        <v>#VALUE!</v>
      </c>
      <c r="E9" s="244">
        <v>1.86</v>
      </c>
      <c r="F9" s="104" t="e">
        <f t="shared" si="0"/>
        <v>#VALUE!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 t="e">
        <f>Enginuity!$B$13*IF(TRIM(Enginuity!$A$21)="1'H X ?'W X Qty Panel Top Hung (Casement Profile)",2,1)</f>
        <v>#VALUE!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 t="e">
        <f>(4*Enginuity!$B$6)+(2*Enginuity!$B$7*Enginuity!$B$13)</f>
        <v>#VALUE!</v>
      </c>
      <c r="E10" s="244">
        <v>1.86</v>
      </c>
      <c r="F10" s="104" t="e">
        <f t="shared" si="0"/>
        <v>#VALUE!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 t="e">
        <f>Enginuity!$B$13*4</f>
        <v>#VALUE!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 t="e">
        <f>($B$2 * Enginuity!$B$13)
+ ($B$3 * Enginuity!$B$13)
+ ((2*1 + 2*Enginuity!$B$6) * $B$6)
+ ((2*1*Enginuity!$B$13 + 2*Enginuity!$B$6) * $B$7)
+ (((Enginuity!$B$13-1)*1) * $B$8)
+ (Enginuity!$B$6 * $B$4)</f>
        <v>#VALUE!</v>
      </c>
      <c r="F11" s="104" t="e">
        <f>IF(D11*E11=0, "", D11*E11)</f>
        <v>#VALUE!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 t="e">
        <f>Enginuity!$B$13*2</f>
        <v>#VALUE!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 t="e">
        <f>((2*1 + 2*Enginuity!$B$6) * $B$6)
+ ((2*1*Enginuity!$B$13 + 2*Enginuity!$B$6) * $B$9)
+ (((Enginuity!$B$13-1)*1) * $B$8)
+ (Enginuity!$B$6 * $B$4)</f>
        <v>#VALUE!</v>
      </c>
      <c r="F12" s="104" t="e">
        <f>IF(D12*E12=0, "", D12*E12)</f>
        <v>#VALUE!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 t="e">
        <f>Enginuity!$B$13 *
 IF(Enginuity!$B$7&lt;7,3,
 IF(AND(Enginuity!$B$7&gt;=8,Enginuity!$B$7&lt;=9),4,
 IF(AND(Enginuity!$B$7&gt;=10,Enginuity!$B$7&lt;=11),5,
 IF(AND(Enginuity!$B$7&gt;=12,Enginuity!$B$7&lt;=13),6,
 0))))</f>
        <v>#VALUE!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 t="str">
        <f>IF(AND(ISNUMBER(Enginuity!B13), Enginuity!B13&gt;0), Enginuity!B13*4, "")</f>
        <v/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 t="e">
        <f>IF(AND(Enginuity!$B$7&gt;0, Enginuity!$B$13&gt;0), Enginuity!$B$7 * Enginuity!$B$13, "")</f>
        <v>#VALUE!</v>
      </c>
      <c r="U19" s="103" t="e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>#VALUE!</v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 t="e">
        <f>IF(AND(Enginuity!$B$7&gt;0, Enginuity!$B$13&gt;0), Enginuity!$B$7 * Enginuity!$B$13, "")</f>
        <v>#VALUE!</v>
      </c>
      <c r="U20" s="103" t="e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>#VALUE!</v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 t="e">
        <f>$Q$3</f>
        <v>#VALUE!</v>
      </c>
      <c r="U52" s="103" t="e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>#VALUE!</v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 t="e">
        <f>IF(AND(Enginuity!$B$7&gt;0, Enginuity!$B$13&gt;1), (Enginuity!$B$13 - 1) * Enginuity!$B$7, "")</f>
        <v>#VALUE!</v>
      </c>
      <c r="U54" s="103" t="e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>#VALUE!</v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08-Box Lattice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 t="e">
        <f>$Q$3</f>
        <v>#VALUE!</v>
      </c>
      <c r="U62" s="103" t="e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>#VALUE!</v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 t="e">
        <f>IF(AND(Enginuity!$B$7&gt;0, Enginuity!$B$13&gt;1), (Enginuity!$B$13 - 1) * Enginuity!$B$7, "")</f>
        <v>#VALUE!</v>
      </c>
      <c r="U64" s="103" t="e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>#VALUE!</v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08-Box Lattice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M/B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 t="e">
        <f>IF(AND(Enginuity!$B$6&gt;0, Enginuity!$B$7&gt;0, Enginuity!$B$13&gt;0), (2 * Enginuity!$B$7 * Enginuity!$B$13) + (2 * Enginuity!$B$6), "")</f>
        <v>#VALUE!</v>
      </c>
      <c r="U80" s="103" t="e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>#VALUE!</v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 t="e">
        <f>IF(AND(Enginuity!$B$6&gt;0, Enginuity!$B$7&gt;0, Enginuity!$B$13&gt;0), ((2*Enginuity!$B$7*Enginuity!$B$13)+(2*Enginuity!$B$6))*2, "")</f>
        <v>#VALUE!</v>
      </c>
      <c r="U81" s="103" t="e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>#VALUE!</v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2" s="103" t="e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>#VALUE!</v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 t="e">
        <f>Enginuity!$B$13*IF(TRIM(Enginuity!$A$21)="1'H X ?'W X Qty Panel Top Hung (Casement Profile)",2,1)</f>
        <v>#VALUE!</v>
      </c>
      <c r="U83" s="103" t="e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>#VALUE!</v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 t="e">
        <f>Enginuity!$B$13*IF(TRIM(Enginuity!$A$21)="1'H X ?'W X Qty Panel Top Hung (Casement Profile)",2,1)</f>
        <v>#VALUE!</v>
      </c>
      <c r="U84" s="103" t="e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>#VALUE!</v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 t="e">
        <f>IF(AND(Enginuity!$B$7&gt;0, Enginuity!$B$13&gt;0), Enginuity!$B$7 * Enginuity!$B$13, "")</f>
        <v>#VALUE!</v>
      </c>
      <c r="U108" s="103" t="e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>#VALUE!</v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 t="e">
        <f>IF(AND(Enginuity!$B$7&gt;0, Enginuity!$B$13&gt;0), Enginuity!$B$7 * Enginuity!$B$13, "")</f>
        <v>#VALUE!</v>
      </c>
      <c r="U109" s="103" t="e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>#VALUE!</v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08-Box Lattice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 t="e">
        <f>IF(AND(Enginuity!$B$7&gt;0, Enginuity!$B$13&gt;0), Enginuity!$B$7 * Enginuity!$B$13, "")</f>
        <v>#VALUE!</v>
      </c>
      <c r="U126" s="103" t="e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>#VALUE!</v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 t="e">
        <f>IF(AND(Enginuity!$B$7&gt;0, Enginuity!$B$13&gt;0), Enginuity!$B$7 * Enginuity!$B$13, "")</f>
        <v>#VALUE!</v>
      </c>
      <c r="U127" s="103" t="e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>#VALUE!</v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08-Box Lattice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M/B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 t="e">
        <f>IF(AND(Enginuity!$B$6&gt;0, Enginuity!$B$7&gt;0, Enginuity!$B$13&gt;0), (2 * Enginuity!$B$7 * Enginuity!$B$13) + (2 * Enginuity!$B$6), "")</f>
        <v>#VALUE!</v>
      </c>
      <c r="U141" s="103" t="e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>#VALUE!</v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 t="e">
        <f>IF(AND(Enginuity!$B$6&gt;0, Enginuity!$B$7&gt;0, Enginuity!$B$13&gt;0), ((2*Enginuity!$B$7*Enginuity!$B$13)+(2*Enginuity!$B$6))*2, "")</f>
        <v>#VALUE!</v>
      </c>
      <c r="U142" s="103" t="e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>#VALUE!</v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43" s="103" t="e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>#VALUE!</v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 t="str">
        <f>Enginuity!$B$13</f>
        <v/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 t="e">
        <f>Enginuity!$B$13*4</f>
        <v>#VALUE!</v>
      </c>
      <c r="U147" s="103" t="e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>#VALUE!</v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 t="e">
        <f>Enginuity!$B$13*2</f>
        <v>#VALUE!</v>
      </c>
      <c r="U148" s="103" t="e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>#VALUE!</v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 t="e">
        <f>IF(AND(Enginuity!$B$7&gt;0, Enginuity!$B$13&gt;0), Enginuity!$B$7 * Enginuity!$B$13, "")</f>
        <v>#VALUE!</v>
      </c>
      <c r="U157" s="103" t="e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>#VALUE!</v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 t="e">
        <f>IF(AND(Enginuity!$B$7&gt;0, Enginuity!$B$13&gt;0), Enginuity!$B$7 * Enginuity!$B$13, "")</f>
        <v>#VALUE!</v>
      </c>
      <c r="U158" s="103" t="e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>#VALUE!</v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08-Box Lattice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 t="e">
        <f>IF(AND(Enginuity!$B$7&gt;0, Enginuity!$B$13&gt;0), Enginuity!$B$7 * Enginuity!$B$13, "")</f>
        <v>#VALUE!</v>
      </c>
      <c r="U175" s="103" t="e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>#VALUE!</v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 t="e">
        <f>IF(AND(Enginuity!$B$7&gt;0, Enginuity!$B$13&gt;0), Enginuity!$B$7 * Enginuity!$B$13, "")</f>
        <v>#VALUE!</v>
      </c>
      <c r="U176" s="103" t="e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>#VALUE!</v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08-Box Lattice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M/B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 t="e">
        <f>IF(AND(Enginuity!$B$6&gt;0, Enginuity!$B$7&gt;0, Enginuity!$B$13&gt;0), (2 * Enginuity!$B$7 * Enginuity!$B$13) + (2 * Enginuity!$B$6), "")</f>
        <v>#VALUE!</v>
      </c>
      <c r="U190" s="103" t="e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>#VALUE!</v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 t="e">
        <f>IF(AND(Enginuity!$B$6&gt;0, Enginuity!$B$7&gt;0, Enginuity!$B$13&gt;0), ((2*Enginuity!$B$7*Enginuity!$B$13)+(2*Enginuity!$B$6))*2, "")</f>
        <v>#VALUE!</v>
      </c>
      <c r="U191" s="103" t="e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>#VALUE!</v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92" s="103" t="e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>#VALUE!</v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 t="str">
        <f>Enginuity!$B$13</f>
        <v/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 t="e">
        <f>Enginuity!$B$13*4</f>
        <v>#VALUE!</v>
      </c>
      <c r="U196" s="103" t="e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>#VALUE!</v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 t="e">
        <f>Enginuity!$B$13*2</f>
        <v>#VALUE!</v>
      </c>
      <c r="U197" s="103" t="e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>#VALUE!</v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 t="e">
        <f>$Q$3</f>
        <v>#VALUE!</v>
      </c>
      <c r="U203" s="103" t="e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>#VALUE!</v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 t="e">
        <f>$Q$3</f>
        <v>#VALUE!</v>
      </c>
      <c r="U218" s="103" t="e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>#VALUE!</v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M/B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 t="e">
        <f>IF(AND(Enginuity!$B$6&gt;0, Enginuity!$B$7&gt;0, Enginuity!$B$13&gt;0), ((2*Enginuity!$B$7*Enginuity!$B$13)+(2*Enginuity!$B$6))*2, "")</f>
        <v>#VALUE!</v>
      </c>
      <c r="U237" s="103" t="e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>#VALUE!</v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38" s="103" t="e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>#VALUE!</v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 t="str">
        <f>Enginuity!$B$13</f>
        <v/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 t="e">
        <f>Enginuity!$B$13*2</f>
        <v>#VALUE!</v>
      </c>
      <c r="U242" s="103" t="e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>#VALUE!</v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 t="e">
        <f>Enginuity!$B$13*2</f>
        <v>#VALUE!</v>
      </c>
      <c r="U243" s="103" t="e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>#VALUE!</v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 t="e">
        <f>IF(Enginuity!$B$13-1=0, "", Enginuity!$B$13-1)</f>
        <v>#VALUE!</v>
      </c>
      <c r="U245" s="103" t="e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>#VALUE!</v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 t="e">
        <f>IF(Enginuity!$B$13-1=0, "", Enginuity!$B$13-1)</f>
        <v>#VALUE!</v>
      </c>
      <c r="U246" s="103" t="e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>#VALUE!</v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 t="e">
        <f>$Q$3</f>
        <v>#VALUE!</v>
      </c>
      <c r="U247" s="103" t="e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>#VALUE!</v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08-Box Lattice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 t="e">
        <f>$Q$3</f>
        <v>#VALUE!</v>
      </c>
      <c r="U257" s="103" t="e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>#VALUE!</v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08-Box Lattice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M/B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 t="e">
        <f>IF(AND(Enginuity!$B$6&gt;0, Enginuity!$B$7&gt;0, Enginuity!$B$13&gt;0), ((2*Enginuity!$B$7*Enginuity!$B$13)+(2*Enginuity!$B$6))*2, "")</f>
        <v>#VALUE!</v>
      </c>
      <c r="U286" s="103" t="e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>#VALUE!</v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87" s="103" t="e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>#VALUE!</v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 t="str">
        <f>IF(OR(Enginuity!$B$7="",Enginuity!$B$13=""),"",
Enginuity!$B$13*
IF(Enginuity!$B$7&lt;=7,3,
IF(Enginuity!$B$7&lt;=9,4,
IF(Enginuity!$B$7&lt;=11,5,6))))</f>
        <v/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 t="str">
        <f>Enginuity!$B$13</f>
        <v/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 t="e">
        <f>IF(Enginuity!$B$13-1=0, "", Enginuity!$B$13-1)</f>
        <v>#VALUE!</v>
      </c>
      <c r="U294" s="103" t="e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>#VALUE!</v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 t="e">
        <f>IF(Enginuity!$B$13-1=0, "", Enginuity!$B$13-1)</f>
        <v>#VALUE!</v>
      </c>
      <c r="U295" s="103" t="e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>#VALUE!</v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44" s="103" t="e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>#VALUE!</v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 t="e">
        <f>(Enginuity!$B$13 - 1) * Enginuity!$B$7</f>
        <v>#VALUE!</v>
      </c>
      <c r="U347" s="103" t="e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>#VALUE!</v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08-Box Lattice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 t="e">
        <f>(Enginuity!$B$13 - 1) * Enginuity!$B$7</f>
        <v>#VALUE!</v>
      </c>
      <c r="U357" s="103" t="e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>#VALUE!</v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08-Box Lattice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M/B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 t="e">
        <f>IF(AND(Enginuity!$B$6&gt;0, Enginuity!$B$7&gt;0, Enginuity!$B$13&gt;0), ((2*Enginuity!$B$7*Enginuity!$B$13)+(2*Enginuity!$B$6))*2, "")</f>
        <v>#VALUE!</v>
      </c>
      <c r="U390" s="103" t="e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>#VALUE!</v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391" s="103" t="e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>#VALUE!</v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 t="e">
        <f>(Enginuity!$B$13 - 1) * Enginuity!$B$7</f>
        <v>#VALUE!</v>
      </c>
      <c r="U396" s="103" t="e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>#VALUE!</v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08-Box Lattice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 t="e">
        <f>(Enginuity!$B$13 - 1) * Enginuity!$B$7</f>
        <v>#VALUE!</v>
      </c>
      <c r="U406" s="103" t="e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>#VALUE!</v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08-Box Lattice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M/B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 t="e">
        <f>IF(AND(Enginuity!$B$6&gt;0, Enginuity!$B$7&gt;0, Enginuity!$B$13&gt;0), ((2*Enginuity!$B$7*Enginuity!$B$13)+(2*Enginuity!$B$6))*2, "")</f>
        <v>#VALUE!</v>
      </c>
      <c r="U439" s="103" t="e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>#VALUE!</v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440" s="103" t="e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>#VALUE!</v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 t="e">
        <f>Enginuity!$B$7*(Enginuity!$B$13+1)</f>
        <v>#VALUE!</v>
      </c>
      <c r="U443" s="103" t="e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>#VALUE!</v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M/B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 t="e">
        <f>Enginuity!$B$7*(Enginuity!$B$13+1)</f>
        <v>#VALUE!</v>
      </c>
      <c r="U455" s="103" t="e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>#VALUE!</v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M/B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 t="e">
        <f>Enginuity!$B$7*Enginuity!$B$13</f>
        <v>#VALUE!</v>
      </c>
      <c r="U467" s="103" t="e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>#VALUE!</v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 t="e">
        <f>Enginuity!$B$7*Enginuity!$B$13</f>
        <v>#VALUE!</v>
      </c>
      <c r="U475" s="103" t="e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>#VALUE!</v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M/B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 t="e">
        <f>Enginuity!$B$13 * Enginuity!$B$7</f>
        <v>#VALUE!</v>
      </c>
      <c r="U481" s="103" t="e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>#VALUE!</v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 t="e">
        <f>Enginuity!$B$13 * Enginuity!$B$7</f>
        <v>#VALUE!</v>
      </c>
      <c r="U492" s="103" t="e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>#VALUE!</v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 t="e">
        <f>ROUNDUP(Enginuity!B6 * 304.8 / Enginuity!B15, 0) * 2</f>
        <v>#DIV/0!</v>
      </c>
      <c r="U494" s="103" t="e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>#DIV/0!</v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 t="e">
        <f>ROUNDUP(Enginuity!B6 * 304.8 / Enginuity!B15, 0) * 8</f>
        <v>#DIV/0!</v>
      </c>
      <c r="U497" s="103" t="e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>#DIV/0!</v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M/B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 t="e">
        <f>ROUNDUP((Enginuity!$B$6*2 + Enginuity!$B$13*2*Enginuity!$B$7)/3, 0)</f>
        <v>#VALUE!</v>
      </c>
      <c r="U503" s="103" t="e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>#VALUE!</v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 t="e">
        <f>ROUNDUP((((Enginuity!$B$13-1)*Enginuity!$B$7)*2/32.8)*1.1, 0)</f>
        <v>#VALUE!</v>
      </c>
      <c r="U505" s="103" t="e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>#VALUE!</v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M/B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 t="e">
        <f>ROUNDUP((Enginuity!$B$6*2 + Enginuity!$B$13*2*Enginuity!$B$7)/3, 0)</f>
        <v>#VALUE!</v>
      </c>
      <c r="U510" s="103" t="e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>#VALUE!</v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 t="e">
        <f>ROUNDUP((((Enginuity!$B$13-1)*Enginuity!$B$7)*2/32.8)*1.1, 0)</f>
        <v>#VALUE!</v>
      </c>
      <c r="U512" s="103" t="e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>#VALUE!</v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M/B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 t="str">
        <f>Enginuity!$B$13</f>
        <v/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 t="str">
        <f>Enginuity!$B$13</f>
        <v/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 t="e">
        <f>$Q$3</f>
        <v>#VALUE!</v>
      </c>
      <c r="U542" s="103" t="e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>#VALUE!</v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 t="e">
        <f>$Q$6</f>
        <v>#VALUE!</v>
      </c>
      <c r="U544" s="103" t="e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>#VALUE!</v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 t="e">
        <f>$Q$3</f>
        <v>#VALUE!</v>
      </c>
      <c r="U545" s="103" t="e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>#VALUE!</v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 t="e">
        <f>Enginuity!$B$7*Enginuity!$B$13</f>
        <v>#VALUE!</v>
      </c>
      <c r="U546" s="103" t="e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>#VALUE!</v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08-Box Lattice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M/B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 t="e">
        <f>IF(AND(Enginuity!$B$6&gt;0, Enginuity!$B$7&gt;0, Enginuity!$B$13&gt;0), (2 * Enginuity!$B$7 * Enginuity!$B$13) + (2 * Enginuity!$B$6), "")</f>
        <v>#VALUE!</v>
      </c>
      <c r="U572" s="103" t="e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>#VALUE!</v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 t="e">
        <f>IF(AND(Enginuity!$B$6&gt;0, Enginuity!$B$7&gt;0, Enginuity!$B$13&gt;0), ((2*Enginuity!$B$7*Enginuity!$B$13)+(2*Enginuity!$B$6))*2, "")</f>
        <v>#VALUE!</v>
      </c>
      <c r="U573" s="103" t="e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>#VALUE!</v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574" s="103" t="e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>#VALUE!</v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 t="e">
        <f>Enginuity!$B$13*IF(TRIM(Enginuity!$A$21)="1'H X ?'W X Qty Panel Top Hung (Casement Profile)",2,1)</f>
        <v>#VALUE!</v>
      </c>
      <c r="U575" s="103" t="e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>#VALUE!</v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 t="e">
        <f>Enginuity!$B$13*IF(TRIM(Enginuity!$A$21)="1'H X ?'W X Qty Panel Top Hung (Casement Profile)",2,1)</f>
        <v>#VALUE!</v>
      </c>
      <c r="U576" s="103" t="e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>#VALUE!</v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 t="str">
        <f>IF(AND(ISNUMBER(Enginuity!$B$13), Enginuity!$B$13&gt;0), Enginuity!$B$13*4, "")</f>
        <v/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 t="str">
        <f>IF(AND(ISNUMBER(Enginuity!$B$13), Enginuity!$B$13&gt;0), Enginuity!$B$13*4, "")</f>
        <v/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 t="e">
        <f>Enginuity!$B$13*4</f>
        <v>#VALUE!</v>
      </c>
      <c r="U580" s="103" t="e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>#VALUE!</v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 t="e">
        <f>Enginuity!$B$13*
 IF(Enginuity!$B$7&lt;5,2,
 IF(Enginuity!$B$7&lt;6,3,
 IF(Enginuity!$B$7&lt;=7,4,5)))</f>
        <v>#VALUE!</v>
      </c>
      <c r="U581" s="103" t="e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>#VALUE!</v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 t="e">
        <f>Enginuity!$B$13*
 IF(Enginuity!$B$7&lt;5,2,
 IF(Enginuity!$B$7&lt;6,3,
 IF(Enginuity!$B$7&lt;=7,4,5)))</f>
        <v>#VALUE!</v>
      </c>
      <c r="U582" s="103" t="e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>#VALUE!</v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 t="e">
        <f>Enginuity!$B$13*2</f>
        <v>#VALUE!</v>
      </c>
      <c r="U583" s="103" t="e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>#VALUE!</v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 t="e">
        <f>Enginuity!$B$13*2</f>
        <v>#VALUE!</v>
      </c>
      <c r="U584" s="103" t="e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>#VALUE!</v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 t="e">
        <f>Enginuity!$B$13*1</f>
        <v>#VALUE!</v>
      </c>
      <c r="U585" s="103" t="e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>#VALUE!</v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 t="e">
        <f>$Q$3</f>
        <v>#VALUE!</v>
      </c>
      <c r="U591" s="103" t="e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>#VALUE!</v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 t="e">
        <f>$Q$6</f>
        <v>#VALUE!</v>
      </c>
      <c r="U593" s="103" t="e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>#VALUE!</v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 t="e">
        <f>Enginuity!$B$7*Enginuity!$B$13</f>
        <v>#VALUE!</v>
      </c>
      <c r="U594" s="103" t="e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>#VALUE!</v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08-Box Lattice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M/B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 t="e">
        <f>IF(AND(Enginuity!$B$6&gt;0, Enginuity!$B$7&gt;0, Enginuity!$B$13&gt;0), (2 * Enginuity!$B$7 * Enginuity!$B$13) + (2 * Enginuity!$B$6), "")</f>
        <v>#VALUE!</v>
      </c>
      <c r="U621" s="103" t="e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>#VALUE!</v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 t="e">
        <f>IF(AND(Enginuity!$B$6&gt;0, Enginuity!$B$7&gt;0, Enginuity!$B$13&gt;0), ((2*Enginuity!$B$7*Enginuity!$B$13)+(2*Enginuity!$B$6))*2, "")</f>
        <v>#VALUE!</v>
      </c>
      <c r="U622" s="103" t="e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>#VALUE!</v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23" s="103" t="e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>#VALUE!</v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 t="e">
        <f>Enginuity!$B$13*IF(TRIM(Enginuity!$A$21)="1'H X ?'W X Qty Panel Top Hung (Casement Profile)",2,1)</f>
        <v>#VALUE!</v>
      </c>
      <c r="U624" s="103" t="e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>#VALUE!</v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 t="e">
        <f>Enginuity!$B$13*IF(TRIM(Enginuity!$A$21)="1'H X ?'W X Qty Panel Top Hung (Casement Profile)",2,1)</f>
        <v>#VALUE!</v>
      </c>
      <c r="U625" s="103" t="e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>#VALUE!</v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 t="str">
        <f>IF(AND(ISNUMBER(Enginuity!$B$13), Enginuity!$B$13&gt;0), Enginuity!$B$13*4, "")</f>
        <v/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 t="e">
        <f>Enginuity!$B$13*
 IF(Enginuity!$B$7&lt;5,2,
 IF(Enginuity!$B$7&lt;6,3,
 IF(Enginuity!$B$7&lt;=7,4,5)))</f>
        <v>#VALUE!</v>
      </c>
      <c r="U628" s="103" t="e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>#VALUE!</v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 t="e">
        <f>Enginuity!$B$13*
 IF(Enginuity!$B$7&lt;5,2,
 IF(Enginuity!$B$7&lt;6,3,
 IF(Enginuity!$B$7&lt;=7,4,5)))</f>
        <v>#VALUE!</v>
      </c>
      <c r="U629" s="103" t="e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>#VALUE!</v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 t="e">
        <f>Enginuity!$B$13*2</f>
        <v>#VALUE!</v>
      </c>
      <c r="U630" s="103" t="e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>#VALUE!</v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 t="e">
        <f>Enginuity!$B$13*2</f>
        <v>#VALUE!</v>
      </c>
      <c r="U631" s="103" t="e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>#VALUE!</v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 t="e">
        <f>Enginuity!$B$13*1</f>
        <v>#VALUE!</v>
      </c>
      <c r="U632" s="103" t="e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>#VALUE!</v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 t="e">
        <f>$Q$3</f>
        <v>#VALUE!</v>
      </c>
      <c r="U640" s="103" t="e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>#VALUE!</v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 t="e">
        <f>$Q$6</f>
        <v>#VALUE!</v>
      </c>
      <c r="U642" s="103" t="e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>#VALUE!</v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 t="e">
        <f>Enginuity!$B$7*Enginuity!$B$13</f>
        <v>#VALUE!</v>
      </c>
      <c r="U644" s="103" t="e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>#VALUE!</v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08-Box Lattice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M/B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 t="e">
        <f>IF(AND(Enginuity!$B$6&gt;0, Enginuity!$B$7&gt;0, Enginuity!$B$13&gt;0), (2 * Enginuity!$B$7 * Enginuity!$B$13) + (2 * Enginuity!$B$6), "")</f>
        <v>#VALUE!</v>
      </c>
      <c r="U670" s="103" t="e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>#VALUE!</v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 t="e">
        <f>IF(AND(Enginuity!$B$6&gt;0, Enginuity!$B$7&gt;0, Enginuity!$B$13&gt;0), ((2*Enginuity!$B$7*Enginuity!$B$13)+(2*Enginuity!$B$6))*2, "")</f>
        <v>#VALUE!</v>
      </c>
      <c r="U671" s="103" t="e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>#VALUE!</v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672" s="103" t="e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>#VALUE!</v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 t="e">
        <f>Enginuity!$B$13*IF(TRIM(Enginuity!$A$21)="1'H X ?'W X Qty Panel Top Hung (Casement Profile)",2,1)</f>
        <v>#VALUE!</v>
      </c>
      <c r="U673" s="103" t="e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>#VALUE!</v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 t="e">
        <f>Enginuity!$B$13*IF(TRIM(Enginuity!$A$21)="1'H X ?'W X Qty Panel Top Hung (Casement Profile)",2,1)</f>
        <v>#VALUE!</v>
      </c>
      <c r="U674" s="103" t="e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>#VALUE!</v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 t="str">
        <f>IF(AND(ISNUMBER(Enginuity!$B$13), Enginuity!$B$13&gt;0), Enginuity!$B$13*4, "")</f>
        <v/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 t="e">
        <f>Enginuity!$B$13*
 IF(Enginuity!$B$7&lt;5,2,
 IF(Enginuity!$B$7&lt;6,3,
 IF(Enginuity!$B$7&lt;=7,4,5)))</f>
        <v>#VALUE!</v>
      </c>
      <c r="U677" s="103" t="e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>#VALUE!</v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 t="e">
        <f>Enginuity!$B$13*
 IF(Enginuity!$B$7&lt;5,2,
 IF(Enginuity!$B$7&lt;6,3,
 IF(Enginuity!$B$7&lt;=7,4,5)))</f>
        <v>#VALUE!</v>
      </c>
      <c r="U678" s="103" t="e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>#VALUE!</v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 t="e">
        <f>Enginuity!$B$13*2</f>
        <v>#VALUE!</v>
      </c>
      <c r="U679" s="103" t="e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>#VALUE!</v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 t="e">
        <f>Enginuity!$B$13*2</f>
        <v>#VALUE!</v>
      </c>
      <c r="U680" s="103" t="e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>#VALUE!</v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 t="e">
        <f>Enginuity!$B$13*1</f>
        <v>#VALUE!</v>
      </c>
      <c r="U681" s="103" t="e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>#VALUE!</v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 t="e">
        <f>$Q$3</f>
        <v>#VALUE!</v>
      </c>
      <c r="U691" s="103" t="e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>#VALUE!</v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 t="e">
        <f>Enginuity!$B$7*Enginuity!$B$13</f>
        <v>#VALUE!</v>
      </c>
      <c r="U693" s="103" t="e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>#VALUE!</v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08-Box Lattice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M/B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 t="e">
        <f>IF(AND(Enginuity!$B$6&gt;0, Enginuity!$B$7&gt;0, Enginuity!$B$13&gt;0), (2 * Enginuity!$B$7 * Enginuity!$B$13) + (2 * Enginuity!$B$6), "")</f>
        <v>#VALUE!</v>
      </c>
      <c r="U719" s="103" t="e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>#VALUE!</v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 t="e">
        <f>IF(AND(Enginuity!$B$6&gt;0, Enginuity!$B$7&gt;0, Enginuity!$B$13&gt;0), ((2*Enginuity!$B$7*Enginuity!$B$13)+(2*Enginuity!$B$6))*2, "")</f>
        <v>#VALUE!</v>
      </c>
      <c r="U720" s="103" t="e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>#VALUE!</v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21" s="103" t="e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>#VALUE!</v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 t="e">
        <f>IF(MOD(Enginuity!$B$13,2)=1,1,0)</f>
        <v>#VALUE!</v>
      </c>
      <c r="U722" s="103" t="e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>#VALUE!</v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 t="e">
        <f>FLOOR(Enginuity!$B$13/2,1)</f>
        <v>#VALUE!</v>
      </c>
      <c r="U723" s="103" t="e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>#VALUE!</v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 t="str">
        <f>IF(AND(ISNUMBER(Enginuity!$B$13), Enginuity!$B$13&gt;0), Enginuity!$B$13*4, "")</f>
        <v/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 t="e">
        <f>FLOOR(Enginuity!$B$13/2,1)</f>
        <v>#VALUE!</v>
      </c>
      <c r="U725" s="103" t="e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>#VALUE!</v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 t="e">
        <f>(Enginuity!$B$13*
  IF(Enginuity!$B$7&lt;=7,3,
  IF(Enginuity!$B$7&lt;=9,4,
  IF(Enginuity!$B$7&lt;=11,5,6))))
  - (2*FLOOR((Enginuity!$B$13-1)/2,1))</f>
        <v>#VALUE!</v>
      </c>
      <c r="U726" s="103" t="e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>#VALUE!</v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 t="e">
        <f>FLOOR(Enginuity!$B$13/2,1)</f>
        <v>#VALUE!</v>
      </c>
      <c r="U727" s="103" t="e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>#VALUE!</v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 t="e">
        <f>(FLOOR(Enginuity!$B$13/2,1)*2)+IF(MOD(Enginuity!$B$13,2)=1,2,0)</f>
        <v>#VALUE!</v>
      </c>
      <c r="U728" s="103" t="e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>#VALUE!</v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 t="e">
        <f>IF(AND(Enginuity!$B$7&gt;0, Enginuity!$B$13&gt;0), Enginuity!$B$7 * Enginuity!$B$13, "")</f>
        <v>#VALUE!</v>
      </c>
      <c r="U745" s="103" t="e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>#VALUE!</v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 t="e">
        <f>IF(AND(Enginuity!$B$7&gt;0, Enginuity!$B$13&gt;0), Enginuity!$B$7 * Enginuity!$B$13, "")</f>
        <v>#VALUE!</v>
      </c>
      <c r="U746" s="103" t="e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>#VALUE!</v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08-Box Lattice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M/B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 t="e">
        <f>IF(AND(Enginuity!$B$6&gt;0, Enginuity!$B$7&gt;0, Enginuity!$B$13&gt;0), (2 * Enginuity!$B$7 * Enginuity!$B$13) + (2 * Enginuity!$B$6), "")</f>
        <v>#VALUE!</v>
      </c>
      <c r="U758" s="103" t="e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>#VALUE!</v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 t="e">
        <f>IF(AND(Enginuity!$B$6&gt;0, Enginuity!$B$7&gt;0, Enginuity!$B$13&gt;0), ((2*Enginuity!$B$7*Enginuity!$B$13)+(2*Enginuity!$B$6))*2, "")</f>
        <v>#VALUE!</v>
      </c>
      <c r="U759" s="103" t="e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>#VALUE!</v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760" s="103" t="e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>#VALUE!</v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 t="str">
        <f>IF(AND(ISNUMBER(Enginuity!$B$13), Enginuity!$B$13&gt;0), Enginuity!$B$13*4, "")</f>
        <v/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 t="str">
        <f>Enginuity!$B$13</f>
        <v/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 t="e">
        <f>Enginuity!$B$13*2</f>
        <v>#VALUE!</v>
      </c>
      <c r="U766" s="103" t="e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>#VALUE!</v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 t="e">
        <f>Enginuity!$B$13*4</f>
        <v>#VALUE!</v>
      </c>
      <c r="U768" s="103" t="e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>#VALUE!</v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 t="e">
        <f>Enginuity!$B$13*2</f>
        <v>#VALUE!</v>
      </c>
      <c r="U769" s="103" t="e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>#VALUE!</v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 t="e">
        <f>IF(AND(Enginuity!$B$7&gt;0, Enginuity!$B$13&gt;0), Enginuity!$B$7 * Enginuity!$B$13, "")</f>
        <v>#VALUE!</v>
      </c>
      <c r="U794" s="103" t="e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>#VALUE!</v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 t="e">
        <f>IF(AND(Enginuity!$B$7&gt;0, Enginuity!$B$13&gt;0), Enginuity!$B$7 * Enginuity!$B$13, "")</f>
        <v>#VALUE!</v>
      </c>
      <c r="U795" s="103" t="e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>#VALUE!</v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08-Box Lattice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M/B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 t="e">
        <f>IF(AND(Enginuity!$B$6&gt;0, Enginuity!$B$7&gt;0, Enginuity!$B$13&gt;0), (2 * Enginuity!$B$7 * Enginuity!$B$13) + (2 * Enginuity!$B$6), "")</f>
        <v>#VALUE!</v>
      </c>
      <c r="U807" s="103" t="e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>#VALUE!</v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 t="e">
        <f>IF(AND(Enginuity!$B$6&gt;0, Enginuity!$B$7&gt;0, Enginuity!$B$13&gt;0), ((2*Enginuity!$B$7*Enginuity!$B$13)+(2*Enginuity!$B$6))*2, "")</f>
        <v>#VALUE!</v>
      </c>
      <c r="U808" s="103" t="e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>#VALUE!</v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809" s="103" t="e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>#VALUE!</v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 t="str">
        <f>IF(AND(ISNUMBER(Enginuity!$B$13), Enginuity!$B$13&gt;0), Enginuity!$B$13*4, "")</f>
        <v/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4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 t="e">
        <f>Enginuity!$B$13*4</f>
        <v>#VALUE!</v>
      </c>
      <c r="U816" s="103" t="e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>#VALUE!</v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 t="e">
        <f>Enginuity!$B$7*Enginuity!$B$13</f>
        <v>#VALUE!</v>
      </c>
      <c r="U836" s="103" t="e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>#VALUE!</v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 t="e">
        <f>(Enginuity!$B$6/Enginuity!$B$13 + Enginuity!$B$7)*2*Enginuity!$B$13</f>
        <v>#VALUE!</v>
      </c>
      <c r="U837" s="103" t="e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>#VALUE!</v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 t="e">
        <f>ROUNDUP(((Enginuity!$B$13-1)*Enginuity!$B$7)/32.8, 0)</f>
        <v>#VALUE!</v>
      </c>
      <c r="U838" s="103" t="e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>#VALUE!</v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M/B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 t="e">
        <f>$Q$3</f>
        <v>#VALUE!</v>
      </c>
      <c r="U885" s="103" t="e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>#VALUE!</v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 t="e">
        <f>IF(AND(Enginuity!$B$7&gt;0, Enginuity!$B$13&gt;1), (Enginuity!$B$13 - 1) * Enginuity!$B$7, "")</f>
        <v>#VALUE!</v>
      </c>
      <c r="U886" s="103" t="e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>#VALUE!</v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 t="e">
        <f>ROUNDUP((Enginuity!$B$6*2 + Enginuity!$B$13*2*Enginuity!$B$7)/3, 0)</f>
        <v>#VALUE!</v>
      </c>
      <c r="U892" s="103" t="e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>#VALUE!</v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 t="e">
        <f>Enginuity!$B$6*2 + Enginuity!$B$13*2*Enginuity!$B$7</f>
        <v>#VALUE!</v>
      </c>
      <c r="U893" s="103" t="e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>#VALUE!</v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0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 t="e">
        <f>ROUNDUP((Enginuity!$B$6*2 + Enginuity!$B$13*2*Enginuity!$B$7)/3, 0)</f>
        <v>#VALUE!</v>
      </c>
      <c r="U909" s="103" t="e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>#VALUE!</v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 t="e">
        <f>Enginuity!$B$13 *
 IF(Enginuity!$B$7&lt;8,3,
 IF(Enginuity!$B$7&lt;10,4,
 IF(Enginuity!$B$7&lt;12,5,
 6)))</f>
        <v>#VALUE!</v>
      </c>
      <c r="U911" s="103" t="e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>#VALUE!</v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0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0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 t="e">
        <f>ROUNDUP((Enginuity!$B$6*2 + Enginuity!$B$13*2*Enginuity!$B$7)/3, 0)</f>
        <v>#VALUE!</v>
      </c>
      <c r="U942" s="103" t="e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>#VALUE!</v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0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0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M/B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 t="str">
        <f>IF(Enginuity!$A$17="", "", Enginuity!$B$13)</f>
        <v/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 t="str">
        <f>IF(Enginuity!$A$17="", "", Enginuity!$B$13)</f>
        <v/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M/B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 t="str">
        <f>IFERROR(
  IF(OR(Enginuity!$B$7="",Enginuity!$B$13="",Enginuity!$B$13=0),"",
     N(Enginuity!$B$13) * IF(N(Enginuity!$B$7)&gt;8, 2, 1)
  ),
"")</f>
        <v/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 t="str">
        <f>Enginuity!$B$13</f>
        <v/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 t="e">
        <f>SUMPRODUCT(O998:O1001, Q998:Q1001)</f>
        <v>#VALUE!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M/B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 t="e">
        <f>ROUNDUP((Enginuity!$B$6*2 + Enginuity!$B$13*2*Enginuity!$B$7)/3, 0)</f>
        <v>#VALUE!</v>
      </c>
      <c r="U999" s="103" t="e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>#VALUE!</v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 t="e">
        <f>IF(Enginuity!$B$15&gt;1200, 3*Enginuity!$B$13, 2*Enginuity!$B$13)</f>
        <v>#VALUE!</v>
      </c>
      <c r="U1001" s="103" t="e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>#VALUE!</v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M/B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 t="e">
        <f>ROUNDUP((Enginuity!$B$6*2 + Enginuity!$B$13*2*Enginuity!$B$7)/3, 0)</f>
        <v>#VALUE!</v>
      </c>
      <c r="U1005" s="103" t="e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>#VALUE!</v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 t="e">
        <f>IF(Enginuity!$B$15&gt;1200, 3*Enginuity!$B$13, 2*Enginuity!$B$13)</f>
        <v>#VALUE!</v>
      </c>
      <c r="U1007" s="103" t="e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>#VALUE!</v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M/B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 t="e">
        <f>ROUNDUP((Enginuity!$B$6*2 + Enginuity!$B$13*2*Enginuity!$B$7)/3, 0)</f>
        <v>#VALUE!</v>
      </c>
      <c r="U1017" s="103" t="e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>#VALUE!</v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 t="e">
        <f>IF(Enginuity!$B$15&gt;1200, 3*Enginuity!$B$13, 2*Enginuity!$B$13)</f>
        <v>#VALUE!</v>
      </c>
      <c r="U1021" s="103" t="e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>#VALUE!</v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 t="e">
        <f>IF(AND(Enginuity!$B$7&gt;0, Enginuity!$B$13&gt;1), (Enginuity!$B$13 - 1) * Enginuity!$B$7, "")</f>
        <v>#VALUE!</v>
      </c>
      <c r="U1029" s="103" t="e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>#VALUE!</v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M/B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 t="e">
        <f>IF(AND(Enginuity!$B$7&gt;0, Enginuity!$B$13&gt;1), (Enginuity!$B$13 - 1) * Enginuity!$B$7, "")</f>
        <v>#VALUE!</v>
      </c>
      <c r="U1049" s="103" t="e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>#VALUE!</v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M/B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 t="str">
        <f>IF(AND(O1083&lt;&gt;"",Enginuity!$B$6&gt;4),Enginuity!$B$13,"")</f>
        <v/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08-Box Lattice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 t="str">
        <f>IF(AND(O1100&lt;&gt;"",Enginuity!$B$6&gt;4),Enginuity!$B$13,"")</f>
        <v/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08-Box Lattice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 t="str">
        <f>IF(AND(O1117&lt;&gt;"",Enginuity!$B$6&gt;4),Enginuity!$B$13,"")</f>
        <v/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08-Box Lattice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 t="e">
        <f>$Q$3</f>
        <v>#VALUE!</v>
      </c>
      <c r="U1123" s="103" t="e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>#VALUE!</v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 t="e">
        <f>$Q$6</f>
        <v>#VALUE!</v>
      </c>
      <c r="U1125" s="103" t="e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>#VALUE!</v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 t="e">
        <f>$Q$3</f>
        <v>#VALUE!</v>
      </c>
      <c r="U1131" s="103" t="e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>#VALUE!</v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 t="e">
        <f>$Q$6</f>
        <v>#VALUE!</v>
      </c>
      <c r="U1133" s="103" t="e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>#VALUE!</v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M/B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 t="e">
        <f>IF(AND(Enginuity!$B$6&gt;0, Enginuity!$B$7&gt;0, Enginuity!$B$13&gt;0), (2 * Enginuity!$B$7 * Enginuity!$B$13) + (2 * Enginuity!$B$6), "")</f>
        <v>#VALUE!</v>
      </c>
      <c r="U1152" s="103" t="e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>#VALUE!</v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153" s="103" t="e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>#VALUE!</v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 t="e">
        <f>IF(AND(Enginuity!$B$7&gt;0, Enginuity!$B$13&gt;1), (Enginuity!$B$13 - 1) * 2, "")</f>
        <v>#VALUE!</v>
      </c>
      <c r="U1154" s="103" t="e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>#VALUE!</v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 t="str">
        <f>IF(AND(O1183&lt;&gt;"",Enginuity!$B$6&gt;4),Enginuity!$B$13,"")</f>
        <v/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08-Box Lattice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 t="str">
        <f>IF(AND(O1200&lt;&gt;"",Enginuity!$B$6&gt;4),Enginuity!$B$13,"")</f>
        <v/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08-Box Lattice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46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08-Box Lattice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e">
        <f>IF(ROUND(Enginuity!$B$13,0)=2,2,"")</f>
        <v>#VALUE!</v>
      </c>
      <c r="U1219" s="103" t="e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>#VALUE!</v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e">
        <f>IF(ROUND(Enginuity!$B$13,0)=2,2,"")</f>
        <v>#VALUE!</v>
      </c>
      <c r="U1220" s="103" t="e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>#VALUE!</v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08-Box Lattice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 t="str">
        <f>IF(OR(Enginuity!$B$6="",Enginuity!$B$7="",Enginuity!$B$13=""),"",
 ROUNDUP(
  MAX(0,
    Enginuity!$B$6*MIN(Enginuity!$B$7,8)
    - MIN(Enginuity!$B$6, 3*Enginuity!$B$13) * MIN(7,Enginuity!$B$7)
  ),0)
)</f>
        <v/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08-Box Lattice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e">
        <f>IF(ROUND(Enginuity!$B$13,0)=2,2,"")</f>
        <v>#VALUE!</v>
      </c>
      <c r="U1244" s="103" t="e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>#VALUE!</v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e">
        <f>IF(ROUND(Enginuity!$B$13,0)=2,2,"")</f>
        <v>#VALUE!</v>
      </c>
      <c r="U1245" s="103" t="e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>#VALUE!</v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M/B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 t="str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/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 t="str">
        <f>IF(AND(O1588&lt;&gt;"",Enginuity!$B$6&gt;4),Enginuity!$B$13,"")</f>
        <v/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08-Box Lattice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48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 t="str">
        <f>IF(AND(O1605&lt;&gt;"",Enginuity!$B$6&gt;4),Enginuity!$B$13,"")</f>
        <v/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08-Box Lattice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 t="str">
        <f>IF(OR(Enginuity!$B$6="",Enginuity!$B$7="",Enginuity!$B$13=""),"",
   CEILING(
      (((Enginuity!$B$7*2)+(Enginuity!$B$6*2)) * Enginuity!$B$13) / 20.013,
      1
   )
)</f>
        <v/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 t="str">
        <f>IF(OR(Enginuity!$B$6="",Enginuity!$B$7="",Enginuity!$B$13=""),"",
   CEILING(
      (((Enginuity!$B$7*2)+(Enginuity!$B$6*2)) * Enginuity!$B$13) / 20.013,
      1
   )
)</f>
        <v/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M/B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 t="e">
        <f>IF(AND(Enginuity!$B$6&gt;0, Enginuity!$B$7&gt;0, Enginuity!$B$13&gt;0), ((2*Enginuity!$B$7*Enginuity!$B$13)+(2*Enginuity!$B$6))*2, "")</f>
        <v>#VALUE!</v>
      </c>
      <c r="U1613" s="103" t="e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>#VALUE!</v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M/B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 t="e">
        <f>IF(AND(Enginuity!$B$6&gt;0, Enginuity!$B$7&gt;0, Enginuity!$B$13&gt;0), (2 * Enginuity!$B$7 * Enginuity!$B$13) + (2 * Enginuity!$B$6), "")</f>
        <v>#VALUE!</v>
      </c>
      <c r="U1620" s="103" t="e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>#VALUE!</v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 t="e">
        <f>IF(AND(Enginuity!$B$6&gt;0, Enginuity!$B$7&gt;0, Enginuity!$B$13&gt;0), ((2*Enginuity!$B$7*Enginuity!$B$13)+(2*Enginuity!$B$6))*2, "")</f>
        <v>#VALUE!</v>
      </c>
      <c r="U1621" s="103" t="e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>#VALUE!</v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22" s="103" t="e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>#VALUE!</v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 t="e">
        <f>Enginuity!$B$13*IF(TRIM(Enginuity!$A$21)="1'H X ?'W X Qty Panel Top Hung (Casement Profile)",2,1)</f>
        <v>#VALUE!</v>
      </c>
      <c r="U1623" s="103" t="e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>#VALUE!</v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 t="e">
        <f>Enginuity!$B$13*IF(TRIM(Enginuity!$A$21)="1'H X ?'W X Qty Panel Top Hung (Casement Profile)",2,1)</f>
        <v>#VALUE!</v>
      </c>
      <c r="U1624" s="103" t="e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>#VALUE!</v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 t="str">
        <f>IF(AND(ISNUMBER(Enginuity!$B$13), Enginuity!$B$13&gt;0), Enginuity!$B$13*4, "")</f>
        <v/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 t="str">
        <f>IF(AND(ISNUMBER(Enginuity!$B$13), Enginuity!$B$13&gt;0), Enginuity!$B$13*4, "")</f>
        <v/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 t="e">
        <f>Enginuity!$B$13*4</f>
        <v>#VALUE!</v>
      </c>
      <c r="U1628" s="103" t="e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>#VALUE!</v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 t="e">
        <f>Enginuity!$B$13*
 IF(Enginuity!$B$7&lt;5,2,
 IF(Enginuity!$B$7&lt;6,3,
 IF(Enginuity!$B$7&lt;=7,4,5)))</f>
        <v>#VALUE!</v>
      </c>
      <c r="U1629" s="103" t="e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>#VALUE!</v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 t="e">
        <f>Enginuity!$B$13*
 IF(Enginuity!$B$7&lt;5,2,
 IF(Enginuity!$B$7&lt;6,3,
 IF(Enginuity!$B$7&lt;=7,4,5)))</f>
        <v>#VALUE!</v>
      </c>
      <c r="U1630" s="103" t="e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>#VALUE!</v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 t="e">
        <f>Enginuity!$B$13*2</f>
        <v>#VALUE!</v>
      </c>
      <c r="U1631" s="103" t="e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>#VALUE!</v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 t="e">
        <f>Enginuity!$B$13*2</f>
        <v>#VALUE!</v>
      </c>
      <c r="U1632" s="103" t="e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>#VALUE!</v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 t="e">
        <f>Enginuity!$B$13*1</f>
        <v>#VALUE!</v>
      </c>
      <c r="U1633" s="103" t="e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>#VALUE!</v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 t="e">
        <f>$Q$3</f>
        <v>#VALUE!</v>
      </c>
      <c r="U1638" s="103" t="e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>#VALUE!</v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 t="e">
        <f>Enginuity!$B$7*Enginuity!$B$13</f>
        <v>#VALUE!</v>
      </c>
      <c r="U1640" s="103" t="e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>#VALUE!</v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08-Box Lattice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M/B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 t="e">
        <f>IF(AND(Enginuity!$B$6&gt;0, Enginuity!$B$7&gt;0, Enginuity!$B$13&gt;0), (2 * Enginuity!$B$7 * Enginuity!$B$13) + (2 * Enginuity!$B$6), "")</f>
        <v>#VALUE!</v>
      </c>
      <c r="U1666" s="103" t="e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>#VALUE!</v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 t="e">
        <f>IF(AND(Enginuity!$B$6&gt;0, Enginuity!$B$7&gt;0, Enginuity!$B$13&gt;0), ((2*Enginuity!$B$7*Enginuity!$B$13)+(2*Enginuity!$B$6))*2, "")</f>
        <v>#VALUE!</v>
      </c>
      <c r="U1667" s="103" t="e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>#VALUE!</v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668" s="103" t="e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>#VALUE!</v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 t="e">
        <f>IF(MOD(Enginuity!$B$13,2)=1,1,0)</f>
        <v>#VALUE!</v>
      </c>
      <c r="U1669" s="103" t="e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>#VALUE!</v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 t="e">
        <f>FLOOR(Enginuity!$B$13/2,1)</f>
        <v>#VALUE!</v>
      </c>
      <c r="U1670" s="103" t="e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>#VALUE!</v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 t="str">
        <f>IF(AND(ISNUMBER(Enginuity!$B$13), Enginuity!$B$13&gt;0), Enginuity!$B$13*4, "")</f>
        <v/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 t="e">
        <f>FLOOR(Enginuity!$B$13/2,1)</f>
        <v>#VALUE!</v>
      </c>
      <c r="U1672" s="103" t="e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>#VALUE!</v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 t="e">
        <f>(Enginuity!$B$13*
  IF(Enginuity!$B$7&lt;=7,3,
  IF(Enginuity!$B$7&lt;=9,4,
  IF(Enginuity!$B$7&lt;=11,5,6))))
  - (2*FLOOR((Enginuity!$B$13-1)/2,1))</f>
        <v>#VALUE!</v>
      </c>
      <c r="U1673" s="103" t="e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>#VALUE!</v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 t="e">
        <f>FLOOR(Enginuity!$B$13/2,1)</f>
        <v>#VALUE!</v>
      </c>
      <c r="U1674" s="103" t="e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>#VALUE!</v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 t="e">
        <f>(FLOOR(Enginuity!$B$13/2,1)*2)+IF(MOD(Enginuity!$B$13,2)=1,2,0)</f>
        <v>#VALUE!</v>
      </c>
      <c r="U1675" s="103" t="e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>#VALUE!</v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 t="e">
        <f>IF(AND(Enginuity!$B$6&gt;0,Enginuity!$B$7&gt;0,Enginuity!$B$13&gt;0),
   ROUND(2*(Enginuity!$B$6+Enginuity!$B$7)*Enginuity!$B$13,2),
"")</f>
        <v>#VALUE!</v>
      </c>
      <c r="U1685" s="103" t="e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>#VALUE!</v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 t="e">
        <f>Enginuity!$B$7*Enginuity!$B$13</f>
        <v>#VALUE!</v>
      </c>
      <c r="U1687" s="103" t="e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>#VALUE!</v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08-Box Lattice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 t="str">
        <f>IF(OR(Enginuity!$B$6="",Enginuity!$B$7="",Enginuity!$B$13=""),"",
  2*(Enginuity!$B$6+Enginuity!$B$7)*Enginuity!$B$13*2
)</f>
        <v/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1704" s="103" t="e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>#VALUE!</v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 t="e">
        <f>IF(MOD(Enginuity!$B$13,2)=1,1,0)</f>
        <v>#VALUE!</v>
      </c>
      <c r="U1705" s="103" t="e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>#VALUE!</v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 t="str">
        <f>IF(AND(ISNUMBER(Enginuity!$B$13), Enginuity!$B$13&gt;0), Enginuity!$B$13*4, "")</f>
        <v/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 t="str">
        <f>IF(OR(Enginuity!$B$7="",Enginuity!$B$13=""),"",
Enginuity!$B$13*
IF(Enginuity!$B$7&lt;=7,4,
IF(Enginuity!$B$7&lt;=9,5,
IF(Enginuity!$B$7&lt;=11,6,7))))</f>
        <v/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 t="str">
        <f>IF(OR(Enginuity!$B$13="",Enginuity!$B$13&lt;2),"",Enginuity!$B$13-1)</f>
        <v/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 t="e">
        <f>(FLOOR(Enginuity!$B$13/2,1)*2)+IF(MOD(Enginuity!$B$13,2)=1,2,0)</f>
        <v>#VALUE!</v>
      </c>
      <c r="U1709" s="103" t="e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>#VALUE!</v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 t="str">
        <f>IF(OR(Enginuity!$B$13="",Enginuity!$B$13=0),"",Enginuity!$B$13*2)</f>
        <v/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1276.5999999999999</v>
      </c>
      <c r="P1711" s="14" t="str">
        <f>IF(Enginuity!$A$19="","", "Dual Security Door Insert c/w SS Mesh + " &amp; Enginuity!$A$19)</f>
        <v>Dual Security Door Insert c/w SS Mesh + M/B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 t="e">
        <f>IF(AND(Enginuity!$B$6&gt;0,Enginuity!$B$7&gt;0,Enginuity!$B$13&gt;0),
   ROUND(2*(Enginuity!$B$6+Enginuity!$B$7)*Enginuity!$B$13,2),
"")</f>
        <v>#VALUE!</v>
      </c>
      <c r="U1734" s="103" t="e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>#VALUE!</v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 t="e">
        <f>IF(AND(Enginuity!$B$6&gt;0,Enginuity!$B$7&gt;0,Enginuity!$B$13&gt;0),
   ROUND(2*(Enginuity!$B$6+Enginuity!$B$7)*Enginuity!$B$13,2),
"")</f>
        <v>#VALUE!</v>
      </c>
      <c r="U1735" s="103" t="e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>#VALUE!</v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 t="str">
        <f>IF(OR(Enginuity!$B$7="",Enginuity!$B$13=""),"",Enginuity!$B$7*Enginuity!$B$13*2)</f>
        <v/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 t="str">
        <f>IF(Enginuity!$B$13="","",Enginuity!$B$13)</f>
        <v/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 t="str">
        <f>IF(Enginuity!$B$13="","",Enginuity!$B$13)</f>
        <v/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 t="str">
        <f>IF(Enginuity!$B$13="","",Enginuity!$B$13)</f>
        <v/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 t="str">
        <f>IF(OR(Enginuity!$B$13="",Enginuity!$B$13=0),"",Enginuity!$B$13*2)</f>
        <v/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 t="str">
        <f>IF(Enginuity!$B$13="","",Enginuity!$B$13)</f>
        <v/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 t="str">
        <f>IF(OR(Enginuity!$B$13="",Enginuity!$B$13=0),"",Enginuity!$B$13*8)</f>
        <v/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 t="str">
        <f>IF(OR(Enginuity!$B$13="",Enginuity!$B$13=0),"",Enginuity!$B$13*8)</f>
        <v/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 t="str">
        <f>IF(OR(Enginuity!$B$13="",Enginuity!$B$13=0),"",Enginuity!$B$13*2)</f>
        <v/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 t="str">
        <f>IF(Enginuity!$B$13="","",Enginuity!$B$13*20)</f>
        <v/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 t="str">
        <f>IF(Enginuity!$B$13="","",Enginuity!$B$13*20)</f>
        <v/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 t="str">
        <f>IF(OR(Enginuity!$B$6="",Enginuity!$B$7="",Enginuity!$B$13=""),"",
  2*(Enginuity!$B$6+Enginuity!$B$7)*Enginuity!$B$13*2
)</f>
        <v/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 t="str">
        <f>IF(OR(Enginuity!$B$6="",Enginuity!$B$7="",Enginuity!$B$13=""),"",
  2*(Enginuity!$B$6+Enginuity!$B$7)*Enginuity!$B$13*2
)</f>
        <v/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M/B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 t="e">
        <f>IF(COUNTA(Q1733:Q1750,O1733:O1750)=0,"",SUMPRODUCT(Q1733:Q1750,O1733:O1750))</f>
        <v>#VALUE!</v>
      </c>
      <c r="Q1752" s="82"/>
      <c r="U1752" s="103" t="e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>#VALUE!</v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17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1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11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M/B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 t="e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#DIV/0!</v>
      </c>
      <c r="U2038" s="103" t="e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>#DIV/0!</v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 t="e">
        <f>IF(OR(Enginuity!$B$6="",Enginuity!$B$15=""),
   "",
   CEILING(
      (
         Enginuity!$B$6*304.8 +
         (MAX(0,ROUNDUP(Enginuity!$B$6*304.8/Enginuity!$B$15,0)-1))*1000
      )*24/24716,
   1)
)</f>
        <v>#DIV/0!</v>
      </c>
      <c r="U2039" s="103" t="e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>#DIV/0!</v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M/B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 t="e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#DIV/0!</v>
      </c>
      <c r="U2041" s="103" t="e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>#DIV/0!</v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 t="e">
        <f>IF(AND(Enginuity!$B$7&gt;0, Enginuity!$B$13&gt;0), Enginuity!$B$7 * Enginuity!$B$13, "")</f>
        <v>#VALUE!</v>
      </c>
      <c r="U2202" s="103" t="e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>#VALUE!</v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 t="e">
        <f>IF(AND(Enginuity!$B$7&gt;0, Enginuity!$B$13&gt;0), Enginuity!$B$7 * Enginuity!$B$13, "")</f>
        <v>#VALUE!</v>
      </c>
      <c r="U2203" s="103" t="e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>#VALUE!</v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08-Box Lattice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 t="e">
        <f>IF(AND(Enginuity!$B$7&gt;0, Enginuity!$B$13&gt;0), Enginuity!$B$7 * Enginuity!$B$13, "")</f>
        <v>#VALUE!</v>
      </c>
      <c r="U2220" s="103" t="e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>#VALUE!</v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 t="e">
        <f>IF(AND(Enginuity!$B$7&gt;0, Enginuity!$B$13&gt;0), Enginuity!$B$7 * Enginuity!$B$13, "")</f>
        <v>#VALUE!</v>
      </c>
      <c r="U2221" s="103" t="e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>#VALUE!</v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08-Box Lattice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M/B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 t="e">
        <f>IF(AND(Enginuity!$B$6&gt;0, Enginuity!$B$7&gt;0, Enginuity!$B$13&gt;0), (2 * Enginuity!$B$7 * Enginuity!$B$13) + (2 * Enginuity!$B$6), "")</f>
        <v>#VALUE!</v>
      </c>
      <c r="U2235" s="103" t="e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>#VALUE!</v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 t="e">
        <f>IF(AND(Enginuity!$B$6&gt;0, Enginuity!$B$7&gt;0, Enginuity!$B$13&gt;0), ((2*Enginuity!$B$7*Enginuity!$B$13)+(2*Enginuity!$B$6))*2, "")</f>
        <v>#VALUE!</v>
      </c>
      <c r="U2236" s="103" t="e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>#VALUE!</v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37" s="103" t="e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>#VALUE!</v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 t="str">
        <f>Enginuity!$B$13</f>
        <v/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 t="e">
        <f>Enginuity!$B$13*4</f>
        <v>#VALUE!</v>
      </c>
      <c r="U2241" s="103" t="e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>#VALUE!</v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 t="e">
        <f>Enginuity!$B$13*2</f>
        <v>#VALUE!</v>
      </c>
      <c r="U2242" s="103" t="e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>#VALUE!</v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 t="e">
        <f>$Q$3</f>
        <v>#VALUE!</v>
      </c>
      <c r="U2244" s="103" t="e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>#VALUE!</v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 t="e">
        <f>$Q$6</f>
        <v>#VALUE!</v>
      </c>
      <c r="U2246" s="103" t="e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>#VALUE!</v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 t="e">
        <f>$Q$3</f>
        <v>#VALUE!</v>
      </c>
      <c r="U2252" s="103" t="e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>#VALUE!</v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 t="e">
        <f>$Q$6</f>
        <v>#VALUE!</v>
      </c>
      <c r="U2254" s="103" t="e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>#VALUE!</v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M/B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 t="e">
        <f>IF(AND(Enginuity!$B$6&gt;0, Enginuity!$B$7&gt;0, Enginuity!$B$13&gt;0), (2 * Enginuity!$B$7 * Enginuity!$B$13) + (2 * Enginuity!$B$6), "")</f>
        <v>#VALUE!</v>
      </c>
      <c r="U2273" s="103" t="e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>#VALUE!</v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 t="e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#VALUE!</v>
      </c>
      <c r="U2274" s="103" t="e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>#VALUE!</v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 t="e">
        <f>IF(AND(Enginuity!$B$7&gt;0, Enginuity!$B$13&gt;1), (Enginuity!$B$13 - 1) * 2, "")</f>
        <v>#VALUE!</v>
      </c>
      <c r="U2275" s="103" t="e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>#VALUE!</v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M/B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08-Box Lattice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M/B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29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29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31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31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5" t="s">
        <v>1511</v>
      </c>
      <c r="G3" s="436"/>
      <c r="H3" s="436"/>
      <c r="I3" s="437"/>
      <c r="Q3" s="257" t="s">
        <v>1474</v>
      </c>
      <c r="R3" s="258">
        <v>25</v>
      </c>
      <c r="S3" s="268"/>
      <c r="V3" s="432" t="s">
        <v>1475</v>
      </c>
      <c r="W3" s="433"/>
      <c r="X3" s="433"/>
      <c r="Y3" s="434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5" t="s">
        <v>1510</v>
      </c>
      <c r="G7" s="436"/>
      <c r="H7" s="436"/>
      <c r="I7" s="437"/>
      <c r="Q7" s="257" t="s">
        <v>1483</v>
      </c>
      <c r="R7" s="262" t="s">
        <v>1479</v>
      </c>
      <c r="S7" s="268"/>
      <c r="V7" s="432" t="s">
        <v>1484</v>
      </c>
      <c r="W7" s="433"/>
      <c r="X7" s="433"/>
      <c r="Y7" s="434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31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31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A2:K2"/>
    <mergeCell ref="A11:K11"/>
    <mergeCell ref="A1:K1"/>
    <mergeCell ref="F3:I3"/>
    <mergeCell ref="F7:I7"/>
    <mergeCell ref="Q1:AA1"/>
    <mergeCell ref="Q2:AA2"/>
    <mergeCell ref="V3:Y3"/>
    <mergeCell ref="V7:Y7"/>
    <mergeCell ref="Q11:AA11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 t="e">
        <f>$C$38</f>
        <v>#VALUE!</v>
      </c>
      <c r="J3" s="327" t="e">
        <f>$C$39</f>
        <v>#VALUE!</v>
      </c>
      <c r="K3" s="327" t="e">
        <f>$C$40</f>
        <v>#VALUE!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 t="e">
        <f>I3</f>
        <v>#VALUE!</v>
      </c>
      <c r="R3" s="328" t="e">
        <f t="shared" ref="R3:S5" si="1">J3</f>
        <v>#VALUE!</v>
      </c>
      <c r="S3" s="328" t="e">
        <f t="shared" si="1"/>
        <v>#VALUE!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 t="e">
        <f t="shared" ref="I4:I12" si="2">$C$38</f>
        <v>#VALUE!</v>
      </c>
      <c r="J4" s="358" t="e">
        <f>$C$39</f>
        <v>#VALUE!</v>
      </c>
      <c r="K4" s="327" t="e">
        <f t="shared" ref="K4:K12" si="3">$C$40</f>
        <v>#VALUE!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 t="e">
        <f t="shared" ref="Q4:Q5" si="5">I4</f>
        <v>#VALUE!</v>
      </c>
      <c r="R4" s="328" t="e">
        <f t="shared" si="1"/>
        <v>#VALUE!</v>
      </c>
      <c r="S4" s="328" t="e">
        <f t="shared" si="1"/>
        <v>#VALUE!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 t="e">
        <f t="shared" si="2"/>
        <v>#VALUE!</v>
      </c>
      <c r="J5" s="327" t="e">
        <f t="shared" ref="J5:J12" si="7">$C$39</f>
        <v>#VALUE!</v>
      </c>
      <c r="K5" s="327" t="e">
        <f t="shared" si="3"/>
        <v>#VALUE!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 t="e">
        <f t="shared" si="5"/>
        <v>#VALUE!</v>
      </c>
      <c r="R5" s="328" t="e">
        <f t="shared" si="1"/>
        <v>#VALUE!</v>
      </c>
      <c r="S5" s="328" t="e">
        <f t="shared" si="1"/>
        <v>#VALUE!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 t="str">
        <f>Enginuity!B13</f>
        <v/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 t="e">
        <f t="shared" si="2"/>
        <v>#VALUE!</v>
      </c>
      <c r="J6" s="327" t="e">
        <f t="shared" si="7"/>
        <v>#VALUE!</v>
      </c>
      <c r="K6" s="327" t="e">
        <f t="shared" si="3"/>
        <v>#VALUE!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 t="e">
        <f t="shared" si="2"/>
        <v>#VALUE!</v>
      </c>
      <c r="J7" s="327" t="e">
        <f t="shared" si="7"/>
        <v>#VALUE!</v>
      </c>
      <c r="K7" s="327" t="e">
        <f t="shared" si="3"/>
        <v>#VALUE!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 t="e">
        <f t="shared" si="2"/>
        <v>#VALUE!</v>
      </c>
      <c r="J8" s="327" t="e">
        <f t="shared" si="7"/>
        <v>#VALUE!</v>
      </c>
      <c r="K8" s="327" t="e">
        <f t="shared" si="3"/>
        <v>#VALUE!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 t="e">
        <f t="shared" si="2"/>
        <v>#VALUE!</v>
      </c>
      <c r="J9" s="327" t="e">
        <f t="shared" si="7"/>
        <v>#VALUE!</v>
      </c>
      <c r="K9" s="327" t="e">
        <f t="shared" si="3"/>
        <v>#VALUE!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 t="e">
        <f t="shared" si="2"/>
        <v>#VALUE!</v>
      </c>
      <c r="J10" s="327" t="e">
        <f t="shared" si="7"/>
        <v>#VALUE!</v>
      </c>
      <c r="K10" s="327" t="e">
        <f t="shared" si="3"/>
        <v>#VALUE!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 t="e">
        <f>C25</f>
        <v>#VALUE!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 t="e">
        <f t="shared" si="2"/>
        <v>#VALUE!</v>
      </c>
      <c r="J11" s="327" t="e">
        <f t="shared" si="7"/>
        <v>#VALUE!</v>
      </c>
      <c r="K11" s="327" t="e">
        <f t="shared" si="3"/>
        <v>#VALUE!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 t="e">
        <f t="shared" si="2"/>
        <v>#VALUE!</v>
      </c>
      <c r="J12" s="327" t="e">
        <f t="shared" si="7"/>
        <v>#VALUE!</v>
      </c>
      <c r="K12" s="327" t="e">
        <f t="shared" si="3"/>
        <v>#VALUE!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 t="e">
        <f>SUM(I3:I11)</f>
        <v>#VALUE!</v>
      </c>
      <c r="J15" s="93" t="e">
        <f>SUM(J3:J11)</f>
        <v>#VALUE!</v>
      </c>
      <c r="K15" s="93" t="e">
        <f>SUM(K3:K11)</f>
        <v>#VALUE!</v>
      </c>
      <c r="L15" s="281"/>
      <c r="O15" s="1"/>
      <c r="P15" s="1"/>
      <c r="Q15" s="93" t="e">
        <f>SUM(Q3:Q12)</f>
        <v>#VALUE!</v>
      </c>
      <c r="R15" s="93" t="e">
        <f>SUM(R3:R11)</f>
        <v>#VALUE!</v>
      </c>
      <c r="S15" s="93" t="e">
        <f>SUM(S3:S11)</f>
        <v>#VALUE!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 t="e">
        <f>IF(W15=0,0,W10/W15)</f>
        <v>#VALUE!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 t="e">
        <f>IF(W4=0,0,W16/W4)</f>
        <v>#VALUE!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 t="e">
        <f>W17*1.15</f>
        <v>#VALUE!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 t="e">
        <f>B25*$B$6</f>
        <v>#VALUE!</v>
      </c>
    </row>
    <row r="26" spans="1:40" x14ac:dyDescent="0.25">
      <c r="A26" s="337" t="s">
        <v>1719</v>
      </c>
      <c r="B26" s="356" t="str">
        <f>IF(OR($C$49="",$B$6=""),"",ROUND(($C$49/$B$6)-(2*$B$18),3))</f>
        <v/>
      </c>
      <c r="C26" s="361" t="str">
        <f>B26</f>
        <v/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 t="e">
        <f>IF(B30="","",B30*$B$6)</f>
        <v>#VALUE!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 t="e">
        <f>$C$55</f>
        <v>#VALUE!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 t="e">
        <f>IF(OR($B$3="",$B$6="",$C$57=""),"",ROUND($C$57/($B$3*$B$6),3))</f>
        <v>#VALUE!</v>
      </c>
      <c r="C38" s="361" t="e">
        <f>$C$57</f>
        <v>#VALUE!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 t="e">
        <f>IF(OR($B$3="",$B$6="",$C$58=""),"",ROUND($C$58/($B$3*$B$6),3))</f>
        <v>#VALUE!</v>
      </c>
      <c r="C39" s="361" t="e">
        <f>$C$58</f>
        <v>#VALUE!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 t="e">
        <f>IF(OR($B$3="",$B$6="",$C$61=""),"",ROUND($C$61/($B$3*$B$6),3))</f>
        <v>#VALUE!</v>
      </c>
      <c r="C40" s="361" t="e">
        <f>$C$61</f>
        <v>#VALUE!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 t="e">
        <f>MAX($B$6-1,0)</f>
        <v>#VALUE!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 t="e">
        <f>IF(OR($C$25="",$B$26="",$B$17=""),"",ROUNDUP(($C$25*$B$3)/INT(($B$17+$B$20)/($B$26+$B$20)),0))</f>
        <v>#VALUE!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 t="e">
        <f>IF(OR($C$30="",$B$31="",$B$17=""),"",ROUNDUP(($C$30*$B$3)/INT(($B$17+$B$20)/($B$31+$B$20)),0))</f>
        <v>#VALUE!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 t="e">
        <f>IF($C$55=0,0,ROUNDUP(($C$55*$B$3)/INT(($B$17+$B$20)/($C$56+$B$20)),0))</f>
        <v>#VALUE!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 t="e">
        <f>IF($B$17="","",CEILING((((((($C$53*$C$51)+($C$54*$C$52)+($C$55*$C$56))*$B$3)+MAX((($C$53+$C$54+$C$55)*$B$3)-1,0)*$B$20)/$B$17)),1))</f>
        <v>#VALUE!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31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31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2026-04-22T03:24:59Z</dcterms:modified>
</cp:coreProperties>
</file>