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5A206C13-C92B-41D9-95A0-517B199ABA0A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7" i="38" l="1" a="1"/>
  <c r="T417" i="38" s="1"/>
  <c r="T420" i="38" a="1"/>
  <c r="T420" i="38" s="1"/>
  <c r="V420" i="38"/>
  <c r="V413" i="38" l="1"/>
  <c r="V412" i="38"/>
  <c r="V411" i="38"/>
  <c r="V408" i="38"/>
  <c r="V407" i="38"/>
  <c r="V406" i="38"/>
  <c r="AC83" i="36"/>
  <c r="AC84" i="36"/>
  <c r="AC85" i="36"/>
  <c r="AC86" i="36"/>
  <c r="U406" i="38"/>
  <c r="U407" i="38"/>
  <c r="U408" i="38"/>
  <c r="U409" i="38"/>
  <c r="U410" i="38"/>
  <c r="U411" i="38"/>
  <c r="U412" i="38"/>
  <c r="U413" i="38"/>
  <c r="T406" i="38" a="1"/>
  <c r="T406" i="38" s="1"/>
  <c r="R406" i="38" s="1"/>
  <c r="Q406" i="38"/>
  <c r="W405" i="38"/>
  <c r="T405" i="38"/>
  <c r="R405" i="38" s="1"/>
  <c r="T407" i="38" a="1"/>
  <c r="T407" i="38" s="1"/>
  <c r="R407" i="38" s="1"/>
  <c r="T408" i="38" a="1"/>
  <c r="T408" i="38" s="1"/>
  <c r="R408" i="38" s="1"/>
  <c r="T409" i="38" a="1"/>
  <c r="T409" i="38" s="1"/>
  <c r="R409" i="38" s="1"/>
  <c r="T410" i="38" a="1"/>
  <c r="T410" i="38" s="1"/>
  <c r="R410" i="38" s="1"/>
  <c r="T411" i="38" a="1"/>
  <c r="T411" i="38" s="1"/>
  <c r="R411" i="38" s="1"/>
  <c r="T412" i="38" a="1"/>
  <c r="T412" i="38" s="1"/>
  <c r="R412" i="38" s="1"/>
  <c r="T413" i="38" a="1"/>
  <c r="T413" i="38" s="1"/>
  <c r="R413" i="38" s="1"/>
  <c r="Q407" i="38"/>
  <c r="Q408" i="38"/>
  <c r="Q409" i="38"/>
  <c r="Q410" i="38"/>
  <c r="Q411" i="38"/>
  <c r="Q412" i="38"/>
  <c r="Q413" i="38"/>
  <c r="K109" i="36"/>
  <c r="K110" i="36"/>
  <c r="K111" i="36"/>
  <c r="K112" i="36"/>
  <c r="K113" i="36"/>
  <c r="K114" i="36"/>
  <c r="K115" i="36"/>
  <c r="J109" i="36"/>
  <c r="J110" i="36"/>
  <c r="J111" i="36"/>
  <c r="J112" i="36"/>
  <c r="J113" i="36"/>
  <c r="J114" i="36"/>
  <c r="J115" i="36"/>
  <c r="I109" i="36"/>
  <c r="I110" i="36"/>
  <c r="I111" i="36"/>
  <c r="I112" i="36"/>
  <c r="I113" i="36"/>
  <c r="I114" i="36"/>
  <c r="I115" i="36"/>
  <c r="H109" i="36"/>
  <c r="H110" i="36"/>
  <c r="H111" i="36"/>
  <c r="H112" i="36"/>
  <c r="H113" i="36"/>
  <c r="H114" i="36"/>
  <c r="H115" i="36"/>
  <c r="AC82" i="36"/>
  <c r="AC81" i="36"/>
  <c r="AC87" i="36"/>
  <c r="AC88" i="36"/>
  <c r="Q438" i="38"/>
  <c r="T438" i="38" a="1"/>
  <c r="T438" i="38" s="1"/>
  <c r="W438" i="38" s="1" a="1"/>
  <c r="W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T435" i="38"/>
  <c r="R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W67" i="38" a="1"/>
  <c r="W67" i="38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T66" i="38"/>
  <c r="T67" i="38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Q67" i="38"/>
  <c r="Q66" i="38"/>
  <c r="S66" i="38"/>
  <c r="R66" i="38"/>
  <c r="R67" i="38"/>
  <c r="G61" i="38"/>
  <c r="S65" i="38"/>
  <c r="W406" i="38" l="1" a="1"/>
  <c r="W406" i="38" s="1"/>
  <c r="P406" i="38" s="1" a="1"/>
  <c r="P406" i="38" s="1"/>
  <c r="W413" i="38" a="1"/>
  <c r="W413" i="38" s="1"/>
  <c r="P413" i="38" s="1" a="1"/>
  <c r="P413" i="38" s="1"/>
  <c r="W412" i="38" a="1"/>
  <c r="W412" i="38" s="1"/>
  <c r="P412" i="38" s="1" a="1"/>
  <c r="P412" i="38" s="1"/>
  <c r="W411" i="38" a="1"/>
  <c r="W411" i="38" s="1"/>
  <c r="W410" i="38" a="1"/>
  <c r="W410" i="38" s="1"/>
  <c r="W408" i="38" a="1"/>
  <c r="W408" i="38" s="1"/>
  <c r="W407" i="38" a="1"/>
  <c r="W407" i="38" s="1"/>
  <c r="P407" i="38" s="1" a="1"/>
  <c r="P407" i="38" s="1"/>
  <c r="W409" i="38" a="1"/>
  <c r="W409" i="38" s="1"/>
  <c r="W432" i="38" a="1"/>
  <c r="W432" i="38" s="1"/>
  <c r="P432" i="38" s="1" a="1"/>
  <c r="P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W473" i="38" a="1"/>
  <c r="W473" i="38" s="1"/>
  <c r="R456" i="38"/>
  <c r="V65" i="38" a="1"/>
  <c r="V65" i="38" s="1"/>
  <c r="S109" i="38"/>
  <c r="V109" i="38" s="1" a="1"/>
  <c r="V109" i="38" s="1"/>
  <c r="F101" i="38"/>
  <c r="F2" i="19" a="1"/>
  <c r="F1" i="19" a="1"/>
  <c r="F1" i="19" s="1"/>
  <c r="B42" i="19" a="1"/>
  <c r="F91" i="38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T109" i="38"/>
  <c r="R109" i="38"/>
  <c r="B42" i="19"/>
  <c r="T465" i="38"/>
  <c r="R465" i="38" s="1"/>
  <c r="B15" i="1" l="1" a="1"/>
  <c r="B15" i="1" s="1"/>
  <c r="B32" i="1" a="1"/>
  <c r="B32" i="1" s="1"/>
  <c r="B17" i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35" i="38" l="1" a="1"/>
  <c r="W235" i="38" s="1"/>
  <c r="R212" i="38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Q420" i="38"/>
  <c r="U419" i="38"/>
  <c r="T419" i="38" a="1"/>
  <c r="T419" i="38" s="1"/>
  <c r="Q419" i="38"/>
  <c r="U418" i="38"/>
  <c r="T418" i="38" a="1"/>
  <c r="T418" i="38" s="1"/>
  <c r="Q418" i="38"/>
  <c r="U417" i="38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1" i="38" a="1"/>
  <c r="P411" i="38" s="1"/>
  <c r="P408" i="38" a="1"/>
  <c r="P408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18" i="36" l="1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W211" i="38" s="1" a="1"/>
  <c r="W211" i="38" s="1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W61" i="38" s="1" a="1"/>
  <c r="W61" i="38" s="1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60" i="35"/>
  <c r="B57" i="35"/>
  <c r="B46" i="35"/>
  <c r="B55" i="35"/>
  <c r="B53" i="35"/>
  <c r="B47" i="35"/>
  <c r="B51" i="35"/>
  <c r="B50" i="35"/>
  <c r="B59" i="35"/>
  <c r="B56" i="35"/>
  <c r="B49" i="35"/>
  <c r="B48" i="35"/>
  <c r="B54" i="35"/>
  <c r="B58" i="35"/>
  <c r="B52" i="35"/>
  <c r="W63" i="38" l="1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47" i="34"/>
  <c r="H5" i="34" s="1"/>
  <c r="I5" i="34" s="1"/>
  <c r="G16" i="34"/>
  <c r="H16" i="34" s="1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410" i="38" l="1"/>
  <c r="P410" i="38" s="1" a="1"/>
  <c r="P410" i="38" s="1"/>
  <c r="V409" i="38"/>
  <c r="P409" i="38" s="1" a="1"/>
  <c r="P409" i="38" s="1"/>
  <c r="V426" i="38"/>
  <c r="V456" i="38"/>
  <c r="P456" i="38" s="1" a="1"/>
  <c r="P456" i="38" s="1"/>
  <c r="V428" i="38"/>
  <c r="V422" i="38"/>
  <c r="V453" i="38"/>
  <c r="P453" i="38" s="1" a="1"/>
  <c r="P453" i="38" s="1"/>
  <c r="V423" i="38"/>
  <c r="P423" i="38" s="1" a="1"/>
  <c r="P423" i="38" s="1"/>
  <c r="V421" i="38"/>
  <c r="P421" i="38" s="1" a="1"/>
  <c r="P421" i="38" s="1"/>
  <c r="P428" i="38" a="1"/>
  <c r="P428" i="38" s="1"/>
  <c r="V448" i="38"/>
  <c r="P448" i="38" s="1" a="1"/>
  <c r="P448" i="38" s="1"/>
  <c r="P422" i="38" a="1"/>
  <c r="P422" i="38" s="1"/>
  <c r="P426" i="38" a="1"/>
  <c r="P426" i="38" s="1"/>
  <c r="V478" i="38"/>
  <c r="V61" i="38"/>
  <c r="V64" i="38"/>
  <c r="P64" i="38" s="1" a="1"/>
  <c r="P64" i="38" s="1"/>
  <c r="V93" i="38"/>
  <c r="V102" i="38"/>
  <c r="V99" i="38"/>
  <c r="V96" i="38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05" i="38" s="1"/>
  <c r="P405" i="38" s="1" a="1"/>
  <c r="P40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38" i="38" l="1"/>
  <c r="P438" i="38" s="1" a="1"/>
  <c r="P438" i="38" s="1"/>
  <c r="V14" i="38"/>
  <c r="W14" i="38" s="1"/>
  <c r="V457" i="38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P91" i="38" a="1"/>
  <c r="P91" i="38" s="1"/>
  <c r="V447" i="38"/>
  <c r="P447" i="38" s="1" a="1"/>
  <c r="P447" i="38" s="1"/>
  <c r="V465" i="38"/>
  <c r="V435" i="38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507" i="38"/>
  <c r="P507" i="38" s="1" a="1"/>
  <c r="P507" i="38" s="1"/>
  <c r="V537" i="38"/>
  <c r="P537" i="38" s="1" a="1"/>
  <c r="P537" i="38" s="1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19" i="38" l="1"/>
  <c r="V417" i="38"/>
  <c r="V418" i="38"/>
  <c r="P417" i="38" a="1"/>
  <c r="P417" i="38" s="1"/>
  <c r="V416" i="38"/>
  <c r="W458" i="38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109" i="38" a="1"/>
  <c r="W109" i="38" s="1"/>
  <c r="P109" i="38" s="1" a="1"/>
  <c r="P109" i="38" s="1"/>
  <c r="W65" i="38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P418" i="38" a="1"/>
  <c r="P418" i="38" s="1"/>
  <c r="P419" i="38" a="1"/>
  <c r="P419" i="38" s="1"/>
  <c r="P416" i="38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W112" i="38" l="1"/>
  <c r="W435" i="38"/>
  <c r="P435" i="38" s="1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E3" i="19" a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D6" i="1" a="1"/>
  <c r="D6" i="1" s="1"/>
  <c r="F6" i="1" s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<sst xmlns="http://schemas.openxmlformats.org/spreadsheetml/2006/main" count="12434" uniqueCount="2199">
  <si>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</si>
  <si>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</si>
  <si>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</si>
  <si>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</si>
  <si>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</si>
  <si>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</si>
  <si>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</si>
  <si>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</si>
  <si>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</si>
  <si>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</si>
  <si>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</si>
  <si>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</si>
  <si>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</si>
  <si>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</si>
  <si>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</si>
  <si>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</si>
  <si>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</si>
  <si>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</si>
  <si>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</si>
  <si>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</si>
  <si>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</si>
  <si>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</si>
  <si>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</si>
  <si>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</si>
  <si>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</si>
  <si>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</si>
  <si>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</si>
  <si>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</si>
  <si>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</si>
  <si>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</si>
  <si>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</si>
  <si>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</si>
  <si>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</si>
  <si>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</si>
  <si>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</si>
  <si>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</si>
  <si>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</si>
  <si>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</si>
  <si>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</si>
  <si>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</si>
  <si>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</si>
  <si>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</si>
  <si>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</si>
  <si>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</si>
  <si>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</si>
  <si>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</si>
  <si>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</si>
  <si>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</si>
  <si>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</si>
  <si>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</si>
  <si>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</si>
  <si>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</si>
  <si>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</si>
  <si>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</si>
  <si>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</si>
  <si>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</si>
  <si>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</si>
  <si>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</si>
  <si>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</si>
  <si>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</si>
  <si>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</si>
  <si>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</si>
  <si>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</si>
  <si>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</si>
  <si>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</si>
  <si>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</si>
  <si>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</si>
  <si>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</si>
  <si>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</si>
  <si>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</si>
  <si>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</si>
  <si>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</si>
  <si>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</si>
  <si>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</si>
  <si>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</si>
  <si>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</si>
  <si>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</si>
  <si>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</si>
  <si>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</si>
  <si>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</si>
  <si>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</si>
  <si>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</si>
  <si>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</si>
  <si>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</si>
  <si>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</si>
  <si>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</si>
  <si>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</si>
  <si>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</si>
  <si>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</si>
  <si>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</si>
  <si>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</si>
  <si>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</si>
  <si>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</si>
  <si>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</si>
  <si>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</si>
  <si>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</si>
  <si>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</si>
  <si>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</si>
  <si>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</si>
  <si>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</si>
  <si>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</si>
  <si>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</si>
  <si>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</si>
  <si>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</si>
  <si>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</si>
  <si>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</si>
  <si>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</si>
  <si>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</si>
  <si>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</si>
  <si>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</si>
  <si>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</si>
  <si>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</si>
  <si>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</si>
  <si>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</si>
  <si>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</si>
  <si>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</si>
  <si>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</si>
  <si>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</si>
  <si>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</si>
  <si>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</si>
  <si>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</si>
  <si>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</si>
  <si>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</si>
  <si>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</si>
  <si>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</si>
  <si>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</si>
  <si>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</si>
  <si>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</si>
  <si>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</si>
  <si>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</si>
  <si>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</si>
  <si>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</si>
  <si>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</si>
  <si>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</si>
  <si>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</si>
  <si>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</si>
  <si>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</si>
  <si>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</si>
  <si>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</si>
  <si>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</si>
  <si>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</si>
  <si>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</si>
  <si>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</si>
  <si>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</si>
  <si>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</si>
  <si>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</si>
  <si>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</si>
  <si>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</si>
  <si>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</si>
  <si>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</si>
  <si>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</si>
  <si>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</si>
  <si>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</si>
  <si>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</si>
  <si>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</si>
  <si>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</si>
  <si>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</si>
  <si>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</si>
  <si>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</si>
  <si>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</si>
  <si>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</si>
  <si>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</si>
  <si>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</si>
  <si>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</si>
  <si>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</si>
  <si>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</si>
  <si>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</si>
  <si>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</si>
  <si>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</si>
  <si>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</si>
  <si>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</si>
  <si>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</si>
  <si>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</si>
  <si>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</si>
  <si>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</si>
  <si>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</si>
  <si>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</si>
  <si>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</si>
  <si>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</si>
  <si>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</si>
  <si>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</si>
  <si>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</si>
  <si>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</si>
  <si>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</si>
  <si>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</si>
  <si>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</si>
  <si>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</si>
  <si>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</si>
  <si>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</si>
  <si>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</si>
  <si>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</si>
  <si>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</si>
  <si>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</si>
  <si>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</si>
  <si>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</si>
  <si>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</si>
  <si>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</si>
  <si>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</si>
  <si>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</si>
  <si>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</si>
  <si>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</si>
  <si>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</si>
  <si>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</si>
  <si>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</si>
  <si>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</si>
  <si>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</si>
  <si>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</si>
  <si>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</si>
  <si>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</si>
  <si>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</si>
  <si>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</si>
  <si>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</si>
  <si>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</si>
  <si>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</si>
  <si>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</si>
  <si>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</si>
  <si>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</si>
  <si>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</si>
  <si>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</si>
  <si>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</si>
  <si>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</si>
  <si>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</si>
  <si>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</si>
  <si>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</si>
  <si>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</si>
  <si>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</si>
  <si>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</si>
  <si>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</si>
  <si>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</si>
  <si>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</si>
  <si>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</si>
  <si>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</si>
  <si>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</si>
  <si>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</si>
  <si>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</si>
  <si>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</si>
  <si>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</si>
  <si>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</si>
  <si>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</si>
  <si>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</si>
  <si>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</si>
  <si>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</si>
  <si>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</si>
  <si>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</si>
  <si>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</si>
  <si>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</si>
  <si>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</si>
  <si>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</si>
  <si>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</si>
  <si>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</si>
  <si>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</si>
  <si>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</si>
  <si>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</si>
  <si>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</si>
  <si>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</si>
  <si>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</si>
  <si>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</si>
  <si>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</si>
  <si>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</si>
  <si>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</si>
  <si>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</si>
  <si>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</si>
  <si>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</si>
  <si>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</si>
  <si>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</si>
  <si>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</si>
  <si>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</si>
  <si>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</si>
  <si>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</si>
  <si>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</si>
  <si>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</si>
  <si>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</si>
  <si>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</si>
  <si>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</si>
  <si>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</si>
  <si>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</si>
  <si>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</si>
  <si>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</si>
  <si>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</si>
  <si>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</si>
  <si>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</si>
  <si>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</si>
  <si>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</si>
  <si>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</si>
  <si>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</si>
  <si>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</si>
  <si>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</si>
  <si>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</si>
  <si>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</si>
  <si>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</si>
  <si>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</si>
  <si>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</si>
  <si>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</si>
  <si>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</si>
  <si>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</si>
  <si>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</si>
  <si>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</si>
  <si>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</si>
  <si>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</si>
  <si>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</si>
  <si>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</si>
  <si>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</si>
  <si>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</si>
  <si>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</si>
  <si>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</si>
  <si>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</si>
  <si>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</si>
  <si>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</si>
  <si>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</si>
  <si>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</si>
  <si>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</si>
  <si>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</si>
  <si>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</si>
  <si>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</si>
  <si>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</si>
  <si>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</si>
  <si>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</si>
  <si>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</si>
  <si>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</si>
  <si>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</si>
  <si>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</si>
  <si>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</si>
  <si>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</si>
  <si>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</si>
  <si>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</si>
  <si>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</si>
  <si>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</si>
  <si>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</si>
  <si>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</si>
  <si>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</si>
  <si>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</si>
  <si>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</si>
  <si>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</si>
  <si>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</si>
  <si>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</si>
  <si>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</si>
  <si>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</si>
  <si>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</si>
  <si>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</si>
  <si>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</si>
  <si>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</si>
  <si>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</si>
  <si>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</si>
  <si>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</si>
  <si>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</si>
  <si>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</si>
  <si>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</si>
  <si>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</si>
  <si>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</si>
  <si>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</si>
  <si>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</si>
  <si>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</si>
  <si>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</si>
  <si>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</si>
  <si>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</si>
  <si>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</si>
  <si>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</si>
  <si>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</si>
  <si>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</si>
  <si>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</si>
  <si>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</si>
  <si>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</si>
  <si>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</si>
  <si>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</si>
  <si>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</si>
  <si>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</si>
  <si>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</si>
  <si>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</si>
  <si>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</si>
  <si>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</si>
  <si>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</si>
  <si>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</si>
  <si>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</si>
  <si>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</si>
  <si>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</si>
  <si>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</si>
  <si>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</si>
  <si>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</si>
  <si>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</si>
  <si>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</si>
  <si>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</si>
  <si>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</si>
  <si>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</si>
  <si>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</si>
  <si>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</si>
  <si>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</si>
  <si>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</si>
  <si>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</si>
  <si>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</si>
  <si>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</si>
  <si>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</si>
  <si>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</si>
  <si>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</si>
  <si>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</si>
  <si>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</si>
  <si>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</si>
  <si>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</si>
  <si>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</si>
  <si>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</si>
  <si>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</si>
  <si>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</si>
  <si>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</si>
  <si>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</si>
  <si>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</si>
  <si>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</si>
  <si>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</si>
  <si>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</si>
  <si>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</si>
  <si>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</si>
  <si>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</si>
  <si>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</si>
  <si>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</si>
  <si>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</si>
  <si>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</si>
  <si>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</si>
  <si>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</si>
  <si>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</si>
  <si>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</si>
  <si>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</si>
  <si>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</si>
  <si>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</si>
  <si>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</si>
  <si>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</si>
  <si>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</si>
  <si>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</si>
  <si>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</si>
  <si>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</si>
  <si>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</si>
  <si>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</si>
  <si>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</si>
  <si>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</si>
  <si>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</si>
  <si>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</si>
  <si>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</si>
  <si>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</si>
  <si>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</si>
  <si>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</si>
  <si>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</si>
  <si>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</si>
  <si>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</si>
  <si>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</si>
  <si>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</si>
  <si>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</si>
  <si>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</si>
  <si>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</si>
  <si>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</si>
  <si>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</si>
  <si>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</si>
  <si>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</si>
  <si>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</si>
  <si>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</si>
  <si>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</si>
  <si>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</si>
  <si>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</si>
  <si>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</si>
  <si>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</si>
  <si>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</si>
  <si>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</si>
  <si>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</si>
  <si>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</si>
  <si>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</si>
  <si>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</si>
  <si>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</si>
  <si>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</si>
  <si>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</si>
  <si>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</si>
  <si>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</si>
  <si>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</si>
  <si>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</si>
  <si>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</si>
  <si>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</si>
  <si>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</si>
  <si>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</si>
  <si>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</si>
  <si>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</si>
  <si>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</si>
  <si>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</si>
  <si>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</si>
  <si>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</si>
  <si>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</si>
  <si>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</si>
  <si>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</si>
  <si>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</si>
  <si>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</si>
  <si>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</si>
  <si>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</si>
  <si>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</si>
  <si>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</si>
  <si>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</si>
  <si>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</si>
  <si>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</si>
  <si>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</si>
  <si>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</si>
  <si>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</si>
  <si>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</si>
  <si>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</si>
  <si>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</si>
  <si>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</si>
  <si>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</si>
  <si>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</si>
  <si>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</si>
  <si>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</si>
  <si>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</si>
  <si>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</si>
  <si>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</si>
  <si>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</si>
  <si>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</si>
  <si>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</si>
  <si>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</si>
  <si>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</si>
  <si>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</si>
  <si>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</si>
  <si>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</si>
  <si>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</si>
  <si>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</si>
  <si>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</si>
  <si>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</si>
  <si>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</si>
  <si>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</si>
  <si>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</si>
  <si>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</si>
  <si>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</si>
  <si>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</si>
  <si>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</si>
  <si>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</si>
  <si>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</si>
  <si>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</si>
  <si>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</si>
  <si>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</si>
  <si>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</si>
  <si>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</si>
  <si>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</si>
  <si>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</si>
  <si>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</si>
  <si>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</si>
  <si>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</si>
  <si>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</si>
  <si>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</si>
  <si>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</si>
  <si>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</si>
  <si>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</si>
  <si>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</si>
  <si>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</si>
  <si>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</si>
  <si>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</si>
  <si>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</si>
  <si>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</si>
  <si>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</si>
  <si>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</si>
  <si>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</si>
  <si>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</si>
  <si>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</si>
  <si>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</si>
  <si>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</si>
  <si>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</si>
  <si>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</si>
  <si>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</si>
  <si>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</si>
  <si>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</si>
  <si>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</si>
  <si>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</si>
  <si>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</si>
  <si>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</si>
  <si>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</si>
  <si>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</si>
  <si>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</si>
  <si>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</si>
  <si>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</si>
  <si>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</si>
  <si>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</si>
  <si>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</si>
  <si>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</si>
  <si>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</si>
  <si>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</si>
  <si>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</si>
  <si>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</si>
  <si>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</si>
  <si>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</si>
  <si>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</si>
  <si>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</si>
  <si>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</si>
  <si>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</si>
  <si>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</si>
  <si>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</si>
  <si>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</si>
  <si>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</si>
  <si>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</si>
  <si>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</si>
  <si>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</si>
  <si>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</si>
  <si>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</si>
  <si>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</si>
  <si>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</si>
  <si>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</si>
  <si>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</si>
  <si>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</si>
  <si>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</si>
  <si>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</si>
  <si>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</si>
  <si>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</si>
  <si>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</si>
  <si>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</si>
  <si>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</si>
  <si>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</si>
  <si>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</si>
  <si>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</si>
  <si>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</si>
  <si>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</si>
  <si>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</si>
  <si>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</si>
  <si>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</si>
  <si>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</si>
  <si>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</si>
  <si>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</si>
  <si>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</si>
  <si>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</si>
  <si>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</si>
  <si>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</si>
  <si>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</si>
  <si>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</si>
  <si>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</si>
  <si>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</si>
  <si>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</si>
  <si>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</si>
  <si>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</si>
  <si>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</si>
  <si>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</si>
  <si>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</si>
  <si>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</si>
  <si>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</si>
  <si>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</si>
  <si>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</si>
  <si>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</si>
  <si>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</si>
  <si>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</si>
  <si>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</si>
  <si>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</si>
  <si>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</si>
  <si>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</si>
  <si>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</si>
  <si>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</si>
  <si>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</si>
  <si>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</si>
  <si>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</si>
  <si>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</si>
  <si>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</si>
  <si>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</si>
  <si>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</si>
  <si>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</si>
  <si>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</si>
  <si>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</si>
  <si>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</si>
  <si>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</si>
  <si>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</si>
  <si>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</si>
  <si>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</si>
  <si>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</si>
  <si>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</si>
  <si>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</si>
  <si>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</si>
  <si>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</si>
  <si>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</si>
  <si>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</si>
  <si>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</si>
  <si>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</si>
  <si>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</si>
  <si>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</si>
  <si>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</si>
  <si>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</si>
  <si>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</si>
  <si>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</si>
  <si>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</si>
  <si>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</si>
  <si>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</si>
  <si>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</si>
  <si>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</si>
  <si>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</si>
  <si>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</si>
  <si>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</si>
  <si>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</si>
  <si>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</si>
  <si>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</si>
  <si>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</si>
  <si>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</si>
  <si>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</si>
  <si>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</si>
  <si>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</si>
  <si>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</si>
  <si>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</si>
  <si>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</si>
  <si>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</si>
  <si>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</si>
  <si>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</si>
  <si>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</si>
  <si>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</si>
  <si>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</si>
  <si>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</si>
  <si>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</si>
  <si>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</si>
  <si>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</si>
  <si>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</si>
  <si>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</si>
  <si>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</si>
  <si>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</si>
  <si>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</si>
  <si>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</si>
  <si>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</si>
  <si>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</si>
  <si>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</si>
  <si>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</si>
  <si>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</si>
  <si>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</si>
  <si>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</si>
  <si>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</si>
  <si>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</si>
  <si>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</si>
  <si>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</si>
  <si>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</si>
  <si>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</si>
  <si>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</si>
  <si>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</si>
  <si>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</si>
  <si>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</si>
  <si>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</si>
  <si>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</si>
  <si>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</si>
  <si>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</si>
  <si>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</si>
  <si>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</si>
  <si>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</si>
  <si>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</si>
  <si>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</si>
  <si>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</si>
  <si>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</si>
  <si>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</si>
  <si>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</si>
  <si>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</si>
  <si>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</si>
  <si>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</si>
  <si>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</si>
  <si>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</si>
  <si>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</si>
  <si>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</si>
  <si>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</si>
  <si>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</si>
  <si>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</si>
  <si>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</si>
  <si>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</si>
  <si>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</si>
  <si>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</si>
  <si>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</si>
  <si>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</si>
  <si>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</si>
  <si>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</si>
  <si>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</si>
  <si>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</si>
  <si>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</si>
  <si>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</si>
  <si>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</si>
  <si>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</si>
  <si>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</si>
  <si>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</si>
  <si>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</si>
  <si>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</si>
  <si>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</si>
  <si>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</si>
  <si>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</si>
  <si>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</si>
  <si>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</si>
  <si>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</si>
  <si>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</si>
  <si>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</si>
  <si>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</si>
  <si>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</si>
  <si>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</si>
  <si>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</si>
  <si>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</si>
  <si>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</si>
  <si>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</si>
  <si>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</si>
  <si>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</si>
  <si>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</si>
  <si>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</si>
  <si>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</si>
  <si>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</si>
  <si>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</si>
  <si>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</si>
  <si>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</si>
  <si>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</si>
  <si>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</si>
  <si>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</si>
  <si>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</si>
  <si>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</si>
  <si>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</si>
  <si>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</si>
  <si>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</si>
  <si>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</si>
  <si>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</si>
  <si>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</si>
  <si>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</si>
  <si>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</si>
  <si>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</si>
  <si>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</si>
  <si>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</si>
  <si>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</si>
  <si>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</si>
  <si>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</si>
  <si>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</si>
  <si>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</si>
  <si>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</si>
  <si>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</si>
  <si>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</si>
  <si>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</si>
  <si>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</si>
  <si>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</si>
  <si>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</si>
  <si>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</si>
  <si>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</si>
  <si>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</si>
  <si>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</si>
  <si>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</si>
  <si>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</si>
  <si>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</si>
  <si>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</si>
  <si>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</si>
  <si>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</si>
  <si>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</si>
  <si>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</si>
  <si>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</si>
  <si>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</si>
  <si>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</si>
  <si>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</si>
  <si>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</si>
  <si>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</si>
  <si>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</si>
  <si>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</si>
  <si>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</si>
  <si>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</si>
  <si>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</si>
  <si>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</si>
  <si>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</si>
  <si>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</si>
  <si>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</si>
  <si>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</si>
  <si>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</si>
  <si>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</si>
  <si>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</si>
  <si>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</si>
  <si>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</si>
  <si>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</si>
  <si>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</si>
  <si>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</si>
  <si>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</si>
  <si>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</si>
  <si>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</si>
  <si>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</si>
  <si>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</si>
  <si>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</si>
  <si>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</si>
  <si>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</si>
  <si>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</si>
  <si>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</si>
  <si>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</si>
  <si>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</si>
  <si>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</si>
  <si>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</si>
  <si>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</si>
  <si>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</si>
  <si>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</si>
  <si>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</si>
  <si>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</si>
  <si>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</si>
  <si>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</si>
  <si>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</si>
  <si>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</si>
  <si>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</si>
  <si>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</si>
  <si>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</si>
  <si>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</si>
  <si>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</si>
  <si>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</si>
  <si>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</si>
  <si>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</si>
  <si>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</si>
  <si>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</si>
  <si>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</si>
  <si>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</si>
  <si>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</si>
  <si>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</si>
  <si>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</si>
  <si>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</si>
  <si>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</si>
  <si>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</si>
  <si>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</si>
  <si>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</si>
  <si>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</si>
  <si>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</si>
  <si>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</si>
  <si>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</si>
  <si>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</si>
  <si>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</si>
  <si>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</si>
  <si>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</si>
  <si>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</si>
  <si>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</si>
  <si>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</si>
  <si>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</si>
  <si>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</si>
  <si>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</si>
  <si>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</si>
  <si>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</si>
  <si>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</si>
  <si>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</si>
  <si>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</si>
  <si>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</si>
  <si>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</si>
  <si>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</si>
  <si>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</si>
  <si>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</si>
  <si>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</si>
  <si>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</si>
  <si>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</si>
  <si>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</si>
  <si>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</si>
  <si>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</si>
  <si>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</si>
  <si>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</si>
  <si>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</si>
  <si>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</si>
  <si>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</si>
  <si>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</si>
  <si>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</si>
  <si>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</si>
  <si>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</si>
  <si>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</si>
  <si>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</si>
  <si>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</si>
  <si>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</si>
  <si>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</si>
  <si>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</si>
  <si>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</si>
  <si>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</si>
  <si>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</si>
  <si>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</si>
  <si>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</si>
  <si>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</si>
  <si>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</si>
  <si>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</si>
  <si>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</si>
  <si>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</si>
  <si>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</si>
  <si>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</si>
  <si>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</si>
  <si>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</si>
  <si>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</si>
  <si>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</si>
  <si>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</si>
  <si>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</si>
  <si>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</si>
  <si>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</si>
  <si>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</si>
  <si>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</si>
  <si>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</si>
  <si>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</si>
  <si>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</si>
  <si>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</si>
  <si>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</si>
  <si>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</si>
  <si>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</si>
  <si>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</si>
  <si>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</si>
  <si>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</si>
  <si>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</si>
  <si>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</si>
  <si>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</si>
  <si>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</si>
  <si>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</si>
  <si>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</si>
  <si>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</si>
  <si>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</si>
  <si>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</si>
  <si>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</si>
  <si>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</si>
  <si>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</si>
  <si>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</si>
  <si>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</si>
  <si>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</si>
  <si>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</si>
  <si>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</si>
  <si>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</si>
  <si>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</si>
  <si>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</si>
  <si>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</si>
  <si>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</si>
  <si>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</si>
  <si>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</si>
  <si>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</si>
  <si>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</si>
  <si>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</si>
  <si>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</si>
  <si>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</si>
  <si>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</si>
  <si>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</si>
  <si>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</si>
  <si>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</si>
  <si>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</si>
  <si>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</si>
  <si>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</si>
  <si>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</si>
  <si>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</si>
  <si>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</si>
  <si>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</si>
  <si>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</si>
  <si>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</si>
  <si>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</si>
  <si>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</si>
  <si>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</si>
  <si>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</si>
  <si>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</si>
  <si>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</si>
  <si>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</si>
  <si>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</si>
  <si>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</si>
  <si>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</si>
  <si>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</si>
  <si>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</si>
  <si>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</si>
  <si>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</si>
  <si>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</si>
  <si>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</si>
  <si>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</si>
  <si>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</si>
  <si>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</si>
  <si>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</si>
  <si>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</si>
  <si>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</si>
  <si>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</si>
  <si>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</si>
  <si>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</si>
  <si>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</si>
  <si>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</si>
  <si>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</si>
  <si>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</si>
  <si>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</si>
  <si>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</si>
  <si>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</si>
  <si>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</si>
  <si>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</si>
  <si>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</si>
  <si>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</si>
  <si>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</si>
  <si>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</si>
  <si>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</si>
  <si>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</si>
  <si>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</si>
  <si>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</si>
  <si>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</si>
  <si>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</si>
  <si>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</si>
  <si>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</si>
  <si>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</si>
  <si>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</si>
  <si>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</si>
  <si>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</si>
  <si>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</si>
  <si>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</si>
  <si>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</si>
  <si>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</si>
  <si>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</si>
  <si>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</si>
  <si>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</si>
  <si>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</si>
  <si>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</si>
  <si>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</si>
  <si>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</si>
  <si>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</si>
  <si>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</si>
  <si>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</si>
  <si>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</si>
  <si>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</si>
  <si>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</si>
  <si>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</si>
  <si>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</si>
  <si>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</si>
  <si>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</si>
  <si>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</si>
  <si>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</si>
  <si>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</si>
  <si>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</si>
  <si>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</si>
  <si>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</si>
  <si>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</si>
  <si>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</si>
  <si>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</si>
  <si>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</si>
  <si>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</si>
  <si>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</si>
  <si>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</si>
  <si>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</si>
  <si>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</si>
  <si>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</si>
  <si>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</si>
  <si>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</si>
  <si>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</si>
  <si>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</si>
  <si>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</si>
  <si>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</si>
  <si>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</si>
  <si>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</si>
  <si>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</si>
  <si>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</si>
  <si>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</si>
  <si>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</si>
  <si>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</si>
  <si>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</si>
  <si>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</si>
  <si>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</si>
  <si>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</si>
  <si>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</si>
  <si>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</si>
  <si>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</si>
  <si>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</si>
  <si>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</si>
  <si>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</si>
  <si>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</si>
  <si>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</si>
  <si>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</si>
  <si>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</si>
  <si>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</si>
  <si>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</si>
  <si>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</si>
  <si>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</si>
  <si>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</si>
  <si>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</si>
  <si>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</si>
  <si>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</si>
  <si>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</si>
  <si>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</si>
  <si>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</si>
  <si>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</si>
  <si>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</si>
  <si>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</si>
  <si>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</si>
  <si>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</si>
  <si>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</si>
  <si>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</si>
  <si>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</si>
  <si>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</si>
  <si>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</si>
  <si>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</si>
  <si>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</si>
  <si>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</si>
  <si>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</si>
  <si>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</si>
  <si>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</si>
  <si>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</si>
  <si>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</si>
  <si>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</si>
  <si>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</si>
  <si>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</si>
  <si>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</si>
  <si>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</si>
  <si>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</si>
  <si>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</si>
  <si>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</si>
  <si>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</si>
  <si>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</si>
  <si>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</si>
  <si>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</si>
  <si>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</si>
  <si>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</si>
  <si>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</si>
  <si>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</si>
  <si>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</si>
  <si>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</si>
  <si>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</si>
  <si>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</si>
  <si>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</si>
  <si>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</si>
  <si>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</si>
  <si>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</si>
  <si>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</si>
  <si>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</si>
  <si>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</si>
  <si>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</si>
  <si>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</si>
  <si>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</si>
  <si>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</si>
  <si>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</si>
  <si>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</si>
  <si>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</si>
  <si>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</si>
  <si>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</si>
  <si>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</si>
  <si>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</si>
  <si>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</si>
  <si>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</si>
  <si>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</si>
  <si>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</si>
  <si>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</si>
  <si>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</si>
  <si>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</si>
  <si>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</si>
  <si>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</si>
  <si>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</si>
  <si>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</si>
  <si>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</si>
  <si>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</si>
  <si>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</si>
  <si>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</si>
  <si>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</si>
  <si>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</si>
  <si>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</si>
  <si>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</si>
  <si>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</si>
  <si>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</si>
  <si>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</si>
  <si>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</si>
  <si>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</si>
  <si>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</si>
  <si>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</si>
  <si>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</si>
  <si>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</si>
  <si>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</si>
  <si>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</si>
  <si>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</si>
  <si>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</si>
  <si>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</si>
  <si>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</si>
  <si>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</si>
  <si>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</si>
  <si>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</si>
  <si>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</si>
  <si>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</si>
  <si>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</si>
  <si>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</si>
  <si>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</si>
  <si>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</si>
  <si>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</si>
  <si>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</si>
  <si>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</si>
  <si>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</si>
  <si>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</si>
  <si>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</si>
  <si>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</si>
  <si>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</si>
  <si>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</si>
  <si>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</si>
  <si>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</si>
  <si>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</si>
  <si>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</si>
  <si>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</si>
  <si>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</si>
  <si>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</si>
  <si>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</si>
  <si>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</si>
  <si>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</si>
  <si>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</si>
  <si>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</si>
  <si>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</si>
  <si>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</si>
  <si>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</si>
  <si>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</si>
  <si>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</si>
  <si>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</si>
  <si>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</si>
  <si>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</si>
  <si>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</si>
  <si>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</si>
  <si>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</si>
  <si>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</si>
  <si>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</si>
  <si>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</si>
  <si>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</si>
  <si>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</si>
  <si>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</si>
  <si>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</si>
  <si>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</si>
  <si>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</si>
  <si>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</si>
  <si>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</si>
  <si>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</si>
  <si>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</si>
  <si>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</si>
  <si>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</si>
  <si>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</si>
  <si>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</si>
  <si>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</si>
  <si>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</si>
  <si>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</si>
  <si>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</si>
  <si>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</si>
  <si>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</si>
  <si>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</si>
  <si>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</si>
  <si>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</si>
  <si>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</si>
  <si>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</si>
  <si>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</si>
  <si>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</si>
  <si>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</si>
  <si>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</si>
  <si>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</si>
  <si>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</si>
  <si>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</si>
  <si>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</si>
  <si>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</si>
  <si>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</si>
  <si>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</si>
  <si>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</si>
  <si>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</si>
  <si>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</si>
  <si>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</si>
  <si>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</si>
  <si>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</si>
  <si>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</si>
  <si>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</si>
  <si>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</si>
  <si>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</si>
  <si>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</si>
  <si>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</si>
  <si>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</si>
  <si>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</si>
  <si>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</si>
  <si>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</si>
  <si>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</si>
  <si>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</si>
  <si>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</si>
  <si>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</si>
  <si>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</si>
  <si>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</si>
  <si>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</si>
  <si>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</si>
  <si>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</si>
  <si>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</si>
  <si>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</si>
  <si>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</si>
  <si>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</si>
  <si>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</si>
  <si>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</si>
  <si>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</si>
  <si>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</si>
  <si>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</si>
  <si>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</si>
  <si>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</si>
  <si>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</si>
  <si>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</si>
  <si>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</si>
  <si>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</si>
  <si>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</si>
  <si>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</si>
  <si>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</si>
  <si>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</si>
  <si>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</si>
  <si>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</si>
  <si>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</si>
  <si>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</si>
  <si>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</si>
  <si>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</si>
  <si>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</si>
  <si>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</si>
  <si>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</si>
  <si>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</si>
  <si>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</si>
  <si>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</si>
  <si>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</si>
  <si>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</si>
  <si>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</si>
  <si>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</si>
  <si>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</si>
  <si>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</si>
  <si>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</si>
  <si>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</si>
  <si>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</si>
  <si>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</si>
  <si>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</si>
  <si>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</si>
  <si>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</si>
  <si>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</si>
  <si>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</si>
  <si>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</si>
  <si>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</si>
  <si>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</si>
  <si>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</si>
  <si>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</si>
  <si>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</si>
  <si>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</si>
  <si>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</si>
  <si>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</si>
  <si>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</si>
  <si>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</si>
  <si>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</si>
  <si>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</si>
  <si>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</si>
  <si>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</si>
  <si>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</si>
  <si>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</si>
  <si>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</si>
  <si>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</si>
  <si>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</si>
  <si>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</si>
  <si>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</si>
  <si>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</si>
  <si>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</si>
  <si>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</si>
  <si>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</si>
  <si>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</si>
  <si>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</si>
  <si>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</si>
  <si>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</si>
  <si>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</si>
  <si>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</si>
  <si>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</si>
  <si>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</si>
  <si>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</si>
  <si>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</si>
  <si>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</si>
  <si>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</si>
  <si>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</si>
  <si>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</si>
  <si>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</si>
  <si>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</si>
  <si>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</si>
  <si>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</si>
  <si>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</si>
  <si>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</si>
  <si>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</si>
  <si>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</si>
  <si>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</si>
  <si>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</si>
  <si>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</si>
  <si>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</si>
  <si>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</si>
  <si>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</si>
  <si>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</si>
  <si>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</si>
  <si>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</si>
  <si>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</si>
  <si>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</si>
  <si>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</si>
  <si>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</si>
  <si>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</si>
  <si>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</si>
  <si>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</si>
  <si>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</si>
  <si>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</si>
  <si>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</si>
  <si>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</si>
  <si>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</si>
  <si>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</si>
  <si>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</si>
  <si>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</si>
  <si>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</si>
  <si>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</si>
  <si>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</si>
  <si>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</si>
  <si>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</si>
  <si>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</si>
  <si>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</si>
  <si>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</si>
  <si>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</si>
  <si>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</si>
  <si>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</si>
  <si>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</si>
  <si>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</si>
  <si>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</si>
  <si>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</si>
  <si>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</si>
  <si>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</si>
  <si>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</si>
  <si>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</si>
  <si>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</si>
  <si>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</si>
  <si>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</si>
  <si>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</si>
  <si>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</si>
  <si>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</si>
  <si>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</si>
  <si>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</si>
  <si>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</si>
  <si>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</si>
  <si>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</si>
  <si>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</si>
  <si>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</si>
  <si>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</si>
  <si>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</si>
  <si>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</si>
  <si>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</si>
  <si>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</si>
  <si>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</si>
  <si>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</si>
  <si>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</si>
  <si>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</si>
  <si>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</si>
  <si>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</si>
  <si>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</si>
  <si>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</si>
  <si>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</si>
  <si>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</si>
  <si>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</si>
  <si>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</si>
  <si>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</si>
  <si>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</si>
  <si>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</si>
  <si>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</si>
  <si>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</si>
  <si>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</si>
  <si>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</si>
  <si>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</si>
  <si>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</si>
  <si>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</si>
  <si>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</si>
  <si>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</si>
  <si>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</si>
  <si>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</si>
  <si>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</si>
  <si>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</si>
  <si>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</si>
  <si>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</si>
  <si>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</si>
  <si>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</si>
  <si>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</si>
  <si>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</si>
  <si>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</si>
  <si>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</si>
  <si>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</si>
  <si>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</si>
  <si>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</si>
  <si>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</si>
  <si>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</si>
  <si>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</si>
  <si>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</si>
  <si>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</si>
  <si>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</si>
  <si>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</si>
  <si>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</si>
  <si>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</si>
  <si>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</si>
  <si>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</si>
  <si>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</si>
  <si>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</si>
  <si>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</si>
  <si>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</si>
  <si>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</si>
  <si>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</si>
  <si>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</si>
  <si>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</si>
  <si>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</si>
  <si>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</si>
  <si>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</si>
  <si>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</si>
  <si>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</si>
  <si>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</si>
  <si>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</si>
  <si>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</si>
  <si>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</si>
  <si>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</si>
  <si>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</si>
  <si>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</si>
  <si>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</si>
  <si>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</si>
  <si>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</si>
  <si>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</si>
  <si>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</si>
  <si>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</si>
  <si>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</si>
  <si>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</si>
  <si>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</si>
  <si>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</si>
  <si>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</si>
  <si>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</si>
  <si>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</si>
  <si>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</si>
  <si>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</si>
  <si>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</si>
  <si>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</si>
  <si>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</si>
  <si>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</si>
  <si>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</si>
  <si>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</si>
  <si>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</si>
  <si>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</si>
  <si>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</si>
  <si>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</si>
  <si>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</si>
  <si>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</si>
  <si>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</si>
  <si>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</si>
  <si>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</si>
  <si>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</si>
  <si>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</si>
  <si>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</si>
  <si>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</si>
  <si>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</si>
  <si>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</si>
  <si>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</si>
  <si>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</si>
  <si>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</si>
  <si>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</si>
  <si>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</si>
  <si>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</si>
  <si>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</si>
  <si>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</si>
  <si>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</si>
  <si>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</si>
  <si>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</si>
  <si>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</si>
  <si>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</si>
  <si>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</si>
  <si>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</si>
  <si>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</si>
  <si>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</si>
  <si>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</si>
  <si>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</si>
  <si>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</si>
  <si>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</si>
  <si>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</si>
  <si>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</si>
  <si>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</si>
  <si>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</si>
  <si>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</si>
  <si>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</si>
  <si>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</si>
  <si>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</si>
  <si>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</si>
  <si>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</si>
  <si>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</si>
  <si>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</si>
  <si>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</si>
  <si>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</si>
  <si>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</si>
  <si>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</si>
  <si>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</si>
  <si>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</si>
  <si>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</si>
  <si>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</si>
  <si>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</si>
  <si>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</si>
  <si>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</si>
  <si>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</si>
  <si>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</si>
  <si>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</si>
  <si>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</si>
  <si>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</si>
  <si>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</si>
  <si>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</si>
  <si>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</si>
  <si>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</si>
  <si>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</si>
  <si>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</si>
  <si>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</si>
  <si>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</si>
  <si>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</si>
  <si>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</si>
  <si>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</si>
  <si>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</si>
  <si>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</si>
  <si>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</si>
  <si>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</si>
  <si>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</si>
  <si>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</si>
  <si>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</si>
  <si>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</si>
  <si>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</si>
  <si>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</si>
  <si>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</si>
  <si>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</si>
  <si>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</si>
  <si>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</si>
  <si>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</si>
  <si>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</si>
  <si>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</si>
  <si>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</si>
  <si>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</si>
  <si>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</si>
  <si>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</si>
  <si>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</si>
  <si>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</si>
  <si>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</si>
  <si>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</si>
  <si>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</si>
  <si>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</si>
  <si>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</si>
  <si>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</si>
  <si>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</si>
  <si>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</si>
  <si>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</si>
  <si>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</si>
  <si>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</si>
  <si>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</si>
  <si>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</si>
  <si>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</si>
  <si>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</si>
  <si>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</si>
  <si>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</si>
  <si>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</si>
  <si>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</si>
  <si>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</si>
  <si>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</si>
  <si>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</si>
  <si>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</si>
  <si>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</si>
  <si>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</si>
  <si>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</si>
  <si>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</si>
  <si>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</si>
  <si>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</si>
  <si>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</si>
  <si>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</si>
  <si>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</si>
  <si>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</si>
  <si>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</si>
  <si>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</si>
  <si>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</si>
  <si>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</si>
  <si>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</si>
  <si>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</si>
  <si>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</si>
  <si>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</si>
  <si>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</si>
  <si>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</si>
  <si>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</si>
  <si>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</si>
  <si>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</si>
  <si>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</si>
  <si>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</si>
  <si>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</si>
  <si>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</si>
  <si>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</si>
  <si>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</si>
  <si>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</si>
  <si>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</si>
  <si>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</si>
  <si>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</si>
  <si>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</si>
  <si>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</si>
  <si>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</si>
  <si>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</si>
  <si>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</si>
  <si>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</si>
  <si>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</si>
  <si>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</si>
  <si>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</si>
  <si>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</si>
  <si>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</si>
  <si>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</si>
  <si>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</si>
  <si>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</si>
  <si>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</si>
  <si>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</si>
  <si>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</si>
  <si>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</si>
  <si>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</si>
  <si>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</si>
  <si>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</si>
  <si>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</si>
  <si>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</si>
  <si>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</si>
  <si>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</si>
  <si>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</si>
  <si>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</si>
  <si>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</si>
  <si>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</si>
  <si>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</si>
  <si>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</si>
  <si>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</si>
  <si>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</si>
  <si>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</si>
  <si>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</si>
  <si>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</si>
  <si>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</si>
  <si>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</si>
  <si>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</si>
  <si>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</si>
  <si>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</si>
  <si>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</si>
  <si>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</si>
  <si>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</si>
  <si>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</si>
  <si>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</si>
  <si>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</si>
  <si>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</si>
  <si>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</si>
  <si>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</si>
  <si>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</si>
  <si>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</si>
  <si>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</si>
  <si>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</si>
  <si>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</si>
  <si>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</si>
  <si>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</si>
  <si>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</si>
  <si>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</si>
  <si>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</si>
  <si>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</si>
  <si>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</si>
  <si>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</si>
  <si>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</si>
  <si>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</si>
  <si>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</si>
  <si>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</si>
  <si>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</si>
  <si>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</si>
  <si>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</si>
  <si>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</si>
  <si>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</si>
  <si>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</si>
  <si>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</si>
  <si>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</si>
  <si>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</si>
  <si>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</si>
  <si>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</si>
  <si>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</si>
  <si>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</si>
  <si>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</si>
  <si>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</si>
  <si>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</si>
  <si>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</si>
  <si>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</si>
  <si>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</si>
  <si>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</si>
  <si>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</si>
  <si>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</si>
  <si>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</si>
  <si>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</si>
  <si>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</si>
  <si>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</si>
  <si>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</si>
  <si>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</si>
  <si>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</si>
  <si>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</si>
  <si>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</si>
  <si>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</si>
  <si>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</si>
  <si>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</si>
  <si>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</si>
  <si>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</si>
  <si>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</si>
  <si>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</si>
  <si>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</si>
  <si>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</si>
  <si>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</si>
  <si>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</si>
  <si>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</si>
  <si>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</si>
  <si>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</si>
  <si>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</si>
  <si>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</si>
  <si>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</si>
  <si>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</si>
  <si>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</si>
  <si>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</si>
  <si>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</si>
  <si>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</si>
  <si>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</si>
  <si>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</si>
  <si>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</si>
  <si>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</si>
  <si>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</si>
  <si>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</si>
  <si>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</si>
  <si>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</si>
  <si>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</si>
  <si>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</si>
  <si>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</si>
  <si>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</si>
  <si>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</si>
  <si>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</si>
  <si>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</si>
  <si>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</si>
  <si>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</si>
  <si>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</si>
  <si>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</si>
  <si>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</si>
  <si>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</si>
  <si>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</si>
  <si>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</si>
  <si>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</si>
  <si>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</si>
  <si>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</si>
  <si>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</si>
  <si>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</si>
  <si>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</si>
  <si>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</si>
  <si>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</si>
  <si>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</si>
  <si>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</si>
  <si>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</si>
  <si>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</si>
  <si>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</si>
  <si>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</si>
  <si>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</si>
  <si>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</si>
  <si>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</si>
  <si>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</si>
  <si>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</si>
  <si>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</si>
  <si>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</si>
  <si>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</si>
  <si>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</si>
  <si>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</si>
  <si>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</si>
  <si>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</si>
  <si>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</si>
  <si>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</si>
  <si>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</si>
  <si>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</si>
  <si>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</si>
  <si>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</si>
  <si>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</si>
  <si>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</si>
  <si>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</si>
  <si>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</si>
  <si>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</si>
  <si>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</si>
  <si>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</si>
  <si>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</si>
  <si>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</si>
  <si>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</si>
  <si>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</si>
  <si>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</si>
  <si>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</si>
  <si>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</si>
  <si>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</si>
  <si>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</si>
  <si>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</si>
  <si>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</si>
  <si>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</si>
  <si>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</si>
  <si>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</si>
  <si>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</si>
  <si>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</si>
  <si>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</si>
  <si>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</si>
  <si>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</si>
  <si>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</si>
  <si>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</si>
  <si>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</si>
  <si>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</si>
  <si>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</si>
  <si>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</si>
  <si>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</si>
  <si>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</si>
  <si>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</si>
  <si>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</si>
  <si>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</si>
  <si>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</si>
  <si>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</si>
  <si>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</si>
  <si>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</si>
  <si>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</si>
  <si>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</si>
  <si>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</si>
  <si>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</si>
  <si>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</si>
  <si>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</si>
  <si>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</si>
  <si>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</si>
  <si>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</si>
  <si>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</si>
  <si>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</si>
  <si>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</si>
  <si>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</si>
  <si>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</si>
  <si>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</si>
  <si>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</si>
  <si>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</si>
  <si>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</si>
  <si>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</si>
  <si>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</si>
  <si>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</si>
  <si>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</si>
  <si>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</si>
  <si>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</si>
  <si>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</si>
  <si>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</si>
  <si>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</si>
  <si>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</si>
  <si>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</si>
  <si>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</si>
  <si>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</si>
  <si>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</si>
  <si>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</si>
  <si>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</si>
  <si>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</si>
  <si>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</si>
  <si>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</si>
  <si>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</si>
  <si>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</si>
  <si>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</si>
  <si>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</si>
  <si>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</si>
  <si>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</si>
  <si>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</si>
  <si>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</si>
  <si>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</si>
  <si>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</si>
  <si>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</si>
  <si>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</si>
  <si>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</si>
  <si>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</si>
  <si>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</si>
  <si>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</si>
  <si>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</si>
  <si>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</si>
  <si>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</si>
  <si>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</si>
  <si>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</si>
  <si>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</si>
  <si>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</si>
  <si>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</si>
  <si>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</si>
  <si>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</si>
  <si>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</si>
  <si>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</si>
  <si>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</si>
  <si>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</si>
  <si>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</si>
  <si>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</si>
  <si>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</si>
  <si>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</si>
  <si>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</si>
  <si>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</si>
  <si>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</si>
  <si>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</si>
  <si>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</si>
  <si>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</si>
  <si>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</si>
  <si>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</si>
  <si>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</si>
  <si>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</si>
  <si>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</si>
  <si>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</si>
  <si>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</si>
  <si>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</si>
  <si>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</si>
  <si>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</si>
  <si>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</si>
  <si>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</si>
  <si>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</si>
  <si>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</si>
  <si>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</si>
  <si>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</si>
  <si>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</si>
  <si>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</si>
  <si>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</si>
  <si>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</si>
  <si>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</si>
  <si>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</si>
  <si>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</si>
  <si>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</si>
  <si>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</si>
  <si>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</si>
  <si>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</si>
  <si>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</si>
  <si>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</si>
  <si>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</si>
  <si>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</si>
  <si>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</si>
  <si>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</si>
  <si>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</si>
  <si>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</si>
  <si>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</si>
  <si>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</si>
  <si>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</si>
  <si>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</si>
  <si>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</si>
  <si>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</si>
  <si>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</si>
  <si>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</si>
  <si>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</si>
  <si>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</si>
  <si>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</si>
  <si>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</si>
  <si>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</si>
  <si>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</si>
  <si>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</si>
  <si>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</si>
  <si>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</si>
  <si>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</si>
  <si>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</si>
  <si>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</si>
  <si>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</si>
  <si>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</si>
  <si>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</si>
  <si>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</si>
  <si>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</si>
  <si>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</si>
  <si>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</si>
  <si>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</si>
  <si>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</si>
  <si>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</si>
  <si>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</si>
  <si>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</si>
  <si>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</si>
  <si>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</si>
  <si>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</si>
  <si>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</si>
  <si>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</si>
  <si>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</si>
  <si>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</si>
  <si>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</si>
  <si>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</si>
  <si>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</si>
  <si>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</si>
  <si>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</si>
  <si>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</si>
  <si>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</si>
  <si>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</si>
  <si>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</si>
  <si>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</si>
  <si>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</si>
  <si>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</si>
  <si>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</si>
  <si>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</si>
  <si>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</si>
  <si>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</si>
  <si>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</si>
  <si>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</si>
  <si>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</si>
  <si>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</si>
  <si>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</si>
  <si>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</si>
  <si>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</si>
  <si>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</si>
  <si>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</si>
  <si>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</si>
  <si>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</si>
  <si>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</si>
  <si>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</si>
  <si>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</si>
  <si>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</si>
  <si>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</si>
  <si>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</si>
  <si>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</si>
  <si>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</si>
  <si>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</si>
  <si>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</si>
  <si>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</si>
  <si>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</si>
  <si>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</si>
  <si>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</si>
  <si>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</si>
  <si>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</si>
  <si>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</si>
  <si>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</si>
  <si>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</si>
  <si>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</si>
  <si>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</si>
  <si>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</si>
  <si>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</si>
  <si>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</si>
  <si>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</si>
  <si>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</si>
  <si>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</si>
  <si>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</si>
  <si>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</si>
  <si>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</si>
  <si>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</si>
  <si>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</si>
  <si>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</si>
  <si>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</si>
  <si>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</si>
  <si>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</si>
  <si>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</si>
  <si>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</si>
  <si>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</si>
  <si>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</si>
  <si>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</si>
  <si>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</si>
  <si>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</si>
  <si>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</si>
  <si>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</si>
  <si>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louv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</si>
  <si>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</si>
  <si>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</si>
  <si>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</si>
  <si>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</si>
  <si>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</si>
  <si>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</si>
  <si>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</si>
  <si>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</si>
  <si>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</si>
  <si>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</si>
  <si>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</si>
  <si>
    <t>TMP-CWP-MPE-ANGLE-PLATE-164X23</t>
  </si>
  <si>
    <t>TMP-CWP-MPE-INNER-BRACKET</t>
  </si>
  <si>
    <t>TMP-CWP-MPE-OUTER-BRACKET</t>
  </si>
  <si>
    <t>TMP-CWP-MPE-FRICTION-STAY</t>
  </si>
  <si>
    <t>TMP-CWP-MPE-GLASS-GASKET</t>
  </si>
  <si>
    <t>Double Side Panel Inner Glass Gasket</t>
  </si>
  <si>
    <t>TMP-CWP-MPE-INNER-GASKET</t>
  </si>
  <si>
    <t>TMP-CWP-MPE-OUTER-GASKET</t>
  </si>
  <si>
    <t>TMP-CWP-MPE-HANDLE-036</t>
  </si>
  <si>
    <t>TMP-CWP-MPE-HINGE-805</t>
  </si>
  <si>
    <t>TMP-CWP-MPE-LOCK-CAM-807</t>
  </si>
  <si>
    <t>TMP-CWP-MPE-MP-KEEPER-804-6MM</t>
  </si>
  <si>
    <t>TMP-CWP-MPE-PUSH-ROD-808-30MM</t>
  </si>
  <si>
    <t>CASEMENT WINDOW PERFORMANCE MULTI-POINT EXPOSED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</si>
</sst>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D23" sqref="D23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255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4ftW X 4ftH  Aluminium &amp; Glass Performance 2 Panel Supply &amp; Install Casement Window Multi-Point Exposed P/C Default 08-Box Lattice </v>
      </c>
      <c r="M2" s="123" t="str">
        <f>IF(A11="","",A11)</f>
        <v>Set</v>
      </c>
      <c r="N2" s="123">
        <f>IF(B11="","",B11)</f>
        <v>1</v>
      </c>
      <c r="O2" s="124">
        <f>IF(B37="","",B37)</f>
        <v>1088.8052720066855</v>
      </c>
      <c r="P2" s="124">
        <f>IF(OR(NOT(ISNUMBER(N2)),NOT(ISNUMBER(O2))),"",N2*O2)</f>
        <v>1088.8052720066855</v>
      </c>
      <c r="Q2" s="34"/>
      <c r="AC2" s="81"/>
    </row>
    <row r="3" spans="1:30" x14ac:dyDescent="0.25">
      <c r="A3" s="46" t="s">
        <v>79</v>
      </c>
      <c r="B3" s="27">
        <v>4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4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16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5.36</v>
      </c>
      <c r="I4" s="5">
        <f>IF(AND(ISNUMBER(F4), ISNUMBER(H4)), F4*H4, "")</f>
        <v>85.76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Inner</v>
      </c>
      <c r="E5" s="25"/>
      <c r="F5" s="52" cm="1">
        <f t="array" ref="F5">IF(D5="","",MAX(0,IFERROR(INDEX(CalcEngine!V:V,SMALL(CalcEngine!P:P,ROW()-3)),0)+N(E5)))</f>
        <v>24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6.93</v>
      </c>
      <c r="I5" s="5">
        <f t="shared" ref="I5:I30" si="0">IF(AND(ISNUMBER(F5), ISNUMBER(H5)), F5*H5, "")</f>
        <v>166.32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4</v>
      </c>
      <c r="C6" s="1"/>
      <c r="D6" t="str" cm="1">
        <f t="array" ref="D6">IFERROR(INDEX(CalcEngine!R:R,SMALL(CalcEngine!P:P,ROW()-3)),"")</f>
        <v>Vertical Mullion ↕</v>
      </c>
      <c r="E6" s="25"/>
      <c r="F6" s="52" cm="1">
        <f t="array" ref="F6">IF(D6="","",MAX(0,IFERROR(INDEX(CalcEngine!V:V,SMALL(CalcEngine!P:P,ROW()-3)),0)+N(E6)))</f>
        <v>4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8.41</v>
      </c>
      <c r="I6" s="5">
        <f t="shared" si="0"/>
        <v>33.64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4</v>
      </c>
      <c r="C7" s="1"/>
      <c r="D7" t="str" cm="1">
        <f t="array" ref="D7">IFERROR(INDEX(CalcEngine!R:R,SMALL(CalcEngine!P:P,ROW()-3)),"")</f>
        <v>⬒ Default</v>
      </c>
      <c r="E7" s="25"/>
      <c r="F7" s="52" cm="1">
        <f t="array" ref="F7">IF(D7="","",MAX(0,IFERROR(INDEX(CalcEngine!V:V,SMALL(CalcEngine!P:P,ROW()-3)),0)+N(E7)))</f>
        <v>16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3.9</v>
      </c>
      <c r="I7" s="5">
        <f t="shared" si="0"/>
        <v>62.4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Plate 16.4 X 2.3mm</v>
      </c>
      <c r="E8" s="25"/>
      <c r="F8" s="52" cm="1">
        <f t="array" ref="F8">IF(D8="","",MAX(0,IFERROR(INDEX(CalcEngine!V:V,SMALL(CalcEngine!P:P,ROW()-3)),0)+N(E8)))</f>
        <v>8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0.5</v>
      </c>
      <c r="I8" s="5">
        <f t="shared" si="0"/>
        <v>4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16</v>
      </c>
      <c r="C9" s="1"/>
      <c r="D9" t="str" cm="1">
        <f t="array" ref="D9">IFERROR(INDEX(CalcEngine!R:R,SMALL(CalcEngine!P:P,ROW()-3)),"")</f>
        <v>Inner Bracket</v>
      </c>
      <c r="E9" s="25"/>
      <c r="F9" s="52" cm="1">
        <f t="array" ref="F9">IF(D9="","",MAX(0,IFERROR(INDEX(CalcEngine!V:V,SMALL(CalcEngine!P:P,ROW()-3)),0)+N(E9)))</f>
        <v>8</v>
      </c>
      <c r="G9" s="2" t="str" cm="1">
        <f t="array" ref="G9">IFERROR(INDEX(CalcEngine!U:U,SMALL(CalcEngine!P:P,ROW()-3)),"")</f>
        <v>Pcs</v>
      </c>
      <c r="H9" s="5" cm="1">
        <f t="array" ref="H9">IFERROR(INDEX(CalcEngine!W:W,SMALL(CalcEngine!P:P,ROW()-3)),"")</f>
        <v>1</v>
      </c>
      <c r="I9" s="5">
        <f t="shared" si="0"/>
        <v>8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Outer Bracket</v>
      </c>
      <c r="E10" s="25"/>
      <c r="F10" s="52" cm="1">
        <f t="array" ref="F10">IF(D10="","",MAX(0,IFERROR(INDEX(CalcEngine!V:V,SMALL(CalcEngine!P:P,ROW()-3)),0)+N(E10)))</f>
        <v>4</v>
      </c>
      <c r="G10" s="2" t="str" cm="1">
        <f t="array" ref="G10">IFERROR(INDEX(CalcEngine!U:U,SMALL(CalcEngine!P:P,ROW()-3)),"")</f>
        <v>Pcs</v>
      </c>
      <c r="H10" s="5" cm="1">
        <f t="array" ref="H10">IFERROR(INDEX(CalcEngine!W:W,SMALL(CalcEngine!P:P,ROW()-3)),"")</f>
        <v>1</v>
      </c>
      <c r="I10" s="5">
        <f t="shared" si="0"/>
        <v>4</v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>Outer Gasket</v>
      </c>
      <c r="E11" s="25"/>
      <c r="F11" s="52" cm="1">
        <f t="array" ref="F11">IF(D11="","",MAX(0,IFERROR(INDEX(CalcEngine!V:V,SMALL(CalcEngine!P:P,ROW()-3)),0)+N(E11)))</f>
        <v>16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0.4</v>
      </c>
      <c r="I11" s="5">
        <f t="shared" si="0"/>
        <v>6.4</v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Hinge 805</v>
      </c>
      <c r="E12" s="25"/>
      <c r="F12" s="52" cm="1">
        <f t="array" ref="F12">IF(D12="","",MAX(0,IFERROR(INDEX(CalcEngine!V:V,SMALL(CalcEngine!P:P,ROW()-3)),0)+N(E12)))</f>
        <v>4</v>
      </c>
      <c r="G12" s="2" t="str" cm="1">
        <f t="array" ref="G12">IFERROR(INDEX(CalcEngine!U:U,SMALL(CalcEngine!P:P,ROW()-3)),"")</f>
        <v>Pcs</v>
      </c>
      <c r="H12" s="5" cm="1">
        <f t="array" ref="H12">IFERROR(INDEX(CalcEngine!W:W,SMALL(CalcEngine!P:P,ROW()-3)),"")</f>
        <v>4</v>
      </c>
      <c r="I12" s="5">
        <f t="shared" si="0"/>
        <v>16</v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2</v>
      </c>
      <c r="C13" s="1"/>
      <c r="D13" t="str" cm="1">
        <f t="array" ref="D13">IFERROR(INDEX(CalcEngine!R:R,SMALL(CalcEngine!P:P,ROW()-3)),"")</f>
        <v>Lock Cam 807</v>
      </c>
      <c r="E13" s="25"/>
      <c r="F13" s="52" cm="1">
        <f t="array" ref="F13">IF(D13="","",MAX(0,IFERROR(INDEX(CalcEngine!V:V,SMALL(CalcEngine!P:P,ROW()-3)),0)+N(E13)))</f>
        <v>4</v>
      </c>
      <c r="G13" s="2" t="str" cm="1">
        <f t="array" ref="G13">IFERROR(INDEX(CalcEngine!U:U,SMALL(CalcEngine!P:P,ROW()-3)),"")</f>
        <v>Pcs</v>
      </c>
      <c r="H13" s="5" cm="1">
        <f t="array" ref="H13">IFERROR(INDEX(CalcEngine!W:W,SMALL(CalcEngine!P:P,ROW()-3)),"")</f>
        <v>1.8</v>
      </c>
      <c r="I13" s="5">
        <f t="shared" si="0"/>
        <v>7.2</v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>MP Keeper 804 6mm</v>
      </c>
      <c r="E14" s="25"/>
      <c r="F14" s="52" cm="1">
        <f t="array" ref="F14">IF(D14="","",MAX(0,IFERROR(INDEX(CalcEngine!V:V,SMALL(CalcEngine!P:P,ROW()-3)),0)+N(E14)))</f>
        <v>4</v>
      </c>
      <c r="G14" s="2" t="str" cm="1">
        <f t="array" ref="G14">IFERROR(INDEX(CalcEngine!U:U,SMALL(CalcEngine!P:P,ROW()-3)),"")</f>
        <v>Pcs</v>
      </c>
      <c r="H14" s="5" cm="1">
        <f t="array" ref="H14">IFERROR(INDEX(CalcEngine!W:W,SMALL(CalcEngine!P:P,ROW()-3)),"")</f>
        <v>1.8</v>
      </c>
      <c r="I14" s="5">
        <f t="shared" si="0"/>
        <v>7.2</v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762</v>
      </c>
      <c r="C15" s="1"/>
      <c r="D15" t="str" cm="1">
        <f t="array" ref="D15">IFERROR(INDEX(CalcEngine!R:R,SMALL(CalcEngine!P:P,ROW()-3)),"")</f>
        <v>Push Rod 808 30mm</v>
      </c>
      <c r="E15" s="25"/>
      <c r="F15" s="52" cm="1">
        <f t="array" ref="F15">IF(D15="","",MAX(0,IFERROR(INDEX(CalcEngine!V:V,SMALL(CalcEngine!P:P,ROW()-3)),0)+N(E15)))</f>
        <v>2</v>
      </c>
      <c r="G15" s="2" t="str" cm="1">
        <f t="array" ref="G15">IFERROR(INDEX(CalcEngine!U:U,SMALL(CalcEngine!P:P,ROW()-3)),"")</f>
        <v>Pcs</v>
      </c>
      <c r="H15" s="5" cm="1">
        <f t="array" ref="H15">IFERROR(INDEX(CalcEngine!W:W,SMALL(CalcEngine!P:P,ROW()-3)),"")</f>
        <v>1.3</v>
      </c>
      <c r="I15" s="5">
        <f t="shared" si="0"/>
        <v>2.6</v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>Friction Stay</v>
      </c>
      <c r="E16" s="25"/>
      <c r="F16" s="52" cm="1">
        <f t="array" ref="F16">IF(D16="","",MAX(0,IFERROR(INDEX(CalcEngine!V:V,SMALL(CalcEngine!P:P,ROW()-3)),0)+N(E16)))</f>
        <v>2</v>
      </c>
      <c r="G16" s="2" t="str" cm="1">
        <f t="array" ref="G16">IFERROR(INDEX(CalcEngine!U:U,SMALL(CalcEngine!P:P,ROW()-3)),"")</f>
        <v>Pcs</v>
      </c>
      <c r="H16" s="5" cm="1">
        <f t="array" ref="H16">IFERROR(INDEX(CalcEngine!W:W,SMALL(CalcEngine!P:P,ROW()-3)),"")</f>
        <v>4.5</v>
      </c>
      <c r="I16" s="5">
        <f t="shared" si="0"/>
        <v>9</v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382</v>
      </c>
      <c r="B17" s="401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>Handle 036</v>
      </c>
      <c r="E17" s="25"/>
      <c r="F17" s="52" cm="1">
        <f t="array" ref="F17">IF(D17="","",MAX(0,IFERROR(INDEX(CalcEngine!V:V,SMALL(CalcEngine!P:P,ROW()-3)),0)+N(E17)))</f>
        <v>2</v>
      </c>
      <c r="G17" s="2" t="str" cm="1">
        <f t="array" ref="G17">IFERROR(INDEX(CalcEngine!U:U,SMALL(CalcEngine!P:P,ROW()-3)),"")</f>
        <v>Pcs</v>
      </c>
      <c r="H17" s="5" cm="1">
        <f t="array" ref="H17">IFERROR(INDEX(CalcEngine!W:W,SMALL(CalcEngine!P:P,ROW()-3)),"")</f>
        <v>12</v>
      </c>
      <c r="I17" s="5">
        <f t="shared" si="0"/>
        <v>24</v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2114</v>
      </c>
      <c r="B18" s="401"/>
      <c r="C18" s="1"/>
      <c r="D18" t="str" cm="1">
        <f t="array" ref="D18">IFERROR(INDEX(CalcEngine!R:R,SMALL(CalcEngine!P:P,ROW()-3)),"")</f>
        <v>2.5" x 2 Black Tape</v>
      </c>
      <c r="E18" s="25"/>
      <c r="F18" s="52" cm="1">
        <f t="array" ref="F18">IF(D18="","",MAX(0,IFERROR(INDEX(CalcEngine!V:V,SMALL(CalcEngine!P:P,ROW()-3)),0)+N(E18)))</f>
        <v>88</v>
      </c>
      <c r="G18" s="2" t="str" cm="1">
        <f t="array" ref="G18">IFERROR(INDEX(CalcEngine!U:U,SMALL(CalcEngine!P:P,ROW()-3)),"")</f>
        <v>Ft</v>
      </c>
      <c r="H18" s="5" cm="1">
        <f t="array" ref="H18">IFERROR(INDEX(CalcEngine!W:W,SMALL(CalcEngine!P:P,ROW()-3)),"")</f>
        <v>0.19999959360001299</v>
      </c>
      <c r="I18" s="5">
        <f t="shared" si="0"/>
        <v>17.599964236801142</v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1813</v>
      </c>
      <c r="B19" s="217" t="s">
        <v>2119</v>
      </c>
      <c r="C19" s="1"/>
      <c r="D19" t="str" cm="1">
        <f t="array" ref="D19">IFERROR(INDEX(CalcEngine!R:R,SMALL(CalcEngine!P:P,ROW()-3)),"")</f>
        <v>F18 Outer Gasket</v>
      </c>
      <c r="E19" s="25"/>
      <c r="F19" s="52" cm="1">
        <f t="array" ref="F19">IF(D19="","",MAX(0,IFERROR(INDEX(CalcEngine!V:V,SMALL(CalcEngine!P:P,ROW()-3)),0)+N(E19)))</f>
        <v>24</v>
      </c>
      <c r="G19" s="2" t="str" cm="1">
        <f t="array" ref="G19">IFERROR(INDEX(CalcEngine!U:U,SMALL(CalcEngine!P:P,ROW()-3)),"")</f>
        <v>Ft</v>
      </c>
      <c r="H19" s="5" cm="1">
        <f t="array" ref="H19">IFERROR(INDEX(CalcEngine!W:W,SMALL(CalcEngine!P:P,ROW()-3)),"")</f>
        <v>0.8</v>
      </c>
      <c r="I19" s="5">
        <f t="shared" si="0"/>
        <v>19.200000000000003</v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976</v>
      </c>
      <c r="B20" s="219" t="s">
        <v>2173</v>
      </c>
      <c r="C20" s="1"/>
      <c r="D20" t="str" cm="1">
        <f t="array" ref="D20">IFERROR(INDEX(CalcEngine!R:R,SMALL(CalcEngine!P:P,ROW()-3)),"")</f>
        <v>F16S Inner Gasket</v>
      </c>
      <c r="E20" s="25"/>
      <c r="F20" s="52" cm="1">
        <f t="array" ref="F20">IF(D20="","",MAX(0,IFERROR(INDEX(CalcEngine!V:V,SMALL(CalcEngine!P:P,ROW()-3)),0)+N(E20)))</f>
        <v>24</v>
      </c>
      <c r="G20" s="2" t="str" cm="1">
        <f t="array" ref="G20">IFERROR(INDEX(CalcEngine!U:U,SMALL(CalcEngine!P:P,ROW()-3)),"")</f>
        <v>Ft</v>
      </c>
      <c r="H20" s="5" cm="1">
        <f t="array" ref="H20">IFERROR(INDEX(CalcEngine!W:W,SMALL(CalcEngine!P:P,ROW()-3)),"")</f>
        <v>0.4</v>
      </c>
      <c r="I20" s="5">
        <f t="shared" si="0"/>
        <v>9.6000000000000014</v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2084</v>
      </c>
      <c r="B21" s="210"/>
      <c r="C21" s="1"/>
      <c r="D21" t="str" cm="1">
        <f t="array" ref="D21">IFERROR(INDEX(CalcEngine!R:R,SMALL(CalcEngine!P:P,ROW()-3)),"")</f>
        <v>6154 Inner Glass Gasket</v>
      </c>
      <c r="E21" s="25"/>
      <c r="F21" s="52" cm="1">
        <f t="array" ref="F21">IF(D21="","",MAX(0,IFERROR(INDEX(CalcEngine!V:V,SMALL(CalcEngine!P:P,ROW()-3)),0)+N(E21)))</f>
        <v>48</v>
      </c>
      <c r="G21" s="2" t="str" cm="1">
        <f t="array" ref="G21">IFERROR(INDEX(CalcEngine!U:U,SMALL(CalcEngine!P:P,ROW()-3)),"")</f>
        <v>Ft</v>
      </c>
      <c r="H21" s="5" cm="1">
        <f t="array" ref="H21">IFERROR(INDEX(CalcEngine!W:W,SMALL(CalcEngine!P:P,ROW()-3)),"")</f>
        <v>0.8</v>
      </c>
      <c r="I21" s="5">
        <f t="shared" si="0"/>
        <v>38.400000000000006</v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9"/>
      <c r="B23" s="401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2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20"/>
      <c r="B25" s="401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521.31996423680107</v>
      </c>
      <c r="P25" s="191"/>
    </row>
    <row r="26" spans="1:17" x14ac:dyDescent="0.25">
      <c r="A26" s="420"/>
      <c r="B26" s="402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3"/>
      <c r="B27" s="404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2150</v>
      </c>
      <c r="B31" s="426" cm="1">
        <f t="array" ref="B31">IF(TRIM(Enginuity!$A$17)="","",_xlfn.XLOOKUP(1,(TRIM(CalcEngine!$A$1:$A$5)="Service Mode Margin")*(TRIM(CalcEngine!$B$1:$B$5)=TRIM(Enginuity!$A$17)),CalcEngine!$C$1:$C$5,""))</f>
        <v>0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5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0.5212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521.31996423680107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32.582497764800067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68.050329500417845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1088.8052720066855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567.48530776988446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130.32999105920027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272.20131800167138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44.793599999999998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1999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521.31996423680107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5">
        <f>IF(A50="Dapatkan Margin %",
   ((B52-B51)/B52),
 IF(A50="Dapatkan Kos",
   B51*(1-B52),
 IF(A50="Dapatkan Harga Jual",
   B51/(1-B52),
 "")))</f>
        <v>0.91979692857895368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16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4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403" zoomScale="70" zoomScaleNormal="70" workbookViewId="0">
      <selection activeCell="M401" sqref="M401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16384" width="9.140625" style="367"/>
  </cols>
  <sheetData>
    <row r="1" spans="1:23" x14ac:dyDescent="0.25">
      <c r="A1" s="372" t="s">
        <v>2116</v>
      </c>
      <c r="B1" s="406" t="s">
        <v>1788</v>
      </c>
      <c r="C1" s="406" t="s">
        <v>1693</v>
      </c>
      <c r="D1" s="406"/>
      <c r="E1" s="406"/>
      <c r="F1" s="406"/>
      <c r="G1" s="406"/>
      <c r="H1" s="406" t="s">
        <v>2118</v>
      </c>
      <c r="I1" s="406"/>
      <c r="J1" s="406"/>
      <c r="K1" s="406"/>
      <c r="L1" s="406"/>
      <c r="M1" s="406"/>
      <c r="N1" s="406"/>
      <c r="O1" s="406"/>
      <c r="P1" s="372" t="s">
        <v>1863</v>
      </c>
      <c r="Q1" s="406" t="s">
        <v>1809</v>
      </c>
      <c r="R1" s="406"/>
      <c r="S1" s="414" t="s">
        <v>1755</v>
      </c>
      <c r="T1" s="406" t="s">
        <v>1789</v>
      </c>
      <c r="U1" s="406" t="s">
        <v>102</v>
      </c>
      <c r="V1" s="406" t="s">
        <v>1844</v>
      </c>
      <c r="W1" s="407" t="s">
        <v>430</v>
      </c>
    </row>
    <row r="2" spans="1:23" x14ac:dyDescent="0.25">
      <c r="A2" s="272" t="s">
        <v>2117</v>
      </c>
      <c r="B2" s="367" t="s">
        <v>1845</v>
      </c>
      <c r="C2" s="423">
        <v>0.01</v>
      </c>
      <c r="M2" s="408"/>
      <c r="P2" s="20" t="s">
        <v>1864</v>
      </c>
      <c r="Q2" s="1" t="s">
        <v>1810</v>
      </c>
      <c r="S2" s="24" t="s">
        <v>1927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7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2.04</v>
      </c>
    </row>
    <row r="3" spans="1:23" x14ac:dyDescent="0.25">
      <c r="A3" s="272" t="s">
        <v>2117</v>
      </c>
      <c r="B3" s="367" t="s">
        <v>1847</v>
      </c>
      <c r="C3" s="423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" t="s">
        <v>1932</v>
      </c>
      <c r="S3" s="24">
        <v>6154</v>
      </c>
      <c r="T3" s="1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7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2117</v>
      </c>
      <c r="B4" s="367" t="s">
        <v>382</v>
      </c>
      <c r="C4" s="423">
        <v>0</v>
      </c>
      <c r="P4" s="188" t="str">
        <f>IF(OR(TRIM($A4)&lt;&gt;TRIM(Enginuity!$A$1),TRIM($C4)&lt;&gt;TRIM(Enginuity!$A$18),TRIM($U4)="",$V4="",$V4=0,$W4="",$W4=0),"",ROW())</f>
        <v/>
      </c>
      <c r="Q4" s="398"/>
      <c r="R4" s="398"/>
      <c r="S4" s="415"/>
      <c r="T4" s="398"/>
      <c r="U4" s="398"/>
      <c r="V4" s="398"/>
      <c r="W4" s="410" t="str">
        <f>_xlfn.LET(_xlpm.tot,SUMPRODUCT(N(V2:V3),N(W2:W3)),IF(_xlpm.tot=0,"",_xlpm.tot))</f>
        <v/>
      </c>
    </row>
    <row r="5" spans="1:23" x14ac:dyDescent="0.25">
      <c r="A5" s="272" t="s">
        <v>2117</v>
      </c>
      <c r="B5" s="367" t="s">
        <v>1846</v>
      </c>
      <c r="C5" s="423">
        <v>0.1</v>
      </c>
      <c r="P5" s="372" t="str">
        <f>IF(OR(TRIM($A5)&lt;&gt;TRIM(Enginuity!$A$1),TRIM($C5)&lt;&gt;TRIM(Enginuity!$A$18),TRIM($U5)="",$V5="",$V5=0,$W5="",$W5=0),"",ROW())</f>
        <v/>
      </c>
      <c r="Q5" s="406"/>
      <c r="R5" s="406"/>
      <c r="S5" s="414"/>
      <c r="T5" s="406"/>
      <c r="U5" s="406"/>
      <c r="V5" s="406"/>
      <c r="W5" s="418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1992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120</v>
      </c>
      <c r="W6" s="397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2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1993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16</v>
      </c>
      <c r="W7" s="397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1.6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397">
        <f>IFERROR(SUMPRODUCT(V6:V7,W6:W7)/Enginuity!$B$9,"")</f>
        <v>16.600000000000001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1991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52</v>
      </c>
      <c r="W9" s="397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4.9000000000000004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1996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16</v>
      </c>
      <c r="W10" s="397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3.58</v>
      </c>
    </row>
    <row r="11" spans="1:23" x14ac:dyDescent="0.25">
      <c r="A11" s="272"/>
      <c r="P11" s="188"/>
      <c r="Q11" s="398"/>
      <c r="R11" s="398"/>
      <c r="S11" s="415"/>
      <c r="T11" s="398"/>
      <c r="U11" s="398"/>
      <c r="V11" s="398"/>
      <c r="W11" s="410">
        <f>IFERROR(SUMPRODUCT(V9:V10,W9:W10)/Enginuity!$B$9,"")</f>
        <v>19.505000000000003</v>
      </c>
    </row>
    <row r="12" spans="1:23" x14ac:dyDescent="0.25">
      <c r="A12" s="272"/>
      <c r="P12" s="372" t="s">
        <v>762</v>
      </c>
      <c r="Q12" s="406" t="str" cm="1">
        <f t="array" ref="Q12">_xlfn.LET(_xlpm.cd,INDEX($S:$S,ROW()),IF(_xlpm.cd="","",IFERROR(_xlfn.XLOOKUP(_xlpm.cd,CostData!$C$22:$C$1000,CostData!$B$22:$B$1000,""),"")))</f>
        <v>Aluminium</v>
      </c>
      <c r="R12" s="406" t="str">
        <f>T12</f>
        <v>Lattice</v>
      </c>
      <c r="S12" s="414" t="s">
        <v>2082</v>
      </c>
      <c r="T12" s="406" t="str" cm="1">
        <f t="array" ref="T12">_xlfn.LET(_xlpm.cd,INDEX($S:$S,ROW()),IF(_xlpm.cd="","",IFERROR(_xlfn.XLOOKUP(_xlpm.cd,CostData!$C$22:$C$1000,CostData!$E$22:$E$1000,""),"")))</f>
        <v>Lattice</v>
      </c>
      <c r="U12" s="406" t="s">
        <v>103</v>
      </c>
      <c r="V12" s="406"/>
      <c r="W12" s="418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2.27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" t="s">
        <v>1932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7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2084</v>
      </c>
      <c r="U14" s="1" t="s">
        <v>103</v>
      </c>
      <c r="V14" s="1">
        <f>IF(OR(Enginuity!B13="",Enginuity!B6="",Enginuity!B7=""),"",Enginuity!B13*Enginuity!B7+Enginuity!B13*3*Enginuity!B6)</f>
        <v>32</v>
      </c>
      <c r="W14" s="397">
        <f>IFERROR(IF(V14="","",V14*($W$12+$W$13)),"")</f>
        <v>79.180649202463925</v>
      </c>
    </row>
    <row r="15" spans="1:23" x14ac:dyDescent="0.25">
      <c r="A15" s="272"/>
      <c r="P15" s="20"/>
      <c r="T15" s="1" t="s">
        <v>2085</v>
      </c>
      <c r="U15" s="1" t="s">
        <v>103</v>
      </c>
      <c r="V15" s="1">
        <f>IF(OR(Enginuity!B13="",Enginuity!B6="",Enginuity!B7=""),"",Enginuity!B13*Enginuity!B7+Enginuity!B13*5*Enginuity!B6)</f>
        <v>48</v>
      </c>
      <c r="W15" s="397">
        <f t="shared" ref="W15:W16" si="1">IFERROR(IF(V15="","",V15*($W$12+$W$13)),"")</f>
        <v>118.77097380369588</v>
      </c>
    </row>
    <row r="16" spans="1:23" x14ac:dyDescent="0.25">
      <c r="A16" s="272"/>
      <c r="P16" s="188"/>
      <c r="Q16" s="398"/>
      <c r="R16" s="398"/>
      <c r="S16" s="415"/>
      <c r="T16" s="398" t="s">
        <v>2086</v>
      </c>
      <c r="U16" s="398" t="s">
        <v>103</v>
      </c>
      <c r="V16" s="398">
        <f>IF(OR(Enginuity!B13="",Enginuity!B6="",Enginuity!B7=""),"",Enginuity!B13*2*Enginuity!B7+Enginuity!B13*7*Enginuity!B6)</f>
        <v>72</v>
      </c>
      <c r="W16" s="410">
        <f t="shared" si="1"/>
        <v>178.15646070554382</v>
      </c>
    </row>
    <row r="17" spans="1:23" x14ac:dyDescent="0.25">
      <c r="A17" s="272"/>
      <c r="W17" s="397"/>
    </row>
    <row r="18" spans="1:23" x14ac:dyDescent="0.25">
      <c r="A18" s="272"/>
      <c r="W18" s="397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397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397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397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397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397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397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397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397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397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397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397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397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421"/>
    </row>
    <row r="32" spans="1:23" x14ac:dyDescent="0.25">
      <c r="A32" s="272"/>
      <c r="M32" s="408"/>
      <c r="W32" s="397"/>
    </row>
    <row r="33" spans="1:23" x14ac:dyDescent="0.25">
      <c r="A33" s="272"/>
      <c r="W33" s="397"/>
    </row>
    <row r="34" spans="1:23" x14ac:dyDescent="0.25">
      <c r="A34" s="272"/>
      <c r="W34" s="397"/>
    </row>
    <row r="35" spans="1:23" x14ac:dyDescent="0.25">
      <c r="A35" s="272"/>
      <c r="W35" s="397"/>
    </row>
    <row r="36" spans="1:23" x14ac:dyDescent="0.25">
      <c r="A36" s="272"/>
      <c r="W36" s="397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397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397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397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397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397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397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397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397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397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397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397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397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397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397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397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397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397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397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397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397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397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397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397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6" t="str">
        <f>"▼ [Service Mode]"</f>
        <v>▼ [Service Mode]</v>
      </c>
      <c r="C60" s="406" t="str">
        <f>"▼ [Product Type]"</f>
        <v>▼ [Product Type]</v>
      </c>
      <c r="D60" s="406" t="str">
        <f>"▼ [Frame Finish]"</f>
        <v>▼ [Frame Finish]</v>
      </c>
      <c r="E60" s="406" t="str">
        <f>"▼ [Panel / Infill]"</f>
        <v>▼ [Panel / Infill]</v>
      </c>
      <c r="F60" s="406" t="s">
        <v>1833</v>
      </c>
      <c r="G60" s="406" t="s">
        <v>1834</v>
      </c>
      <c r="H60" s="406" t="s">
        <v>1835</v>
      </c>
      <c r="I60" s="406" t="s">
        <v>1836</v>
      </c>
      <c r="J60" s="406" t="s">
        <v>1837</v>
      </c>
      <c r="K60" s="406" t="s">
        <v>1838</v>
      </c>
      <c r="L60" s="406" t="s">
        <v>1839</v>
      </c>
      <c r="M60" s="406" t="s">
        <v>1840</v>
      </c>
      <c r="N60" s="406" t="s">
        <v>1841</v>
      </c>
      <c r="O60" s="406" t="s">
        <v>1963</v>
      </c>
      <c r="P60" s="406" t="s">
        <v>1842</v>
      </c>
      <c r="Q60" s="406" t="s">
        <v>1809</v>
      </c>
      <c r="R60" s="406" t="s">
        <v>1873</v>
      </c>
      <c r="S60" s="414" t="s">
        <v>1755</v>
      </c>
      <c r="T60" s="406" t="s">
        <v>1789</v>
      </c>
      <c r="U60" s="406" t="s">
        <v>102</v>
      </c>
      <c r="V60" s="406" t="s">
        <v>1844</v>
      </c>
      <c r="W60" s="407" t="s">
        <v>430</v>
      </c>
    </row>
    <row r="61" spans="1:23" x14ac:dyDescent="0.25">
      <c r="A61" s="416" t="s">
        <v>254</v>
      </c>
      <c r="B61" s="412" t="s">
        <v>1845</v>
      </c>
      <c r="C61" s="412" t="s">
        <v>3</v>
      </c>
      <c r="D61" s="412" t="s">
        <v>1791</v>
      </c>
      <c r="E61" s="412" t="str" cm="1">
        <f t="array" ref="E61:E70">IFERROR(INDEX(_xlfn._xlws.FILTER(CostData!$P$3:$P$12,CostData!$P$3:$P$12&lt;&gt;""),_xlfn.SEQUENCE(10)),"")</f>
        <v>Default</v>
      </c>
      <c r="F61" s="412"/>
      <c r="G61" s="412" t="str">
        <f>"▼ [Fix - Casement]"</f>
        <v>▼ [Fix - Casement]</v>
      </c>
      <c r="H61" s="412" t="str">
        <f>"▼ [Hung Window - Casement]"</f>
        <v>▼ [Hung Window - Casement]</v>
      </c>
      <c r="I61" s="412" t="s">
        <v>1857</v>
      </c>
      <c r="J61" s="412" t="s">
        <v>1858</v>
      </c>
      <c r="K61" s="412" t="s">
        <v>1859</v>
      </c>
      <c r="L61" s="412" t="s">
        <v>1860</v>
      </c>
      <c r="M61" s="417">
        <v>0.54644999999999999</v>
      </c>
      <c r="N61" s="412">
        <v>609.6</v>
      </c>
      <c r="O61" s="412" t="s">
        <v>1955</v>
      </c>
      <c r="P61" s="406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6" t="str" cm="1">
        <f t="array" ref="Q61">_xlfn.LET(_xlpm.cd,INDEX($S:$S,ROW()),IF(_xlpm.cd="","",IFERROR(_xlfn.XLOOKUP(_xlpm.cd,CostData!$C$22:$C$1000,CostData!$B$22:$B$1000,""),"")))</f>
        <v>Aluminium</v>
      </c>
      <c r="R61" s="406" t="s">
        <v>1811</v>
      </c>
      <c r="S61" s="414" t="s">
        <v>1924</v>
      </c>
      <c r="T61" s="406" t="str" cm="1">
        <f t="array" ref="T61">_xlfn.LET(_xlpm.cd,INDEX($S:$S,ROW()),IF(_xlpm.cd="","",IFERROR(_xlfn.XLOOKUP(_xlpm.cd,CostData!$C$22:$C$1000,CostData!$E$22:$E$1000,""),"")))</f>
        <v>Outer</v>
      </c>
      <c r="U61" s="406" t="s">
        <v>103</v>
      </c>
      <c r="V61" s="406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W61" s="418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1847</v>
      </c>
      <c r="C62" s="367" t="s">
        <v>3</v>
      </c>
      <c r="D62" s="367" t="s">
        <v>1813</v>
      </c>
      <c r="E62" s="367" t="str">
        <v>Z-Louvre Blade - 2"</v>
      </c>
      <c r="G62" s="367" t="s">
        <v>1865</v>
      </c>
      <c r="H62" s="367" t="s">
        <v>1865</v>
      </c>
      <c r="O62" s="367" t="s">
        <v>1956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24</v>
      </c>
      <c r="W62" s="397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1866</v>
      </c>
      <c r="H63" s="367" t="s">
        <v>1866</v>
      </c>
      <c r="O63" s="367" t="s">
        <v>1957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</v>
      </c>
      <c r="W63" s="397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1846</v>
      </c>
      <c r="C64" s="367" t="s">
        <v>3</v>
      </c>
      <c r="D64" s="367" t="s">
        <v>1814</v>
      </c>
      <c r="E64" s="367" t="str">
        <v/>
      </c>
      <c r="G64" s="367" t="s">
        <v>1867</v>
      </c>
      <c r="H64" s="367" t="s">
        <v>1867</v>
      </c>
      <c r="O64" s="367" t="s">
        <v>1958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7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1868</v>
      </c>
      <c r="H65" s="367" t="s">
        <v>1868</v>
      </c>
      <c r="O65" s="367" t="s">
        <v>1959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08-Box Lattice</v>
      </c>
      <c r="S65" s="424" t="str">
        <f>Enginuity!$A$21</f>
        <v>08-Box Lattice</v>
      </c>
      <c r="T65" s="9" t="str">
        <f>S65</f>
        <v>08-Box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7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79.180649202463925</v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1869</v>
      </c>
      <c r="H66" s="367" t="s">
        <v>1869</v>
      </c>
      <c r="O66" s="367" t="s">
        <v>1967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397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1870</v>
      </c>
      <c r="H67" s="367" t="s">
        <v>1870</v>
      </c>
      <c r="O67" s="367" t="s">
        <v>1968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7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1871</v>
      </c>
      <c r="H68" s="367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7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1872</v>
      </c>
      <c r="H69" s="367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7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7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7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2084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7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2085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7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2086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7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7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7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16</v>
      </c>
      <c r="W77" s="397">
        <f>IFERROR(INDEX(CostData!$Q$3:$Q$12,MATCH(TRIM(Enginuity!$A$20),CostData!$P$3:$P$12,0)),"")</f>
        <v>3.9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7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7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7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7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397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7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2</v>
      </c>
      <c r="W84" s="397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85" s="397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44</v>
      </c>
      <c r="W86" s="397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16</v>
      </c>
      <c r="W87" s="397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24</v>
      </c>
      <c r="W88" s="397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24</v>
      </c>
      <c r="W89" s="397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09" t="s">
        <v>254</v>
      </c>
      <c r="B90" s="396"/>
      <c r="C90" s="396" t="s">
        <v>3</v>
      </c>
      <c r="D90" s="396"/>
      <c r="E90" s="396"/>
      <c r="F90" s="396"/>
      <c r="G90" s="396"/>
      <c r="H90" s="396"/>
      <c r="I90" s="396"/>
      <c r="J90" s="396"/>
      <c r="K90" s="396"/>
      <c r="L90" s="396"/>
      <c r="M90" s="396"/>
      <c r="N90" s="396"/>
      <c r="O90" s="396"/>
      <c r="P90" s="398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8" t="str">
        <f>IF($S90="","",IFERROR(_xlfn.XLOOKUP($S90,CostData!$U$22:$U$1000,CostData!$T$22:$T$1000,""),""))</f>
        <v>Gasket</v>
      </c>
      <c r="R90" s="398" t="s">
        <v>1931</v>
      </c>
      <c r="S90" s="415">
        <v>6154</v>
      </c>
      <c r="T90" s="398" t="str" cm="1">
        <f t="array" ref="T90">_xlfn.LET(_xlpm.cd,INDEX($S:$S,ROW()),IF(_xlpm.cd="","",IFERROR(_xlfn.XLOOKUP(_xlpm.cd,CostData!$U$22:$U$1000,CostData!$W$22:$W$1000,""),"")))</f>
        <v>6154 Gasket</v>
      </c>
      <c r="U90" s="398" t="str">
        <f>IF($S90="","",IFERROR(_xlfn.XLOOKUP($S90,CostData!$U$22:$U$1000,CostData!$AA$22:$AA$1000,""),""))</f>
        <v>Ft</v>
      </c>
      <c r="V90" s="398">
        <f>IF(SUM($V$63:$V$64)=0,"",SUM($V$63:$V$64)*2)</f>
        <v>8</v>
      </c>
      <c r="W90" s="410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2" t="s">
        <v>254</v>
      </c>
      <c r="B91" s="367" t="s">
        <v>1845</v>
      </c>
      <c r="C91" s="367" t="s">
        <v>1989</v>
      </c>
      <c r="D91" s="367" t="s">
        <v>1791</v>
      </c>
      <c r="E91" s="367" t="str" cm="1">
        <f t="array" ref="E91:E100">IFERROR(INDEX(_xlfn._xlws.FILTER(CostData!$P$3:$P$12,CostData!$P$3:$P$12&lt;&gt;""),_xlfn.SEQUENCE(10)),"")</f>
        <v>Default</v>
      </c>
      <c r="F91" s="367" t="str">
        <f>"▼ [Product Subtype]"</f>
        <v>▼ [Product Subtype]</v>
      </c>
      <c r="H91" s="367" t="str">
        <f>"▼ [Hung Window - Casement]"</f>
        <v>▼ [Hung Window - Casement]</v>
      </c>
      <c r="I91" s="367" t="s">
        <v>1857</v>
      </c>
      <c r="J91" s="367" t="s">
        <v>1858</v>
      </c>
      <c r="K91" s="367" t="s">
        <v>1859</v>
      </c>
      <c r="L91" s="367" t="s">
        <v>1860</v>
      </c>
      <c r="M91" s="408">
        <v>0.52</v>
      </c>
      <c r="N91" s="367">
        <v>762</v>
      </c>
      <c r="O91" s="367" t="s">
        <v>1955</v>
      </c>
      <c r="P91" s="1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1811</v>
      </c>
      <c r="S91" s="24" t="s">
        <v>1971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16</v>
      </c>
      <c r="W91" s="397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2" t="s">
        <v>254</v>
      </c>
      <c r="B92" s="367" t="s">
        <v>1847</v>
      </c>
      <c r="C92" s="367" t="s">
        <v>1989</v>
      </c>
      <c r="D92" s="367" t="s">
        <v>1813</v>
      </c>
      <c r="E92" s="367" t="str">
        <v>Z-Louvre Blade - 2"</v>
      </c>
      <c r="F92" s="367" t="s">
        <v>1933</v>
      </c>
      <c r="M92" s="408">
        <v>0.52</v>
      </c>
      <c r="N92" s="367">
        <v>1500</v>
      </c>
      <c r="O92" s="367" t="s">
        <v>1956</v>
      </c>
      <c r="P92" s="1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92" s="397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2" t="s">
        <v>254</v>
      </c>
      <c r="B93" s="367" t="s">
        <v>382</v>
      </c>
      <c r="C93" s="367" t="s">
        <v>1989</v>
      </c>
      <c r="D93" s="367" t="s">
        <v>1792</v>
      </c>
      <c r="E93" s="367" t="str">
        <v>Z-Louvre Blade - 5"</v>
      </c>
      <c r="F93" s="367" t="s">
        <v>1960</v>
      </c>
      <c r="M93" s="408">
        <v>0.52</v>
      </c>
      <c r="N93" s="367">
        <v>762</v>
      </c>
      <c r="O93" s="367" t="s">
        <v>1957</v>
      </c>
      <c r="P93" s="1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7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2" t="s">
        <v>254</v>
      </c>
      <c r="B94" s="367" t="s">
        <v>1846</v>
      </c>
      <c r="C94" s="367" t="s">
        <v>1989</v>
      </c>
      <c r="D94" s="367" t="s">
        <v>1814</v>
      </c>
      <c r="E94" s="367" t="str">
        <v/>
      </c>
      <c r="F94" s="367" t="s">
        <v>1961</v>
      </c>
      <c r="M94" s="408">
        <v>0.52</v>
      </c>
      <c r="N94" s="367">
        <v>762</v>
      </c>
      <c r="O94" s="367" t="s">
        <v>1958</v>
      </c>
      <c r="P94" s="1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16</v>
      </c>
      <c r="W94" s="397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2" t="s">
        <v>254</v>
      </c>
      <c r="C95" s="367" t="s">
        <v>1989</v>
      </c>
      <c r="E95" s="367" t="str">
        <v/>
      </c>
      <c r="F95" s="367" t="s">
        <v>1962</v>
      </c>
      <c r="M95" s="408">
        <v>0.52</v>
      </c>
      <c r="N95" s="367">
        <v>762</v>
      </c>
      <c r="O95" s="367" t="s">
        <v>1959</v>
      </c>
      <c r="P95" s="1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95" s="397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2" t="s">
        <v>254</v>
      </c>
      <c r="C96" s="367" t="s">
        <v>1989</v>
      </c>
      <c r="E96" s="367" t="str">
        <v/>
      </c>
      <c r="F96" s="367" t="s">
        <v>1969</v>
      </c>
      <c r="M96" s="408">
        <v>0.521208</v>
      </c>
      <c r="N96" s="367">
        <v>1000</v>
      </c>
      <c r="O96" s="367" t="s">
        <v>1967</v>
      </c>
      <c r="P96" s="1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7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2" t="s">
        <v>254</v>
      </c>
      <c r="C97" s="367" t="s">
        <v>1989</v>
      </c>
      <c r="E97" s="367" t="str">
        <v/>
      </c>
      <c r="F97" s="367" t="s">
        <v>1970</v>
      </c>
      <c r="M97" s="408">
        <v>0.521208</v>
      </c>
      <c r="N97" s="367">
        <v>1000</v>
      </c>
      <c r="O97" s="367" t="s">
        <v>1968</v>
      </c>
      <c r="P97" s="1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16</v>
      </c>
      <c r="W97" s="397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2" t="s">
        <v>254</v>
      </c>
      <c r="C98" s="367" t="s">
        <v>1989</v>
      </c>
      <c r="E98" s="367" t="str">
        <v/>
      </c>
      <c r="M98" s="408"/>
      <c r="P98" s="1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98" s="397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2" t="s">
        <v>254</v>
      </c>
      <c r="C99" s="367" t="s">
        <v>1989</v>
      </c>
      <c r="E99" s="367" t="str">
        <v/>
      </c>
      <c r="P99" s="1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7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2" t="s">
        <v>254</v>
      </c>
      <c r="C100" s="367" t="s">
        <v>1989</v>
      </c>
      <c r="E100" s="367" t="str">
        <v/>
      </c>
      <c r="P100" s="1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16</v>
      </c>
      <c r="W100" s="397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2" t="s">
        <v>254</v>
      </c>
      <c r="C101" s="367" t="s">
        <v>1989</v>
      </c>
      <c r="F101" s="367" t="str">
        <f>"▼ [Lattice Option]"</f>
        <v>▼ [Lattice Option]</v>
      </c>
      <c r="P101" s="1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101" s="397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2" t="s">
        <v>254</v>
      </c>
      <c r="C102" s="367" t="s">
        <v>1989</v>
      </c>
      <c r="F102" s="367" t="s">
        <v>2084</v>
      </c>
      <c r="P102" s="1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7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2" t="s">
        <v>254</v>
      </c>
      <c r="C103" s="367" t="s">
        <v>1989</v>
      </c>
      <c r="F103" s="367" t="s">
        <v>2085</v>
      </c>
      <c r="P103" s="1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16</v>
      </c>
      <c r="W103" s="397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2" t="s">
        <v>254</v>
      </c>
      <c r="C104" s="367" t="s">
        <v>1989</v>
      </c>
      <c r="F104" s="367" t="s">
        <v>2086</v>
      </c>
      <c r="P104" s="1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104" s="397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2" t="s">
        <v>254</v>
      </c>
      <c r="C105" s="367" t="s">
        <v>1989</v>
      </c>
      <c r="P105" s="1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7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2" t="s">
        <v>254</v>
      </c>
      <c r="C106" s="367" t="s">
        <v>1989</v>
      </c>
      <c r="P106" s="1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16</v>
      </c>
      <c r="W106" s="397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2" t="s">
        <v>254</v>
      </c>
      <c r="C107" s="367" t="s">
        <v>1989</v>
      </c>
      <c r="P107" s="1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4</v>
      </c>
      <c r="W107" s="397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2" t="s">
        <v>254</v>
      </c>
      <c r="C108" s="367" t="s">
        <v>1989</v>
      </c>
      <c r="P108" s="1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7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2" t="s">
        <v>254</v>
      </c>
      <c r="C109" s="367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1" t="s">
        <v>762</v>
      </c>
      <c r="R109" s="9" t="str">
        <f>S109</f>
        <v>08-Box Lattice</v>
      </c>
      <c r="S109" s="424" t="str">
        <f>Enginuity!$A$21</f>
        <v>08-Box Lattice</v>
      </c>
      <c r="T109" s="9" t="str">
        <f>S109</f>
        <v>08-Box Lattice</v>
      </c>
      <c r="U109" s="1" t="s">
        <v>176</v>
      </c>
      <c r="V109" s="1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7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79.180649202463925</v>
      </c>
    </row>
    <row r="110" spans="1:23" x14ac:dyDescent="0.25">
      <c r="A110" s="272" t="s">
        <v>254</v>
      </c>
      <c r="C110" s="367" t="s">
        <v>1989</v>
      </c>
      <c r="W110" s="397"/>
    </row>
    <row r="111" spans="1:23" x14ac:dyDescent="0.25">
      <c r="A111" s="272" t="s">
        <v>254</v>
      </c>
      <c r="C111" s="367" t="s">
        <v>1989</v>
      </c>
      <c r="W111" s="397"/>
    </row>
    <row r="112" spans="1:23" x14ac:dyDescent="0.25">
      <c r="A112" s="272" t="s">
        <v>254</v>
      </c>
      <c r="C112" s="367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16</v>
      </c>
      <c r="W112" s="397">
        <f>IFERROR(INDEX(CostData!$Q$3:$Q$12,MATCH(TRIM(Enginuity!$A$20),CostData!$P$3:$P$12,0)),"")</f>
        <v>3.9</v>
      </c>
    </row>
    <row r="113" spans="1:23" x14ac:dyDescent="0.25">
      <c r="A113" s="272" t="s">
        <v>254</v>
      </c>
      <c r="C113" s="367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9"/>
      <c r="S113" s="424"/>
      <c r="T113" s="9"/>
      <c r="W113" s="397"/>
    </row>
    <row r="114" spans="1:23" x14ac:dyDescent="0.25">
      <c r="A114" s="272" t="s">
        <v>254</v>
      </c>
      <c r="C114" s="367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7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2" t="s">
        <v>254</v>
      </c>
      <c r="C115" s="367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7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2" t="s">
        <v>254</v>
      </c>
      <c r="C116" s="367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7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2" t="s">
        <v>254</v>
      </c>
      <c r="C117" s="367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12</v>
      </c>
      <c r="W117" s="397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2" t="s">
        <v>254</v>
      </c>
      <c r="C118" s="367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" t="str">
        <f>IF($S118="","",$T118)</f>
        <v/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40</v>
      </c>
      <c r="W118" s="397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2" t="s">
        <v>254</v>
      </c>
      <c r="C119" s="367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7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09" t="s">
        <v>254</v>
      </c>
      <c r="B120" s="396"/>
      <c r="C120" s="396" t="s">
        <v>1989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8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398" t="str">
        <f>IF($S120="","",IFERROR(_xlfn.XLOOKUP($S120,CostData!$U$22:$U$1000,CostData!$T$22:$T$1000,""),""))</f>
        <v>Gasket</v>
      </c>
      <c r="R120" s="398" t="str">
        <f>T120</f>
        <v>6154 Gasket</v>
      </c>
      <c r="S120" s="415">
        <v>6154</v>
      </c>
      <c r="T120" s="398" t="str" cm="1">
        <f t="array" ref="T120">_xlfn.LET(_xlpm.cd,INDEX($S:$S,ROW()),IF(_xlpm.cd="","",IFERROR(_xlfn.XLOOKUP(_xlpm.cd,CostData!$U$22:$U$1000,CostData!$W$22:$W$1000,""),"")))</f>
        <v>6154 Gasket</v>
      </c>
      <c r="U120" s="398" t="str">
        <f>IF($S120="","",IFERROR(_xlfn.XLOOKUP($S120,CostData!$U$22:$U$1000,CostData!$AA$22:$AA$1000,""),""))</f>
        <v>Ft</v>
      </c>
      <c r="V120" s="398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0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2"/>
      <c r="M121" s="408"/>
      <c r="W121" s="397"/>
    </row>
    <row r="122" spans="1:23" x14ac:dyDescent="0.25">
      <c r="A122" s="272"/>
      <c r="W122" s="397"/>
    </row>
    <row r="123" spans="1:23" x14ac:dyDescent="0.25">
      <c r="A123" s="272"/>
      <c r="W123" s="397"/>
    </row>
    <row r="124" spans="1:23" x14ac:dyDescent="0.25">
      <c r="A124" s="272"/>
      <c r="W124" s="397"/>
    </row>
    <row r="125" spans="1:23" x14ac:dyDescent="0.25">
      <c r="A125" s="272"/>
      <c r="W125" s="397"/>
    </row>
    <row r="126" spans="1:23" x14ac:dyDescent="0.25">
      <c r="A126" s="272"/>
      <c r="W126" s="397"/>
    </row>
    <row r="127" spans="1:23" x14ac:dyDescent="0.25">
      <c r="A127" s="272"/>
      <c r="W127" s="397"/>
    </row>
    <row r="128" spans="1:23" x14ac:dyDescent="0.25">
      <c r="A128" s="272"/>
      <c r="W128" s="397"/>
    </row>
    <row r="129" spans="1:23" x14ac:dyDescent="0.25">
      <c r="A129" s="272"/>
      <c r="W129" s="397"/>
    </row>
    <row r="130" spans="1:23" x14ac:dyDescent="0.25">
      <c r="A130" s="272"/>
      <c r="W130" s="397"/>
    </row>
    <row r="131" spans="1:23" x14ac:dyDescent="0.25">
      <c r="A131" s="272"/>
      <c r="W131" s="397"/>
    </row>
    <row r="132" spans="1:23" x14ac:dyDescent="0.25">
      <c r="A132" s="272"/>
      <c r="W132" s="397"/>
    </row>
    <row r="133" spans="1:23" x14ac:dyDescent="0.25">
      <c r="A133" s="272"/>
      <c r="W133" s="397"/>
    </row>
    <row r="134" spans="1:23" x14ac:dyDescent="0.25">
      <c r="A134" s="272"/>
      <c r="W134" s="397"/>
    </row>
    <row r="135" spans="1:23" x14ac:dyDescent="0.25">
      <c r="A135" s="272"/>
      <c r="W135" s="397"/>
    </row>
    <row r="136" spans="1:23" x14ac:dyDescent="0.25">
      <c r="A136" s="272"/>
      <c r="W136" s="397"/>
    </row>
    <row r="137" spans="1:23" x14ac:dyDescent="0.25">
      <c r="A137" s="272"/>
      <c r="W137" s="397"/>
    </row>
    <row r="138" spans="1:23" x14ac:dyDescent="0.25">
      <c r="A138" s="272"/>
      <c r="W138" s="397"/>
    </row>
    <row r="139" spans="1:23" x14ac:dyDescent="0.25">
      <c r="A139" s="272"/>
      <c r="W139" s="397"/>
    </row>
    <row r="140" spans="1:23" x14ac:dyDescent="0.25">
      <c r="A140" s="272"/>
      <c r="W140" s="397"/>
    </row>
    <row r="141" spans="1:23" x14ac:dyDescent="0.25">
      <c r="A141" s="272"/>
      <c r="W141" s="397"/>
    </row>
    <row r="142" spans="1:23" x14ac:dyDescent="0.25">
      <c r="A142" s="272"/>
      <c r="W142" s="397"/>
    </row>
    <row r="143" spans="1:23" x14ac:dyDescent="0.25">
      <c r="A143" s="272"/>
      <c r="W143" s="397"/>
    </row>
    <row r="144" spans="1:23" x14ac:dyDescent="0.25">
      <c r="A144" s="272"/>
      <c r="W144" s="397"/>
    </row>
    <row r="145" spans="1:23" x14ac:dyDescent="0.25">
      <c r="A145" s="272"/>
      <c r="W145" s="397"/>
    </row>
    <row r="146" spans="1:23" x14ac:dyDescent="0.25">
      <c r="A146" s="272"/>
      <c r="W146" s="397"/>
    </row>
    <row r="147" spans="1:23" x14ac:dyDescent="0.25">
      <c r="A147" s="272"/>
      <c r="W147" s="397"/>
    </row>
    <row r="148" spans="1:23" x14ac:dyDescent="0.25">
      <c r="A148" s="272"/>
      <c r="W148" s="397"/>
    </row>
    <row r="149" spans="1:23" x14ac:dyDescent="0.25">
      <c r="A149" s="272"/>
      <c r="W149" s="397"/>
    </row>
    <row r="150" spans="1:23" x14ac:dyDescent="0.25">
      <c r="A150" s="409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8"/>
      <c r="Q150" s="398"/>
      <c r="R150" s="398"/>
      <c r="S150" s="415"/>
      <c r="T150" s="398"/>
      <c r="U150" s="398"/>
      <c r="V150" s="398"/>
      <c r="W150" s="410"/>
    </row>
    <row r="151" spans="1:23" x14ac:dyDescent="0.25">
      <c r="A151" s="416" t="s">
        <v>254</v>
      </c>
      <c r="B151" s="412" t="s">
        <v>1845</v>
      </c>
      <c r="C151" s="412" t="s">
        <v>11</v>
      </c>
      <c r="D151" s="412" t="s">
        <v>1791</v>
      </c>
      <c r="E151" s="412" t="str" cm="1">
        <f t="array" ref="E151:E160">IFERROR(INDEX(_xlfn._xlws.FILTER(CostData!$P$3:$P$12,CostData!$P$3:$P$12&lt;&gt;""),_xlfn.SEQUENCE(10)),"")</f>
        <v>Default</v>
      </c>
      <c r="F151" s="412"/>
      <c r="G151" s="412" t="str">
        <f>"▼ [Fix - Casement]"</f>
        <v>▼ [Fix - Casement]</v>
      </c>
      <c r="H151" s="412" t="str">
        <f>"▼ [Hung Window - Casement]"</f>
        <v>▼ [Hung Window - Casement]</v>
      </c>
      <c r="I151" s="412" t="s">
        <v>1857</v>
      </c>
      <c r="J151" s="412" t="s">
        <v>1858</v>
      </c>
      <c r="K151" s="412" t="s">
        <v>1859</v>
      </c>
      <c r="L151" s="412" t="s">
        <v>1860</v>
      </c>
      <c r="M151" s="422">
        <v>0.59596199999999999</v>
      </c>
      <c r="N151" s="406">
        <v>914.4</v>
      </c>
      <c r="O151" s="412"/>
      <c r="P151" s="406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6" t="str" cm="1">
        <f t="array" ref="Q151">_xlfn.LET(_xlpm.cd,INDEX($S:$S,ROW()),IF(_xlpm.cd="","",IFERROR(_xlfn.XLOOKUP(_xlpm.cd,CostData!$C$22:$C$1000,CostData!$B$22:$B$1000,""),"")))</f>
        <v>Aluminium</v>
      </c>
      <c r="R151" s="406" t="str">
        <f>T151</f>
        <v>Inner Lock</v>
      </c>
      <c r="S151" s="414" t="s">
        <v>2000</v>
      </c>
      <c r="T151" s="406" t="str" cm="1">
        <f t="array" ref="T151">_xlfn.LET(_xlpm.cd,INDEX($S:$S,ROW()),IF(_xlpm.cd="","",IFERROR(_xlfn.XLOOKUP(_xlpm.cd,CostData!$C$22:$C$1000,CostData!$E$22:$E$1000,""),"")))</f>
        <v>Inner Lock</v>
      </c>
      <c r="U151" s="406" t="s">
        <v>103</v>
      </c>
      <c r="V151" s="406" cm="1">
        <f t="array" ref="V151">_xlfn.LET(_xlpm.p,IF(Enginuity!$B$14&lt;&gt;"",Enginuity!$B$14,Enginuity!$B$13),_xlpm.h,Enginuity!$B$7,IF(OR(_xlpm.p="",_xlpm.h=""),"",_xlfn.SWITCH(_xlpm.p,2,2*_xlpm.h,3,2*_xlpm.h,4,2*_xlpm.h,6,4*_xlpm.h,"")))</f>
        <v>8</v>
      </c>
      <c r="W151" s="418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1847</v>
      </c>
      <c r="C152" s="367" t="s">
        <v>11</v>
      </c>
      <c r="D152" s="367" t="s">
        <v>1813</v>
      </c>
      <c r="E152" s="367" t="str">
        <v>Z-Louvre Blade - 2"</v>
      </c>
      <c r="G152" s="367" t="s">
        <v>1865</v>
      </c>
      <c r="H152" s="367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2002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4</v>
      </c>
      <c r="W152" s="397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1866</v>
      </c>
      <c r="H153" s="367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2004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4</v>
      </c>
      <c r="W153" s="397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1846</v>
      </c>
      <c r="C154" s="367" t="s">
        <v>11</v>
      </c>
      <c r="D154" s="367" t="s">
        <v>1814</v>
      </c>
      <c r="E154" s="367" t="str">
        <v/>
      </c>
      <c r="G154" s="367" t="s">
        <v>1867</v>
      </c>
      <c r="H154" s="367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2006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8</v>
      </c>
      <c r="W154" s="397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1868</v>
      </c>
      <c r="H155" s="367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2010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8</v>
      </c>
      <c r="W155" s="397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1869</v>
      </c>
      <c r="H156" s="367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2012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4</v>
      </c>
      <c r="W156" s="397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1870</v>
      </c>
      <c r="H157" s="367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2014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4</v>
      </c>
      <c r="W157" s="397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1871</v>
      </c>
      <c r="H158" s="367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2016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7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1872</v>
      </c>
      <c r="H159" s="367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2018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7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2032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7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2008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7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2084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7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2085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7"/>
    </row>
    <row r="164" spans="1:23" x14ac:dyDescent="0.25">
      <c r="A164" s="272" t="s">
        <v>254</v>
      </c>
      <c r="C164" s="367" t="s">
        <v>11</v>
      </c>
      <c r="F164" s="367" t="s">
        <v>2086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7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7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7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16</v>
      </c>
      <c r="W167" s="397">
        <f>IFERROR(INDEX(CostData!$Q$3:$Q$12,MATCH(TRIM(Enginuity!$A$20),CostData!$P$3:$P$12,0)),"")</f>
        <v>3.9</v>
      </c>
    </row>
    <row r="168" spans="1:23" x14ac:dyDescent="0.25">
      <c r="A168" s="272" t="s">
        <v>254</v>
      </c>
      <c r="C168" s="367" t="s">
        <v>11</v>
      </c>
      <c r="W168" s="397"/>
    </row>
    <row r="169" spans="1:23" x14ac:dyDescent="0.25">
      <c r="A169" s="272" t="s">
        <v>254</v>
      </c>
      <c r="C169" s="367" t="s">
        <v>11</v>
      </c>
      <c r="W169" s="397"/>
    </row>
    <row r="170" spans="1:23" x14ac:dyDescent="0.25">
      <c r="A170" s="272" t="s">
        <v>254</v>
      </c>
      <c r="C170" s="367" t="s">
        <v>11</v>
      </c>
      <c r="W170" s="397"/>
    </row>
    <row r="171" spans="1:23" x14ac:dyDescent="0.25">
      <c r="A171" s="272" t="s">
        <v>254</v>
      </c>
      <c r="C171" s="367" t="s">
        <v>11</v>
      </c>
      <c r="W171" s="397"/>
    </row>
    <row r="172" spans="1:23" x14ac:dyDescent="0.25">
      <c r="A172" s="272" t="s">
        <v>254</v>
      </c>
      <c r="C172" s="367" t="s">
        <v>11</v>
      </c>
      <c r="W172" s="397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7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2049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397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2053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8</v>
      </c>
      <c r="W175" s="397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2057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4</v>
      </c>
      <c r="W176" s="397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1898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40</v>
      </c>
      <c r="W177" s="397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1979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391</v>
      </c>
      <c r="W178" s="397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1910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32</v>
      </c>
      <c r="W179" s="397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9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8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8" t="str">
        <f>IF($S180="","",IFERROR(_xlfn.XLOOKUP($S180,CostData!$U$22:$U$1000,CostData!$T$22:$T$1000,""),""))</f>
        <v>Gasket</v>
      </c>
      <c r="R180" s="398" t="str">
        <f t="shared" si="5"/>
        <v>6154 Gasket</v>
      </c>
      <c r="S180" s="415">
        <v>6154</v>
      </c>
      <c r="T180" s="398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8">
        <f>IF(SUM($V$63:$V$64)=0,"",SUM($V$63:$V$64)*2)</f>
        <v>8</v>
      </c>
      <c r="W180" s="410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6" t="s">
        <v>254</v>
      </c>
      <c r="B181" s="412" t="s">
        <v>1845</v>
      </c>
      <c r="C181" s="412" t="s">
        <v>1512</v>
      </c>
      <c r="D181" s="412" t="s">
        <v>1791</v>
      </c>
      <c r="E181" s="412" t="str" cm="1">
        <f t="array" ref="E181:E190">IFERROR(INDEX(_xlfn._xlws.FILTER(CostData!$P$3:$P$12,CostData!$P$3:$P$12&lt;&gt;""),_xlfn.SEQUENCE(10)),"")</f>
        <v>Default</v>
      </c>
      <c r="F181" s="412"/>
      <c r="G181" s="412" t="str">
        <f>"▼ [Fix - Casement]"</f>
        <v>▼ [Fix - Casement]</v>
      </c>
      <c r="H181" s="412" t="str">
        <f>"▼ [Hung Window - Casement]"</f>
        <v>▼ [Hung Window - Casement]</v>
      </c>
      <c r="I181" s="412" t="s">
        <v>1857</v>
      </c>
      <c r="J181" s="412" t="s">
        <v>1858</v>
      </c>
      <c r="K181" s="412" t="s">
        <v>1859</v>
      </c>
      <c r="L181" s="412" t="s">
        <v>1860</v>
      </c>
      <c r="M181" s="422">
        <v>0.59596199999999999</v>
      </c>
      <c r="N181" s="406">
        <v>914.4</v>
      </c>
      <c r="O181" s="412"/>
      <c r="P181" s="406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6" t="str" cm="1">
        <f t="array" ref="Q181">_xlfn.LET(_xlpm.cd,INDEX($S:$S,ROW()),IF(_xlpm.cd="","",IFERROR(_xlfn.XLOOKUP(_xlpm.cd,CostData!$C$22:$C$1000,CostData!$B$22:$B$1000,""),"")))</f>
        <v>Aluminium</v>
      </c>
      <c r="R181" s="406" t="str">
        <f>T181</f>
        <v>Inner Lock</v>
      </c>
      <c r="S181" s="414" t="s">
        <v>2022</v>
      </c>
      <c r="T181" s="406" t="str" cm="1">
        <f t="array" ref="T181">_xlfn.LET(_xlpm.cd,INDEX($S:$S,ROW()),IF(_xlpm.cd="","",IFERROR(_xlfn.XLOOKUP(_xlpm.cd,CostData!$C$22:$C$1000,CostData!$E$22:$E$1000,""),"")))</f>
        <v>Inner Lock</v>
      </c>
      <c r="U181" s="406" t="s">
        <v>103</v>
      </c>
      <c r="V181" s="406" cm="1">
        <f t="array" ref="V181">_xlfn.LET(_xlpm.p,IF(Enginuity!$B$14&lt;&gt;"",Enginuity!$B$14,Enginuity!$B$13),_xlpm.h,Enginuity!$B$7,IF(OR(_xlpm.p="",_xlpm.h=""),"",_xlfn.SWITCH(_xlpm.p,2,2*_xlpm.h,3,2*_xlpm.h,4,2*_xlpm.h,6,4*_xlpm.h,"")))</f>
        <v>8</v>
      </c>
      <c r="W181" s="418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1847</v>
      </c>
      <c r="C182" s="367" t="s">
        <v>1512</v>
      </c>
      <c r="D182" s="367" t="s">
        <v>1813</v>
      </c>
      <c r="E182" s="367" t="str">
        <v>Z-Louvre Blade - 2"</v>
      </c>
      <c r="G182" s="367" t="s">
        <v>1865</v>
      </c>
      <c r="H182" s="367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2023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4</v>
      </c>
      <c r="W182" s="397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1866</v>
      </c>
      <c r="H183" s="367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2024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4</v>
      </c>
      <c r="W183" s="397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1846</v>
      </c>
      <c r="C184" s="367" t="s">
        <v>1512</v>
      </c>
      <c r="D184" s="367" t="s">
        <v>1814</v>
      </c>
      <c r="E184" s="367" t="str">
        <v/>
      </c>
      <c r="G184" s="367" t="s">
        <v>1867</v>
      </c>
      <c r="H184" s="367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2025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8</v>
      </c>
      <c r="W184" s="397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1868</v>
      </c>
      <c r="H185" s="367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2026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8</v>
      </c>
      <c r="W185" s="397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1869</v>
      </c>
      <c r="H186" s="367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2027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4</v>
      </c>
      <c r="W186" s="397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1870</v>
      </c>
      <c r="H187" s="367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2028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4</v>
      </c>
      <c r="W187" s="397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1871</v>
      </c>
      <c r="H188" s="367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2029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7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1872</v>
      </c>
      <c r="H189" s="367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2030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7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2034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7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2046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7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2084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7"/>
    </row>
    <row r="193" spans="1:23" x14ac:dyDescent="0.25">
      <c r="A193" s="272" t="s">
        <v>254</v>
      </c>
      <c r="C193" s="367" t="s">
        <v>1512</v>
      </c>
      <c r="F193" s="367" t="s">
        <v>2085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7"/>
    </row>
    <row r="194" spans="1:23" x14ac:dyDescent="0.25">
      <c r="A194" s="272" t="s">
        <v>254</v>
      </c>
      <c r="C194" s="367" t="s">
        <v>1512</v>
      </c>
      <c r="F194" s="367" t="s">
        <v>2086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7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7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7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16</v>
      </c>
      <c r="W197" s="397">
        <f>IFERROR(INDEX(CostData!$Q$3:$Q$12,MATCH(TRIM(Enginuity!$A$20),CostData!$P$3:$P$12,0)),"")</f>
        <v>3.9</v>
      </c>
    </row>
    <row r="198" spans="1:23" x14ac:dyDescent="0.25">
      <c r="A198" s="272" t="s">
        <v>254</v>
      </c>
      <c r="C198" s="367" t="s">
        <v>1512</v>
      </c>
      <c r="W198" s="397"/>
    </row>
    <row r="199" spans="1:23" x14ac:dyDescent="0.25">
      <c r="A199" s="272" t="s">
        <v>254</v>
      </c>
      <c r="C199" s="367" t="s">
        <v>1512</v>
      </c>
      <c r="W199" s="397"/>
    </row>
    <row r="200" spans="1:23" x14ac:dyDescent="0.25">
      <c r="A200" s="272" t="s">
        <v>254</v>
      </c>
      <c r="C200" s="367" t="s">
        <v>1512</v>
      </c>
      <c r="W200" s="397"/>
    </row>
    <row r="201" spans="1:23" x14ac:dyDescent="0.25">
      <c r="A201" s="272" t="s">
        <v>254</v>
      </c>
      <c r="C201" s="367" t="s">
        <v>1512</v>
      </c>
      <c r="W201" s="397"/>
    </row>
    <row r="202" spans="1:23" x14ac:dyDescent="0.25">
      <c r="A202" s="272" t="s">
        <v>254</v>
      </c>
      <c r="C202" s="367" t="s">
        <v>1512</v>
      </c>
      <c r="W202" s="397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7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2050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7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2056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8</v>
      </c>
      <c r="W205" s="397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2059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4</v>
      </c>
      <c r="W206" s="397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1898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40</v>
      </c>
      <c r="W207" s="397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1979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391</v>
      </c>
      <c r="W208" s="397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1910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32</v>
      </c>
      <c r="W209" s="397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8</v>
      </c>
      <c r="W210" s="397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6" t="s">
        <v>254</v>
      </c>
      <c r="B211" s="412" t="s">
        <v>1845</v>
      </c>
      <c r="C211" s="412" t="s">
        <v>91</v>
      </c>
      <c r="D211" s="412" t="s">
        <v>1791</v>
      </c>
      <c r="E211" s="412" t="str" cm="1">
        <f t="array" ref="E211:E220">IFERROR(INDEX(_xlfn._xlws.FILTER(CostData!$P$3:$P$12,CostData!$P$3:$P$12&lt;&gt;""),_xlfn.SEQUENCE(10)),"")</f>
        <v>Default</v>
      </c>
      <c r="F211" s="412"/>
      <c r="G211" s="412" t="str">
        <f>"▼ [Fix - Casement]"</f>
        <v>▼ [Fix - Casement]</v>
      </c>
      <c r="H211" s="412" t="str">
        <f>"▼ [Hung Window - Casement]"</f>
        <v>▼ [Hung Window - Casement]</v>
      </c>
      <c r="I211" s="412" t="s">
        <v>1857</v>
      </c>
      <c r="J211" s="412" t="s">
        <v>1858</v>
      </c>
      <c r="K211" s="412" t="s">
        <v>1859</v>
      </c>
      <c r="L211" s="412" t="s">
        <v>1860</v>
      </c>
      <c r="M211" s="422">
        <v>0.58540000000000003</v>
      </c>
      <c r="N211" s="406">
        <v>609.6</v>
      </c>
      <c r="O211" s="412"/>
      <c r="P211" s="406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6" t="str" cm="1">
        <f t="array" ref="Q211">_xlfn.LET(_xlpm.cd,INDEX($S:$S,ROW()),IF(_xlpm.cd="","",IFERROR(_xlfn.XLOOKUP(_xlpm.cd,CostData!$C$22:$C$1000,CostData!$B$22:$B$1000,""),"")))</f>
        <v>Aluminium</v>
      </c>
      <c r="R211" s="406" t="str">
        <f>T211</f>
        <v>Inner Lock</v>
      </c>
      <c r="S211" s="414" t="s">
        <v>2035</v>
      </c>
      <c r="T211" s="406" t="str" cm="1">
        <f t="array" ref="T211">_xlfn.LET(_xlpm.cd,INDEX($S:$S,ROW()),IF(_xlpm.cd="","",IFERROR(_xlfn.XLOOKUP(_xlpm.cd,CostData!$C$22:$C$1000,CostData!$E$22:$E$1000,""),"")))</f>
        <v>Inner Lock</v>
      </c>
      <c r="U211" s="406" t="s">
        <v>103</v>
      </c>
      <c r="V211" s="406" cm="1">
        <f t="array" ref="V211">_xlfn.LET(_xlpm.p,IF(Enginuity!$B$14&lt;&gt;"",Enginuity!$B$14,Enginuity!$B$13),_xlpm.h,Enginuity!$B$7,IF(OR(_xlpm.p="",_xlpm.h=""),"",_xlfn.SWITCH(_xlpm.p,2,2*_xlpm.h,3,2*_xlpm.h,4,2*_xlpm.h,6,4*_xlpm.h,"")))</f>
        <v>8</v>
      </c>
      <c r="W211" s="418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2" t="s">
        <v>254</v>
      </c>
      <c r="B212" s="367" t="s">
        <v>1847</v>
      </c>
      <c r="C212" s="367" t="s">
        <v>91</v>
      </c>
      <c r="D212" s="367" t="s">
        <v>1813</v>
      </c>
      <c r="E212" s="367" t="str">
        <v>Z-Louvre Blade - 2"</v>
      </c>
      <c r="G212" s="367" t="s">
        <v>1865</v>
      </c>
      <c r="H212" s="367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tr">
        <f t="shared" ref="R212:R221" si="8">T212</f>
        <v>Inner Bottom</v>
      </c>
      <c r="S212" s="24" t="s">
        <v>2036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4</v>
      </c>
      <c r="W212" s="397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1866</v>
      </c>
      <c r="H213" s="367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si="8"/>
        <v>Inner Top</v>
      </c>
      <c r="S213" s="24" t="s">
        <v>2037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4</v>
      </c>
      <c r="W213" s="397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2" t="s">
        <v>254</v>
      </c>
      <c r="B214" s="367" t="s">
        <v>1846</v>
      </c>
      <c r="C214" s="367" t="s">
        <v>91</v>
      </c>
      <c r="D214" s="367" t="s">
        <v>1814</v>
      </c>
      <c r="E214" s="367" t="str">
        <v/>
      </c>
      <c r="G214" s="367" t="s">
        <v>1867</v>
      </c>
      <c r="H214" s="367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Inner Hook</v>
      </c>
      <c r="S214" s="24" t="s">
        <v>2038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8</v>
      </c>
      <c r="W214" s="397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1868</v>
      </c>
      <c r="H215" s="367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" t="str">
        <f t="shared" si="8"/>
        <v>Outer Stand 2-Way</v>
      </c>
      <c r="S215" s="24" t="s">
        <v>2039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8</v>
      </c>
      <c r="W215" s="397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1869</v>
      </c>
      <c r="H216" s="367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" t="str">
        <f t="shared" si="8"/>
        <v>Outer Top 2-Way</v>
      </c>
      <c r="S216" s="24" t="s">
        <v>2040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4</v>
      </c>
      <c r="W216" s="397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1870</v>
      </c>
      <c r="H217" s="367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" t="str">
        <f t="shared" si="8"/>
        <v>Outer Bottom 2-Way</v>
      </c>
      <c r="S217" s="24" t="s">
        <v>2041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4</v>
      </c>
      <c r="W217" s="397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1871</v>
      </c>
      <c r="H218" s="367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" t="str">
        <f t="shared" si="8"/>
        <v>Outer Top 1-Way</v>
      </c>
      <c r="S218" s="24" t="s">
        <v>2043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7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1872</v>
      </c>
      <c r="H219" s="367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" t="str">
        <f t="shared" si="8"/>
        <v>Outer Bottom 1-Way</v>
      </c>
      <c r="S219" s="24" t="s">
        <v>2044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7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" t="str">
        <f t="shared" si="8"/>
        <v>Outer Stand 3-Way</v>
      </c>
      <c r="S220" s="24" t="s">
        <v>2042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7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" t="str">
        <f t="shared" si="8"/>
        <v xml:space="preserve"> Centre Jamb</v>
      </c>
      <c r="S221" s="24" t="s">
        <v>2047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7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2084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7"/>
    </row>
    <row r="223" spans="1:23" x14ac:dyDescent="0.25">
      <c r="A223" s="272" t="s">
        <v>254</v>
      </c>
      <c r="C223" s="367" t="s">
        <v>91</v>
      </c>
      <c r="F223" s="367" t="s">
        <v>2085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7"/>
    </row>
    <row r="224" spans="1:23" x14ac:dyDescent="0.25">
      <c r="A224" s="272" t="s">
        <v>254</v>
      </c>
      <c r="C224" s="367" t="s">
        <v>91</v>
      </c>
      <c r="F224" s="367" t="s">
        <v>2086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7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7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7"/>
    </row>
    <row r="227" spans="1:23" x14ac:dyDescent="0.25">
      <c r="A227" s="272" t="s">
        <v>254</v>
      </c>
      <c r="C227" s="367" t="s">
        <v>91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16</v>
      </c>
      <c r="W227" s="397">
        <f>IFERROR(INDEX(CostData!$Q$3:$Q$12,MATCH(TRIM(Enginuity!$A$20),CostData!$P$3:$P$12,0)),"")</f>
        <v>3.9</v>
      </c>
    </row>
    <row r="228" spans="1:23" x14ac:dyDescent="0.25">
      <c r="A228" s="272" t="s">
        <v>254</v>
      </c>
      <c r="C228" s="367" t="s">
        <v>91</v>
      </c>
      <c r="W228" s="397"/>
    </row>
    <row r="229" spans="1:23" x14ac:dyDescent="0.25">
      <c r="A229" s="272" t="s">
        <v>254</v>
      </c>
      <c r="C229" s="367" t="s">
        <v>91</v>
      </c>
      <c r="W229" s="397"/>
    </row>
    <row r="230" spans="1:23" x14ac:dyDescent="0.25">
      <c r="A230" s="272" t="s">
        <v>254</v>
      </c>
      <c r="C230" s="367" t="s">
        <v>91</v>
      </c>
      <c r="W230" s="397"/>
    </row>
    <row r="231" spans="1:23" x14ac:dyDescent="0.25">
      <c r="A231" s="272" t="s">
        <v>254</v>
      </c>
      <c r="C231" s="367" t="s">
        <v>91</v>
      </c>
      <c r="W231" s="397"/>
    </row>
    <row r="232" spans="1:23" x14ac:dyDescent="0.25">
      <c r="A232" s="272" t="s">
        <v>254</v>
      </c>
      <c r="C232" s="367" t="s">
        <v>91</v>
      </c>
      <c r="W232" s="397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7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>Cresent Lock</v>
      </c>
      <c r="S234" s="24" t="s">
        <v>2060</v>
      </c>
      <c r="T234" s="1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7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" t="str">
        <f t="shared" si="9"/>
        <v>ESLW Skidder</v>
      </c>
      <c r="S235" s="24" t="s">
        <v>2061</v>
      </c>
      <c r="T235" s="1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8</v>
      </c>
      <c r="W235" s="397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2" t="s">
        <v>254</v>
      </c>
      <c r="C236" s="367" t="s">
        <v>91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" t="str">
        <f t="shared" si="9"/>
        <v>ESLW Roller</v>
      </c>
      <c r="S236" s="24" t="s">
        <v>2062</v>
      </c>
      <c r="T236" s="1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4</v>
      </c>
      <c r="W236" s="397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2" t="s">
        <v>254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" t="str">
        <f t="shared" si="9"/>
        <v>2" x 2 Black Tape</v>
      </c>
      <c r="S237" s="24" t="s">
        <v>1894</v>
      </c>
      <c r="T237" s="1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40</v>
      </c>
      <c r="W237" s="397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2" t="s">
        <v>254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" t="str">
        <f t="shared" si="9"/>
        <v>VT210 Neutral Sealant Clear/WH/Grey 300ML</v>
      </c>
      <c r="S238" s="24" t="s">
        <v>1979</v>
      </c>
      <c r="T238" s="1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391</v>
      </c>
      <c r="W238" s="397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2" t="s">
        <v>254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1910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32</v>
      </c>
      <c r="W239" s="397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09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8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8" t="str">
        <f>IF($S240="","",IFERROR(_xlfn.XLOOKUP($S240,CostData!$U$22:$U$1000,CostData!$T$22:$T$1000,""),""))</f>
        <v>Gasket</v>
      </c>
      <c r="R240" s="398" t="str">
        <f t="shared" si="9"/>
        <v>6154 Gasket</v>
      </c>
      <c r="S240" s="415">
        <v>6154</v>
      </c>
      <c r="T240" s="398" t="str" cm="1">
        <f t="array" ref="T240">_xlfn.LET(_xlpm.cd,INDEX($S:$S,ROW()),IF(_xlpm.cd="","",IFERROR(_xlfn.XLOOKUP(_xlpm.cd,CostData!$U$22:$U$1000,CostData!$W$22:$W$1000,""),"")))</f>
        <v>6154 Gasket</v>
      </c>
      <c r="U240" s="398" t="str" cm="1">
        <f t="array" ref="U240">_xlfn.LET(_xlpm.s,INDEX($S:$S,ROW()),IF(_xlpm.s="","",IFERROR(_xlfn.XLOOKUP(_xlpm.s,CostData!$U$22:$U$1000,CostData!$AA$22:$AA$1000,""),"")))</f>
        <v>Ft</v>
      </c>
      <c r="V240" s="398">
        <f>IF(SUM($V$63:$V$64)=0,"",SUM($V$63:$V$64)*2)</f>
        <v>8</v>
      </c>
      <c r="W240" s="410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272" t="s">
        <v>254</v>
      </c>
      <c r="B241" s="367" t="s">
        <v>1845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1857</v>
      </c>
      <c r="J241" s="367" t="s">
        <v>1858</v>
      </c>
      <c r="K241" s="367" t="s">
        <v>1859</v>
      </c>
      <c r="L241" s="367" t="s">
        <v>1860</v>
      </c>
      <c r="M241" s="427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2035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cm="1">
        <f t="array" ref="V241">_xlfn.LET(_xlpm.p,IF(Enginuity!$B$14&lt;&gt;"",Enginuity!$B$14,Enginuity!$B$13),_xlpm.h,Enginuity!$B$7,IF(OR(_xlpm.p="",_xlpm.h=""),"",_xlfn.SWITCH(_xlpm.p,2,2*_xlpm.h,3,2*_xlpm.h,4,2*_xlpm.h,6,4*_xlpm.h,"")))</f>
        <v>8</v>
      </c>
      <c r="W241" s="397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1847</v>
      </c>
      <c r="C242" s="367" t="s">
        <v>12</v>
      </c>
      <c r="D242" s="367" t="s">
        <v>1813</v>
      </c>
      <c r="E242" s="367" t="str">
        <v>Z-Louvre Blade - 2"</v>
      </c>
      <c r="G242" s="367" t="s">
        <v>1865</v>
      </c>
      <c r="H242" s="367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2036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4</v>
      </c>
      <c r="W242" s="397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1866</v>
      </c>
      <c r="H243" s="367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2037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4</v>
      </c>
      <c r="W243" s="397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1846</v>
      </c>
      <c r="C244" s="367" t="s">
        <v>12</v>
      </c>
      <c r="D244" s="367" t="s">
        <v>1814</v>
      </c>
      <c r="E244" s="367" t="str">
        <v/>
      </c>
      <c r="G244" s="367" t="s">
        <v>1867</v>
      </c>
      <c r="H244" s="367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2038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8</v>
      </c>
      <c r="W244" s="397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1868</v>
      </c>
      <c r="H245" s="367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2039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8</v>
      </c>
      <c r="W245" s="397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1869</v>
      </c>
      <c r="H246" s="367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2040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4</v>
      </c>
      <c r="W246" s="397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1870</v>
      </c>
      <c r="H247" s="367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2041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4</v>
      </c>
      <c r="W247" s="397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1871</v>
      </c>
      <c r="H248" s="367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2043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7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1872</v>
      </c>
      <c r="H249" s="367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2044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7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2042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7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2047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7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2084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7"/>
    </row>
    <row r="253" spans="1:23" x14ac:dyDescent="0.25">
      <c r="A253" s="272" t="s">
        <v>254</v>
      </c>
      <c r="C253" s="367" t="s">
        <v>12</v>
      </c>
      <c r="F253" s="367" t="s">
        <v>2085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7"/>
    </row>
    <row r="254" spans="1:23" x14ac:dyDescent="0.25">
      <c r="A254" s="272" t="s">
        <v>254</v>
      </c>
      <c r="C254" s="367" t="s">
        <v>12</v>
      </c>
      <c r="F254" s="367" t="s">
        <v>2086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7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7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7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16</v>
      </c>
      <c r="W257" s="397">
        <f>IFERROR(INDEX(CostData!$Q$3:$Q$12,MATCH(TRIM(Enginuity!$A$20),CostData!$P$3:$P$12,0)),"")</f>
        <v>3.9</v>
      </c>
    </row>
    <row r="258" spans="1:23" x14ac:dyDescent="0.25">
      <c r="A258" s="272" t="s">
        <v>254</v>
      </c>
      <c r="C258" s="367" t="s">
        <v>12</v>
      </c>
      <c r="W258" s="397"/>
    </row>
    <row r="259" spans="1:23" x14ac:dyDescent="0.25">
      <c r="A259" s="272" t="s">
        <v>254</v>
      </c>
      <c r="C259" s="367" t="s">
        <v>12</v>
      </c>
      <c r="W259" s="397"/>
    </row>
    <row r="260" spans="1:23" x14ac:dyDescent="0.25">
      <c r="A260" s="272" t="s">
        <v>254</v>
      </c>
      <c r="C260" s="367" t="s">
        <v>12</v>
      </c>
      <c r="W260" s="397"/>
    </row>
    <row r="261" spans="1:23" x14ac:dyDescent="0.25">
      <c r="A261" s="272" t="s">
        <v>254</v>
      </c>
      <c r="C261" s="367" t="s">
        <v>12</v>
      </c>
      <c r="W261" s="397"/>
    </row>
    <row r="262" spans="1:23" x14ac:dyDescent="0.25">
      <c r="A262" s="272" t="s">
        <v>254</v>
      </c>
      <c r="C262" s="367" t="s">
        <v>12</v>
      </c>
      <c r="W262" s="397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7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2060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7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2061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8</v>
      </c>
      <c r="W265" s="397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2062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4</v>
      </c>
      <c r="W266" s="397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1894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40</v>
      </c>
      <c r="W267" s="397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1979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391</v>
      </c>
      <c r="W268" s="397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1910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32</v>
      </c>
      <c r="W269" s="397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8</v>
      </c>
      <c r="W270" s="397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6" t="s">
        <v>254</v>
      </c>
      <c r="B271" s="412" t="s">
        <v>1845</v>
      </c>
      <c r="C271" s="412" t="s">
        <v>2066</v>
      </c>
      <c r="D271" s="412" t="s">
        <v>1791</v>
      </c>
      <c r="E271" s="412" t="str" cm="1">
        <f t="array" ref="E271:E280">IFERROR(INDEX(_xlfn._xlws.FILTER(CostData!$P$3:$P$12,CostData!$P$3:$P$12&lt;&gt;""),_xlfn.SEQUENCE(10)),"")</f>
        <v>Default</v>
      </c>
      <c r="F271" s="412"/>
      <c r="G271" s="412" t="str">
        <f>"▼ [Optional]"</f>
        <v>▼ [Optional]</v>
      </c>
      <c r="H271" s="412" t="str">
        <f>IFERROR(IF(A1=0,"",A1),"")</f>
        <v>Category</v>
      </c>
      <c r="I271" s="412" t="str">
        <f t="shared" ref="I271:L271" si="12">IFERROR(IF(B1=0,"",B1),"")</f>
        <v>Setting</v>
      </c>
      <c r="J271" s="412" t="str">
        <f t="shared" si="12"/>
        <v>Value</v>
      </c>
      <c r="K271" s="412" t="str">
        <f t="shared" si="12"/>
        <v/>
      </c>
      <c r="L271" s="412" t="str">
        <f t="shared" si="12"/>
        <v/>
      </c>
      <c r="M271" s="422">
        <v>0.62962300000000004</v>
      </c>
      <c r="N271" s="406">
        <v>914.4</v>
      </c>
      <c r="O271" s="412"/>
      <c r="P271" s="406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6" t="str" cm="1">
        <f t="array" ref="Q271">_xlfn.LET(_xlpm.cd,INDEX($S:$S,ROW()),IF(_xlpm.cd="","",IFERROR(_xlfn.XLOOKUP(_xlpm.cd,CostData!$C$22:$C$1000,CostData!$B$22:$B$1000,""),"")))</f>
        <v>Aluminium</v>
      </c>
      <c r="R271" s="406" t="s">
        <v>2068</v>
      </c>
      <c r="S271" s="414" t="s">
        <v>2067</v>
      </c>
      <c r="T271" s="406" t="str" cm="1">
        <f t="array" ref="T271">_xlfn.LET(_xlpm.cd,INDEX($S:$S,ROW()),IF(_xlpm.cd="","",IFERROR(_xlfn.XLOOKUP(_xlpm.cd,CostData!$C$22:$C$1000,CostData!$E$22:$E$1000,""),"")))</f>
        <v>Swing Door 4" Profile</v>
      </c>
      <c r="U271" s="406" t="s">
        <v>103</v>
      </c>
      <c r="V271" s="406">
        <f>IF(OR(Enginuity!$B$13="",Enginuity!$B$7=""),"",Enginuity!$B$13*2*Enginuity!$B$7)</f>
        <v>16</v>
      </c>
      <c r="W271" s="418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1847</v>
      </c>
      <c r="C272" s="367" t="s">
        <v>2066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2069</v>
      </c>
      <c r="S272" s="24" t="s">
        <v>2067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16</v>
      </c>
      <c r="W272" s="397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2066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2070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>
        <f>IF(OR(Enginuity!$B$13="",Enginuity!$B$7=""),"",IF(Enginuity!$B$13=2,2*Enginuity!$B$7,""))</f>
        <v>8</v>
      </c>
      <c r="W273" s="397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1846</v>
      </c>
      <c r="C274" s="367" t="s">
        <v>2066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7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2066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7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2066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7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2066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7">
        <f>IFERROR(SUMPRODUCT(V301:V330,W301:W330),"")</f>
        <v>12.133287557238273</v>
      </c>
    </row>
    <row r="278" spans="1:23" x14ac:dyDescent="0.25">
      <c r="A278" s="272" t="s">
        <v>254</v>
      </c>
      <c r="C278" s="367" t="s">
        <v>2066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7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2066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7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2066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7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2066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7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2066</v>
      </c>
      <c r="F282" s="367" t="s">
        <v>2084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7"/>
    </row>
    <row r="283" spans="1:23" x14ac:dyDescent="0.25">
      <c r="A283" s="272" t="s">
        <v>254</v>
      </c>
      <c r="C283" s="367" t="s">
        <v>2066</v>
      </c>
      <c r="F283" s="367" t="s">
        <v>2085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7">
        <f>IFERROR(SUMPRODUCT(V301:V330,W301:W330),"")</f>
        <v>12.133287557238273</v>
      </c>
    </row>
    <row r="284" spans="1:23" x14ac:dyDescent="0.25">
      <c r="A284" s="272" t="s">
        <v>254</v>
      </c>
      <c r="C284" s="367" t="s">
        <v>2066</v>
      </c>
      <c r="F284" s="367" t="s">
        <v>2086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7"/>
    </row>
    <row r="285" spans="1:23" x14ac:dyDescent="0.25">
      <c r="A285" s="272" t="s">
        <v>254</v>
      </c>
      <c r="C285" s="367" t="s">
        <v>2066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7"/>
    </row>
    <row r="286" spans="1:23" x14ac:dyDescent="0.25">
      <c r="A286" s="272" t="s">
        <v>254</v>
      </c>
      <c r="C286" s="367" t="s">
        <v>2066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7"/>
    </row>
    <row r="287" spans="1:23" x14ac:dyDescent="0.25">
      <c r="A287" s="272" t="s">
        <v>254</v>
      </c>
      <c r="C287" s="367" t="s">
        <v>2066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16</v>
      </c>
      <c r="W287" s="397">
        <f>IFERROR(INDEX(CostData!$Q$3:$Q$12,MATCH(TRIM(Enginuity!$A$20),CostData!$P$3:$P$12,0)),"")</f>
        <v>3.9</v>
      </c>
    </row>
    <row r="288" spans="1:23" x14ac:dyDescent="0.25">
      <c r="A288" s="272" t="s">
        <v>254</v>
      </c>
      <c r="C288" s="367" t="s">
        <v>2066</v>
      </c>
      <c r="W288" s="397"/>
    </row>
    <row r="289" spans="1:23" x14ac:dyDescent="0.25">
      <c r="A289" s="272" t="s">
        <v>254</v>
      </c>
      <c r="C289" s="367" t="s">
        <v>2066</v>
      </c>
      <c r="W289" s="397"/>
    </row>
    <row r="290" spans="1:23" x14ac:dyDescent="0.25">
      <c r="A290" s="272" t="s">
        <v>254</v>
      </c>
      <c r="C290" s="367" t="s">
        <v>2066</v>
      </c>
      <c r="W290" s="397"/>
    </row>
    <row r="291" spans="1:23" x14ac:dyDescent="0.25">
      <c r="A291" s="272" t="s">
        <v>254</v>
      </c>
      <c r="C291" s="367" t="s">
        <v>2066</v>
      </c>
      <c r="W291" s="397"/>
    </row>
    <row r="292" spans="1:23" x14ac:dyDescent="0.25">
      <c r="A292" s="272" t="s">
        <v>254</v>
      </c>
      <c r="C292" s="367" t="s">
        <v>2066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1877</v>
      </c>
      <c r="R292" s="1" t="str">
        <f>T292</f>
        <v>Door Hinge</v>
      </c>
      <c r="S292" s="24" t="s">
        <v>2074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6</v>
      </c>
      <c r="W292" s="397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2066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2075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7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2066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2076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2</v>
      </c>
      <c r="W294" s="397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2066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2080</v>
      </c>
      <c r="R295" s="1" t="str">
        <f t="shared" si="15"/>
        <v>3/8" Metal Stud c/w Bolt &amp; Nut</v>
      </c>
      <c r="S295" s="24" t="s">
        <v>2077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8</v>
      </c>
      <c r="W295" s="397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2066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2078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2</v>
      </c>
      <c r="W296" s="397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2066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2079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2</v>
      </c>
      <c r="W297" s="397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2066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1902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32</v>
      </c>
      <c r="W298" s="397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2066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2073</v>
      </c>
      <c r="S299" s="24" t="s">
        <v>1910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>
        <f>IFERROR(V273,"")</f>
        <v>8</v>
      </c>
      <c r="W299" s="397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2066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2072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32</v>
      </c>
      <c r="W300" s="397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6" t="s">
        <v>254</v>
      </c>
      <c r="B301" s="412" t="s">
        <v>1845</v>
      </c>
      <c r="C301" s="412" t="s">
        <v>14</v>
      </c>
      <c r="D301" s="412" t="s">
        <v>1791</v>
      </c>
      <c r="E301" s="412"/>
      <c r="F301" s="412"/>
      <c r="G301" s="412"/>
      <c r="H301" s="412" t="str">
        <f t="shared" ref="H301:L301" si="17">IFERROR(IF(D1=0,"",D1),"")</f>
        <v/>
      </c>
      <c r="I301" s="412" t="str">
        <f t="shared" si="17"/>
        <v/>
      </c>
      <c r="J301" s="412" t="str">
        <f t="shared" si="17"/>
        <v/>
      </c>
      <c r="K301" s="412" t="str">
        <f t="shared" si="17"/>
        <v/>
      </c>
      <c r="L301" s="412" t="str">
        <f t="shared" si="17"/>
        <v>baru</v>
      </c>
      <c r="M301" s="422">
        <v>0.62962300000000004</v>
      </c>
      <c r="N301" s="406">
        <v>914.4</v>
      </c>
      <c r="O301" s="412"/>
      <c r="P301" s="406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6" t="str" cm="1">
        <f t="array" ref="Q301">_xlfn.LET(_xlpm.cd,INDEX($S:$S,ROW()),IF(_xlpm.cd="","",IFERROR(_xlfn.XLOOKUP(_xlpm.cd,CostData!$C$22:$C$1000,CostData!$B$22:$B$1000,""),"")))</f>
        <v>Aluminium</v>
      </c>
      <c r="R301" s="406" t="str">
        <f>T301</f>
        <v>Swing Door Frame</v>
      </c>
      <c r="S301" s="414" t="s">
        <v>2081</v>
      </c>
      <c r="T301" s="406" t="str" cm="1">
        <f t="array" ref="T301">_xlfn.LET(_xlpm.cd,INDEX($S:$S,ROW()),IF(_xlpm.cd="","",IFERROR(_xlfn.XLOOKUP(_xlpm.cd,CostData!$C$22:$C$1000,CostData!$E$22:$E$1000,""),"")))</f>
        <v>Swing Door Frame</v>
      </c>
      <c r="U301" s="406" t="s">
        <v>103</v>
      </c>
      <c r="V301" s="406">
        <f>IF(OR(Enginuity!B7="",Enginuity!B6=""),"",Enginuity!B7*2+Enginuity!B6)</f>
        <v>12</v>
      </c>
      <c r="W301" s="418" t="str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2" spans="1:23" x14ac:dyDescent="0.25">
      <c r="A302" s="272" t="s">
        <v>254</v>
      </c>
      <c r="B302" s="367" t="s">
        <v>1847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397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397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1846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7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7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7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7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7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7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7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7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7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7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7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7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7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7">
        <f>IFERROR(INDEX(CostData!$Q$3:$Q$12,MATCH(TRIM(Enginuity!$A$20),CostData!$P$3:$P$12,0)),"")</f>
        <v>3.9</v>
      </c>
    </row>
    <row r="318" spans="1:23" x14ac:dyDescent="0.25">
      <c r="A318" s="272" t="s">
        <v>254</v>
      </c>
      <c r="C318" s="367" t="s">
        <v>14</v>
      </c>
      <c r="W318" s="397"/>
    </row>
    <row r="319" spans="1:23" x14ac:dyDescent="0.25">
      <c r="A319" s="272" t="s">
        <v>254</v>
      </c>
      <c r="C319" s="367" t="s">
        <v>14</v>
      </c>
      <c r="W319" s="397"/>
    </row>
    <row r="320" spans="1:23" x14ac:dyDescent="0.25">
      <c r="A320" s="272" t="s">
        <v>254</v>
      </c>
      <c r="C320" s="367" t="s">
        <v>14</v>
      </c>
      <c r="W320" s="397"/>
    </row>
    <row r="321" spans="1:23" x14ac:dyDescent="0.25">
      <c r="A321" s="272" t="s">
        <v>254</v>
      </c>
      <c r="C321" s="367" t="s">
        <v>14</v>
      </c>
      <c r="W321" s="397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397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397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397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397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397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7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1979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293</v>
      </c>
      <c r="W328" s="397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1902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12</v>
      </c>
      <c r="W329" s="397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9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8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8" t="str">
        <f>IF($S330="","",IFERROR(_xlfn.XLOOKUP($S330,CostData!$U$22:$U$1000,CostData!$T$22:$T$1000,""),""))</f>
        <v>Gasket</v>
      </c>
      <c r="R330" s="398" t="s">
        <v>2073</v>
      </c>
      <c r="S330" s="415" t="s">
        <v>1910</v>
      </c>
      <c r="T330" s="398" t="str" cm="1">
        <f t="array" ref="T330">_xlfn.LET(_xlpm.cd,INDEX($S:$S,ROW()),IF(_xlpm.cd="","",IFERROR(_xlfn.XLOOKUP(_xlpm.cd,CostData!$U$22:$U$1000,CostData!$W$22:$W$1000,""),"")))</f>
        <v>F18 Gasket</v>
      </c>
      <c r="U330" s="398" t="str" cm="1">
        <f t="array" ref="U330">_xlfn.LET(_xlpm.s,INDEX($S:$S,ROW()),IF(_xlpm.s="","",IFERROR(_xlfn.XLOOKUP(_xlpm.s,CostData!$U$22:$U$1000,CostData!$AA$22:$AA$1000,""),"")))</f>
        <v>Ft</v>
      </c>
      <c r="V330" s="398">
        <f>IFERROR(IF(OR(Enginuity!B7="",Enginuity!B6=""),"",Enginuity!B7*2+Enginuity!B6),"")</f>
        <v>12</v>
      </c>
      <c r="W330" s="410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1845</v>
      </c>
      <c r="C331" s="367" t="s">
        <v>1934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12"/>
      <c r="G331" s="367" t="str">
        <f>"▼ [Fix - Casement]"</f>
        <v>▼ [Fix - Casement]</v>
      </c>
      <c r="M331" s="417">
        <v>0.54644999999999999</v>
      </c>
      <c r="N331" s="412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W331" s="397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1847</v>
      </c>
      <c r="C332" s="367" t="s">
        <v>1934</v>
      </c>
      <c r="D332" s="367" t="s">
        <v>1813</v>
      </c>
      <c r="E332" s="367" t="str">
        <v>Z-Louvre Blade - 2"</v>
      </c>
      <c r="G332" s="367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24</v>
      </c>
      <c r="W332" s="397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1934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4</v>
      </c>
      <c r="W333" s="397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1846</v>
      </c>
      <c r="C334" s="367" t="s">
        <v>1934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7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1934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7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1934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7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1934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7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2" t="s">
        <v>254</v>
      </c>
      <c r="C338" s="367" t="s">
        <v>1934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7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1934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7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1934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7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1934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7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1934</v>
      </c>
      <c r="F342" s="367" t="s">
        <v>2084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7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1934</v>
      </c>
      <c r="F343" s="367" t="s">
        <v>2085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7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1934</v>
      </c>
      <c r="F344" s="367" t="s">
        <v>2086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7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7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7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16</v>
      </c>
      <c r="W347" s="397">
        <f>IFERROR(INDEX(CostData!$Q$3:$Q$12,MATCH(TRIM(Enginuity!$A$20),CostData!$P$3:$P$12,0)),"")</f>
        <v>3.9</v>
      </c>
    </row>
    <row r="348" spans="1:23" x14ac:dyDescent="0.25">
      <c r="A348" s="272" t="s">
        <v>254</v>
      </c>
      <c r="C348" s="367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7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7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7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7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7"/>
    </row>
    <row r="353" spans="1:23" x14ac:dyDescent="0.25">
      <c r="A353" s="272" t="s">
        <v>254</v>
      </c>
      <c r="C353" s="367" t="s">
        <v>1934</v>
      </c>
      <c r="W353" s="397"/>
    </row>
    <row r="354" spans="1:23" x14ac:dyDescent="0.25">
      <c r="A354" s="272" t="s">
        <v>254</v>
      </c>
      <c r="C354" s="367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2</v>
      </c>
      <c r="W354" s="397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2</v>
      </c>
      <c r="W355" s="397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44</v>
      </c>
      <c r="W356" s="397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16</v>
      </c>
      <c r="W357" s="397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24</v>
      </c>
      <c r="W358" s="397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24</v>
      </c>
      <c r="W359" s="397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1934</v>
      </c>
      <c r="Q360" s="1" t="str">
        <f>IF($S360="","",IFERROR(_xlfn.XLOOKUP($S360,CostData!$U$22:$U$1000,CostData!$T$22:$T$1000,""),""))</f>
        <v>Gasket</v>
      </c>
      <c r="R360" s="1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8</v>
      </c>
      <c r="W360" s="397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6" t="s">
        <v>255</v>
      </c>
      <c r="B361" s="412" t="s">
        <v>1845</v>
      </c>
      <c r="C361" s="412" t="s">
        <v>2113</v>
      </c>
      <c r="D361" s="412" t="s">
        <v>1791</v>
      </c>
      <c r="E361" s="412" t="str" cm="1">
        <f t="array" ref="E361:E370">IFERROR(INDEX(_xlfn._xlws.FILTER(CostData!$P$3:$P$12,CostData!$P$3:$P$12&lt;&gt;""),_xlfn.SEQUENCE(10)),"")</f>
        <v>Default</v>
      </c>
      <c r="F361" s="412"/>
      <c r="G361" s="412" t="str">
        <f t="shared" ref="G361" si="21">IFERROR(IF(C61=0,"",C61),"")</f>
        <v>Casement Window Standard</v>
      </c>
      <c r="H361" s="412" t="str">
        <f t="shared" ref="H361" si="22">IFERROR(IF(D61=0,"",D61),"")</f>
        <v>N/A</v>
      </c>
      <c r="I361" s="412" t="str">
        <f t="shared" ref="I361" si="23">IFERROR(IF(E61=0,"",E61),"")</f>
        <v>Default</v>
      </c>
      <c r="J361" s="412" t="str">
        <f t="shared" ref="J361" si="24">IFERROR(IF(F61=0,"",F61),"")</f>
        <v/>
      </c>
      <c r="K361" s="412" t="str">
        <f t="shared" ref="K361" si="25">IFERROR(IF(G61=0,"",G61),"")</f>
        <v>▼ [Fix - Casement]</v>
      </c>
      <c r="L361" s="412" t="str">
        <f t="shared" ref="L361" si="26">IFERROR(IF(H61=0,"",H61),"")</f>
        <v>▼ [Hung Window - Casement]</v>
      </c>
      <c r="M361" s="422">
        <v>0.5212</v>
      </c>
      <c r="N361" s="406">
        <v>762</v>
      </c>
      <c r="O361" s="412"/>
      <c r="P361" s="406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6" t="str" cm="1">
        <f t="array" ref="Q361">_xlfn.LET(_xlpm.cd,INDEX($S:$S,ROW()),IF(_xlpm.cd="","",IFERROR(_xlfn.XLOOKUP(_xlpm.cd,CostData!$C$22:$C$1000,CostData!$B$22:$B$1000,""),"")))</f>
        <v>Aluminium</v>
      </c>
      <c r="R361" s="406" t="str">
        <f>T361</f>
        <v>Swing Door Frame</v>
      </c>
      <c r="S361" s="414" t="s">
        <v>2081</v>
      </c>
      <c r="T361" s="406" t="str" cm="1">
        <f t="array" ref="T361">_xlfn.LET(_xlpm.cd,INDEX($S:$S,ROW()),IF(_xlpm.cd="","",IFERROR(_xlfn.XLOOKUP(_xlpm.cd,CostData!$C$22:$C$1000,CostData!$E$22:$E$1000,""),"")))</f>
        <v>Swing Door Frame</v>
      </c>
      <c r="U361" s="406" t="s">
        <v>103</v>
      </c>
      <c r="V361" s="406" t="str">
        <f>IF(OR(Enginuity!B67="",Enginuity!B66=""),"",Enginuity!B67*2+Enginuity!B66)</f>
        <v/>
      </c>
      <c r="W361" s="418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6.76</v>
      </c>
    </row>
    <row r="362" spans="1:23" x14ac:dyDescent="0.25">
      <c r="A362" s="272" t="s">
        <v>255</v>
      </c>
      <c r="B362" s="367" t="s">
        <v>1847</v>
      </c>
      <c r="C362" s="367" t="s">
        <v>2113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2067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397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2113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2070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397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1846</v>
      </c>
      <c r="C364" s="367" t="s">
        <v>2113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397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2113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7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2113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7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2113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7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2113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7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2113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7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2113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7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2113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7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2113</v>
      </c>
      <c r="F372" s="367" t="s">
        <v>2084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397"/>
    </row>
    <row r="373" spans="1:23" x14ac:dyDescent="0.25">
      <c r="A373" s="272" t="s">
        <v>255</v>
      </c>
      <c r="C373" s="367" t="s">
        <v>2113</v>
      </c>
      <c r="F373" s="367" t="s">
        <v>2085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397"/>
    </row>
    <row r="374" spans="1:23" x14ac:dyDescent="0.25">
      <c r="A374" s="272" t="s">
        <v>255</v>
      </c>
      <c r="C374" s="367" t="s">
        <v>2113</v>
      </c>
      <c r="F374" s="367" t="s">
        <v>2086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397"/>
    </row>
    <row r="375" spans="1:23" x14ac:dyDescent="0.25">
      <c r="A375" s="272" t="s">
        <v>255</v>
      </c>
      <c r="C375" s="367" t="s">
        <v>2113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397"/>
    </row>
    <row r="376" spans="1:23" x14ac:dyDescent="0.25">
      <c r="A376" s="272" t="s">
        <v>255</v>
      </c>
      <c r="C376" s="367" t="s">
        <v>2113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397"/>
    </row>
    <row r="377" spans="1:23" x14ac:dyDescent="0.25">
      <c r="A377" s="272" t="s">
        <v>255</v>
      </c>
      <c r="C377" s="367" t="s">
        <v>2113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397">
        <f>IFERROR(INDEX(CostData!$Q$3:$Q$12,MATCH(TRIM(Enginuity!$A$20),CostData!$P$3:$P$12,0)),"")</f>
        <v>3.9</v>
      </c>
    </row>
    <row r="378" spans="1:23" x14ac:dyDescent="0.25">
      <c r="A378" s="272" t="s">
        <v>255</v>
      </c>
      <c r="C378" s="367" t="s">
        <v>2113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397"/>
    </row>
    <row r="379" spans="1:23" x14ac:dyDescent="0.25">
      <c r="A379" s="272" t="s">
        <v>255</v>
      </c>
      <c r="C379" s="367" t="s">
        <v>2113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397"/>
    </row>
    <row r="380" spans="1:23" x14ac:dyDescent="0.25">
      <c r="A380" s="272" t="s">
        <v>255</v>
      </c>
      <c r="C380" s="367" t="s">
        <v>2113</v>
      </c>
      <c r="W380" s="397"/>
    </row>
    <row r="381" spans="1:23" x14ac:dyDescent="0.25">
      <c r="A381" s="272" t="s">
        <v>255</v>
      </c>
      <c r="C381" s="367" t="s">
        <v>2113</v>
      </c>
      <c r="W381" s="397"/>
    </row>
    <row r="382" spans="1:23" x14ac:dyDescent="0.25">
      <c r="A382" s="272" t="s">
        <v>255</v>
      </c>
      <c r="C382" s="367" t="s">
        <v>2113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397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2113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397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2113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397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2113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397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2113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397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2113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7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2113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1979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7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2113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1902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7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9" t="s">
        <v>255</v>
      </c>
      <c r="B390" s="396"/>
      <c r="C390" s="396" t="s">
        <v>2113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8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8" t="str">
        <f>IF($S390="","",IFERROR(_xlfn.XLOOKUP($S390,CostData!$U$22:$U$1000,CostData!$T$22:$T$1000,""),""))</f>
        <v>Gasket</v>
      </c>
      <c r="R390" s="398" t="s">
        <v>2073</v>
      </c>
      <c r="S390" s="415" t="s">
        <v>1910</v>
      </c>
      <c r="T390" s="398" t="str" cm="1">
        <f t="array" ref="T390">_xlfn.LET(_xlpm.cd,INDEX($S:$S,ROW()),IF(_xlpm.cd="","",IFERROR(_xlfn.XLOOKUP(_xlpm.cd,CostData!$U$22:$U$1000,CostData!$W$22:$W$1000,""),"")))</f>
        <v>F18 Gasket</v>
      </c>
      <c r="U390" s="398" t="str" cm="1">
        <f t="array" ref="U390">_xlfn.LET(_xlpm.s,INDEX($S:$S,ROW()),IF(_xlpm.s="","",IFERROR(_xlfn.XLOOKUP(_xlpm.s,CostData!$U$22:$U$1000,CostData!$AA$22:$AA$1000,""),"")))</f>
        <v>Ft</v>
      </c>
      <c r="V390" s="398" t="str">
        <f>IFERROR(IF(OR(Enginuity!B67="",Enginuity!B66=""),"",Enginuity!B67*2+Enginuity!B66),"")</f>
        <v/>
      </c>
      <c r="W390" s="410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1845</v>
      </c>
      <c r="C391" s="367" t="s">
        <v>2114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8">
        <v>0.5212</v>
      </c>
      <c r="N391" s="367">
        <v>762</v>
      </c>
      <c r="P391" s="1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>391</v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2174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W391" s="397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5.36</v>
      </c>
    </row>
    <row r="392" spans="1:23" x14ac:dyDescent="0.25">
      <c r="A392" s="272" t="s">
        <v>255</v>
      </c>
      <c r="B392" s="367" t="s">
        <v>1847</v>
      </c>
      <c r="C392" s="367" t="s">
        <v>2114</v>
      </c>
      <c r="D392" s="367" t="s">
        <v>1813</v>
      </c>
      <c r="E392" s="367" t="str">
        <v>Z-Louvre Blade - 2"</v>
      </c>
      <c r="G392" s="367" t="s">
        <v>1936</v>
      </c>
      <c r="P392" s="1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392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1848</v>
      </c>
      <c r="S392" s="24" t="s">
        <v>2177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24</v>
      </c>
      <c r="W392" s="397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6.93</v>
      </c>
    </row>
    <row r="393" spans="1:23" x14ac:dyDescent="0.25">
      <c r="A393" s="272" t="s">
        <v>255</v>
      </c>
      <c r="B393" s="367" t="s">
        <v>382</v>
      </c>
      <c r="C393" s="367" t="s">
        <v>2114</v>
      </c>
      <c r="D393" s="367" t="s">
        <v>1792</v>
      </c>
      <c r="E393" s="367" t="str">
        <v>Z-Louvre Blade - 5"</v>
      </c>
      <c r="P393" s="1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393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1862</v>
      </c>
      <c r="S393" s="24" t="s">
        <v>2175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>
        <f>IF(AND(Enginuity!$B$7&gt;0,Enginuity!$B$13&gt;1),(Enginuity!$B$13-1)*Enginuity!$B$7,"")</f>
        <v>4</v>
      </c>
      <c r="W393" s="397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8.41</v>
      </c>
    </row>
    <row r="394" spans="1:23" x14ac:dyDescent="0.25">
      <c r="A394" s="272" t="s">
        <v>255</v>
      </c>
      <c r="B394" s="367" t="s">
        <v>1846</v>
      </c>
      <c r="C394" s="367" t="s">
        <v>2114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1861</v>
      </c>
      <c r="S394" s="24" t="s">
        <v>2175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397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8.41</v>
      </c>
    </row>
    <row r="395" spans="1:23" x14ac:dyDescent="0.25">
      <c r="A395" s="272" t="s">
        <v>255</v>
      </c>
      <c r="C395" s="367" t="s">
        <v>2114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7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2114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7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2114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2176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7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2" t="s">
        <v>255</v>
      </c>
      <c r="C398" s="367" t="s">
        <v>2114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7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2114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7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2114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7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2114</v>
      </c>
      <c r="F401" s="367" t="str">
        <f>"▼ [Lattice Option]"</f>
        <v>▼ [Lattice Option]</v>
      </c>
      <c r="M401" s="1"/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7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2114</v>
      </c>
      <c r="F402" s="367" t="s">
        <v>2084</v>
      </c>
      <c r="M402" s="1"/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7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2114</v>
      </c>
      <c r="F403" s="367" t="s">
        <v>2085</v>
      </c>
      <c r="M403" s="1"/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7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2114</v>
      </c>
      <c r="F404" s="367" t="s">
        <v>2086</v>
      </c>
      <c r="M404" s="1"/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7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2114</v>
      </c>
      <c r="M405" s="1"/>
      <c r="P405" s="1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>405</v>
      </c>
      <c r="Q405" s="1" t="s">
        <v>1832</v>
      </c>
      <c r="R405" s="1" t="str">
        <f>IF($T405="","","⬒ "&amp;$T405)</f>
        <v>⬒ Default</v>
      </c>
      <c r="T405" s="1" t="str">
        <f>IF(Enginuity!$A$20="","",Enginuity!$A$20)</f>
        <v>Default</v>
      </c>
      <c r="U405" s="1" t="s">
        <v>121</v>
      </c>
      <c r="V405" s="1">
        <f>IF(Enginuity!$B$9="","",Enginuity!$B$9)</f>
        <v>16</v>
      </c>
      <c r="W405" s="397">
        <f>IFERROR(INDEX(CostData!$Q$3:$Q$12,MATCH(TRIM(Enginuity!$A$20),CostData!$P$3:$P$12,0)),"")</f>
        <v>3.9</v>
      </c>
    </row>
    <row r="406" spans="1:23" x14ac:dyDescent="0.25">
      <c r="A406" s="272" t="s">
        <v>255</v>
      </c>
      <c r="C406" s="367" t="s">
        <v>2114</v>
      </c>
      <c r="M406" s="1"/>
      <c r="P406" s="1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>406</v>
      </c>
      <c r="Q406" s="1" t="str">
        <f>IF($S406="","",IFERROR(_xlfn.XLOOKUP($S406,CostData!$U$22:$U$1000,CostData!$T$22:$T$1000,""),""))</f>
        <v>Bracket</v>
      </c>
      <c r="R406" s="1" t="str">
        <f t="shared" ref="R406:R413" si="29">IF($S406="","",$T406)</f>
        <v>Angle Plate 16.4 X 2.3mm</v>
      </c>
      <c r="S406" s="24" t="s">
        <v>2185</v>
      </c>
      <c r="T406" s="1" t="str" cm="1">
        <f t="array" ref="T406">_xlfn.LET(_xlpm.cd,INDEX($S:$S,ROW()),IF(_xlpm.cd="","",IFERROR(_xlfn.XLOOKUP(_xlpm.cd,CostData!$U$22:$U$1000,CostData!$W$22:$W$1000,""),"")))</f>
        <v>Angle Plate 16.4 X 2.3mm</v>
      </c>
      <c r="U406" s="1" t="str">
        <f>IF($S406="","",IFERROR(_xlfn.XLOOKUP($S406,CostData!$U$22:$U$1000,CostData!$AA$22:$AA$1000,""),""))</f>
        <v>Pcs</v>
      </c>
      <c r="V406" s="1">
        <f>Enginuity!$B$13*4</f>
        <v>8</v>
      </c>
      <c r="W406" s="397" cm="1">
        <f t="array" ref="W4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0.5</v>
      </c>
    </row>
    <row r="407" spans="1:23" x14ac:dyDescent="0.25">
      <c r="A407" s="272" t="s">
        <v>255</v>
      </c>
      <c r="C407" s="367" t="s">
        <v>2114</v>
      </c>
      <c r="M407" s="1"/>
      <c r="P407" s="1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>407</v>
      </c>
      <c r="Q407" s="1" t="str">
        <f>IF($S407="","",IFERROR(_xlfn.XLOOKUP($S407,CostData!$U$22:$U$1000,CostData!$T$22:$T$1000,""),""))</f>
        <v>Bracket</v>
      </c>
      <c r="R407" s="1" t="str">
        <f t="shared" si="29"/>
        <v>Inner Bracket</v>
      </c>
      <c r="S407" s="24" t="s">
        <v>2186</v>
      </c>
      <c r="T407" s="1" t="str" cm="1">
        <f t="array" ref="T407">_xlfn.LET(_xlpm.cd,INDEX($S:$S,ROW()),IF(_xlpm.cd="","",IFERROR(_xlfn.XLOOKUP(_xlpm.cd,CostData!$U$22:$U$1000,CostData!$W$22:$W$1000,""),"")))</f>
        <v>Inner Bracket</v>
      </c>
      <c r="U407" s="1" t="str">
        <f>IF($S407="","",IFERROR(_xlfn.XLOOKUP($S407,CostData!$U$22:$U$1000,CostData!$AA$22:$AA$1000,""),""))</f>
        <v>Pcs</v>
      </c>
      <c r="V407" s="1">
        <f>Enginuity!$B$13*4</f>
        <v>8</v>
      </c>
      <c r="W407" s="397" cm="1">
        <f t="array" ref="W4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</v>
      </c>
    </row>
    <row r="408" spans="1:23" x14ac:dyDescent="0.25">
      <c r="A408" s="272" t="s">
        <v>255</v>
      </c>
      <c r="C408" s="367" t="s">
        <v>2114</v>
      </c>
      <c r="M408" s="1"/>
      <c r="P408" s="1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>408</v>
      </c>
      <c r="Q408" s="1" t="str">
        <f>IF($S408="","",IFERROR(_xlfn.XLOOKUP($S408,CostData!$U$22:$U$1000,CostData!$T$22:$T$1000,""),""))</f>
        <v>Bracket</v>
      </c>
      <c r="R408" s="1" t="str">
        <f t="shared" si="29"/>
        <v>Outer Bracket</v>
      </c>
      <c r="S408" s="24" t="s">
        <v>2187</v>
      </c>
      <c r="T408" s="1" t="str" cm="1">
        <f t="array" ref="T408">_xlfn.LET(_xlpm.cd,INDEX($S:$S,ROW()),IF(_xlpm.cd="","",IFERROR(_xlfn.XLOOKUP(_xlpm.cd,CostData!$U$22:$U$1000,CostData!$W$22:$W$1000,""),"")))</f>
        <v>Outer Bracket</v>
      </c>
      <c r="U408" s="1" t="str">
        <f>IF($S408="","",IFERROR(_xlfn.XLOOKUP($S408,CostData!$U$22:$U$1000,CostData!$AA$22:$AA$1000,""),""))</f>
        <v>Pcs</v>
      </c>
      <c r="V408" s="1">
        <f>4</f>
        <v>4</v>
      </c>
      <c r="W408" s="397" cm="1">
        <f t="array" ref="W4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</v>
      </c>
    </row>
    <row r="409" spans="1:23" x14ac:dyDescent="0.25">
      <c r="A409" s="272" t="s">
        <v>255</v>
      </c>
      <c r="C409" s="367" t="s">
        <v>2114</v>
      </c>
      <c r="M409" s="1"/>
      <c r="P409" s="1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>409</v>
      </c>
      <c r="Q409" s="1" t="str">
        <f>IF($S409="","",IFERROR(_xlfn.XLOOKUP($S409,CostData!$U$22:$U$1000,CostData!$T$22:$T$1000,""),""))</f>
        <v>Gasket</v>
      </c>
      <c r="R409" s="1" t="str">
        <f t="shared" si="29"/>
        <v>Outer Gasket</v>
      </c>
      <c r="S409" s="24" t="s">
        <v>2192</v>
      </c>
      <c r="T409" s="1" t="str" cm="1">
        <f t="array" ref="T409">_xlfn.LET(_xlpm.cd,INDEX($S:$S,ROW()),IF(_xlpm.cd="","",IFERROR(_xlfn.XLOOKUP(_xlpm.cd,CostData!$U$22:$U$1000,CostData!$W$22:$W$1000,""),"")))</f>
        <v>Outer Gasket</v>
      </c>
      <c r="U409" s="1" t="str">
        <f>IF($S409="","",IFERROR(_xlfn.XLOOKUP($S409,CostData!$U$22:$U$1000,CostData!$AA$22:$AA$1000,""),""))</f>
        <v>Ft</v>
      </c>
      <c r="V409" s="1">
        <f>Enginuity!$B$7*2*Enginuity!$B$13</f>
        <v>16</v>
      </c>
      <c r="W409" s="397" cm="1">
        <f t="array" ref="W4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0.4</v>
      </c>
    </row>
    <row r="410" spans="1:23" x14ac:dyDescent="0.25">
      <c r="A410" s="272" t="s">
        <v>255</v>
      </c>
      <c r="C410" s="367" t="s">
        <v>2114</v>
      </c>
      <c r="M410" s="1"/>
      <c r="P410" s="1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>410</v>
      </c>
      <c r="Q410" s="1" t="str">
        <f>IF($S410="","",IFERROR(_xlfn.XLOOKUP($S410,CostData!$U$22:$U$1000,CostData!$T$22:$T$1000,""),""))</f>
        <v>Hinge</v>
      </c>
      <c r="R410" s="1" t="str">
        <f t="shared" si="29"/>
        <v>Hinge 805</v>
      </c>
      <c r="S410" s="24" t="s">
        <v>2194</v>
      </c>
      <c r="T410" s="1" t="str" cm="1">
        <f t="array" ref="T410">_xlfn.LET(_xlpm.cd,INDEX($S:$S,ROW()),IF(_xlpm.cd="","",IFERROR(_xlfn.XLOOKUP(_xlpm.cd,CostData!$U$22:$U$1000,CostData!$W$22:$W$1000,""),"")))</f>
        <v>Hinge 805</v>
      </c>
      <c r="U410" s="1" t="str">
        <f>IF($S410="","",IFERROR(_xlfn.XLOOKUP($S410,CostData!$U$22:$U$1000,CostData!$AA$22:$AA$1000,""),""))</f>
        <v>Pcs</v>
      </c>
      <c r="V410" s="1">
        <f>IF(OR(Enginuity!$B$7="",Enginuity!$B$13="",Enginuity!$B$7&lt;=0,Enginuity!$B$13&lt;=0,Enginuity!$B$7*304.8&gt;3000),"",IF(Enginuity!$B$7*304.8&lt;=1500,2,IF(Enginuity!$B$7*304.8&lt;2100,3,IF(Enginuity!$B$7*304.8&lt;=2500,4,5)))*Enginuity!$B$13)</f>
        <v>4</v>
      </c>
      <c r="W410" s="397" cm="1">
        <f t="array" ref="W4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</v>
      </c>
    </row>
    <row r="411" spans="1:23" x14ac:dyDescent="0.25">
      <c r="A411" s="272" t="s">
        <v>255</v>
      </c>
      <c r="C411" s="367" t="s">
        <v>2114</v>
      </c>
      <c r="M411" s="1"/>
      <c r="P411" s="1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>411</v>
      </c>
      <c r="Q411" s="1" t="str">
        <f>IF($S411="","",IFERROR(_xlfn.XLOOKUP($S411,CostData!$U$22:$U$1000,CostData!$T$22:$T$1000,""),""))</f>
        <v>Lock</v>
      </c>
      <c r="R411" s="1" t="str">
        <f t="shared" si="29"/>
        <v>Lock Cam 807</v>
      </c>
      <c r="S411" s="24" t="s">
        <v>2195</v>
      </c>
      <c r="T411" s="1" t="str" cm="1">
        <f t="array" ref="T411">_xlfn.LET(_xlpm.cd,INDEX($S:$S,ROW()),IF(_xlpm.cd="","",IFERROR(_xlfn.XLOOKUP(_xlpm.cd,CostData!$U$22:$U$1000,CostData!$W$22:$W$1000,""),"")))</f>
        <v>Lock Cam 807</v>
      </c>
      <c r="U411" s="1" t="str">
        <f>IF($S411="","",IFERROR(_xlfn.XLOOKUP($S411,CostData!$U$22:$U$1000,CostData!$AA$22:$AA$1000,""),""))</f>
        <v>Pcs</v>
      </c>
      <c r="V411" s="1">
        <f>Enginuity!$B$13*2</f>
        <v>4</v>
      </c>
      <c r="W411" s="397" cm="1">
        <f t="array" ref="W41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1.8</v>
      </c>
    </row>
    <row r="412" spans="1:23" x14ac:dyDescent="0.25">
      <c r="A412" s="272" t="s">
        <v>255</v>
      </c>
      <c r="C412" s="367" t="s">
        <v>2114</v>
      </c>
      <c r="M412" s="1"/>
      <c r="P412" s="1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>412</v>
      </c>
      <c r="Q412" s="1" t="str">
        <f>IF($S412="","",IFERROR(_xlfn.XLOOKUP($S412,CostData!$U$22:$U$1000,CostData!$T$22:$T$1000,""),""))</f>
        <v>Lock</v>
      </c>
      <c r="R412" s="1" t="str">
        <f t="shared" si="29"/>
        <v>MP Keeper 804 6mm</v>
      </c>
      <c r="S412" s="24" t="s">
        <v>2196</v>
      </c>
      <c r="T412" s="1" t="str" cm="1">
        <f t="array" ref="T412">_xlfn.LET(_xlpm.cd,INDEX($S:$S,ROW()),IF(_xlpm.cd="","",IFERROR(_xlfn.XLOOKUP(_xlpm.cd,CostData!$U$22:$U$1000,CostData!$W$22:$W$1000,""),"")))</f>
        <v>MP Keeper 804 6mm</v>
      </c>
      <c r="U412" s="1" t="str">
        <f>IF($S412="","",IFERROR(_xlfn.XLOOKUP($S412,CostData!$U$22:$U$1000,CostData!$AA$22:$AA$1000,""),""))</f>
        <v>Pcs</v>
      </c>
      <c r="V412" s="1">
        <f>Enginuity!$B$13*2</f>
        <v>4</v>
      </c>
      <c r="W412" s="397" cm="1">
        <f t="array" ref="W41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1.8</v>
      </c>
    </row>
    <row r="413" spans="1:23" x14ac:dyDescent="0.25">
      <c r="A413" s="272" t="s">
        <v>255</v>
      </c>
      <c r="C413" s="367" t="s">
        <v>2114</v>
      </c>
      <c r="P413" s="1" cm="1">
        <f t="array" ref="P413">_xlfn.LET(_xlpm.a,INDEX($A:$A,ROW()),_xlpm.c,INDEX($C:$C,ROW()),_xlpm.v,INDEX($V:$V,ROW()),_xlpm.w,INDEX($W:$W,ROW()),IF(OR(TRIM(_xlpm.a)&lt;&gt;TRIM(Enginuity!$A$1),TRIM(_xlpm.c)&lt;&gt;TRIM(Enginuity!$A$18),_xlpm.v="",_xlpm.v=0,_xlpm.w=""),"",ROW()))</f>
        <v>413</v>
      </c>
      <c r="Q413" s="1" t="str">
        <f>IF($S413="","",IFERROR(_xlfn.XLOOKUP($S413,CostData!$U$22:$U$1000,CostData!$T$22:$T$1000,""),""))</f>
        <v>Lock</v>
      </c>
      <c r="R413" s="1" t="str">
        <f>IF($S413="","",$T413)</f>
        <v>Push Rod 808 30mm</v>
      </c>
      <c r="S413" s="24" t="s">
        <v>2197</v>
      </c>
      <c r="T413" s="1" t="str" cm="1">
        <f t="array" ref="T413">_xlfn.LET(_xlpm.cd,INDEX($S:$S,ROW()),IF(_xlpm.cd="","",IFERROR(_xlfn.XLOOKUP(_xlpm.cd,CostData!$U$22:$U$1000,CostData!$W$22:$W$1000,""),"")))</f>
        <v>Push Rod 808 30mm</v>
      </c>
      <c r="U413" s="1" t="str">
        <f>IF($S413="","",IFERROR(_xlfn.XLOOKUP($S413,CostData!$U$22:$U$1000,CostData!$AA$22:$AA$1000,""),""))</f>
        <v>Pcs</v>
      </c>
      <c r="V413" s="2">
        <f>Enginuity!$B$13</f>
        <v>2</v>
      </c>
      <c r="W413" s="397" cm="1">
        <f t="array" ref="W4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1.3</v>
      </c>
    </row>
    <row r="414" spans="1:23" x14ac:dyDescent="0.25">
      <c r="A414" s="272" t="s">
        <v>255</v>
      </c>
      <c r="C414" s="367" t="s">
        <v>2114</v>
      </c>
      <c r="P414" s="1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>414</v>
      </c>
      <c r="Q414" s="1" t="str">
        <f>IF($S414="","",IFERROR(_xlfn.XLOOKUP($S414,CostData!$U$22:$U$1000,CostData!$T$22:$T$1000,""),""))</f>
        <v>Friction Stay</v>
      </c>
      <c r="R414" s="1" t="str">
        <f>IF($S414="","",$T414)</f>
        <v>Friction Stay</v>
      </c>
      <c r="S414" s="24" t="s">
        <v>2188</v>
      </c>
      <c r="T414" s="1" t="str" cm="1">
        <f t="array" ref="T414">_xlfn.LET(_xlpm.cd,INDEX($S:$S,ROW()),IF(_xlpm.cd="","",IFERROR(_xlfn.XLOOKUP(_xlpm.cd,CostData!$U$22:$U$1000,CostData!$W$22:$W$1000,""),"")))</f>
        <v>Friction Stay</v>
      </c>
      <c r="U414" s="1" t="str">
        <f>IF($S414="","",IFERROR(_xlfn.XLOOKUP($S414,CostData!$U$22:$U$1000,CostData!$AA$22:$AA$1000,""),""))</f>
        <v>Pcs</v>
      </c>
      <c r="V414" s="1">
        <f>IF(TRIM(Enginuity!$A$22)="Fix Window","",IF(Enginuity!$B$13&gt;0,Enginuity!$B$13,""))</f>
        <v>2</v>
      </c>
      <c r="W414" s="397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415" spans="1:23" x14ac:dyDescent="0.25">
      <c r="A415" s="272" t="s">
        <v>255</v>
      </c>
      <c r="C415" s="367" t="s">
        <v>2114</v>
      </c>
      <c r="P415" s="1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>415</v>
      </c>
      <c r="Q415" s="1" t="str">
        <f>IF($S415="","",IFERROR(_xlfn.XLOOKUP($S415,CostData!$U$22:$U$1000,CostData!$T$22:$T$1000,""),""))</f>
        <v>Handle</v>
      </c>
      <c r="R415" s="1" t="str">
        <f>IF($S415="","",$T415)</f>
        <v>Handle 036</v>
      </c>
      <c r="S415" s="24" t="s">
        <v>2193</v>
      </c>
      <c r="T415" s="1" t="str" cm="1">
        <f t="array" ref="T415">_xlfn.LET(_xlpm.cd,INDEX($S:$S,ROW()),IF(_xlpm.cd="","",IFERROR(_xlfn.XLOOKUP(_xlpm.cd,CostData!$U$22:$U$1000,CostData!$W$22:$W$1000,""),"")))</f>
        <v>Handle 036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2</v>
      </c>
      <c r="W415" s="397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12</v>
      </c>
    </row>
    <row r="416" spans="1:23" x14ac:dyDescent="0.25">
      <c r="A416" s="272" t="s">
        <v>255</v>
      </c>
      <c r="C416" s="367" t="s">
        <v>2114</v>
      </c>
      <c r="P416" s="1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416</v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IF(SUM($V$391:$V$397)=0,"",SUM($V$391:$V$397)*2)</f>
        <v>88</v>
      </c>
      <c r="W416" s="397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417" spans="1:23" x14ac:dyDescent="0.25">
      <c r="A417" s="272" t="s">
        <v>255</v>
      </c>
      <c r="C417" s="367" t="s">
        <v>2114</v>
      </c>
      <c r="P417" s="1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>417</v>
      </c>
      <c r="Q417" s="1" t="str">
        <f>IF($S417="","",IFERROR(_xlfn.XLOOKUP($S417,CostData!$U$22:$U$1000,CostData!$T$22:$T$1000,""),""))</f>
        <v>Gasket</v>
      </c>
      <c r="R417" s="1" t="s">
        <v>1929</v>
      </c>
      <c r="S417" s="24" t="s">
        <v>2189</v>
      </c>
      <c r="T417" s="1" t="str" cm="1">
        <f t="array" ref="T417">_xlfn.LET(_xlpm.cd,INDEX($S:$S,ROW()),IF(_xlpm.cd="","",IFERROR(_xlfn.XLOOKUP(_xlpm.cd,CostData!$U$22:$U$1000,CostData!$W$22:$W$1000,""),"")))</f>
        <v>Double Side Panel Inner Glass Gasket</v>
      </c>
      <c r="U417" s="1" t="str">
        <f>IF($S417="","",IFERROR(_xlfn.XLOOKUP($S417,CostData!$U$22:$U$1000,CostData!$AA$22:$AA$1000,""),""))</f>
        <v>Ft</v>
      </c>
      <c r="V417" s="1">
        <f>IF(V392="","",V392)</f>
        <v>24</v>
      </c>
      <c r="W417" s="397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0.8</v>
      </c>
    </row>
    <row r="418" spans="1:23" x14ac:dyDescent="0.25">
      <c r="A418" s="272" t="s">
        <v>255</v>
      </c>
      <c r="C418" s="367" t="s">
        <v>2114</v>
      </c>
      <c r="P418" s="1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418</v>
      </c>
      <c r="Q418" s="1" t="str">
        <f>IF($S418="","",IFERROR(_xlfn.XLOOKUP($S418,CostData!$U$22:$U$1000,CostData!$T$22:$T$1000,""),""))</f>
        <v>Gasket</v>
      </c>
      <c r="R418" s="1" t="s">
        <v>1930</v>
      </c>
      <c r="S418" s="24" t="s">
        <v>2191</v>
      </c>
      <c r="T418" s="1" t="str" cm="1">
        <f t="array" ref="T418">_xlfn.LET(_xlpm.cd,INDEX($S:$S,ROW()),IF(_xlpm.cd="","",IFERROR(_xlfn.XLOOKUP(_xlpm.cd,CostData!$U$22:$U$1000,CostData!$W$22:$W$1000,""),"")))</f>
        <v>Inner Gasket</v>
      </c>
      <c r="U418" s="1" t="str">
        <f>IF($S418="","",IFERROR(_xlfn.XLOOKUP($S418,CostData!$U$22:$U$1000,CostData!$AA$22:$AA$1000,""),""))</f>
        <v>Ft</v>
      </c>
      <c r="V418" s="1">
        <f>IF($V$392="","",$V$392)</f>
        <v>24</v>
      </c>
      <c r="W418" s="397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0.4</v>
      </c>
    </row>
    <row r="419" spans="1:23" x14ac:dyDescent="0.25">
      <c r="A419" s="272" t="s">
        <v>255</v>
      </c>
      <c r="C419" s="367" t="s">
        <v>2114</v>
      </c>
      <c r="P419" s="1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419</v>
      </c>
      <c r="Q419" s="1" t="str">
        <f>IF($S419="","",IFERROR(_xlfn.XLOOKUP($S419,CostData!$U$22:$U$1000,CostData!$T$22:$T$1000,""),""))</f>
        <v>Gasket</v>
      </c>
      <c r="R419" s="1" t="s">
        <v>1928</v>
      </c>
      <c r="S419" s="24" t="s">
        <v>2189</v>
      </c>
      <c r="T419" s="1" t="str" cm="1">
        <f t="array" ref="T419">_xlfn.LET(_xlpm.cd,INDEX($S:$S,ROW()),IF(_xlpm.cd="","",IFERROR(_xlfn.XLOOKUP(_xlpm.cd,CostData!$U$22:$U$1000,CostData!$W$22:$W$1000,""),"")))</f>
        <v>Double Side Panel Inner Glass Gasket</v>
      </c>
      <c r="U419" s="1" t="str">
        <f>IF($S419="","",IFERROR(_xlfn.XLOOKUP($S419,CostData!$U$22:$U$1000,CostData!$AA$22:$AA$1000,""),""))</f>
        <v>Ft</v>
      </c>
      <c r="V419" s="1">
        <f>IF(V392="","",V392)*2</f>
        <v>48</v>
      </c>
      <c r="W419" s="397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0.8</v>
      </c>
    </row>
    <row r="420" spans="1:23" x14ac:dyDescent="0.25">
      <c r="A420" s="272" t="s">
        <v>255</v>
      </c>
      <c r="C420" s="367" t="s">
        <v>2114</v>
      </c>
      <c r="Q420" s="1" t="str">
        <f>IF($S420="","",IFERROR(_xlfn.XLOOKUP($S420,CostData!$U$22:$U$1000,CostData!$T$22:$T$1000,""),""))</f>
        <v>Gasket</v>
      </c>
      <c r="R420" s="1" t="s">
        <v>1931</v>
      </c>
      <c r="S420" s="24" t="s">
        <v>2189</v>
      </c>
      <c r="T420" s="1" t="str" cm="1">
        <f t="array" ref="T420">_xlfn.LET(_xlpm.cd,INDEX($S:$S,ROW()),IF(_xlpm.cd="","",IFERROR(_xlfn.XLOOKUP(_xlpm.cd,CostData!$U$22:$U$1000,CostData!$W$22:$W$1000,""),"")))</f>
        <v>Double Side Panel Inner Glass Gasket</v>
      </c>
      <c r="U420" s="1" t="str">
        <f>IF($S420="","",IFERROR(_xlfn.XLOOKUP($S420,CostData!$U$22:$U$1000,CostData!$AA$22:$AA$1000,""),""))</f>
        <v>Ft</v>
      </c>
      <c r="V420" s="1">
        <f>IF(SUM($V$393:$V$394)=0,"",SUM($V$393:$V$394)*2)</f>
        <v>8</v>
      </c>
      <c r="W420" s="397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0.8</v>
      </c>
    </row>
    <row r="421" spans="1:23" x14ac:dyDescent="0.25">
      <c r="A421" s="416" t="s">
        <v>255</v>
      </c>
      <c r="B421" s="412" t="s">
        <v>1845</v>
      </c>
      <c r="C421" s="412" t="s">
        <v>2115</v>
      </c>
      <c r="D421" s="412" t="s">
        <v>1791</v>
      </c>
      <c r="E421" s="412" t="str" cm="1">
        <f t="array" ref="E421:E430">IFERROR(INDEX(_xlfn._xlws.FILTER(CostData!$P$3:$P$12,CostData!$P$3:$P$12&lt;&gt;""),_xlfn.SEQUENCE(10)),"")</f>
        <v>Default</v>
      </c>
      <c r="F421" s="412"/>
      <c r="G421" s="412"/>
      <c r="H421" s="412"/>
      <c r="I421" s="412"/>
      <c r="J421" s="412"/>
      <c r="K421" s="412"/>
      <c r="L421" s="412"/>
      <c r="M421" s="417">
        <v>0.47895554108750998</v>
      </c>
      <c r="N421" s="412">
        <v>762</v>
      </c>
      <c r="O421" s="412"/>
      <c r="P421" s="406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6" t="str" cm="1">
        <f t="array" ref="Q421">_xlfn.LET(_xlpm.cd,INDEX($S:$S,ROW()),IF(_xlpm.cd="","",IFERROR(_xlfn.XLOOKUP(_xlpm.cd,CostData!$C$22:$C$1000,CostData!$B$22:$B$1000,""),"")))</f>
        <v>Aluminium</v>
      </c>
      <c r="R421" s="406" t="str">
        <f>T421</f>
        <v>Outer Top</v>
      </c>
      <c r="S421" s="414" t="s">
        <v>2102</v>
      </c>
      <c r="T421" s="406" t="str" cm="1">
        <f t="array" ref="T421">_xlfn.LET(_xlpm.cd,INDEX($S:$S,ROW()),IF(_xlpm.cd="","",IFERROR(_xlfn.XLOOKUP(_xlpm.cd,CostData!$C$22:$C$1000,CostData!$E$22:$E$1000,""),"")))</f>
        <v>Outer Top</v>
      </c>
      <c r="U421" s="406" t="s">
        <v>103</v>
      </c>
      <c r="V421" s="406">
        <f>IF(Enginuity!$B$6="","",Enginuity!$B$6)</f>
        <v>4</v>
      </c>
      <c r="W421" s="418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1847</v>
      </c>
      <c r="C422" s="367" t="s">
        <v>2115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30">T422</f>
        <v>Outer Stand</v>
      </c>
      <c r="S422" s="24" t="s">
        <v>2104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8</v>
      </c>
      <c r="W422" s="397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2115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30"/>
        <v>Bottom U Box</v>
      </c>
      <c r="S423" s="24" t="s">
        <v>2103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4</v>
      </c>
      <c r="W423" s="397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1846</v>
      </c>
      <c r="C424" s="367" t="s">
        <v>2115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30"/>
        <v>Inner Beading</v>
      </c>
      <c r="S424" s="24" t="s">
        <v>2108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24</v>
      </c>
      <c r="W424" s="397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2115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30"/>
        <v>Inner</v>
      </c>
      <c r="S425" s="24" t="s">
        <v>2107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24</v>
      </c>
      <c r="W425" s="397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2115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30"/>
        <v>Inner Frame Cover</v>
      </c>
      <c r="S426" s="24" t="s">
        <v>2109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4</v>
      </c>
      <c r="W426" s="397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2115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30"/>
        <v>Mid-Post</v>
      </c>
      <c r="S427" s="24" t="s">
        <v>2105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4</v>
      </c>
      <c r="W427" s="397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2115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30"/>
        <v>Centre Clip</v>
      </c>
      <c r="S428" s="24" t="s">
        <v>2111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8</v>
      </c>
      <c r="W428" s="397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2115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30"/>
        <v>Lock Bar</v>
      </c>
      <c r="S429" s="424" t="s">
        <v>2112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8</v>
      </c>
      <c r="W429" s="397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2115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08-Box Lattice</v>
      </c>
      <c r="S430" s="424" t="str">
        <f>Enginuity!$A$21</f>
        <v>08-Box Lattice</v>
      </c>
      <c r="T430" s="9" t="str">
        <f>S430</f>
        <v>08-Box Lattice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397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79.180649202463925</v>
      </c>
    </row>
    <row r="431" spans="1:23" x14ac:dyDescent="0.25">
      <c r="A431" s="272" t="s">
        <v>255</v>
      </c>
      <c r="C431" s="367" t="s">
        <v>2115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7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2115</v>
      </c>
      <c r="F432" s="367" t="s">
        <v>2084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7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2115</v>
      </c>
      <c r="F433" s="367" t="s">
        <v>2085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7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2115</v>
      </c>
      <c r="F434" s="367" t="s">
        <v>2086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7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2115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">
        <v>1832</v>
      </c>
      <c r="R435" s="1" t="str">
        <f>IF($T435="","","⬒ "&amp;$T435)</f>
        <v>⬒ Default</v>
      </c>
      <c r="T435" s="1" t="str">
        <f>IF(Enginuity!$A$20="","",Enginuity!$A$20)</f>
        <v>Default</v>
      </c>
      <c r="U435" s="1" t="s">
        <v>121</v>
      </c>
      <c r="V435" s="1">
        <f>IF(Enginuity!$B$9="","",Enginuity!$B$9)</f>
        <v>16</v>
      </c>
      <c r="W435" s="397">
        <f>IFERROR(INDEX(CostData!$Q$3:$Q$12,MATCH(TRIM(Enginuity!$A$20),CostData!$P$3:$P$12,0)),"")</f>
        <v>3.9</v>
      </c>
    </row>
    <row r="436" spans="1:23" x14ac:dyDescent="0.25">
      <c r="A436" s="272" t="s">
        <v>255</v>
      </c>
      <c r="C436" s="367" t="s">
        <v>2115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397"/>
    </row>
    <row r="437" spans="1:23" x14ac:dyDescent="0.25">
      <c r="A437" s="272" t="s">
        <v>255</v>
      </c>
      <c r="C437" s="367" t="s">
        <v>2115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397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2115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1">T438</f>
        <v>Conceal Folding Door Lockset Set (PRIMS LR 316 + JDB Mortise + CYL-70-SGL)</v>
      </c>
      <c r="S438" s="24" t="s">
        <v>2171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0</v>
      </c>
      <c r="W438" s="397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2115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2">T439</f>
        <v>Conceal Folding Door Top Roller Set With 4 Set Nylon Wheels</v>
      </c>
      <c r="S439" s="24" t="s">
        <v>2160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1</v>
      </c>
      <c r="W439" s="397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2115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2"/>
        <v>Conceal Folding Door Bottom Guide Set With Bearing Roller</v>
      </c>
      <c r="S440" s="24" t="s">
        <v>2163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1</v>
      </c>
      <c r="W440" s="397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2115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2"/>
        <v>Conceal Folding Door Transmission Lock Box</v>
      </c>
      <c r="S441" s="24" t="s">
        <v>2156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1</v>
      </c>
      <c r="W441" s="397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2115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2"/>
        <v>Conceal Folding Door Multipoint Door Handle Single Side Black</v>
      </c>
      <c r="S442" s="24" t="s">
        <v>2158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1</v>
      </c>
      <c r="W442" s="397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2115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2153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6</v>
      </c>
      <c r="W443" s="397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2115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2165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Pair</v>
      </c>
      <c r="V444" s="1">
        <f>(FLOOR(Enginuity!$B$13/2,1)*2)+IF(MOD(Enginuity!$B$13,2)=1,2,0)</f>
        <v>2</v>
      </c>
      <c r="W444" s="397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2115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3">T445</f>
        <v>Conceal Folding Door LB Inner &amp; Outer Aluminium Bracket</v>
      </c>
      <c r="S445" s="24" t="s">
        <v>2169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8</v>
      </c>
      <c r="W445" s="397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2115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3"/>
        <v>3.5" x 2 Black Tape</v>
      </c>
      <c r="S446" s="24" t="s">
        <v>1900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46" s="397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2115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3"/>
        <v>VT210 Neutral Sealant Clear/WH/Grey 300ML</v>
      </c>
      <c r="S447" s="24" t="s">
        <v>1979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391</v>
      </c>
      <c r="W447" s="397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2115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3"/>
        <v>5X7 VSP Weather Strip</v>
      </c>
      <c r="S448" s="24" t="s">
        <v>1920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16</v>
      </c>
      <c r="W448" s="397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2115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2146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24</v>
      </c>
      <c r="W449" s="397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2115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1928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>
        <f>IF(SUM($V$393:$V$394)=0,"",SUM($V$393:$V$394)*2)</f>
        <v>8</v>
      </c>
      <c r="W450" s="397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6" t="s">
        <v>255</v>
      </c>
      <c r="B451" s="412" t="s">
        <v>1845</v>
      </c>
      <c r="C451" s="412" t="s">
        <v>89</v>
      </c>
      <c r="D451" s="412" t="s">
        <v>1791</v>
      </c>
      <c r="E451" s="412" t="str" cm="1">
        <f t="array" ref="E451:E460">IFERROR(INDEX(_xlfn._xlws.FILTER(CostData!$P$3:$P$12,CostData!$P$3:$P$12&lt;&gt;""),_xlfn.SEQUENCE(10)),"")</f>
        <v>Default</v>
      </c>
      <c r="F451" s="412"/>
      <c r="G451" s="412"/>
      <c r="H451" s="412"/>
      <c r="I451" s="412"/>
      <c r="J451" s="412"/>
      <c r="K451" s="412"/>
      <c r="L451" s="412"/>
      <c r="M451" s="417">
        <v>0.47895554108750998</v>
      </c>
      <c r="N451" s="412">
        <v>762</v>
      </c>
      <c r="O451" s="412"/>
      <c r="P451" s="406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6" t="str" cm="1">
        <f t="array" ref="Q451">_xlfn.LET(_xlpm.cd,INDEX($S:$S,ROW()),IF(_xlpm.cd="","",IFERROR(_xlfn.XLOOKUP(_xlpm.cd,CostData!$C$22:$C$1000,CostData!$B$22:$B$1000,""),"")))</f>
        <v>Aluminium</v>
      </c>
      <c r="R451" s="406" t="str">
        <f>T451</f>
        <v>Outer Top</v>
      </c>
      <c r="S451" s="414" t="s">
        <v>2094</v>
      </c>
      <c r="T451" s="406" t="str" cm="1">
        <f t="array" ref="T451">_xlfn.LET(_xlpm.cd,INDEX($S:$S,ROW()),IF(_xlpm.cd="","",IFERROR(_xlfn.XLOOKUP(_xlpm.cd,CostData!$C$22:$C$1000,CostData!$E$22:$E$1000,""),"")))</f>
        <v>Outer Top</v>
      </c>
      <c r="U451" s="406" t="s">
        <v>103</v>
      </c>
      <c r="V451" s="406">
        <f>IF(Enginuity!$B$6="","",Enginuity!$B$6)</f>
        <v>4</v>
      </c>
      <c r="W451" s="418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1847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4">T452</f>
        <v>Outer Stand</v>
      </c>
      <c r="S452" s="24" t="s">
        <v>2095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8</v>
      </c>
      <c r="W452" s="397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5">T453</f>
        <v>Bottom U Box</v>
      </c>
      <c r="S453" s="24" t="s">
        <v>2097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4</v>
      </c>
      <c r="W453" s="397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1846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5"/>
        <v>Inner Beading</v>
      </c>
      <c r="S454" s="24" t="s">
        <v>2099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24</v>
      </c>
      <c r="W454" s="397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5"/>
        <v>Inner</v>
      </c>
      <c r="S455" s="24" t="s">
        <v>2100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24</v>
      </c>
      <c r="W455" s="397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5"/>
        <v>Centre Clip</v>
      </c>
      <c r="S456" s="24" t="s">
        <v>2101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8</v>
      </c>
      <c r="W456" s="397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5"/>
        <v>Lock Bar</v>
      </c>
      <c r="S457" s="424" t="s">
        <v>2112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8</v>
      </c>
      <c r="W457" s="397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08-Box Lattice</v>
      </c>
      <c r="S458" s="424" t="str">
        <f>Enginuity!$A$21</f>
        <v>08-Box Lattice</v>
      </c>
      <c r="T458" s="9" t="str">
        <f>S458</f>
        <v>08-Box Lattice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397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79.180649202463925</v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7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7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7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2084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7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2085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7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2086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7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" t="str">
        <f>IF($T465="","","⬒ "&amp;$T465)</f>
        <v>⬒ Default</v>
      </c>
      <c r="T465" s="1" t="str">
        <f>IF(Enginuity!$A$20="","",Enginuity!$A$20)</f>
        <v>Default</v>
      </c>
      <c r="U465" s="1" t="s">
        <v>121</v>
      </c>
      <c r="V465" s="1">
        <f>IF(Enginuity!$B$9="","",Enginuity!$B$9)</f>
        <v>16</v>
      </c>
      <c r="W465" s="397">
        <f>IFERROR(INDEX(CostData!$Q$3:$Q$12,MATCH(TRIM(Enginuity!$A$20),CostData!$P$3:$P$12,0)),"")</f>
        <v>3.9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397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6">T467</f>
        <v>ML1616 Black Set</v>
      </c>
      <c r="S467" s="24" t="s">
        <v>2132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0</v>
      </c>
      <c r="W467" s="397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6"/>
        <v>MSW-8112 TC78 Matt Black Latch Bolt</v>
      </c>
      <c r="S468" s="24" t="s">
        <v>2130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2</v>
      </c>
      <c r="W468" s="397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6"/>
        <v>84TR Top Roller 4 Nylon Wheels Black</v>
      </c>
      <c r="S469" s="24" t="s">
        <v>2128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1</v>
      </c>
      <c r="W469" s="397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6"/>
        <v>88BG(R) Bottom Guide Exposed Black</v>
      </c>
      <c r="S470" s="24" t="s">
        <v>2147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1</v>
      </c>
      <c r="W470" s="397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6"/>
        <v>T28 Black Collapsible Door Handle</v>
      </c>
      <c r="S471" s="24" t="s">
        <v>2124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1</v>
      </c>
      <c r="W471" s="397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6"/>
        <v>T29 Folding Door Acc Lockcase Black</v>
      </c>
      <c r="S472" s="24" t="s">
        <v>2126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1</v>
      </c>
      <c r="W472" s="397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2122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6</v>
      </c>
      <c r="W473" s="397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2134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2</v>
      </c>
      <c r="W474" s="397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7">T475</f>
        <v>911C Bracket 37.5mm LB Inner &amp; Outer Aluminium Bracket</v>
      </c>
      <c r="S475" s="24" t="s">
        <v>2137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8</v>
      </c>
      <c r="W475" s="397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7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76" s="397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7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391</v>
      </c>
      <c r="W477" s="397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7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16</v>
      </c>
      <c r="W478" s="397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2146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24</v>
      </c>
      <c r="W479" s="397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9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8"/>
      <c r="Q480" s="398" t="str">
        <f>IF($S480="","",IFERROR(_xlfn.XLOOKUP($S480,CostData!$U$22:$U$1000,CostData!$T$22:$T$1000,""),""))</f>
        <v>Gasket</v>
      </c>
      <c r="R480" s="398" t="s">
        <v>1928</v>
      </c>
      <c r="S480" s="415">
        <v>6154</v>
      </c>
      <c r="T480" s="398" t="str" cm="1">
        <f t="array" ref="T480">_xlfn.LET(_xlpm.cd,INDEX($S:$S,ROW()),IF(_xlpm.cd="","",IFERROR(_xlfn.XLOOKUP(_xlpm.cd,CostData!$U$22:$U$1000,CostData!$W$22:$W$1000,""),"")))</f>
        <v>6154 Gasket</v>
      </c>
      <c r="U480" s="398" t="str">
        <f>IF($S480="","",IFERROR(_xlfn.XLOOKUP($S480,CostData!$U$22:$U$1000,CostData!$AA$22:$AA$1000,""),""))</f>
        <v>Ft</v>
      </c>
      <c r="V480" s="398">
        <f>IF(SUM($V$393:$V$394)=0,"",SUM($V$393:$V$394)*2)</f>
        <v>8</v>
      </c>
      <c r="W480" s="410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1845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1857</v>
      </c>
      <c r="J481" s="367" t="s">
        <v>1858</v>
      </c>
      <c r="K481" s="367" t="s">
        <v>1859</v>
      </c>
      <c r="L481" s="367" t="s">
        <v>1860</v>
      </c>
      <c r="M481" s="408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W481" s="397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1847</v>
      </c>
      <c r="C482" s="367" t="s">
        <v>95</v>
      </c>
      <c r="D482" s="367" t="s">
        <v>1813</v>
      </c>
      <c r="E482" s="367" t="str">
        <v>Z-Louvre Blade - 2"</v>
      </c>
      <c r="G482" s="367" t="s">
        <v>1865</v>
      </c>
      <c r="H482" s="367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24</v>
      </c>
      <c r="W482" s="397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1866</v>
      </c>
      <c r="H483" s="367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</v>
      </c>
      <c r="W483" s="397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1846</v>
      </c>
      <c r="C484" s="367" t="s">
        <v>95</v>
      </c>
      <c r="D484" s="367" t="s">
        <v>1814</v>
      </c>
      <c r="E484" s="367" t="str">
        <v/>
      </c>
      <c r="G484" s="367" t="s">
        <v>1867</v>
      </c>
      <c r="H484" s="367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7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1868</v>
      </c>
      <c r="H485" s="367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7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1869</v>
      </c>
      <c r="H486" s="367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7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1870</v>
      </c>
      <c r="H487" s="367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7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1871</v>
      </c>
      <c r="H488" s="367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7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1872</v>
      </c>
      <c r="H489" s="367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7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7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7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2084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7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7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2086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7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7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7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16</v>
      </c>
      <c r="W497" s="397">
        <f>IFERROR(INDEX(CostData!$Q$3:$Q$12,MATCH(TRIM(Enginuity!$A$20),CostData!$P$3:$P$12,0)),"")</f>
        <v>3.9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7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7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7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7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7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7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2</v>
      </c>
      <c r="W504" s="397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505" s="397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44</v>
      </c>
      <c r="W506" s="397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16</v>
      </c>
      <c r="W507" s="397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24</v>
      </c>
      <c r="W508" s="397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24</v>
      </c>
      <c r="W509" s="397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9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8"/>
      <c r="Q510" s="398" t="str">
        <f>IF($S510="","",IFERROR(_xlfn.XLOOKUP($S510,CostData!$U$22:$U$1000,CostData!$T$22:$T$1000,""),""))</f>
        <v>Gasket</v>
      </c>
      <c r="R510" s="398" t="s">
        <v>1931</v>
      </c>
      <c r="S510" s="415">
        <v>6154</v>
      </c>
      <c r="T510" s="398" t="str" cm="1">
        <f t="array" ref="T510">_xlfn.LET(_xlpm.cd,INDEX($S:$S,ROW()),IF(_xlpm.cd="","",IFERROR(_xlfn.XLOOKUP(_xlpm.cd,CostData!$U$22:$U$1000,CostData!$W$22:$W$1000,""),"")))</f>
        <v>6154 Gasket</v>
      </c>
      <c r="U510" s="398" t="str">
        <f>IF($S510="","",IFERROR(_xlfn.XLOOKUP($S510,CostData!$U$22:$U$1000,CostData!$AA$22:$AA$1000,""),""))</f>
        <v>Ft</v>
      </c>
      <c r="V510" s="398">
        <f>IF(SUM($V$63:$V$64)=0,"",SUM($V$63:$V$64)*2)</f>
        <v>8</v>
      </c>
      <c r="W510" s="410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1845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12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1857</v>
      </c>
      <c r="J511" s="367" t="s">
        <v>1858</v>
      </c>
      <c r="K511" s="367" t="s">
        <v>1859</v>
      </c>
      <c r="L511" s="367" t="s">
        <v>1860</v>
      </c>
      <c r="M511" s="408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W511" s="397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1847</v>
      </c>
      <c r="C512" s="367" t="s">
        <v>13</v>
      </c>
      <c r="D512" s="367" t="s">
        <v>1813</v>
      </c>
      <c r="E512" s="367" t="str">
        <v>Z-Louvre Blade - 2"</v>
      </c>
      <c r="G512" s="367" t="s">
        <v>1865</v>
      </c>
      <c r="H512" s="367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24</v>
      </c>
      <c r="W512" s="397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1866</v>
      </c>
      <c r="H513" s="367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4</v>
      </c>
      <c r="W513" s="397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1846</v>
      </c>
      <c r="C514" s="367" t="s">
        <v>13</v>
      </c>
      <c r="D514" s="367" t="s">
        <v>1814</v>
      </c>
      <c r="E514" s="367" t="str">
        <v/>
      </c>
      <c r="G514" s="367" t="s">
        <v>1867</v>
      </c>
      <c r="H514" s="367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7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1868</v>
      </c>
      <c r="H515" s="367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7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1869</v>
      </c>
      <c r="H516" s="367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7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1870</v>
      </c>
      <c r="H517" s="367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7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1871</v>
      </c>
      <c r="H518" s="367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7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1872</v>
      </c>
      <c r="H519" s="367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7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7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7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2084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7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7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2086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7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7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7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16</v>
      </c>
      <c r="W527" s="397">
        <f>IFERROR(INDEX(CostData!$Q$3:$Q$12,MATCH(TRIM(Enginuity!$A$20),CostData!$P$3:$P$12,0)),"")</f>
        <v>3.9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7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7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7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7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7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7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2</v>
      </c>
      <c r="W534" s="397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2</v>
      </c>
      <c r="W535" s="397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44</v>
      </c>
      <c r="W536" s="397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16</v>
      </c>
      <c r="W537" s="397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24</v>
      </c>
      <c r="W538" s="397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24</v>
      </c>
      <c r="W539" s="397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9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8"/>
      <c r="Q540" s="398" t="str">
        <f>IF($S540="","",IFERROR(_xlfn.XLOOKUP($S540,CostData!$U$22:$U$1000,CostData!$T$22:$T$1000,""),""))</f>
        <v>Gasket</v>
      </c>
      <c r="R540" s="398" t="s">
        <v>1931</v>
      </c>
      <c r="S540" s="415">
        <v>6154</v>
      </c>
      <c r="T540" s="398" t="str" cm="1">
        <f t="array" ref="T540">_xlfn.LET(_xlpm.cd,INDEX($S:$S,ROW()),IF(_xlpm.cd="","",IFERROR(_xlfn.XLOOKUP(_xlpm.cd,CostData!$U$22:$U$1000,CostData!$W$22:$W$1000,""),"")))</f>
        <v>6154 Gasket</v>
      </c>
      <c r="U540" s="398" t="str">
        <f>IF($S540="","",IFERROR(_xlfn.XLOOKUP($S540,CostData!$U$22:$U$1000,CostData!$AA$22:$AA$1000,""),""))</f>
        <v>Ft</v>
      </c>
      <c r="V540" s="398">
        <f>IF(SUM($V$63:$V$64)=0,"",SUM($V$63:$V$64)*2)</f>
        <v>8</v>
      </c>
      <c r="W540" s="410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 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G1" zoomScale="75" zoomScaleNormal="75" workbookViewId="0">
      <pane ySplit="35" topLeftCell="A78" activePane="bottomLeft" state="frozen"/>
      <selection pane="bottomLeft" activeCell="AC82" sqref="AC82:AC86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9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9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975</v>
      </c>
      <c r="Q2" s="1" t="s">
        <v>141</v>
      </c>
    </row>
    <row r="3" spans="1:17" x14ac:dyDescent="0.25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16.600000000000001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19.505000000000003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1856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11" t="s">
        <v>1855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1972</v>
      </c>
      <c r="D22" s="1" t="s">
        <v>1973</v>
      </c>
      <c r="E22" s="1" t="s">
        <v>1973</v>
      </c>
      <c r="F22" s="297">
        <v>0.21199999999999999</v>
      </c>
      <c r="G22" s="297">
        <v>101.6</v>
      </c>
      <c r="H22" s="391">
        <f t="shared" ref="H22:H51" si="0">IF($C22="","",ROUND((($B$2*$F22*($B$5/1000))/$B$6)*(1+IF($B$18="",0,$B$18)),2))</f>
        <v>1.54</v>
      </c>
      <c r="I22" s="391">
        <f t="shared" ref="I22:I51" si="1">IF($C22="","",ROUND((($B$3*$F22*($B$5/1000))/$B$6)*(1+IF($B$18="",0,$B$18)),2))</f>
        <v>1.7</v>
      </c>
      <c r="J22" s="391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1.93</v>
      </c>
      <c r="K22" s="391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1888</v>
      </c>
      <c r="U22" s="1" t="s">
        <v>1889</v>
      </c>
      <c r="V22" s="16" t="s">
        <v>1888</v>
      </c>
      <c r="W22" s="367" t="s">
        <v>1890</v>
      </c>
      <c r="X22" s="367" t="s">
        <v>1891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1951</v>
      </c>
      <c r="D23" s="1" t="s">
        <v>1944</v>
      </c>
      <c r="E23" s="1" t="s">
        <v>1944</v>
      </c>
      <c r="F23" s="297">
        <v>0.186</v>
      </c>
      <c r="G23" s="297">
        <v>121.97</v>
      </c>
      <c r="H23" s="391">
        <f t="shared" si="0"/>
        <v>1.35</v>
      </c>
      <c r="I23" s="391">
        <f t="shared" si="1"/>
        <v>1.49</v>
      </c>
      <c r="J23" s="391">
        <f t="shared" si="2"/>
        <v>1.84</v>
      </c>
      <c r="K23" s="391">
        <f t="shared" si="3"/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1888</v>
      </c>
      <c r="U23" s="1" t="s">
        <v>1892</v>
      </c>
      <c r="V23" s="16" t="s">
        <v>1888</v>
      </c>
      <c r="W23" s="367" t="s">
        <v>1893</v>
      </c>
      <c r="X23" s="367" t="s">
        <v>1891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1951</v>
      </c>
      <c r="D24" s="1" t="s">
        <v>1944</v>
      </c>
      <c r="E24" s="1" t="s">
        <v>1944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1888</v>
      </c>
      <c r="U24" s="1" t="s">
        <v>1894</v>
      </c>
      <c r="V24" s="16" t="s">
        <v>1888</v>
      </c>
      <c r="W24" s="367" t="s">
        <v>1895</v>
      </c>
      <c r="X24" s="367" t="s">
        <v>1891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1938</v>
      </c>
      <c r="D25" s="1" t="s">
        <v>1944</v>
      </c>
      <c r="E25" s="1" t="s">
        <v>1944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1888</v>
      </c>
      <c r="U25" s="1" t="s">
        <v>1896</v>
      </c>
      <c r="V25" s="16" t="s">
        <v>1888</v>
      </c>
      <c r="W25" s="367" t="s">
        <v>1897</v>
      </c>
      <c r="X25" s="367" t="s">
        <v>1891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1992</v>
      </c>
      <c r="D26" s="1" t="s">
        <v>1997</v>
      </c>
      <c r="E26" s="1" t="s">
        <v>1997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1888</v>
      </c>
      <c r="U26" s="1" t="s">
        <v>1898</v>
      </c>
      <c r="V26" s="16" t="s">
        <v>1888</v>
      </c>
      <c r="W26" s="367" t="s">
        <v>1899</v>
      </c>
      <c r="X26" s="367" t="s">
        <v>1891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1927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1888</v>
      </c>
      <c r="U27" s="1" t="s">
        <v>1900</v>
      </c>
      <c r="V27" s="16" t="s">
        <v>1888</v>
      </c>
      <c r="W27" s="367" t="s">
        <v>1901</v>
      </c>
      <c r="X27" s="367" t="s">
        <v>1891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1965</v>
      </c>
      <c r="D28" s="1" t="s">
        <v>1966</v>
      </c>
      <c r="E28" s="1" t="s">
        <v>1966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1888</v>
      </c>
      <c r="U28" s="1" t="s">
        <v>1902</v>
      </c>
      <c r="V28" s="16" t="s">
        <v>1888</v>
      </c>
      <c r="W28" s="367" t="s">
        <v>1903</v>
      </c>
      <c r="X28" s="367" t="s">
        <v>1891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1946</v>
      </c>
      <c r="D29" s="1" t="s">
        <v>1944</v>
      </c>
      <c r="E29" s="1" t="s">
        <v>1944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1874</v>
      </c>
      <c r="U29" s="1">
        <v>2566</v>
      </c>
      <c r="V29" s="16" t="s">
        <v>1882</v>
      </c>
      <c r="W29" s="16" t="s">
        <v>2083</v>
      </c>
      <c r="X29" s="367" t="s">
        <v>1881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1964</v>
      </c>
      <c r="D30" s="1" t="s">
        <v>1966</v>
      </c>
      <c r="E30" s="1" t="s">
        <v>1966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1874</v>
      </c>
      <c r="U30" s="1">
        <v>2152</v>
      </c>
      <c r="V30" s="16">
        <v>2152</v>
      </c>
      <c r="W30" s="367" t="s">
        <v>1904</v>
      </c>
      <c r="X30" s="367" t="s">
        <v>1881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1924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1874</v>
      </c>
      <c r="U31" s="1">
        <v>6154</v>
      </c>
      <c r="V31" s="16" t="s">
        <v>1883</v>
      </c>
      <c r="W31" s="367" t="s">
        <v>1876</v>
      </c>
      <c r="X31" s="367" t="s">
        <v>1881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1952</v>
      </c>
      <c r="D32" s="1" t="s">
        <v>1944</v>
      </c>
      <c r="E32" s="1" t="s">
        <v>1944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1874</v>
      </c>
      <c r="U32" s="1" t="s">
        <v>1905</v>
      </c>
      <c r="V32" s="16" t="s">
        <v>1883</v>
      </c>
      <c r="W32" s="367" t="s">
        <v>1906</v>
      </c>
      <c r="X32" s="367" t="s">
        <v>1907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1925</v>
      </c>
      <c r="D33" s="1" t="s">
        <v>1848</v>
      </c>
      <c r="E33" s="1" t="s">
        <v>1848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1874</v>
      </c>
      <c r="U33" s="1">
        <v>3320</v>
      </c>
      <c r="V33" s="16" t="s">
        <v>1908</v>
      </c>
      <c r="W33" s="367" t="s">
        <v>1886</v>
      </c>
      <c r="X33" s="367" t="s">
        <v>1881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1953</v>
      </c>
      <c r="D34" s="1" t="s">
        <v>1944</v>
      </c>
      <c r="E34" s="1" t="s">
        <v>1944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1874</v>
      </c>
      <c r="U34" s="1">
        <v>1058</v>
      </c>
      <c r="V34" s="16" t="s">
        <v>1909</v>
      </c>
      <c r="W34" s="367" t="s">
        <v>1887</v>
      </c>
      <c r="X34" s="367" t="s">
        <v>1881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1926</v>
      </c>
      <c r="D35" s="1" t="s">
        <v>1849</v>
      </c>
      <c r="E35" s="1" t="s">
        <v>1849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1874</v>
      </c>
      <c r="U35" s="1" t="s">
        <v>1910</v>
      </c>
      <c r="V35" s="16" t="s">
        <v>1911</v>
      </c>
      <c r="W35" s="367" t="s">
        <v>1912</v>
      </c>
      <c r="X35" s="367" t="s">
        <v>1913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1939</v>
      </c>
      <c r="D36" s="1" t="s">
        <v>1944</v>
      </c>
      <c r="E36" s="1" t="s">
        <v>1944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1874</v>
      </c>
      <c r="U36" s="1" t="s">
        <v>1914</v>
      </c>
      <c r="V36" s="16" t="s">
        <v>1911</v>
      </c>
      <c r="W36" s="367" t="s">
        <v>1915</v>
      </c>
      <c r="X36" s="367" t="s">
        <v>1913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1950</v>
      </c>
      <c r="D37" s="1" t="s">
        <v>1944</v>
      </c>
      <c r="E37" s="1" t="s">
        <v>1944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1874</v>
      </c>
      <c r="U37" s="1" t="s">
        <v>1916</v>
      </c>
      <c r="W37" s="367" t="s">
        <v>1917</v>
      </c>
      <c r="X37" s="367" t="s">
        <v>1881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1940</v>
      </c>
      <c r="D38" s="1" t="s">
        <v>1944</v>
      </c>
      <c r="E38" s="1" t="s">
        <v>1944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1874</v>
      </c>
      <c r="U38" s="1" t="s">
        <v>1884</v>
      </c>
      <c r="V38" s="16" t="s">
        <v>1918</v>
      </c>
      <c r="W38" s="367" t="s">
        <v>1885</v>
      </c>
      <c r="X38" s="367" t="s">
        <v>1881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1947</v>
      </c>
      <c r="D39" s="1" t="s">
        <v>1944</v>
      </c>
      <c r="E39" s="1" t="s">
        <v>1944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1954</v>
      </c>
      <c r="D40" s="1" t="s">
        <v>1944</v>
      </c>
      <c r="E40" s="1" t="s">
        <v>1944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1991</v>
      </c>
      <c r="D41" s="1" t="s">
        <v>1998</v>
      </c>
      <c r="E41" s="1" t="s">
        <v>1998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1941</v>
      </c>
      <c r="D42" s="1" t="s">
        <v>1944</v>
      </c>
      <c r="E42" s="1" t="s">
        <v>1944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1919</v>
      </c>
      <c r="U42" s="1" t="s">
        <v>1920</v>
      </c>
      <c r="V42" s="16" t="s">
        <v>1921</v>
      </c>
      <c r="W42" s="367" t="s">
        <v>1922</v>
      </c>
      <c r="X42" s="367" t="s">
        <v>1923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1948</v>
      </c>
      <c r="D43" s="1" t="s">
        <v>1944</v>
      </c>
      <c r="E43" s="1" t="s">
        <v>1944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1975</v>
      </c>
      <c r="U43" s="1" t="s">
        <v>1976</v>
      </c>
      <c r="V43" s="16" t="s">
        <v>1975</v>
      </c>
      <c r="W43" s="367" t="s">
        <v>1977</v>
      </c>
      <c r="X43" s="367" t="s">
        <v>1978</v>
      </c>
      <c r="Y43" s="367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1943</v>
      </c>
      <c r="D44" s="1" t="s">
        <v>1944</v>
      </c>
      <c r="E44" s="1" t="s">
        <v>1944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1937</v>
      </c>
      <c r="D45" s="1" t="s">
        <v>1944</v>
      </c>
      <c r="E45" s="1" t="s">
        <v>1944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1942</v>
      </c>
      <c r="D46" s="1" t="s">
        <v>1944</v>
      </c>
      <c r="E46" s="1" t="s">
        <v>1944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1945</v>
      </c>
      <c r="D47" s="1" t="s">
        <v>1944</v>
      </c>
      <c r="E47" s="1" t="s">
        <v>1944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1975</v>
      </c>
      <c r="U47" s="1" t="s">
        <v>1985</v>
      </c>
      <c r="V47" s="16" t="s">
        <v>1975</v>
      </c>
      <c r="W47" s="367" t="s">
        <v>1986</v>
      </c>
      <c r="X47" s="367" t="s">
        <v>1978</v>
      </c>
      <c r="Y47" s="367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1949</v>
      </c>
      <c r="D48" s="1" t="s">
        <v>1944</v>
      </c>
      <c r="E48" s="1" t="s">
        <v>1944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2049</v>
      </c>
      <c r="V48" s="16" t="s">
        <v>336</v>
      </c>
      <c r="W48" s="16" t="s">
        <v>2052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1971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2050</v>
      </c>
      <c r="V49" s="16" t="s">
        <v>336</v>
      </c>
      <c r="W49" s="367" t="s">
        <v>2051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1993</v>
      </c>
      <c r="D50" s="1" t="s">
        <v>1994</v>
      </c>
      <c r="E50" s="1" t="s">
        <v>1994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2053</v>
      </c>
      <c r="V50" s="16" t="s">
        <v>2054</v>
      </c>
      <c r="W50" s="16" t="s">
        <v>2054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1996</v>
      </c>
      <c r="D51" s="1" t="s">
        <v>1995</v>
      </c>
      <c r="E51" s="1" t="s">
        <v>1995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2056</v>
      </c>
      <c r="V51" s="16" t="s">
        <v>2055</v>
      </c>
      <c r="W51" s="16" t="s">
        <v>2055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2000</v>
      </c>
      <c r="D52" s="1" t="s">
        <v>2001</v>
      </c>
      <c r="E52" s="1" t="s">
        <v>2001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2057</v>
      </c>
      <c r="V52" s="16" t="s">
        <v>2058</v>
      </c>
      <c r="W52" s="16" t="s">
        <v>2058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2002</v>
      </c>
      <c r="D53" s="1" t="s">
        <v>2003</v>
      </c>
      <c r="E53" s="1" t="s">
        <v>2003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2060</v>
      </c>
      <c r="V53" s="16" t="s">
        <v>336</v>
      </c>
      <c r="W53" s="367" t="s">
        <v>2065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2004</v>
      </c>
      <c r="D54" s="1" t="s">
        <v>2005</v>
      </c>
      <c r="E54" s="1" t="s">
        <v>2005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2061</v>
      </c>
      <c r="V54" s="16" t="s">
        <v>2063</v>
      </c>
      <c r="W54" s="16" t="s">
        <v>2063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2006</v>
      </c>
      <c r="D55" s="1" t="s">
        <v>2007</v>
      </c>
      <c r="E55" s="1" t="s">
        <v>2007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2062</v>
      </c>
      <c r="V55" s="16" t="s">
        <v>2064</v>
      </c>
      <c r="W55" s="16" t="s">
        <v>2064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2010</v>
      </c>
      <c r="D56" s="1" t="s">
        <v>2011</v>
      </c>
      <c r="E56" s="1" t="s">
        <v>2011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1877</v>
      </c>
      <c r="U56" s="1" t="s">
        <v>2074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2012</v>
      </c>
      <c r="D57" s="1" t="s">
        <v>2013</v>
      </c>
      <c r="E57" s="1" t="s">
        <v>2013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2075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2014</v>
      </c>
      <c r="D58" s="1" t="s">
        <v>2015</v>
      </c>
      <c r="E58" s="1" t="s">
        <v>2015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2076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2016</v>
      </c>
      <c r="D59" s="1" t="s">
        <v>2017</v>
      </c>
      <c r="E59" s="1" t="s">
        <v>2017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2080</v>
      </c>
      <c r="U59" s="1" t="s">
        <v>2077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2018</v>
      </c>
      <c r="D60" s="1" t="s">
        <v>2019</v>
      </c>
      <c r="E60" s="1" t="s">
        <v>2019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2078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2008</v>
      </c>
      <c r="D61" s="1" t="s">
        <v>2009</v>
      </c>
      <c r="E61" s="1" t="s">
        <v>2009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2079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2020</v>
      </c>
      <c r="D62" s="1" t="s">
        <v>2021</v>
      </c>
      <c r="E62" s="1" t="s">
        <v>2021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2136</v>
      </c>
      <c r="U62" s="1" t="s">
        <v>2137</v>
      </c>
      <c r="V62" s="16" t="s">
        <v>2151</v>
      </c>
      <c r="W62" s="16" t="s">
        <v>2138</v>
      </c>
      <c r="X62" s="367" t="s">
        <v>2139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2082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1877</v>
      </c>
      <c r="U63" s="1" t="s">
        <v>2120</v>
      </c>
      <c r="V63" s="16" t="s">
        <v>2151</v>
      </c>
      <c r="W63" s="367" t="s">
        <v>2121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2032</v>
      </c>
      <c r="D64" s="1" t="s">
        <v>2033</v>
      </c>
      <c r="E64" s="1" t="s">
        <v>2033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1877</v>
      </c>
      <c r="U64" s="1" t="s">
        <v>2122</v>
      </c>
      <c r="V64" s="16" t="s">
        <v>2151</v>
      </c>
      <c r="W64" s="367" t="s">
        <v>2123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2022</v>
      </c>
      <c r="D65" s="1" t="s">
        <v>2001</v>
      </c>
      <c r="E65" s="1" t="s">
        <v>2001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2124</v>
      </c>
      <c r="V65" s="16" t="s">
        <v>2151</v>
      </c>
      <c r="W65" s="367" t="s">
        <v>2125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2023</v>
      </c>
      <c r="D66" s="1" t="s">
        <v>2003</v>
      </c>
      <c r="E66" s="1" t="s">
        <v>2003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2126</v>
      </c>
      <c r="V66" s="16" t="s">
        <v>2151</v>
      </c>
      <c r="W66" s="367" t="s">
        <v>2127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2024</v>
      </c>
      <c r="D67" s="1" t="s">
        <v>2005</v>
      </c>
      <c r="E67" s="1" t="s">
        <v>2005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2128</v>
      </c>
      <c r="V67" s="16" t="s">
        <v>2151</v>
      </c>
      <c r="W67" s="367" t="s">
        <v>2129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2025</v>
      </c>
      <c r="D68" s="1" t="s">
        <v>2007</v>
      </c>
      <c r="E68" s="1" t="s">
        <v>2007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2144</v>
      </c>
      <c r="U68" s="1" t="s">
        <v>2147</v>
      </c>
      <c r="V68" s="16" t="s">
        <v>2151</v>
      </c>
      <c r="W68" s="367" t="s">
        <v>2145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2026</v>
      </c>
      <c r="D69" s="1" t="s">
        <v>2011</v>
      </c>
      <c r="E69" s="1" t="s">
        <v>2011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2130</v>
      </c>
      <c r="V69" s="16" t="s">
        <v>2151</v>
      </c>
      <c r="W69" s="367" t="s">
        <v>2131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2027</v>
      </c>
      <c r="D70" s="1" t="s">
        <v>2013</v>
      </c>
      <c r="E70" s="1" t="s">
        <v>2013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2132</v>
      </c>
      <c r="V70" s="16" t="s">
        <v>2151</v>
      </c>
      <c r="W70" s="367" t="s">
        <v>2133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2028</v>
      </c>
      <c r="D71" s="1" t="s">
        <v>2015</v>
      </c>
      <c r="E71" s="1" t="s">
        <v>2015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2134</v>
      </c>
      <c r="V71" s="16" t="s">
        <v>2151</v>
      </c>
      <c r="W71" s="367" t="s">
        <v>2135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2029</v>
      </c>
      <c r="D72" s="1" t="s">
        <v>2017</v>
      </c>
      <c r="E72" s="1" t="s">
        <v>2017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2140</v>
      </c>
      <c r="U72" s="1" t="s">
        <v>2141</v>
      </c>
      <c r="V72" s="16" t="s">
        <v>1973</v>
      </c>
      <c r="W72" s="367" t="s">
        <v>2142</v>
      </c>
      <c r="X72" s="367" t="s">
        <v>2143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2030</v>
      </c>
      <c r="D73" s="1" t="s">
        <v>2019</v>
      </c>
      <c r="E73" s="1" t="s">
        <v>2019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2140</v>
      </c>
      <c r="U73" s="1" t="s">
        <v>2141</v>
      </c>
      <c r="V73" s="16" t="s">
        <v>1973</v>
      </c>
      <c r="W73" s="367" t="s">
        <v>2142</v>
      </c>
      <c r="X73" s="367" t="s">
        <v>2143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2046</v>
      </c>
      <c r="D74" s="1" t="s">
        <v>2009</v>
      </c>
      <c r="E74" s="1" t="s">
        <v>2009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1877</v>
      </c>
      <c r="U74" s="1" t="s">
        <v>2148</v>
      </c>
      <c r="V74" s="16" t="s">
        <v>2151</v>
      </c>
      <c r="W74" s="367" t="s">
        <v>2149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2031</v>
      </c>
      <c r="D75" s="1" t="s">
        <v>2021</v>
      </c>
      <c r="E75" s="1" t="s">
        <v>2021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2152</v>
      </c>
      <c r="U75" s="1" t="s">
        <v>2153</v>
      </c>
      <c r="V75" s="16" t="s">
        <v>2154</v>
      </c>
      <c r="W75" s="367" t="s">
        <v>2155</v>
      </c>
      <c r="X75" s="367" t="s">
        <v>1540</v>
      </c>
      <c r="Y75" s="367">
        <v>1</v>
      </c>
      <c r="Z75" s="1">
        <v>15</v>
      </c>
      <c r="AA75" s="1" t="s">
        <v>112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2034</v>
      </c>
      <c r="D76" s="1" t="s">
        <v>2033</v>
      </c>
      <c r="E76" s="1" t="s">
        <v>2033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2152</v>
      </c>
      <c r="U76" s="1" t="s">
        <v>2156</v>
      </c>
      <c r="V76" s="16" t="s">
        <v>2154</v>
      </c>
      <c r="W76" s="367" t="s">
        <v>2157</v>
      </c>
      <c r="X76" s="367" t="s">
        <v>1540</v>
      </c>
      <c r="Y76" s="367">
        <v>1</v>
      </c>
      <c r="Z76" s="1">
        <v>33</v>
      </c>
      <c r="AA76" s="1" t="s">
        <v>112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2035</v>
      </c>
      <c r="D77" s="1" t="s">
        <v>2001</v>
      </c>
      <c r="E77" s="1" t="s">
        <v>2001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2152</v>
      </c>
      <c r="U77" s="1" t="s">
        <v>2158</v>
      </c>
      <c r="V77" s="16" t="s">
        <v>2154</v>
      </c>
      <c r="W77" s="367" t="s">
        <v>2159</v>
      </c>
      <c r="X77" s="367" t="s">
        <v>1540</v>
      </c>
      <c r="Y77" s="367">
        <v>1</v>
      </c>
      <c r="Z77" s="1">
        <v>40</v>
      </c>
      <c r="AA77" s="1" t="s">
        <v>112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2036</v>
      </c>
      <c r="D78" s="1" t="s">
        <v>2003</v>
      </c>
      <c r="E78" s="1" t="s">
        <v>2003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2152</v>
      </c>
      <c r="U78" s="1" t="s">
        <v>2160</v>
      </c>
      <c r="V78" s="16" t="s">
        <v>2154</v>
      </c>
      <c r="W78" s="367" t="s">
        <v>2161</v>
      </c>
      <c r="X78" s="367" t="s">
        <v>2162</v>
      </c>
      <c r="Y78" s="367">
        <v>1</v>
      </c>
      <c r="Z78" s="1">
        <v>90</v>
      </c>
      <c r="AA78" s="1" t="s">
        <v>957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2037</v>
      </c>
      <c r="D79" s="1" t="s">
        <v>2005</v>
      </c>
      <c r="E79" s="1" t="s">
        <v>2005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2152</v>
      </c>
      <c r="U79" s="1" t="s">
        <v>2163</v>
      </c>
      <c r="V79" s="16" t="s">
        <v>2154</v>
      </c>
      <c r="W79" s="367" t="s">
        <v>2164</v>
      </c>
      <c r="X79" s="367" t="s">
        <v>2162</v>
      </c>
      <c r="Y79" s="367">
        <v>1</v>
      </c>
      <c r="Z79" s="1">
        <v>42</v>
      </c>
      <c r="AA79" s="1" t="s">
        <v>957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2038</v>
      </c>
      <c r="D80" s="1" t="s">
        <v>2007</v>
      </c>
      <c r="E80" s="1" t="s">
        <v>2007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2152</v>
      </c>
      <c r="U80" s="1" t="s">
        <v>2165</v>
      </c>
      <c r="V80" s="16" t="s">
        <v>2154</v>
      </c>
      <c r="W80" s="367" t="s">
        <v>2166</v>
      </c>
      <c r="X80" s="367" t="s">
        <v>2167</v>
      </c>
      <c r="Y80" s="367">
        <v>1</v>
      </c>
      <c r="Z80" s="1">
        <v>15</v>
      </c>
      <c r="AA80" s="1" t="s">
        <v>111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2039</v>
      </c>
      <c r="D81" s="1" t="s">
        <v>2011</v>
      </c>
      <c r="E81" s="1" t="s">
        <v>2011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2152</v>
      </c>
      <c r="U81" s="1" t="s">
        <v>2169</v>
      </c>
      <c r="V81" s="16" t="s">
        <v>2154</v>
      </c>
      <c r="W81" s="367" t="s">
        <v>2170</v>
      </c>
      <c r="X81" s="367" t="s">
        <v>1540</v>
      </c>
      <c r="Y81" s="367">
        <v>1</v>
      </c>
      <c r="Z81" s="1">
        <v>2</v>
      </c>
      <c r="AA81" s="1" t="s">
        <v>112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2040</v>
      </c>
      <c r="D82" s="1" t="s">
        <v>2013</v>
      </c>
      <c r="E82" s="1" t="s">
        <v>2013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2152</v>
      </c>
      <c r="U82" s="1" t="s">
        <v>2171</v>
      </c>
      <c r="V82" s="16" t="s">
        <v>2154</v>
      </c>
      <c r="W82" s="367" t="s">
        <v>2172</v>
      </c>
      <c r="X82" s="367" t="s">
        <v>2168</v>
      </c>
      <c r="Y82" s="367">
        <v>1</v>
      </c>
      <c r="Z82" s="1">
        <v>90</v>
      </c>
      <c r="AA82" s="1" t="s">
        <v>176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2041</v>
      </c>
      <c r="D83" s="1" t="s">
        <v>2015</v>
      </c>
      <c r="E83" s="1" t="s">
        <v>2015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>
        <v>62</v>
      </c>
      <c r="T83" s="367" t="s">
        <v>2136</v>
      </c>
      <c r="U83" s="1" t="s">
        <v>2185</v>
      </c>
      <c r="V83" s="16" t="s">
        <v>2198</v>
      </c>
      <c r="W83" s="367" t="s">
        <v>131</v>
      </c>
      <c r="X83" s="367" t="s">
        <v>112</v>
      </c>
      <c r="Y83" s="367">
        <v>1</v>
      </c>
      <c r="Z83" s="1">
        <v>0.45</v>
      </c>
      <c r="AA83" s="1" t="s">
        <v>112</v>
      </c>
      <c r="AC83" s="367">
        <f t="shared" si="5"/>
        <v>0.5</v>
      </c>
    </row>
    <row r="84" spans="1:29" x14ac:dyDescent="0.25">
      <c r="A84" s="367">
        <v>63</v>
      </c>
      <c r="B84" s="367" t="s">
        <v>1810</v>
      </c>
      <c r="C84" s="367" t="s">
        <v>2042</v>
      </c>
      <c r="D84" s="1" t="s">
        <v>2033</v>
      </c>
      <c r="E84" s="1" t="s">
        <v>2033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>
        <v>63</v>
      </c>
      <c r="T84" s="367" t="s">
        <v>2136</v>
      </c>
      <c r="U84" s="1" t="s">
        <v>2186</v>
      </c>
      <c r="V84" s="16" t="s">
        <v>2198</v>
      </c>
      <c r="W84" s="367" t="s">
        <v>133</v>
      </c>
      <c r="X84" s="367" t="s">
        <v>112</v>
      </c>
      <c r="Y84" s="367">
        <v>1</v>
      </c>
      <c r="Z84" s="1">
        <v>1</v>
      </c>
      <c r="AA84" s="1" t="s">
        <v>112</v>
      </c>
      <c r="AC84" s="367">
        <f t="shared" si="5"/>
        <v>1</v>
      </c>
    </row>
    <row r="85" spans="1:29" x14ac:dyDescent="0.25">
      <c r="A85" s="367">
        <v>64</v>
      </c>
      <c r="B85" s="367" t="s">
        <v>1810</v>
      </c>
      <c r="C85" s="367" t="s">
        <v>2043</v>
      </c>
      <c r="D85" s="1" t="s">
        <v>2017</v>
      </c>
      <c r="E85" s="1" t="s">
        <v>2017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>
        <v>64</v>
      </c>
      <c r="T85" s="367" t="s">
        <v>2136</v>
      </c>
      <c r="U85" s="1" t="s">
        <v>2187</v>
      </c>
      <c r="V85" s="16" t="s">
        <v>2198</v>
      </c>
      <c r="W85" s="367" t="s">
        <v>134</v>
      </c>
      <c r="X85" s="367" t="s">
        <v>112</v>
      </c>
      <c r="Y85" s="367">
        <v>1</v>
      </c>
      <c r="Z85" s="1">
        <v>1</v>
      </c>
      <c r="AA85" s="1" t="s">
        <v>112</v>
      </c>
      <c r="AC85" s="367">
        <f t="shared" si="5"/>
        <v>1</v>
      </c>
    </row>
    <row r="86" spans="1:29" x14ac:dyDescent="0.25">
      <c r="A86" s="367">
        <v>65</v>
      </c>
      <c r="B86" s="367" t="s">
        <v>1810</v>
      </c>
      <c r="C86" s="367" t="s">
        <v>2044</v>
      </c>
      <c r="D86" s="1" t="s">
        <v>2019</v>
      </c>
      <c r="E86" s="1" t="s">
        <v>2019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>
        <v>65</v>
      </c>
      <c r="T86" s="367" t="s">
        <v>124</v>
      </c>
      <c r="U86" s="1" t="s">
        <v>2188</v>
      </c>
      <c r="V86" s="16" t="s">
        <v>2198</v>
      </c>
      <c r="W86" s="367" t="s">
        <v>124</v>
      </c>
      <c r="X86" s="367" t="s">
        <v>112</v>
      </c>
      <c r="Y86" s="367">
        <v>1</v>
      </c>
      <c r="Z86" s="1">
        <v>4.5</v>
      </c>
      <c r="AA86" s="1" t="s">
        <v>112</v>
      </c>
      <c r="AC86" s="367">
        <f t="shared" si="5"/>
        <v>4.5</v>
      </c>
    </row>
    <row r="87" spans="1:29" x14ac:dyDescent="0.25">
      <c r="A87" s="367">
        <v>66</v>
      </c>
      <c r="B87" s="367" t="s">
        <v>1810</v>
      </c>
      <c r="C87" s="367" t="s">
        <v>2047</v>
      </c>
      <c r="D87" s="1" t="s">
        <v>2048</v>
      </c>
      <c r="E87" s="1" t="s">
        <v>2048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>
        <v>66</v>
      </c>
      <c r="T87" s="367" t="s">
        <v>1874</v>
      </c>
      <c r="U87" s="1" t="s">
        <v>2189</v>
      </c>
      <c r="V87" s="16" t="s">
        <v>2198</v>
      </c>
      <c r="W87" s="367" t="s">
        <v>2190</v>
      </c>
      <c r="X87" s="367" t="s">
        <v>103</v>
      </c>
      <c r="Y87" s="367">
        <v>1</v>
      </c>
      <c r="Z87" s="1">
        <v>0.8</v>
      </c>
      <c r="AA87" s="1" t="s">
        <v>103</v>
      </c>
      <c r="AC87" s="367">
        <f t="shared" si="5"/>
        <v>0.8</v>
      </c>
    </row>
    <row r="88" spans="1:29" x14ac:dyDescent="0.25">
      <c r="A88" s="367">
        <v>67</v>
      </c>
      <c r="B88" s="367" t="s">
        <v>1810</v>
      </c>
      <c r="C88" s="367" t="s">
        <v>2045</v>
      </c>
      <c r="D88" s="1" t="s">
        <v>2021</v>
      </c>
      <c r="E88" s="1" t="s">
        <v>2021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>
        <v>67</v>
      </c>
      <c r="T88" s="367" t="s">
        <v>1874</v>
      </c>
      <c r="U88" s="1" t="s">
        <v>2191</v>
      </c>
      <c r="V88" s="16" t="s">
        <v>2198</v>
      </c>
      <c r="W88" s="367" t="s">
        <v>116</v>
      </c>
      <c r="X88" s="367" t="s">
        <v>103</v>
      </c>
      <c r="Y88" s="367">
        <v>1</v>
      </c>
      <c r="Z88" s="1">
        <v>0.4</v>
      </c>
      <c r="AA88" s="1" t="s">
        <v>103</v>
      </c>
      <c r="AC88" s="367">
        <f t="shared" si="5"/>
        <v>0.4</v>
      </c>
    </row>
    <row r="89" spans="1:29" x14ac:dyDescent="0.25">
      <c r="A89" s="367">
        <v>68</v>
      </c>
      <c r="B89" s="367" t="s">
        <v>1810</v>
      </c>
      <c r="C89" s="367" t="s">
        <v>2067</v>
      </c>
      <c r="D89" s="1" t="s">
        <v>2066</v>
      </c>
      <c r="E89" s="1" t="s">
        <v>2066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>
        <v>68</v>
      </c>
      <c r="T89" s="367" t="s">
        <v>1874</v>
      </c>
      <c r="U89" s="1" t="s">
        <v>2192</v>
      </c>
      <c r="V89" s="16" t="s">
        <v>2198</v>
      </c>
      <c r="W89" s="367" t="s">
        <v>115</v>
      </c>
      <c r="X89" s="367" t="s">
        <v>103</v>
      </c>
      <c r="Y89" s="367">
        <v>1</v>
      </c>
      <c r="Z89" s="1">
        <v>0.4</v>
      </c>
      <c r="AA89" s="1" t="s">
        <v>103</v>
      </c>
      <c r="AC89" s="367">
        <f t="shared" si="5"/>
        <v>0.4</v>
      </c>
    </row>
    <row r="90" spans="1:29" x14ac:dyDescent="0.25">
      <c r="A90" s="367">
        <v>69</v>
      </c>
      <c r="B90" s="367" t="s">
        <v>1810</v>
      </c>
      <c r="C90" s="367" t="s">
        <v>2070</v>
      </c>
      <c r="D90" s="1" t="s">
        <v>2071</v>
      </c>
      <c r="E90" s="1" t="s">
        <v>2071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>
        <v>69</v>
      </c>
      <c r="T90" s="367" t="s">
        <v>334</v>
      </c>
      <c r="U90" s="1" t="s">
        <v>2193</v>
      </c>
      <c r="V90" s="16" t="s">
        <v>2198</v>
      </c>
      <c r="W90" s="367" t="s">
        <v>139</v>
      </c>
      <c r="X90" s="367" t="s">
        <v>112</v>
      </c>
      <c r="Y90" s="367">
        <v>1</v>
      </c>
      <c r="Z90" s="1">
        <v>12</v>
      </c>
      <c r="AA90" s="1" t="s">
        <v>112</v>
      </c>
      <c r="AC90" s="367">
        <f t="shared" si="5"/>
        <v>12</v>
      </c>
    </row>
    <row r="91" spans="1:29" x14ac:dyDescent="0.25">
      <c r="A91" s="367">
        <v>70</v>
      </c>
      <c r="B91" s="1" t="s">
        <v>1810</v>
      </c>
      <c r="C91" s="1" t="s">
        <v>2081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>
        <v>70</v>
      </c>
      <c r="T91" s="367" t="s">
        <v>1877</v>
      </c>
      <c r="U91" s="1" t="s">
        <v>2194</v>
      </c>
      <c r="V91" s="16" t="s">
        <v>2198</v>
      </c>
      <c r="W91" s="367" t="s">
        <v>135</v>
      </c>
      <c r="X91" s="367" t="s">
        <v>112</v>
      </c>
      <c r="Y91" s="367">
        <v>1</v>
      </c>
      <c r="Z91" s="1">
        <v>4</v>
      </c>
      <c r="AA91" s="1" t="s">
        <v>112</v>
      </c>
      <c r="AC91" s="367">
        <f t="shared" si="5"/>
        <v>4</v>
      </c>
    </row>
    <row r="92" spans="1:29" x14ac:dyDescent="0.25">
      <c r="A92" s="367">
        <v>71</v>
      </c>
      <c r="B92" s="1" t="s">
        <v>1810</v>
      </c>
      <c r="C92" s="367" t="s">
        <v>2094</v>
      </c>
      <c r="D92" s="1" t="s">
        <v>2087</v>
      </c>
      <c r="E92" s="1" t="s">
        <v>2087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>
        <v>71</v>
      </c>
      <c r="T92" s="367" t="s">
        <v>336</v>
      </c>
      <c r="U92" s="1" t="s">
        <v>2195</v>
      </c>
      <c r="V92" s="16" t="s">
        <v>2198</v>
      </c>
      <c r="W92" s="367" t="s">
        <v>137</v>
      </c>
      <c r="X92" s="367" t="s">
        <v>112</v>
      </c>
      <c r="Y92" s="367">
        <v>1</v>
      </c>
      <c r="Z92" s="1">
        <v>1.8</v>
      </c>
      <c r="AA92" s="1" t="s">
        <v>112</v>
      </c>
      <c r="AC92" s="367">
        <f t="shared" si="5"/>
        <v>1.8</v>
      </c>
    </row>
    <row r="93" spans="1:29" x14ac:dyDescent="0.25">
      <c r="A93" s="367">
        <v>72</v>
      </c>
      <c r="B93" s="1" t="s">
        <v>1810</v>
      </c>
      <c r="C93" s="367" t="s">
        <v>2095</v>
      </c>
      <c r="D93" s="1" t="s">
        <v>2088</v>
      </c>
      <c r="E93" s="1" t="s">
        <v>2088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>
        <v>72</v>
      </c>
      <c r="T93" s="367" t="s">
        <v>336</v>
      </c>
      <c r="U93" s="1" t="s">
        <v>2196</v>
      </c>
      <c r="V93" s="16" t="s">
        <v>2198</v>
      </c>
      <c r="W93" s="367" t="s">
        <v>136</v>
      </c>
      <c r="X93" s="367" t="s">
        <v>112</v>
      </c>
      <c r="Y93" s="367">
        <v>1</v>
      </c>
      <c r="Z93" s="1">
        <v>1.8</v>
      </c>
      <c r="AA93" s="1" t="s">
        <v>112</v>
      </c>
      <c r="AC93" s="367">
        <f t="shared" si="5"/>
        <v>1.8</v>
      </c>
    </row>
    <row r="94" spans="1:29" x14ac:dyDescent="0.25">
      <c r="A94" s="367">
        <v>73</v>
      </c>
      <c r="B94" s="1" t="s">
        <v>1810</v>
      </c>
      <c r="C94" s="367" t="s">
        <v>2096</v>
      </c>
      <c r="D94" s="1" t="s">
        <v>2089</v>
      </c>
      <c r="E94" s="1" t="s">
        <v>2089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>
        <v>73</v>
      </c>
      <c r="T94" s="367" t="s">
        <v>336</v>
      </c>
      <c r="U94" s="1" t="s">
        <v>2197</v>
      </c>
      <c r="V94" s="16" t="s">
        <v>2198</v>
      </c>
      <c r="W94" s="367" t="s">
        <v>138</v>
      </c>
      <c r="X94" s="367" t="s">
        <v>112</v>
      </c>
      <c r="Y94" s="367">
        <v>1</v>
      </c>
      <c r="Z94" s="1">
        <v>1.3</v>
      </c>
      <c r="AA94" s="1" t="s">
        <v>112</v>
      </c>
      <c r="AC94" s="367">
        <f t="shared" si="5"/>
        <v>1.3</v>
      </c>
    </row>
    <row r="95" spans="1:29" x14ac:dyDescent="0.25">
      <c r="A95" s="367">
        <v>74</v>
      </c>
      <c r="B95" s="1" t="s">
        <v>1810</v>
      </c>
      <c r="C95" s="367" t="s">
        <v>2097</v>
      </c>
      <c r="D95" s="1" t="s">
        <v>2090</v>
      </c>
      <c r="E95" s="1" t="s">
        <v>2090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2098</v>
      </c>
      <c r="D96" s="1" t="s">
        <v>2091</v>
      </c>
      <c r="E96" s="1" t="s">
        <v>2091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2099</v>
      </c>
      <c r="D97" s="1" t="s">
        <v>2092</v>
      </c>
      <c r="E97" s="1" t="s">
        <v>2092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2100</v>
      </c>
      <c r="D98" s="1" t="s">
        <v>1848</v>
      </c>
      <c r="E98" s="1" t="s">
        <v>1848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2101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2112</v>
      </c>
      <c r="D100" s="1" t="s">
        <v>2093</v>
      </c>
      <c r="E100" s="1" t="s">
        <v>2093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2102</v>
      </c>
      <c r="D101" s="1" t="s">
        <v>2087</v>
      </c>
      <c r="E101" s="1" t="s">
        <v>2087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2103</v>
      </c>
      <c r="D102" s="1" t="s">
        <v>2090</v>
      </c>
      <c r="E102" s="1" t="s">
        <v>2090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2104</v>
      </c>
      <c r="D103" s="1" t="s">
        <v>2088</v>
      </c>
      <c r="E103" s="1" t="s">
        <v>2088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2105</v>
      </c>
      <c r="D104" s="1" t="s">
        <v>2106</v>
      </c>
      <c r="E104" s="1" t="s">
        <v>2106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2107</v>
      </c>
      <c r="D105" s="1" t="s">
        <v>1848</v>
      </c>
      <c r="E105" s="1" t="s">
        <v>1848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2108</v>
      </c>
      <c r="D106" s="1" t="s">
        <v>2092</v>
      </c>
      <c r="E106" s="1" t="s">
        <v>2092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2109</v>
      </c>
      <c r="D107" s="1" t="s">
        <v>2110</v>
      </c>
      <c r="E107" s="1" t="s">
        <v>2110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2111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>
        <v>88</v>
      </c>
      <c r="B109" s="1" t="s">
        <v>1810</v>
      </c>
      <c r="C109" s="367" t="s">
        <v>2174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>
        <v>89</v>
      </c>
      <c r="B110" s="1" t="s">
        <v>1810</v>
      </c>
      <c r="C110" s="367" t="s">
        <v>2175</v>
      </c>
      <c r="D110" s="1" t="s">
        <v>1849</v>
      </c>
      <c r="E110" s="1" t="s">
        <v>2183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>
        <v>90</v>
      </c>
      <c r="B111" s="1" t="s">
        <v>1810</v>
      </c>
      <c r="C111" s="367" t="s">
        <v>2176</v>
      </c>
      <c r="D111" s="1" t="s">
        <v>114</v>
      </c>
      <c r="E111" s="1" t="s">
        <v>2180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>
        <v>91</v>
      </c>
      <c r="B112" s="1" t="s">
        <v>1810</v>
      </c>
      <c r="C112" s="367" t="s">
        <v>2177</v>
      </c>
      <c r="D112" s="1" t="s">
        <v>1848</v>
      </c>
      <c r="E112" s="1" t="s">
        <v>2181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>
        <v>92</v>
      </c>
      <c r="B113" s="1" t="s">
        <v>1810</v>
      </c>
      <c r="C113" s="367" t="s">
        <v>2178</v>
      </c>
      <c r="D113" s="1" t="s">
        <v>1849</v>
      </c>
      <c r="E113" s="1" t="s">
        <v>2184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>
        <v>93</v>
      </c>
      <c r="B114" s="1" t="s">
        <v>1810</v>
      </c>
      <c r="C114" s="367" t="s">
        <v>2179</v>
      </c>
      <c r="D114" s="1" t="s">
        <v>1848</v>
      </c>
      <c r="E114" s="1" t="s">
        <v>2182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 t="str">
        <v/>
      </c>
      <c r="H115" s="391" t="str">
        <f t="shared" si="10"/>
        <v/>
      </c>
      <c r="I115" s="391" t="str">
        <f t="shared" si="11"/>
        <v/>
      </c>
      <c r="J115" s="391" t="str">
        <f t="shared" si="12"/>
        <v/>
      </c>
      <c r="K115" s="391" t="str">
        <f t="shared" si="13"/>
        <v/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1969</v>
      </c>
      <c r="Q409" s="5">
        <f>CalcEngine!W8</f>
        <v>16.600000000000001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1970</v>
      </c>
      <c r="Q410" s="5">
        <f>CalcEngine!W11</f>
        <v>19.505000000000003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400"/>
      <c r="E1001" s="400"/>
      <c r="F1001" s="394"/>
      <c r="G1001" s="394"/>
      <c r="H1001" s="392"/>
      <c r="I1001" s="392"/>
      <c r="J1001" s="392"/>
      <c r="K1001" s="392"/>
      <c r="R1001" s="399"/>
      <c r="S1001" s="400"/>
      <c r="U1001" s="400"/>
      <c r="V1001" s="413"/>
      <c r="Z1001" s="400"/>
      <c r="AA1001" s="400"/>
    </row>
    <row r="1005" spans="1:29" x14ac:dyDescent="0.25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 x14ac:dyDescent="0.25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 x14ac:dyDescent="0.25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 x14ac:dyDescent="0.25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 x14ac:dyDescent="0.25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 x14ac:dyDescent="0.25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 x14ac:dyDescent="0.25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 x14ac:dyDescent="0.25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 x14ac:dyDescent="0.25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 x14ac:dyDescent="0.25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 x14ac:dyDescent="0.25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 x14ac:dyDescent="0.25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 x14ac:dyDescent="0.25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 x14ac:dyDescent="0.25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 x14ac:dyDescent="0.25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 x14ac:dyDescent="0.25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 x14ac:dyDescent="0.25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 x14ac:dyDescent="0.25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 x14ac:dyDescent="0.25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 x14ac:dyDescent="0.25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 x14ac:dyDescent="0.25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 x14ac:dyDescent="0.25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 x14ac:dyDescent="0.25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 x14ac:dyDescent="0.25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 x14ac:dyDescent="0.25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 x14ac:dyDescent="0.25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 x14ac:dyDescent="0.25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 x14ac:dyDescent="0.25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 x14ac:dyDescent="0.25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 x14ac:dyDescent="0.25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 x14ac:dyDescent="0.25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 x14ac:dyDescent="0.25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 x14ac:dyDescent="0.25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 x14ac:dyDescent="0.25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 x14ac:dyDescent="0.25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 x14ac:dyDescent="0.25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 x14ac:dyDescent="0.25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 x14ac:dyDescent="0.25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 x14ac:dyDescent="0.25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 x14ac:dyDescent="0.25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 x14ac:dyDescent="0.25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 x14ac:dyDescent="0.25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 x14ac:dyDescent="0.25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 x14ac:dyDescent="0.25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 x14ac:dyDescent="0.25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 x14ac:dyDescent="0.25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 x14ac:dyDescent="0.25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 x14ac:dyDescent="0.25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 x14ac:dyDescent="0.25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 x14ac:dyDescent="0.25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 x14ac:dyDescent="0.25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 x14ac:dyDescent="0.25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 x14ac:dyDescent="0.25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 x14ac:dyDescent="0.25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 x14ac:dyDescent="0.25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 x14ac:dyDescent="0.25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 x14ac:dyDescent="0.25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 x14ac:dyDescent="0.25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 x14ac:dyDescent="0.25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 x14ac:dyDescent="0.25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 x14ac:dyDescent="0.25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 x14ac:dyDescent="0.25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 x14ac:dyDescent="0.25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 x14ac:dyDescent="0.25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 x14ac:dyDescent="0.25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 x14ac:dyDescent="0.25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 x14ac:dyDescent="0.25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 x14ac:dyDescent="0.25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 x14ac:dyDescent="0.25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 x14ac:dyDescent="0.25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 x14ac:dyDescent="0.25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 x14ac:dyDescent="0.25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 x14ac:dyDescent="0.25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 x14ac:dyDescent="0.25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 x14ac:dyDescent="0.25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 x14ac:dyDescent="0.25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 x14ac:dyDescent="0.25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 x14ac:dyDescent="0.25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 x14ac:dyDescent="0.25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 x14ac:dyDescent="0.25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 x14ac:dyDescent="0.25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 x14ac:dyDescent="0.25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 x14ac:dyDescent="0.25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 x14ac:dyDescent="0.25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 x14ac:dyDescent="0.25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 x14ac:dyDescent="0.25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 x14ac:dyDescent="0.25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 x14ac:dyDescent="0.25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 x14ac:dyDescent="0.25">
      <c r="H1093" s="391" t="str">
        <f t="shared" si="96"/>
        <v/>
      </c>
      <c r="I1093" s="391" t="str">
        <f t="shared" si="97"/>
        <v/>
      </c>
      <c r="J1093" s="391" t="str">
        <f t="shared" si="98"/>
        <v/>
      </c>
      <c r="K1093" s="391" t="str">
        <f t="shared" si="99"/>
        <v/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18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I1" s="218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J1" s="218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K1" s="218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L1" s="218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5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Multi-Point Conceal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Fix Window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Casement Window Multi-Point Exposed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Folding Door Conceal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Folding Door Exposed</v>
      </c>
      <c r="D5" t="str">
        <v>W/G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12</v>
      </c>
      <c r="E2" s="241">
        <v>11.46</v>
      </c>
      <c r="F2" s="104">
        <f>IF(D2*E2=0, "", D2*E2)</f>
        <v>137.52000000000001</v>
      </c>
      <c r="G2" s="18" t="s">
        <v>9</v>
      </c>
      <c r="H2" s="10">
        <f>2*Enginuity!$B$6 + 2*Enginuity!$B$7</f>
        <v>16</v>
      </c>
      <c r="I2" s="17">
        <v>1.1000000000000001</v>
      </c>
      <c r="J2" s="82">
        <f>IF(H2*I2=0, "", H2*I2)</f>
        <v>17.600000000000001</v>
      </c>
      <c r="K2" s="340"/>
      <c r="L2" s="344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16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4</v>
      </c>
      <c r="E3" s="241">
        <v>2.99</v>
      </c>
      <c r="F3" s="104">
        <f t="shared" ref="F3:F49" si="0">IF(D3*E3=0, "", D3*E3)</f>
        <v>11.96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16</v>
      </c>
      <c r="P3" s="14" t="s">
        <v>266</v>
      </c>
      <c r="Q3" s="82">
        <f>IF(AND(Enginuity!$B$6&gt;0, Enginuity!$B$7&gt;0, Enginuity!$B$13&gt;0), (2 * Enginuity!$B$7 * Enginuity!$B$13) + (2 * Enginuity!$B$6), "")</f>
        <v>24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4</v>
      </c>
      <c r="E4" s="241">
        <v>5.7</v>
      </c>
      <c r="F4" s="104">
        <f t="shared" si="0"/>
        <v>22.8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24</v>
      </c>
      <c r="P4" s="14" t="s">
        <v>263</v>
      </c>
      <c r="Q4" s="82">
        <f>IF(Enginuity!$B$6&gt;0, Enginuity!$B$6, "")</f>
        <v>4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48</v>
      </c>
      <c r="P5" s="14" t="s">
        <v>264</v>
      </c>
      <c r="Q5" s="82">
        <f>IF(Enginuity!$B$7&gt;0, Enginuity!$B$7, "")</f>
        <v>4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E6" s="241">
        <v>0.56999999999999995</v>
      </c>
      <c r="F6" s="104">
        <f t="shared" si="0"/>
        <v>9.1199999999999992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P6" s="14" t="s">
        <v>265</v>
      </c>
      <c r="Q6" s="82">
        <f>IF(AND(Enginuity!$B$7&gt;0, Enginuity!$B$13&gt;1), (Enginuity!$B$13 - 1) * Enginuity!$B$7, "")</f>
        <v>4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72.61999999999999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2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25.18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P8" s="14" t="s">
        <v>278</v>
      </c>
      <c r="Q8" s="82">
        <f>Enginuity!$B$6*2</f>
        <v>8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20</v>
      </c>
      <c r="E9" s="242">
        <v>1.86</v>
      </c>
      <c r="F9" s="104">
        <f t="shared" si="0"/>
        <v>37.200000000000003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2</v>
      </c>
      <c r="P9" s="14" t="s">
        <v>281</v>
      </c>
      <c r="Q9" s="97">
        <f>Enginuity!$B$6</f>
        <v>4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32</v>
      </c>
      <c r="E10" s="242">
        <v>1.86</v>
      </c>
      <c r="F10" s="104">
        <f t="shared" si="0"/>
        <v>59.52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8</v>
      </c>
      <c r="P10" s="14" t="s">
        <v>282</v>
      </c>
      <c r="Q10" s="82">
        <f>Enginuity!$B$6*2</f>
        <v>8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135.62</v>
      </c>
      <c r="F11" s="104">
        <f>IF(D11*E11=0, "", D11*E11)</f>
        <v>135.62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4</v>
      </c>
      <c r="P11" s="14" t="s">
        <v>283</v>
      </c>
      <c r="Q11" s="82">
        <f>Enginuity!$B$6*2</f>
        <v>8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88.179999999999993</v>
      </c>
      <c r="F12" s="104">
        <f>IF(D12*E12=0, "", D12*E12)</f>
        <v>88.179999999999993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16</v>
      </c>
      <c r="P12" s="14" t="s">
        <v>284</v>
      </c>
      <c r="Q12" s="97">
        <f>Enginuity!$B$6</f>
        <v>4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6</v>
      </c>
      <c r="P13" s="14" t="s">
        <v>285</v>
      </c>
      <c r="Q13" s="82">
        <f>Enginuity!$B$6*2</f>
        <v>8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8</v>
      </c>
      <c r="P14" s="14" t="s">
        <v>286</v>
      </c>
      <c r="Q14" s="82">
        <f>IF(Enginuity!$B$7&gt;0, 2 * Enginuity!$B$7, "")</f>
        <v>8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8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8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4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4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8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8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4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8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8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16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24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4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16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24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4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16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24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48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2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2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4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4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8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8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8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8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4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4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8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8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4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4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4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8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8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8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8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4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4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8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8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4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16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24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48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2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8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4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4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4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8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8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8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8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4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4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8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8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4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4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4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8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8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8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8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4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4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8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8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4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16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24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48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2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8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4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8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8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4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8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16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24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8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8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8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4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8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16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24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8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48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2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4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4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8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1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1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24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8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137.52000000000001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24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8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48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6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2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8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1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1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12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12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16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16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4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16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4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48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16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4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16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4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48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12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4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4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16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8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16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16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16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16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12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4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4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16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8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16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16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16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16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8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4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16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16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16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16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16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16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8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16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16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16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8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2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1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1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16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2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2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16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8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2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4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5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5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16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16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8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1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16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8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1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2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2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16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24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4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24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8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16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24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48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2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2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8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8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8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4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4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4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4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2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16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24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4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8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16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24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48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2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2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8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4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4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4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4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2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16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24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4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8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16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24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48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2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2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8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4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4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4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4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2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4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4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8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24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8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8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16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24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48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1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8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1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6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1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2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4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4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8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8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8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8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4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4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8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8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8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16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24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48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8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2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2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4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8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4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4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4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8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8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8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8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4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4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8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8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8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16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24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48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8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2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1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8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16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8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24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1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16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24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4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0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48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8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24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12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12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24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48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8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6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16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8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0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8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4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4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8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12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24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48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48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8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4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16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8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16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2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2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16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2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2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57.8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144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8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4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8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4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1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8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4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12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4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4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0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2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4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12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4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4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2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4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16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24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4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16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24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4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24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2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0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>
        <f>IF(ROUND(Enginuity!$B$13,0)=2,2,"")</f>
        <v>2</v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>
        <f>IF(ROUND(Enginuity!$B$13,0)=2,2,"")</f>
        <v>2</v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49.612499999999997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15.75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>
        <f>IF(ROUND(Enginuity!$B$13,0)=2,2,"")</f>
        <v>2</v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>
        <f>IF(ROUND(Enginuity!$B$13,0)=2,2,"")</f>
        <v>2</v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16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16</v>
      </c>
      <c r="M1425" s="88"/>
      <c r="N1425" s="12" t="s">
        <v>817</v>
      </c>
      <c r="O1425" s="22"/>
      <c r="P1425" s="5" t="str">
        <f>Enginuity!$A$18</f>
        <v>Casement Window Multi-Point Exposed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16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16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16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16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16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16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16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16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16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16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2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2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48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16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24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48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2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2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8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8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8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4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4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4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4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2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4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4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8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24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8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8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16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24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48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1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8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1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6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1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2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12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32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4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8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12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64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8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8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1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2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4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1558.7199999999998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16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32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32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16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2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2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2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4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2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16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16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4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40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40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64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64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1558.7199999999998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26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179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12 Blade 4" Adjustable Altair Louver</v>
      </c>
      <c r="Q1785" s="82">
        <f>IFERROR(MAX(1, ROUNDUP(VALUE(Enginuity!$B$13), 0)), 1)</f>
        <v>2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1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9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9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18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Install Casement Window Multi-Point Exposed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Install Casement Window Multi-Point Exposed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Install Casement Window Multi-Point Exposed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Install Casement Window Multi-Point Exposed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12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3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1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1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1369.9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4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4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8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8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8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8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4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4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8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8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4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4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4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8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8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8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8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4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4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8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8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4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16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16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24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48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2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8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4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16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24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4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16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24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4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24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2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Casement Window Multi-Point Exposed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 t="str">
        <f>IF(OR(Enginuity!$B$6="",Enginuity!$B$7=""),"",
 IF(Enginuity!$B$9&gt;32,
    ROUNDUP(Enginuity!$B$9-32,0),
    IF(OR(Enginuity!$B$6&gt;4,Enginuity!$B$7&gt;8),1,"")
 ))</f>
        <v/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Multi-Point Exposed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 t="str">
        <f>IF(OR(Enginuity!$B$6="",Enginuity!$B$7=""),"",
 IF(Enginuity!$B$9&gt;32,
    ROUNDUP(Enginuity!$B$9-32,0),
    IF(OR(Enginuity!$B$6&gt;4,Enginuity!$B$7&gt;8),1,"")
 ))</f>
        <v/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7" bestFit="1" customWidth="1"/>
    <col min="2" max="2" width="13.28515625" style="367" bestFit="1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6" width="9.140625" style="367"/>
    <col min="17" max="17" width="13.28515625" style="367" bestFit="1" customWidth="1"/>
    <col min="18" max="18" width="9.140625" style="367"/>
    <col min="19" max="19" width="9.140625" style="1"/>
    <col min="20" max="16384" width="9.140625" style="367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5"/>
      <c r="B2" s="367" t="s">
        <v>1845</v>
      </c>
      <c r="P2" s="367" t="str">
        <f>IF(OR($S2="",$S2=0),"",COUNTIF($S$2:S2,"&lt;&gt;0"))</f>
        <v/>
      </c>
    </row>
    <row r="3" spans="1:20" x14ac:dyDescent="0.25">
      <c r="B3" s="367" t="s">
        <v>1847</v>
      </c>
      <c r="P3" s="367" t="str">
        <f>IF(OR($S3="",$S3=0),"",COUNTIF($S$2:S3,"&lt;&gt;0"))</f>
        <v/>
      </c>
    </row>
    <row r="4" spans="1:20" x14ac:dyDescent="0.25">
      <c r="B4" s="367" t="s">
        <v>382</v>
      </c>
      <c r="P4" s="367" t="str">
        <f>IF(OR($S4="",$S4=0),"",COUNTIF($S$2:S4,"&lt;&gt;0"))</f>
        <v/>
      </c>
    </row>
    <row r="5" spans="1:20" x14ac:dyDescent="0.25">
      <c r="B5" s="367" t="s">
        <v>1846</v>
      </c>
      <c r="P5" s="367" t="str">
        <f>IF(OR($S5="",$S5=0),"",COUNTIF($S$2:S5,"&lt;&gt;0"))</f>
        <v/>
      </c>
    </row>
    <row r="6" spans="1:20" x14ac:dyDescent="0.25">
      <c r="P6" s="367" t="str">
        <f>IF(OR($S6="",$S6=0),"",COUNTIF($S$2:S6,"&lt;&gt;0"))</f>
        <v/>
      </c>
    </row>
    <row r="7" spans="1:20" x14ac:dyDescent="0.25">
      <c r="P7" s="367" t="str">
        <f>IF(OR($S7="",$S7=0),"",COUNTIF($S$2:S7,"&lt;&gt;0"))</f>
        <v/>
      </c>
    </row>
    <row r="8" spans="1:20" x14ac:dyDescent="0.25">
      <c r="P8" s="367" t="str">
        <f>IF(OR($S8="",$S8=0),"",COUNTIF($S$2:S8,"&lt;&gt;0"))</f>
        <v/>
      </c>
    </row>
    <row r="9" spans="1:20" x14ac:dyDescent="0.25">
      <c r="P9" s="367" t="str">
        <f>IF(OR($S9="",$S9=0),"",COUNTIF($S$2:S9,"&lt;&gt;0"))</f>
        <v/>
      </c>
    </row>
    <row r="10" spans="1:20" x14ac:dyDescent="0.25">
      <c r="P10" s="367" t="str">
        <f>IF(OR($S10="",$S10=0),"",COUNTIF($S$2:S10,"&lt;&gt;0"))</f>
        <v/>
      </c>
    </row>
    <row r="11" spans="1:20" x14ac:dyDescent="0.25">
      <c r="P11" s="367" t="str">
        <f>IF(OR($S11="",$S11=0),"",COUNTIF($S$2:S11,"&lt;&gt;0"))</f>
        <v/>
      </c>
    </row>
    <row r="12" spans="1:20" x14ac:dyDescent="0.25">
      <c r="P12" s="367" t="str">
        <f>IF(OR($S12="",$S12=0),"",COUNTIF($S$2:S12,"&lt;&gt;0"))</f>
        <v/>
      </c>
    </row>
    <row r="13" spans="1:20" x14ac:dyDescent="0.25">
      <c r="P13" s="367" t="str">
        <f>IF(OR($S13="",$S13=0),"",COUNTIF($S$2:S13,"&lt;&gt;0"))</f>
        <v/>
      </c>
    </row>
    <row r="14" spans="1:20" x14ac:dyDescent="0.25">
      <c r="P14" s="367" t="str">
        <f>IF(OR($S14="",$S14=0),"",COUNTIF($S$2:S14,"&lt;&gt;0"))</f>
        <v/>
      </c>
    </row>
    <row r="15" spans="1:20" x14ac:dyDescent="0.25">
      <c r="P15" s="367" t="str">
        <f>IF(OR($S15="",$S15=0),"",COUNTIF($S$2:S15,"&lt;&gt;0"))</f>
        <v/>
      </c>
    </row>
    <row r="16" spans="1:20" x14ac:dyDescent="0.25">
      <c r="P16" s="367" t="str">
        <f>IF(OR($S16="",$S16=0),"",COUNTIF($S$2:S16,"&lt;&gt;0"))</f>
        <v/>
      </c>
    </row>
    <row r="17" spans="16:16" x14ac:dyDescent="0.25">
      <c r="P17" s="367" t="str">
        <f>IF(OR($S17="",$S17=0),"",COUNTIF($S$2:S17,"&lt;&gt;0"))</f>
        <v/>
      </c>
    </row>
    <row r="18" spans="16:16" x14ac:dyDescent="0.25">
      <c r="P18" s="367" t="str">
        <f>IF(OR($S18="",$S18=0),"",COUNTIF($S$2:S18,"&lt;&gt;0"))</f>
        <v/>
      </c>
    </row>
    <row r="19" spans="16:16" x14ac:dyDescent="0.25">
      <c r="P19" s="367" t="str">
        <f>IF(OR($S19="",$S19=0),"",COUNTIF($S$2:S19,"&lt;&gt;0"))</f>
        <v/>
      </c>
    </row>
    <row r="20" spans="16:16" x14ac:dyDescent="0.25">
      <c r="P20" s="367" t="str">
        <f>IF(OR($S20="",$S20=0),"",COUNTIF($S$2:S20,"&lt;&gt;0"))</f>
        <v/>
      </c>
    </row>
    <row r="21" spans="16:16" x14ac:dyDescent="0.25">
      <c r="P21" s="367" t="str">
        <f>IF(OR($S21="",$S21=0),"",COUNTIF($S$2:S21,"&lt;&gt;0"))</f>
        <v/>
      </c>
    </row>
    <row r="22" spans="16:16" x14ac:dyDescent="0.25">
      <c r="P22" s="367" t="str">
        <f>IF(OR($S22="",$S22=0),"",COUNTIF($S$2:S22,"&lt;&gt;0"))</f>
        <v/>
      </c>
    </row>
    <row r="23" spans="16:16" x14ac:dyDescent="0.25">
      <c r="P23" s="367" t="str">
        <f>IF(OR($S23="",$S23=0),"",COUNTIF($S$2:S23,"&lt;&gt;0"))</f>
        <v/>
      </c>
    </row>
    <row r="24" spans="16:16" x14ac:dyDescent="0.25">
      <c r="P24" s="367" t="str">
        <f>IF(OR($S24="",$S24=0),"",COUNTIF($S$2:S24,"&lt;&gt;0"))</f>
        <v/>
      </c>
    </row>
    <row r="25" spans="16:16" x14ac:dyDescent="0.25">
      <c r="P25" s="367" t="str">
        <f>IF(OR($S25="",$S25=0),"",COUNTIF($S$2:S25,"&lt;&gt;0"))</f>
        <v/>
      </c>
    </row>
    <row r="26" spans="16:16" x14ac:dyDescent="0.25">
      <c r="P26" s="367" t="str">
        <f>IF(OR($S26="",$S26=0),"",COUNTIF($S$2:S26,"&lt;&gt;0"))</f>
        <v/>
      </c>
    </row>
    <row r="27" spans="16:16" x14ac:dyDescent="0.25">
      <c r="P27" s="367" t="str">
        <f>IF(OR($S27="",$S27=0),"",COUNTIF($S$2:S27,"&lt;&gt;0"))</f>
        <v/>
      </c>
    </row>
    <row r="28" spans="16:16" x14ac:dyDescent="0.25">
      <c r="P28" s="367" t="str">
        <f>IF(OR($S28="",$S28=0),"",COUNTIF($S$2:S28,"&lt;&gt;0"))</f>
        <v/>
      </c>
    </row>
    <row r="29" spans="16:16" x14ac:dyDescent="0.25">
      <c r="P29" s="367" t="str">
        <f>IF(OR($S29="",$S29=0),"",COUNTIF($S$2:S29,"&lt;&gt;0"))</f>
        <v/>
      </c>
    </row>
    <row r="30" spans="16:16" x14ac:dyDescent="0.25">
      <c r="P30" s="367" t="str">
        <f>IF(OR($S30="",$S30=0),"",COUNTIF($S$2:S30,"&lt;&gt;0"))</f>
        <v/>
      </c>
    </row>
    <row r="31" spans="16:16" x14ac:dyDescent="0.25">
      <c r="P31" s="367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1472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Q1" s="430" t="s">
        <v>1472</v>
      </c>
      <c r="R1" s="429"/>
      <c r="S1" s="429"/>
      <c r="T1" s="429"/>
      <c r="U1" s="429"/>
      <c r="V1" s="429"/>
      <c r="W1" s="429"/>
      <c r="X1" s="429"/>
      <c r="Y1" s="429"/>
      <c r="Z1" s="429"/>
      <c r="AA1" s="429"/>
    </row>
    <row r="2" spans="1:27" ht="15" customHeight="1" x14ac:dyDescent="0.25">
      <c r="A2" s="428" t="s">
        <v>1473</v>
      </c>
      <c r="B2" s="429"/>
      <c r="C2" s="429"/>
      <c r="D2" s="429"/>
      <c r="E2" s="429"/>
      <c r="F2" s="429"/>
      <c r="G2" s="429"/>
      <c r="H2" s="429"/>
      <c r="I2" s="429"/>
      <c r="J2" s="429"/>
      <c r="K2" s="429"/>
      <c r="Q2" s="428" t="s">
        <v>1473</v>
      </c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5" customHeight="1" x14ac:dyDescent="0.25">
      <c r="A3" s="255" t="s">
        <v>1474</v>
      </c>
      <c r="B3" s="256">
        <v>21.4</v>
      </c>
      <c r="C3"/>
      <c r="F3" s="431" t="s">
        <v>1511</v>
      </c>
      <c r="G3" s="432"/>
      <c r="H3" s="432"/>
      <c r="I3" s="433"/>
      <c r="Q3" s="255" t="s">
        <v>1474</v>
      </c>
      <c r="R3" s="256">
        <v>25</v>
      </c>
      <c r="S3" s="266"/>
      <c r="V3" s="434" t="s">
        <v>1475</v>
      </c>
      <c r="W3" s="435"/>
      <c r="X3" s="435"/>
      <c r="Y3" s="436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1" t="s">
        <v>1510</v>
      </c>
      <c r="G7" s="432"/>
      <c r="H7" s="432"/>
      <c r="I7" s="433"/>
      <c r="Q7" s="255" t="s">
        <v>1483</v>
      </c>
      <c r="R7" s="260" t="s">
        <v>1479</v>
      </c>
      <c r="S7" s="266"/>
      <c r="V7" s="434" t="s">
        <v>1484</v>
      </c>
      <c r="W7" s="435"/>
      <c r="X7" s="435"/>
      <c r="Y7" s="436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28" t="s">
        <v>1486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>
        <v>6060</v>
      </c>
      <c r="M11">
        <f>L11/304.8</f>
        <v>19.881889763779526</v>
      </c>
      <c r="Q11" s="428" t="s">
        <v>1486</v>
      </c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7" t="s">
        <v>1519</v>
      </c>
      <c r="W1" s="437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3</v>
      </c>
      <c r="J3" s="325">
        <f>$C$39</f>
        <v>1</v>
      </c>
      <c r="K3" s="325">
        <f>$C$40</f>
        <v>1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3</v>
      </c>
      <c r="R3" s="326">
        <f t="shared" ref="R3:S5" si="1">J3</f>
        <v>1</v>
      </c>
      <c r="S3" s="326">
        <f t="shared" si="1"/>
        <v>1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1219.2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3</v>
      </c>
      <c r="J4" s="356">
        <f>$C$39</f>
        <v>1</v>
      </c>
      <c r="K4" s="325">
        <f t="shared" ref="K4:K12" si="3">$C$40</f>
        <v>1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3</v>
      </c>
      <c r="R4" s="326">
        <f t="shared" si="1"/>
        <v>1</v>
      </c>
      <c r="S4" s="326">
        <f t="shared" si="1"/>
        <v>1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1219.2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3</v>
      </c>
      <c r="J5" s="325">
        <f t="shared" ref="J5:J12" si="7">$C$39</f>
        <v>1</v>
      </c>
      <c r="K5" s="325">
        <f t="shared" si="3"/>
        <v>1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3</v>
      </c>
      <c r="R5" s="326">
        <f t="shared" si="1"/>
        <v>1</v>
      </c>
      <c r="S5" s="326">
        <f t="shared" si="1"/>
        <v>1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2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3</v>
      </c>
      <c r="J6" s="325">
        <f t="shared" si="7"/>
        <v>1</v>
      </c>
      <c r="K6" s="325">
        <f t="shared" si="3"/>
        <v>1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3</v>
      </c>
      <c r="J7" s="325">
        <f t="shared" si="7"/>
        <v>1</v>
      </c>
      <c r="K7" s="325">
        <f t="shared" si="3"/>
        <v>1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3</v>
      </c>
      <c r="J8" s="325">
        <f t="shared" si="7"/>
        <v>1</v>
      </c>
      <c r="K8" s="325">
        <f t="shared" si="3"/>
        <v>1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3</v>
      </c>
      <c r="J9" s="325">
        <f t="shared" si="7"/>
        <v>1</v>
      </c>
      <c r="K9" s="325">
        <f t="shared" si="3"/>
        <v>1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3</v>
      </c>
      <c r="J10" s="325">
        <f t="shared" si="7"/>
        <v>1</v>
      </c>
      <c r="K10" s="325">
        <f t="shared" si="3"/>
        <v>1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24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3</v>
      </c>
      <c r="J11" s="325">
        <f t="shared" si="7"/>
        <v>1</v>
      </c>
      <c r="K11" s="325">
        <f t="shared" si="3"/>
        <v>1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3</v>
      </c>
      <c r="J12" s="325">
        <f t="shared" si="7"/>
        <v>1</v>
      </c>
      <c r="K12" s="325">
        <f t="shared" si="3"/>
        <v>1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27</v>
      </c>
      <c r="J15" s="93">
        <f>SUM(J3:J11)</f>
        <v>9</v>
      </c>
      <c r="K15" s="93">
        <f>SUM(K3:K11)</f>
        <v>9</v>
      </c>
      <c r="L15" s="279"/>
      <c r="O15" s="1"/>
      <c r="P15" s="1"/>
      <c r="Q15" s="93">
        <f>SUM(Q3:Q12)</f>
        <v>9</v>
      </c>
      <c r="R15" s="93">
        <f>SUM(R3:R11)</f>
        <v>3</v>
      </c>
      <c r="S15" s="93">
        <f>SUM(S3:S11)</f>
        <v>3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1.28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0.16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0.184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12</v>
      </c>
      <c r="C25" s="359">
        <f>B25*$B$6</f>
        <v>24</v>
      </c>
    </row>
    <row r="26" spans="1:40" x14ac:dyDescent="0.25">
      <c r="A26" s="335" t="s">
        <v>1719</v>
      </c>
      <c r="B26" s="354">
        <f>IF(OR($C$49="",$B$6=""),"",ROUND(($C$49/$B$6)-(2*$B$18),3))</f>
        <v>582.20000000000005</v>
      </c>
      <c r="C26" s="359">
        <f>B26</f>
        <v>582.20000000000005</v>
      </c>
    </row>
    <row r="27" spans="1:40" x14ac:dyDescent="0.25">
      <c r="A27" s="335" t="s">
        <v>1720</v>
      </c>
      <c r="B27" s="354">
        <f>$C$46</f>
        <v>95.163636363636385</v>
      </c>
      <c r="C27" s="359">
        <f>B27</f>
        <v>95.163636363636385</v>
      </c>
    </row>
    <row r="28" spans="1:40" x14ac:dyDescent="0.25">
      <c r="A28" s="335" t="s">
        <v>1721</v>
      </c>
      <c r="B28" s="360">
        <f>$C$47</f>
        <v>95.163636363636385</v>
      </c>
      <c r="C28" s="379">
        <f>B28</f>
        <v>95.163636363636385</v>
      </c>
    </row>
    <row r="29" spans="1:40" x14ac:dyDescent="0.25">
      <c r="A29" s="335" t="s">
        <v>1722</v>
      </c>
      <c r="B29" s="361">
        <f>ROUND($C$48,10)</f>
        <v>95.163636363600006</v>
      </c>
      <c r="C29" s="362">
        <f>B29</f>
        <v>95.163636363600006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4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1168.4000000000001</v>
      </c>
      <c r="C31" s="363">
        <f>B31</f>
        <v>1168.4000000000001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 t="str">
        <f>IF($B$6=1,$C$53,"")</f>
        <v/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 t="str">
        <f>IF($B$6=1,$C$51,"")</f>
        <v/>
      </c>
      <c r="C33" s="359">
        <f>$C$51</f>
        <v>1219.2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 t="str">
        <f>IF($B$6=1,$C$54,"")</f>
        <v/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 t="str">
        <f>IF($B$6=1,$C$52,"")</f>
        <v/>
      </c>
      <c r="C35" s="359">
        <f>$C$52</f>
        <v>1168.4000000000001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 t="str">
        <f>IF($B$6=1,$C$55,"")</f>
        <v/>
      </c>
      <c r="C36" s="359">
        <f>$C$55</f>
        <v>1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 t="str">
        <f>IF($B$6=1,$C$56,"")</f>
        <v/>
      </c>
      <c r="C37" s="359">
        <f>$C$56</f>
        <v>1168.4000000000001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1.5</v>
      </c>
      <c r="C38" s="359">
        <f>$C$57</f>
        <v>3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0.5</v>
      </c>
      <c r="C39" s="359">
        <f>$C$58</f>
        <v>1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0.5</v>
      </c>
      <c r="C40" s="359">
        <f>$C$61</f>
        <v>1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95.163636363636385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95.163636363636385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95.163636363600006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1168.4000000000001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1168.4000000000001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1219.2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1168.4000000000001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1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1168.4000000000001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3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1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1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1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1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3" t="s">
        <v>1532</v>
      </c>
      <c r="B1" s="429"/>
      <c r="C1" s="429"/>
      <c r="D1" s="429"/>
      <c r="E1" s="429"/>
      <c r="F1" s="429"/>
      <c r="G1" s="429"/>
      <c r="H1" s="429"/>
      <c r="I1" s="429"/>
      <c r="K1" s="444" t="s">
        <v>1533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G1" s="283" t="s">
        <v>1537</v>
      </c>
      <c r="BC1" s="1"/>
    </row>
    <row r="2" spans="1:55" ht="15" customHeight="1" x14ac:dyDescent="0.25">
      <c r="A2" s="446" t="s">
        <v>1534</v>
      </c>
      <c r="B2" s="429"/>
      <c r="C2" s="429"/>
      <c r="D2" s="429"/>
      <c r="E2" s="429"/>
      <c r="F2" s="429"/>
      <c r="G2" s="429"/>
      <c r="H2" s="429"/>
      <c r="I2" s="429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8" t="s">
        <v>1535</v>
      </c>
      <c r="B4" s="438"/>
      <c r="C4" s="300"/>
      <c r="D4" s="179"/>
      <c r="E4" s="438" t="s">
        <v>1536</v>
      </c>
      <c r="F4" s="439"/>
      <c r="G4" s="439"/>
      <c r="H4" s="439"/>
      <c r="I4" s="439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8" t="s">
        <v>1577</v>
      </c>
      <c r="F9" s="439"/>
      <c r="G9" s="439"/>
      <c r="H9" s="439"/>
      <c r="I9" s="439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40" t="s">
        <v>1586</v>
      </c>
      <c r="B15" s="441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40" t="s">
        <v>1593</v>
      </c>
      <c r="B26" s="441"/>
      <c r="C26" s="442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7" t="s">
        <v>1632</v>
      </c>
      <c r="B1" s="429"/>
      <c r="C1" s="429"/>
      <c r="D1" s="429"/>
      <c r="E1" s="429"/>
      <c r="F1" s="429"/>
      <c r="G1" s="429"/>
      <c r="H1" s="429"/>
      <c r="I1" s="429"/>
    </row>
    <row r="2" spans="1:9" ht="15" customHeight="1" x14ac:dyDescent="0.25"/>
    <row r="3" spans="1:9" ht="15" customHeight="1" x14ac:dyDescent="0.25">
      <c r="A3" s="448" t="s">
        <v>1633</v>
      </c>
      <c r="B3" s="449"/>
      <c r="C3" s="449"/>
      <c r="E3" s="448" t="s">
        <v>1536</v>
      </c>
      <c r="F3" s="449"/>
      <c r="G3" s="449"/>
      <c r="H3" s="449"/>
      <c r="I3" s="449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8" t="s">
        <v>1577</v>
      </c>
      <c r="F9" s="449"/>
      <c r="G9" s="449"/>
      <c r="H9" s="449"/>
      <c r="I9" s="449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28" t="s">
        <v>1586</v>
      </c>
      <c r="B18" s="429"/>
      <c r="C18" s="429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28" t="s">
        <v>1593</v>
      </c>
      <c r="B31" s="429"/>
      <c r="C31" s="429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2026-07-03T19:31:54Z</dcterms:modified>
</cp:coreProperties>
</file>